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M\Desktop\TIEMBA\Data Models Decisions Module 1\Group Assignment\"/>
    </mc:Choice>
  </mc:AlternateContent>
  <xr:revisionPtr revIDLastSave="0" documentId="13_ncr:1_{AEA72150-2CC9-4617-B7D1-AD31C0668724}" xr6:coauthVersionLast="45" xr6:coauthVersionMax="45" xr10:uidLastSave="{00000000-0000-0000-0000-000000000000}"/>
  <bookViews>
    <workbookView xWindow="-103" yWindow="-103" windowWidth="18720" windowHeight="11949" firstSheet="8" activeTab="13" xr2:uid="{00000000-000D-0000-FFFF-FFFF00000000}"/>
  </bookViews>
  <sheets>
    <sheet name="Mandarin Movies Stats" sheetId="7" r:id="rId1"/>
    <sheet name="ByProductionCountry" sheetId="8" r:id="rId2"/>
    <sheet name="ByLanguage" sheetId="1" r:id="rId3"/>
    <sheet name="Download" sheetId="2" r:id="rId4"/>
    <sheet name="Ratings" sheetId="5" r:id="rId5"/>
    <sheet name="Others" sheetId="6" r:id="rId6"/>
    <sheet name="Combined_CN,HK,TW" sheetId="4" r:id="rId7"/>
    <sheet name="Final cleaned data" sheetId="10" r:id="rId8"/>
    <sheet name="Final cleaned data_1028" sheetId="13" r:id="rId9"/>
    <sheet name="memo_1028" sheetId="12" r:id="rId10"/>
    <sheet name="Pivot" sheetId="9" r:id="rId11"/>
    <sheet name="Final cleaned data_1029" sheetId="11" r:id="rId12"/>
    <sheet name="FromYabin" sheetId="14" r:id="rId13"/>
    <sheet name="Data_1029" sheetId="15" r:id="rId14"/>
  </sheets>
  <definedNames>
    <definedName name="_xlnm._FilterDatabase" localSheetId="6" hidden="1">'Combined_CN,HK,TW'!$A$2:$AF$1008</definedName>
    <definedName name="_xlnm._FilterDatabase" localSheetId="13" hidden="1">Data_1029!$A$1:$U$119</definedName>
    <definedName name="_xlnm._FilterDatabase" localSheetId="7" hidden="1">'Final cleaned data'!$A$1:$AC$212</definedName>
    <definedName name="_xlnm._FilterDatabase" localSheetId="8" hidden="1">'Final cleaned data_1028'!$A$1:$AD$212</definedName>
    <definedName name="_xlnm._FilterDatabase" localSheetId="11" hidden="1">'Final cleaned data_1029'!$A$1:$AE$212</definedName>
    <definedName name="_xlnm._FilterDatabase" localSheetId="12" hidden="1">FromYabin!$A$1:$T$112</definedName>
    <definedName name="_xlnm._FilterDatabase" localSheetId="5" hidden="1">Others!$A$1:$I$977</definedName>
  </definedNames>
  <calcPr calcId="191028"/>
  <pivotCaches>
    <pivotCache cacheId="0" r:id="rId15"/>
  </pivotCaches>
</workbook>
</file>

<file path=xl/calcChain.xml><?xml version="1.0" encoding="utf-8"?>
<calcChain xmlns="http://schemas.openxmlformats.org/spreadsheetml/2006/main">
  <c r="O117" i="15" l="1"/>
  <c r="P117" i="15"/>
  <c r="P118" i="15"/>
  <c r="O118" i="15"/>
  <c r="O119" i="15"/>
  <c r="P119" i="15"/>
  <c r="P116" i="15"/>
  <c r="O116" i="15"/>
  <c r="V3" i="15" l="1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V110" i="15"/>
  <c r="V111" i="15"/>
  <c r="V112" i="15"/>
  <c r="V113" i="15"/>
  <c r="V114" i="15"/>
  <c r="V115" i="15"/>
  <c r="V2" i="15"/>
  <c r="Q31" i="1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3" i="14"/>
  <c r="A4" i="14" s="1"/>
  <c r="A5" i="14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E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E111" i="11"/>
  <c r="AE112" i="11"/>
  <c r="AE113" i="11"/>
  <c r="AE114" i="11"/>
  <c r="AE115" i="11"/>
  <c r="AE116" i="11"/>
  <c r="AE117" i="11"/>
  <c r="AE118" i="11"/>
  <c r="AE119" i="11"/>
  <c r="AE120" i="11"/>
  <c r="AE121" i="11"/>
  <c r="AE122" i="11"/>
  <c r="AE123" i="11"/>
  <c r="AE124" i="11"/>
  <c r="AE125" i="11"/>
  <c r="AE126" i="11"/>
  <c r="AE127" i="11"/>
  <c r="AE128" i="11"/>
  <c r="AE129" i="11"/>
  <c r="AE130" i="11"/>
  <c r="AE131" i="11"/>
  <c r="AE132" i="11"/>
  <c r="AE133" i="11"/>
  <c r="AE134" i="11"/>
  <c r="AE135" i="11"/>
  <c r="AE136" i="11"/>
  <c r="AE137" i="11"/>
  <c r="AE138" i="11"/>
  <c r="AE139" i="11"/>
  <c r="AE140" i="11"/>
  <c r="AE141" i="11"/>
  <c r="AE142" i="11"/>
  <c r="AE143" i="11"/>
  <c r="AE144" i="11"/>
  <c r="AE145" i="11"/>
  <c r="AE146" i="11"/>
  <c r="AE147" i="11"/>
  <c r="AE148" i="11"/>
  <c r="AE149" i="11"/>
  <c r="AE150" i="11"/>
  <c r="AE151" i="11"/>
  <c r="AE152" i="11"/>
  <c r="AE153" i="11"/>
  <c r="AE154" i="11"/>
  <c r="AE155" i="11"/>
  <c r="AE156" i="11"/>
  <c r="AE157" i="11"/>
  <c r="AE158" i="11"/>
  <c r="AE159" i="11"/>
  <c r="AE160" i="11"/>
  <c r="AE161" i="11"/>
  <c r="AE162" i="11"/>
  <c r="AE163" i="11"/>
  <c r="AE164" i="11"/>
  <c r="AE165" i="11"/>
  <c r="AE166" i="11"/>
  <c r="AE167" i="11"/>
  <c r="AE168" i="11"/>
  <c r="AE169" i="11"/>
  <c r="AE170" i="11"/>
  <c r="AE171" i="11"/>
  <c r="AE172" i="11"/>
  <c r="AE173" i="11"/>
  <c r="AE174" i="11"/>
  <c r="AE175" i="11"/>
  <c r="AE176" i="11"/>
  <c r="AE177" i="11"/>
  <c r="AE178" i="11"/>
  <c r="AE179" i="11"/>
  <c r="AE180" i="11"/>
  <c r="AE181" i="11"/>
  <c r="AE182" i="11"/>
  <c r="AE183" i="11"/>
  <c r="AE184" i="11"/>
  <c r="AE185" i="11"/>
  <c r="AE186" i="11"/>
  <c r="AE187" i="11"/>
  <c r="AE188" i="11"/>
  <c r="AE189" i="11"/>
  <c r="AE190" i="11"/>
  <c r="AE191" i="11"/>
  <c r="AE192" i="11"/>
  <c r="AE193" i="11"/>
  <c r="AE194" i="11"/>
  <c r="AE195" i="11"/>
  <c r="AE196" i="11"/>
  <c r="AE197" i="11"/>
  <c r="AE198" i="11"/>
  <c r="AE199" i="11"/>
  <c r="AE200" i="11"/>
  <c r="AE201" i="11"/>
  <c r="AE202" i="11"/>
  <c r="AE203" i="11"/>
  <c r="AE204" i="11"/>
  <c r="AE205" i="11"/>
  <c r="AE206" i="11"/>
  <c r="AE207" i="11"/>
  <c r="AE208" i="11"/>
  <c r="AE209" i="11"/>
  <c r="AE210" i="11"/>
  <c r="AE211" i="11"/>
  <c r="AE212" i="11"/>
  <c r="A17" i="9"/>
  <c r="A38" i="9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37" i="9"/>
  <c r="Q212" i="13"/>
  <c r="Q211" i="13"/>
  <c r="Q210" i="13"/>
  <c r="Q209" i="13"/>
  <c r="Q208" i="13"/>
  <c r="Q207" i="13"/>
  <c r="Q206" i="13"/>
  <c r="Q205" i="13"/>
  <c r="Q204" i="13"/>
  <c r="Q203" i="13"/>
  <c r="Q202" i="13"/>
  <c r="Q201" i="13"/>
  <c r="Q200" i="13"/>
  <c r="Q199" i="13"/>
  <c r="Q198" i="13"/>
  <c r="Q197" i="13"/>
  <c r="Q196" i="13"/>
  <c r="Q195" i="13"/>
  <c r="Q194" i="13"/>
  <c r="Q193" i="13"/>
  <c r="Q192" i="13"/>
  <c r="Q191" i="13"/>
  <c r="Q190" i="13"/>
  <c r="Q189" i="13"/>
  <c r="Q188" i="13"/>
  <c r="Q187" i="13"/>
  <c r="Q186" i="13"/>
  <c r="Q185" i="13"/>
  <c r="Q184" i="13"/>
  <c r="Q183" i="13"/>
  <c r="Q182" i="13"/>
  <c r="Q181" i="13"/>
  <c r="Q180" i="13"/>
  <c r="Q179" i="13"/>
  <c r="Q178" i="13"/>
  <c r="Q177" i="13"/>
  <c r="Q176" i="13"/>
  <c r="Q175" i="13"/>
  <c r="Q174" i="13"/>
  <c r="Q173" i="13"/>
  <c r="Q172" i="13"/>
  <c r="Q171" i="13"/>
  <c r="Q170" i="13"/>
  <c r="Q169" i="13"/>
  <c r="Q168" i="13"/>
  <c r="Q167" i="13"/>
  <c r="Q166" i="13"/>
  <c r="Q165" i="13"/>
  <c r="Q164" i="13"/>
  <c r="Q163" i="13"/>
  <c r="Q162" i="13"/>
  <c r="Q161" i="13"/>
  <c r="Q160" i="13"/>
  <c r="Q159" i="13"/>
  <c r="Q158" i="13"/>
  <c r="Q157" i="13"/>
  <c r="Q156" i="13"/>
  <c r="Q155" i="13"/>
  <c r="Q154" i="13"/>
  <c r="Q153" i="13"/>
  <c r="Q152" i="13"/>
  <c r="Q151" i="13"/>
  <c r="Q150" i="13"/>
  <c r="Q149" i="13"/>
  <c r="Q148" i="13"/>
  <c r="Q147" i="13"/>
  <c r="Q146" i="13"/>
  <c r="Q145" i="13"/>
  <c r="Q144" i="13"/>
  <c r="Q143" i="13"/>
  <c r="Q142" i="13"/>
  <c r="Q141" i="13"/>
  <c r="Q140" i="13"/>
  <c r="Q139" i="13"/>
  <c r="Q138" i="13"/>
  <c r="Q137" i="13"/>
  <c r="Q136" i="13"/>
  <c r="Q135" i="13"/>
  <c r="Q134" i="13"/>
  <c r="Q133" i="13"/>
  <c r="Q132" i="13"/>
  <c r="Q131" i="13"/>
  <c r="Q130" i="13"/>
  <c r="Q129" i="13"/>
  <c r="Q128" i="13"/>
  <c r="Q127" i="13"/>
  <c r="Q126" i="13"/>
  <c r="Q125" i="13"/>
  <c r="Q124" i="13"/>
  <c r="Q123" i="13"/>
  <c r="Q122" i="13"/>
  <c r="Q121" i="13"/>
  <c r="Q120" i="13"/>
  <c r="Q119" i="13"/>
  <c r="Q118" i="13"/>
  <c r="Q117" i="13"/>
  <c r="Q116" i="13"/>
  <c r="Q115" i="13"/>
  <c r="Q114" i="13"/>
  <c r="Q113" i="13"/>
  <c r="Q112" i="13"/>
  <c r="Q111" i="13"/>
  <c r="Q110" i="13"/>
  <c r="Q109" i="13"/>
  <c r="Q108" i="13"/>
  <c r="Q107" i="13"/>
  <c r="Q106" i="13"/>
  <c r="Q105" i="13"/>
  <c r="Q104" i="13"/>
  <c r="Q103" i="13"/>
  <c r="Q102" i="13"/>
  <c r="Q101" i="13"/>
  <c r="Q100" i="13"/>
  <c r="Q99" i="13"/>
  <c r="Q98" i="13"/>
  <c r="Q97" i="13"/>
  <c r="Q96" i="13"/>
  <c r="Q95" i="13"/>
  <c r="Q94" i="13"/>
  <c r="Q93" i="13"/>
  <c r="Q92" i="13"/>
  <c r="Q91" i="13"/>
  <c r="Q90" i="13"/>
  <c r="Q89" i="13"/>
  <c r="Q88" i="13"/>
  <c r="Q87" i="13"/>
  <c r="Q86" i="13"/>
  <c r="Q85" i="13"/>
  <c r="Q84" i="13"/>
  <c r="Q83" i="13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Q2" i="13"/>
  <c r="G40" i="9" l="1"/>
  <c r="G41" i="9" s="1"/>
  <c r="G42" i="9" s="1"/>
  <c r="G43" i="9" s="1"/>
  <c r="G44" i="9" s="1"/>
  <c r="G45" i="9" s="1"/>
  <c r="G39" i="9"/>
  <c r="G24" i="9"/>
  <c r="G25" i="9" s="1"/>
  <c r="G26" i="9" s="1"/>
  <c r="G8" i="9" l="1"/>
  <c r="G9" i="9" s="1"/>
  <c r="G10" i="9" s="1"/>
  <c r="G11" i="9" s="1"/>
  <c r="G12" i="9" s="1"/>
  <c r="G13" i="9" s="1"/>
  <c r="G7" i="9"/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" i="1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3" i="10" l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S4" i="4" l="1"/>
  <c r="R229" i="4" l="1"/>
  <c r="S229" i="4"/>
  <c r="T229" i="4"/>
  <c r="U229" i="4"/>
  <c r="R234" i="4"/>
  <c r="S234" i="4"/>
  <c r="T234" i="4"/>
  <c r="U234" i="4"/>
  <c r="L275" i="4" l="1"/>
  <c r="K275" i="4"/>
  <c r="J275" i="4"/>
  <c r="O1007" i="4" l="1"/>
  <c r="O1006" i="4"/>
  <c r="L1006" i="4"/>
  <c r="K1006" i="4"/>
  <c r="J1006" i="4"/>
  <c r="O1005" i="4"/>
  <c r="L1005" i="4"/>
  <c r="K1005" i="4"/>
  <c r="J1005" i="4"/>
  <c r="O1004" i="4"/>
  <c r="L1004" i="4"/>
  <c r="K1004" i="4"/>
  <c r="J1004" i="4"/>
  <c r="O1003" i="4"/>
  <c r="L1003" i="4"/>
  <c r="K1003" i="4"/>
  <c r="J1003" i="4"/>
  <c r="O1002" i="4"/>
  <c r="L1002" i="4"/>
  <c r="K1002" i="4"/>
  <c r="J1002" i="4"/>
  <c r="O1001" i="4"/>
  <c r="L1001" i="4"/>
  <c r="K1001" i="4"/>
  <c r="J1001" i="4"/>
  <c r="O1000" i="4"/>
  <c r="L1000" i="4"/>
  <c r="K1000" i="4"/>
  <c r="J1000" i="4"/>
  <c r="O999" i="4"/>
  <c r="L999" i="4"/>
  <c r="K999" i="4"/>
  <c r="J999" i="4"/>
  <c r="O998" i="4"/>
  <c r="L998" i="4"/>
  <c r="K998" i="4"/>
  <c r="J998" i="4"/>
  <c r="O997" i="4"/>
  <c r="L997" i="4"/>
  <c r="K997" i="4"/>
  <c r="J997" i="4"/>
  <c r="O996" i="4"/>
  <c r="L996" i="4"/>
  <c r="K996" i="4"/>
  <c r="J996" i="4"/>
  <c r="O995" i="4"/>
  <c r="L995" i="4"/>
  <c r="K995" i="4"/>
  <c r="J995" i="4"/>
  <c r="O994" i="4"/>
  <c r="L994" i="4"/>
  <c r="K994" i="4"/>
  <c r="J994" i="4"/>
  <c r="O993" i="4"/>
  <c r="L993" i="4"/>
  <c r="K993" i="4"/>
  <c r="J993" i="4"/>
  <c r="O992" i="4"/>
  <c r="L992" i="4"/>
  <c r="K992" i="4"/>
  <c r="J992" i="4"/>
  <c r="O991" i="4"/>
  <c r="L991" i="4"/>
  <c r="K991" i="4"/>
  <c r="J991" i="4"/>
  <c r="O990" i="4"/>
  <c r="L990" i="4"/>
  <c r="K990" i="4"/>
  <c r="J990" i="4"/>
  <c r="O989" i="4"/>
  <c r="L989" i="4"/>
  <c r="K989" i="4"/>
  <c r="J989" i="4"/>
  <c r="O988" i="4"/>
  <c r="L988" i="4"/>
  <c r="K988" i="4"/>
  <c r="J988" i="4"/>
  <c r="O987" i="4"/>
  <c r="L987" i="4"/>
  <c r="K987" i="4"/>
  <c r="J987" i="4"/>
  <c r="O986" i="4"/>
  <c r="L986" i="4"/>
  <c r="K986" i="4"/>
  <c r="J986" i="4"/>
  <c r="O985" i="4"/>
  <c r="L985" i="4"/>
  <c r="K985" i="4"/>
  <c r="J985" i="4"/>
  <c r="O984" i="4"/>
  <c r="L984" i="4"/>
  <c r="K984" i="4"/>
  <c r="J984" i="4"/>
  <c r="O983" i="4"/>
  <c r="L983" i="4"/>
  <c r="K983" i="4"/>
  <c r="J983" i="4"/>
  <c r="O982" i="4"/>
  <c r="L982" i="4"/>
  <c r="K982" i="4"/>
  <c r="J982" i="4"/>
  <c r="O981" i="4"/>
  <c r="L981" i="4"/>
  <c r="K981" i="4"/>
  <c r="J981" i="4"/>
  <c r="O980" i="4"/>
  <c r="L980" i="4"/>
  <c r="K980" i="4"/>
  <c r="J980" i="4"/>
  <c r="O979" i="4"/>
  <c r="L979" i="4"/>
  <c r="K979" i="4"/>
  <c r="J979" i="4"/>
  <c r="O978" i="4"/>
  <c r="L978" i="4"/>
  <c r="K978" i="4"/>
  <c r="J978" i="4"/>
  <c r="O977" i="4"/>
  <c r="L977" i="4"/>
  <c r="K977" i="4"/>
  <c r="J977" i="4"/>
  <c r="O976" i="4"/>
  <c r="L976" i="4"/>
  <c r="K976" i="4"/>
  <c r="J976" i="4"/>
  <c r="O975" i="4"/>
  <c r="L975" i="4"/>
  <c r="J975" i="4"/>
  <c r="O974" i="4"/>
  <c r="L974" i="4"/>
  <c r="J974" i="4"/>
  <c r="O973" i="4"/>
  <c r="L973" i="4"/>
  <c r="J973" i="4"/>
  <c r="O972" i="4"/>
  <c r="L972" i="4"/>
  <c r="J972" i="4"/>
  <c r="O971" i="4"/>
  <c r="L971" i="4"/>
  <c r="J971" i="4"/>
  <c r="O970" i="4"/>
  <c r="L970" i="4"/>
  <c r="J970" i="4"/>
  <c r="O969" i="4"/>
  <c r="L969" i="4"/>
  <c r="J969" i="4"/>
  <c r="U966" i="4"/>
  <c r="T966" i="4"/>
  <c r="S966" i="4"/>
  <c r="R966" i="4"/>
  <c r="U965" i="4"/>
  <c r="T965" i="4"/>
  <c r="S965" i="4"/>
  <c r="R965" i="4"/>
  <c r="U964" i="4"/>
  <c r="T964" i="4"/>
  <c r="S964" i="4"/>
  <c r="R964" i="4"/>
  <c r="O964" i="4"/>
  <c r="L964" i="4"/>
  <c r="K964" i="4"/>
  <c r="J964" i="4"/>
  <c r="U963" i="4"/>
  <c r="T963" i="4"/>
  <c r="S963" i="4"/>
  <c r="R963" i="4"/>
  <c r="U962" i="4"/>
  <c r="T962" i="4"/>
  <c r="S962" i="4"/>
  <c r="R962" i="4"/>
  <c r="U961" i="4"/>
  <c r="T961" i="4"/>
  <c r="S961" i="4"/>
  <c r="R961" i="4"/>
  <c r="U960" i="4"/>
  <c r="T960" i="4"/>
  <c r="S960" i="4"/>
  <c r="R960" i="4"/>
  <c r="U959" i="4"/>
  <c r="T959" i="4"/>
  <c r="S959" i="4"/>
  <c r="R959" i="4"/>
  <c r="U958" i="4"/>
  <c r="T958" i="4"/>
  <c r="S958" i="4"/>
  <c r="R958" i="4"/>
  <c r="U957" i="4"/>
  <c r="T957" i="4"/>
  <c r="S957" i="4"/>
  <c r="R957" i="4"/>
  <c r="U956" i="4"/>
  <c r="T956" i="4"/>
  <c r="S956" i="4"/>
  <c r="R956" i="4"/>
  <c r="U955" i="4"/>
  <c r="T955" i="4"/>
  <c r="S955" i="4"/>
  <c r="R955" i="4"/>
  <c r="U954" i="4"/>
  <c r="T954" i="4"/>
  <c r="S954" i="4"/>
  <c r="R954" i="4"/>
  <c r="U953" i="4"/>
  <c r="T953" i="4"/>
  <c r="S953" i="4"/>
  <c r="R953" i="4"/>
  <c r="U952" i="4"/>
  <c r="T952" i="4"/>
  <c r="S952" i="4"/>
  <c r="R952" i="4"/>
  <c r="U951" i="4"/>
  <c r="T951" i="4"/>
  <c r="S951" i="4"/>
  <c r="R951" i="4"/>
  <c r="U950" i="4"/>
  <c r="T950" i="4"/>
  <c r="S950" i="4"/>
  <c r="R950" i="4"/>
  <c r="U949" i="4"/>
  <c r="T949" i="4"/>
  <c r="S949" i="4"/>
  <c r="R949" i="4"/>
  <c r="U948" i="4"/>
  <c r="T948" i="4"/>
  <c r="S948" i="4"/>
  <c r="R948" i="4"/>
  <c r="U947" i="4"/>
  <c r="T947" i="4"/>
  <c r="S947" i="4"/>
  <c r="R947" i="4"/>
  <c r="U946" i="4"/>
  <c r="T946" i="4"/>
  <c r="S946" i="4"/>
  <c r="R946" i="4"/>
  <c r="U945" i="4"/>
  <c r="T945" i="4"/>
  <c r="S945" i="4"/>
  <c r="R945" i="4"/>
  <c r="U944" i="4"/>
  <c r="T944" i="4"/>
  <c r="S944" i="4"/>
  <c r="R944" i="4"/>
  <c r="U943" i="4"/>
  <c r="T943" i="4"/>
  <c r="S943" i="4"/>
  <c r="R943" i="4"/>
  <c r="O943" i="4"/>
  <c r="L943" i="4"/>
  <c r="K943" i="4"/>
  <c r="J943" i="4"/>
  <c r="U942" i="4"/>
  <c r="T942" i="4"/>
  <c r="S942" i="4"/>
  <c r="R942" i="4"/>
  <c r="U941" i="4"/>
  <c r="T941" i="4"/>
  <c r="S941" i="4"/>
  <c r="R941" i="4"/>
  <c r="U940" i="4"/>
  <c r="T940" i="4"/>
  <c r="S940" i="4"/>
  <c r="R940" i="4"/>
  <c r="U939" i="4"/>
  <c r="T939" i="4"/>
  <c r="S939" i="4"/>
  <c r="R939" i="4"/>
  <c r="U938" i="4"/>
  <c r="T938" i="4"/>
  <c r="S938" i="4"/>
  <c r="R938" i="4"/>
  <c r="U937" i="4"/>
  <c r="T937" i="4"/>
  <c r="S937" i="4"/>
  <c r="R937" i="4"/>
  <c r="U936" i="4"/>
  <c r="T936" i="4"/>
  <c r="S936" i="4"/>
  <c r="R936" i="4"/>
  <c r="O936" i="4"/>
  <c r="L936" i="4"/>
  <c r="K936" i="4"/>
  <c r="J936" i="4"/>
  <c r="U935" i="4"/>
  <c r="T935" i="4"/>
  <c r="S935" i="4"/>
  <c r="R935" i="4"/>
  <c r="U934" i="4"/>
  <c r="T934" i="4"/>
  <c r="S934" i="4"/>
  <c r="R934" i="4"/>
  <c r="U933" i="4"/>
  <c r="T933" i="4"/>
  <c r="S933" i="4"/>
  <c r="R933" i="4"/>
  <c r="U932" i="4"/>
  <c r="T932" i="4"/>
  <c r="S932" i="4"/>
  <c r="R932" i="4"/>
  <c r="U931" i="4"/>
  <c r="T931" i="4"/>
  <c r="S931" i="4"/>
  <c r="R931" i="4"/>
  <c r="U930" i="4"/>
  <c r="T930" i="4"/>
  <c r="S930" i="4"/>
  <c r="R930" i="4"/>
  <c r="U929" i="4"/>
  <c r="T929" i="4"/>
  <c r="S929" i="4"/>
  <c r="R929" i="4"/>
  <c r="U928" i="4"/>
  <c r="T928" i="4"/>
  <c r="S928" i="4"/>
  <c r="R928" i="4"/>
  <c r="O928" i="4"/>
  <c r="U927" i="4"/>
  <c r="T927" i="4"/>
  <c r="S927" i="4"/>
  <c r="R927" i="4"/>
  <c r="U926" i="4"/>
  <c r="T926" i="4"/>
  <c r="S926" i="4"/>
  <c r="R926" i="4"/>
  <c r="U925" i="4"/>
  <c r="T925" i="4"/>
  <c r="S925" i="4"/>
  <c r="R925" i="4"/>
  <c r="U924" i="4"/>
  <c r="T924" i="4"/>
  <c r="S924" i="4"/>
  <c r="R924" i="4"/>
  <c r="U923" i="4"/>
  <c r="T923" i="4"/>
  <c r="S923" i="4"/>
  <c r="R923" i="4"/>
  <c r="U922" i="4"/>
  <c r="T922" i="4"/>
  <c r="S922" i="4"/>
  <c r="R922" i="4"/>
  <c r="U921" i="4"/>
  <c r="T921" i="4"/>
  <c r="S921" i="4"/>
  <c r="R921" i="4"/>
  <c r="U920" i="4"/>
  <c r="T920" i="4"/>
  <c r="S920" i="4"/>
  <c r="R920" i="4"/>
  <c r="O920" i="4"/>
  <c r="L920" i="4"/>
  <c r="K920" i="4"/>
  <c r="J920" i="4"/>
  <c r="U919" i="4"/>
  <c r="T919" i="4"/>
  <c r="S919" i="4"/>
  <c r="R919" i="4"/>
  <c r="U918" i="4"/>
  <c r="T918" i="4"/>
  <c r="S918" i="4"/>
  <c r="R918" i="4"/>
  <c r="U917" i="4"/>
  <c r="T917" i="4"/>
  <c r="S917" i="4"/>
  <c r="R917" i="4"/>
  <c r="U916" i="4"/>
  <c r="T916" i="4"/>
  <c r="S916" i="4"/>
  <c r="R916" i="4"/>
  <c r="U915" i="4"/>
  <c r="T915" i="4"/>
  <c r="S915" i="4"/>
  <c r="R915" i="4"/>
  <c r="U914" i="4"/>
  <c r="T914" i="4"/>
  <c r="S914" i="4"/>
  <c r="R914" i="4"/>
  <c r="U913" i="4"/>
  <c r="T913" i="4"/>
  <c r="S913" i="4"/>
  <c r="R913" i="4"/>
  <c r="U912" i="4"/>
  <c r="T912" i="4"/>
  <c r="S912" i="4"/>
  <c r="R912" i="4"/>
  <c r="U911" i="4"/>
  <c r="T911" i="4"/>
  <c r="S911" i="4"/>
  <c r="R911" i="4"/>
  <c r="U910" i="4"/>
  <c r="T910" i="4"/>
  <c r="S910" i="4"/>
  <c r="R910" i="4"/>
  <c r="U909" i="4"/>
  <c r="T909" i="4"/>
  <c r="S909" i="4"/>
  <c r="R909" i="4"/>
  <c r="O909" i="4"/>
  <c r="L909" i="4"/>
  <c r="K909" i="4"/>
  <c r="J909" i="4"/>
  <c r="U908" i="4"/>
  <c r="T908" i="4"/>
  <c r="S908" i="4"/>
  <c r="R908" i="4"/>
  <c r="O908" i="4"/>
  <c r="L908" i="4"/>
  <c r="K908" i="4"/>
  <c r="J908" i="4"/>
  <c r="U907" i="4"/>
  <c r="T907" i="4"/>
  <c r="S907" i="4"/>
  <c r="R907" i="4"/>
  <c r="U906" i="4"/>
  <c r="T906" i="4"/>
  <c r="S906" i="4"/>
  <c r="R906" i="4"/>
  <c r="U905" i="4"/>
  <c r="T905" i="4"/>
  <c r="S905" i="4"/>
  <c r="R905" i="4"/>
  <c r="U904" i="4"/>
  <c r="T904" i="4"/>
  <c r="S904" i="4"/>
  <c r="R904" i="4"/>
  <c r="U903" i="4"/>
  <c r="T903" i="4"/>
  <c r="S903" i="4"/>
  <c r="R903" i="4"/>
  <c r="U902" i="4"/>
  <c r="T902" i="4"/>
  <c r="S902" i="4"/>
  <c r="O902" i="4"/>
  <c r="L902" i="4"/>
  <c r="K902" i="4"/>
  <c r="J902" i="4"/>
  <c r="U901" i="4"/>
  <c r="T901" i="4"/>
  <c r="S901" i="4"/>
  <c r="R901" i="4"/>
  <c r="O901" i="4"/>
  <c r="L901" i="4"/>
  <c r="K901" i="4"/>
  <c r="J901" i="4"/>
  <c r="U900" i="4"/>
  <c r="T900" i="4"/>
  <c r="S900" i="4"/>
  <c r="R900" i="4"/>
  <c r="U899" i="4"/>
  <c r="T899" i="4"/>
  <c r="S899" i="4"/>
  <c r="R899" i="4"/>
  <c r="U898" i="4"/>
  <c r="T898" i="4"/>
  <c r="S898" i="4"/>
  <c r="R898" i="4"/>
  <c r="U897" i="4"/>
  <c r="T897" i="4"/>
  <c r="S897" i="4"/>
  <c r="R897" i="4"/>
  <c r="U896" i="4"/>
  <c r="T896" i="4"/>
  <c r="S896" i="4"/>
  <c r="R896" i="4"/>
  <c r="U895" i="4"/>
  <c r="T895" i="4"/>
  <c r="S895" i="4"/>
  <c r="R895" i="4"/>
  <c r="O895" i="4"/>
  <c r="L895" i="4"/>
  <c r="K895" i="4"/>
  <c r="J895" i="4"/>
  <c r="U894" i="4"/>
  <c r="T894" i="4"/>
  <c r="S894" i="4"/>
  <c r="R894" i="4"/>
  <c r="U893" i="4"/>
  <c r="T893" i="4"/>
  <c r="S893" i="4"/>
  <c r="R893" i="4"/>
  <c r="U892" i="4"/>
  <c r="T892" i="4"/>
  <c r="S892" i="4"/>
  <c r="R892" i="4"/>
  <c r="U891" i="4"/>
  <c r="T891" i="4"/>
  <c r="S891" i="4"/>
  <c r="R891" i="4"/>
  <c r="U890" i="4"/>
  <c r="T890" i="4"/>
  <c r="S890" i="4"/>
  <c r="R890" i="4"/>
  <c r="U889" i="4"/>
  <c r="T889" i="4"/>
  <c r="S889" i="4"/>
  <c r="R889" i="4"/>
  <c r="U888" i="4"/>
  <c r="T888" i="4"/>
  <c r="S888" i="4"/>
  <c r="R888" i="4"/>
  <c r="U887" i="4"/>
  <c r="T887" i="4"/>
  <c r="S887" i="4"/>
  <c r="R887" i="4"/>
  <c r="U886" i="4"/>
  <c r="T886" i="4"/>
  <c r="S886" i="4"/>
  <c r="R886" i="4"/>
  <c r="U885" i="4"/>
  <c r="T885" i="4"/>
  <c r="S885" i="4"/>
  <c r="R885" i="4"/>
  <c r="U884" i="4"/>
  <c r="T884" i="4"/>
  <c r="S884" i="4"/>
  <c r="R884" i="4"/>
  <c r="U883" i="4"/>
  <c r="T883" i="4"/>
  <c r="S883" i="4"/>
  <c r="R883" i="4"/>
  <c r="O883" i="4"/>
  <c r="L883" i="4"/>
  <c r="K883" i="4"/>
  <c r="J883" i="4"/>
  <c r="U882" i="4"/>
  <c r="T882" i="4"/>
  <c r="S882" i="4"/>
  <c r="R882" i="4"/>
  <c r="U881" i="4"/>
  <c r="T881" i="4"/>
  <c r="S881" i="4"/>
  <c r="R881" i="4"/>
  <c r="U880" i="4"/>
  <c r="T880" i="4"/>
  <c r="S880" i="4"/>
  <c r="R880" i="4"/>
  <c r="O880" i="4"/>
  <c r="L880" i="4"/>
  <c r="K880" i="4"/>
  <c r="J880" i="4"/>
  <c r="U879" i="4"/>
  <c r="T879" i="4"/>
  <c r="S879" i="4"/>
  <c r="R879" i="4"/>
  <c r="U878" i="4"/>
  <c r="T878" i="4"/>
  <c r="S878" i="4"/>
  <c r="R878" i="4"/>
  <c r="U877" i="4"/>
  <c r="T877" i="4"/>
  <c r="S877" i="4"/>
  <c r="R877" i="4"/>
  <c r="U876" i="4"/>
  <c r="T876" i="4"/>
  <c r="S876" i="4"/>
  <c r="R876" i="4"/>
  <c r="U875" i="4"/>
  <c r="T875" i="4"/>
  <c r="S875" i="4"/>
  <c r="R875" i="4"/>
  <c r="U874" i="4"/>
  <c r="T874" i="4"/>
  <c r="S874" i="4"/>
  <c r="R874" i="4"/>
  <c r="U873" i="4"/>
  <c r="T873" i="4"/>
  <c r="S873" i="4"/>
  <c r="R873" i="4"/>
  <c r="U872" i="4"/>
  <c r="T872" i="4"/>
  <c r="S872" i="4"/>
  <c r="R872" i="4"/>
  <c r="U871" i="4"/>
  <c r="T871" i="4"/>
  <c r="S871" i="4"/>
  <c r="R871" i="4"/>
  <c r="U870" i="4"/>
  <c r="T870" i="4"/>
  <c r="S870" i="4"/>
  <c r="R870" i="4"/>
  <c r="U869" i="4"/>
  <c r="T869" i="4"/>
  <c r="S869" i="4"/>
  <c r="R869" i="4"/>
  <c r="U868" i="4"/>
  <c r="T868" i="4"/>
  <c r="S868" i="4"/>
  <c r="R868" i="4"/>
  <c r="U867" i="4"/>
  <c r="T867" i="4"/>
  <c r="S867" i="4"/>
  <c r="R867" i="4"/>
  <c r="U866" i="4"/>
  <c r="T866" i="4"/>
  <c r="S866" i="4"/>
  <c r="R866" i="4"/>
  <c r="U865" i="4"/>
  <c r="T865" i="4"/>
  <c r="S865" i="4"/>
  <c r="R865" i="4"/>
  <c r="U864" i="4"/>
  <c r="T864" i="4"/>
  <c r="S864" i="4"/>
  <c r="R864" i="4"/>
  <c r="U863" i="4"/>
  <c r="T863" i="4"/>
  <c r="S863" i="4"/>
  <c r="R863" i="4"/>
  <c r="U862" i="4"/>
  <c r="T862" i="4"/>
  <c r="S862" i="4"/>
  <c r="R862" i="4"/>
  <c r="U861" i="4"/>
  <c r="T861" i="4"/>
  <c r="S861" i="4"/>
  <c r="R861" i="4"/>
  <c r="U860" i="4"/>
  <c r="T860" i="4"/>
  <c r="S860" i="4"/>
  <c r="R860" i="4"/>
  <c r="O860" i="4"/>
  <c r="L860" i="4"/>
  <c r="U859" i="4"/>
  <c r="T859" i="4"/>
  <c r="S859" i="4"/>
  <c r="R859" i="4"/>
  <c r="U858" i="4"/>
  <c r="T858" i="4"/>
  <c r="S858" i="4"/>
  <c r="R858" i="4"/>
  <c r="U857" i="4"/>
  <c r="T857" i="4"/>
  <c r="S857" i="4"/>
  <c r="R857" i="4"/>
  <c r="U856" i="4"/>
  <c r="T856" i="4"/>
  <c r="S856" i="4"/>
  <c r="R856" i="4"/>
  <c r="U855" i="4"/>
  <c r="T855" i="4"/>
  <c r="S855" i="4"/>
  <c r="R855" i="4"/>
  <c r="O855" i="4"/>
  <c r="L855" i="4"/>
  <c r="K855" i="4"/>
  <c r="J855" i="4"/>
  <c r="U854" i="4"/>
  <c r="T854" i="4"/>
  <c r="S854" i="4"/>
  <c r="R854" i="4"/>
  <c r="U853" i="4"/>
  <c r="T853" i="4"/>
  <c r="S853" i="4"/>
  <c r="R853" i="4"/>
  <c r="U852" i="4"/>
  <c r="T852" i="4"/>
  <c r="S852" i="4"/>
  <c r="R852" i="4"/>
  <c r="U851" i="4"/>
  <c r="T851" i="4"/>
  <c r="S851" i="4"/>
  <c r="R851" i="4"/>
  <c r="U850" i="4"/>
  <c r="T850" i="4"/>
  <c r="S850" i="4"/>
  <c r="R850" i="4"/>
  <c r="U849" i="4"/>
  <c r="T849" i="4"/>
  <c r="S849" i="4"/>
  <c r="R849" i="4"/>
  <c r="O849" i="4"/>
  <c r="L849" i="4"/>
  <c r="K849" i="4"/>
  <c r="J849" i="4"/>
  <c r="U848" i="4"/>
  <c r="T848" i="4"/>
  <c r="S848" i="4"/>
  <c r="R848" i="4"/>
  <c r="U847" i="4"/>
  <c r="T847" i="4"/>
  <c r="S847" i="4"/>
  <c r="R847" i="4"/>
  <c r="U846" i="4"/>
  <c r="T846" i="4"/>
  <c r="S846" i="4"/>
  <c r="R846" i="4"/>
  <c r="U845" i="4"/>
  <c r="T845" i="4"/>
  <c r="S845" i="4"/>
  <c r="R845" i="4"/>
  <c r="U844" i="4"/>
  <c r="T844" i="4"/>
  <c r="S844" i="4"/>
  <c r="R844" i="4"/>
  <c r="U843" i="4"/>
  <c r="T843" i="4"/>
  <c r="S843" i="4"/>
  <c r="R843" i="4"/>
  <c r="U842" i="4"/>
  <c r="T842" i="4"/>
  <c r="S842" i="4"/>
  <c r="R842" i="4"/>
  <c r="U841" i="4"/>
  <c r="T841" i="4"/>
  <c r="S841" i="4"/>
  <c r="R841" i="4"/>
  <c r="U840" i="4"/>
  <c r="T840" i="4"/>
  <c r="S840" i="4"/>
  <c r="R840" i="4"/>
  <c r="U839" i="4"/>
  <c r="T839" i="4"/>
  <c r="S839" i="4"/>
  <c r="R839" i="4"/>
  <c r="O839" i="4"/>
  <c r="L839" i="4"/>
  <c r="K839" i="4"/>
  <c r="J839" i="4"/>
  <c r="U838" i="4"/>
  <c r="T838" i="4"/>
  <c r="S838" i="4"/>
  <c r="R838" i="4"/>
  <c r="U837" i="4"/>
  <c r="T837" i="4"/>
  <c r="S837" i="4"/>
  <c r="R837" i="4"/>
  <c r="U836" i="4"/>
  <c r="T836" i="4"/>
  <c r="S836" i="4"/>
  <c r="R836" i="4"/>
  <c r="U835" i="4"/>
  <c r="T835" i="4"/>
  <c r="S835" i="4"/>
  <c r="R835" i="4"/>
  <c r="U834" i="4"/>
  <c r="T834" i="4"/>
  <c r="S834" i="4"/>
  <c r="R834" i="4"/>
  <c r="U833" i="4"/>
  <c r="T833" i="4"/>
  <c r="S833" i="4"/>
  <c r="R833" i="4"/>
  <c r="U832" i="4"/>
  <c r="T832" i="4"/>
  <c r="S832" i="4"/>
  <c r="R832" i="4"/>
  <c r="U831" i="4"/>
  <c r="T831" i="4"/>
  <c r="S831" i="4"/>
  <c r="R831" i="4"/>
  <c r="U830" i="4"/>
  <c r="T830" i="4"/>
  <c r="S830" i="4"/>
  <c r="R830" i="4"/>
  <c r="U829" i="4"/>
  <c r="T829" i="4"/>
  <c r="S829" i="4"/>
  <c r="R829" i="4"/>
  <c r="U828" i="4"/>
  <c r="T828" i="4"/>
  <c r="S828" i="4"/>
  <c r="R828" i="4"/>
  <c r="U827" i="4"/>
  <c r="T827" i="4"/>
  <c r="S827" i="4"/>
  <c r="R827" i="4"/>
  <c r="U826" i="4"/>
  <c r="T826" i="4"/>
  <c r="S826" i="4"/>
  <c r="R826" i="4"/>
  <c r="O826" i="4"/>
  <c r="L826" i="4"/>
  <c r="K826" i="4"/>
  <c r="J826" i="4"/>
  <c r="U825" i="4"/>
  <c r="T825" i="4"/>
  <c r="S825" i="4"/>
  <c r="R825" i="4"/>
  <c r="U824" i="4"/>
  <c r="T824" i="4"/>
  <c r="S824" i="4"/>
  <c r="R824" i="4"/>
  <c r="U823" i="4"/>
  <c r="T823" i="4"/>
  <c r="S823" i="4"/>
  <c r="R823" i="4"/>
  <c r="O823" i="4"/>
  <c r="L823" i="4"/>
  <c r="K823" i="4"/>
  <c r="J823" i="4"/>
  <c r="U822" i="4"/>
  <c r="T822" i="4"/>
  <c r="S822" i="4"/>
  <c r="R822" i="4"/>
  <c r="U821" i="4"/>
  <c r="T821" i="4"/>
  <c r="S821" i="4"/>
  <c r="R821" i="4"/>
  <c r="O821" i="4"/>
  <c r="L821" i="4"/>
  <c r="K821" i="4"/>
  <c r="J821" i="4"/>
  <c r="U820" i="4"/>
  <c r="T820" i="4"/>
  <c r="S820" i="4"/>
  <c r="R820" i="4"/>
  <c r="U819" i="4"/>
  <c r="T819" i="4"/>
  <c r="S819" i="4"/>
  <c r="R819" i="4"/>
  <c r="U818" i="4"/>
  <c r="T818" i="4"/>
  <c r="S818" i="4"/>
  <c r="R818" i="4"/>
  <c r="U817" i="4"/>
  <c r="T817" i="4"/>
  <c r="S817" i="4"/>
  <c r="R817" i="4"/>
  <c r="U816" i="4"/>
  <c r="T816" i="4"/>
  <c r="S816" i="4"/>
  <c r="R816" i="4"/>
  <c r="U815" i="4"/>
  <c r="T815" i="4"/>
  <c r="S815" i="4"/>
  <c r="R815" i="4"/>
  <c r="U814" i="4"/>
  <c r="T814" i="4"/>
  <c r="S814" i="4"/>
  <c r="R814" i="4"/>
  <c r="U813" i="4"/>
  <c r="T813" i="4"/>
  <c r="S813" i="4"/>
  <c r="R813" i="4"/>
  <c r="O813" i="4"/>
  <c r="L813" i="4"/>
  <c r="K813" i="4"/>
  <c r="J813" i="4"/>
  <c r="U812" i="4"/>
  <c r="T812" i="4"/>
  <c r="S812" i="4"/>
  <c r="R812" i="4"/>
  <c r="U811" i="4"/>
  <c r="T811" i="4"/>
  <c r="S811" i="4"/>
  <c r="R811" i="4"/>
  <c r="O811" i="4"/>
  <c r="L811" i="4"/>
  <c r="K811" i="4"/>
  <c r="J811" i="4"/>
  <c r="U810" i="4"/>
  <c r="T810" i="4"/>
  <c r="S810" i="4"/>
  <c r="R810" i="4"/>
  <c r="U809" i="4"/>
  <c r="T809" i="4"/>
  <c r="S809" i="4"/>
  <c r="R809" i="4"/>
  <c r="U808" i="4"/>
  <c r="T808" i="4"/>
  <c r="S808" i="4"/>
  <c r="R808" i="4"/>
  <c r="U807" i="4"/>
  <c r="T807" i="4"/>
  <c r="S807" i="4"/>
  <c r="R807" i="4"/>
  <c r="O807" i="4"/>
  <c r="L807" i="4"/>
  <c r="K807" i="4"/>
  <c r="J807" i="4"/>
  <c r="U806" i="4"/>
  <c r="T806" i="4"/>
  <c r="S806" i="4"/>
  <c r="R806" i="4"/>
  <c r="U805" i="4"/>
  <c r="T805" i="4"/>
  <c r="S805" i="4"/>
  <c r="R805" i="4"/>
  <c r="U804" i="4"/>
  <c r="T804" i="4"/>
  <c r="S804" i="4"/>
  <c r="R804" i="4"/>
  <c r="U803" i="4"/>
  <c r="T803" i="4"/>
  <c r="S803" i="4"/>
  <c r="R803" i="4"/>
  <c r="U802" i="4"/>
  <c r="T802" i="4"/>
  <c r="S802" i="4"/>
  <c r="R802" i="4"/>
  <c r="U801" i="4"/>
  <c r="T801" i="4"/>
  <c r="S801" i="4"/>
  <c r="R801" i="4"/>
  <c r="U800" i="4"/>
  <c r="T800" i="4"/>
  <c r="S800" i="4"/>
  <c r="R800" i="4"/>
  <c r="U799" i="4"/>
  <c r="T799" i="4"/>
  <c r="S799" i="4"/>
  <c r="R799" i="4"/>
  <c r="U798" i="4"/>
  <c r="T798" i="4"/>
  <c r="S798" i="4"/>
  <c r="R798" i="4"/>
  <c r="U797" i="4"/>
  <c r="T797" i="4"/>
  <c r="S797" i="4"/>
  <c r="R797" i="4"/>
  <c r="U796" i="4"/>
  <c r="T796" i="4"/>
  <c r="S796" i="4"/>
  <c r="R796" i="4"/>
  <c r="U795" i="4"/>
  <c r="T795" i="4"/>
  <c r="S795" i="4"/>
  <c r="R795" i="4"/>
  <c r="U794" i="4"/>
  <c r="T794" i="4"/>
  <c r="S794" i="4"/>
  <c r="R794" i="4"/>
  <c r="U793" i="4"/>
  <c r="T793" i="4"/>
  <c r="S793" i="4"/>
  <c r="R793" i="4"/>
  <c r="U792" i="4"/>
  <c r="T792" i="4"/>
  <c r="S792" i="4"/>
  <c r="R792" i="4"/>
  <c r="U791" i="4"/>
  <c r="T791" i="4"/>
  <c r="S791" i="4"/>
  <c r="R791" i="4"/>
  <c r="U790" i="4"/>
  <c r="T790" i="4"/>
  <c r="S790" i="4"/>
  <c r="R790" i="4"/>
  <c r="U789" i="4"/>
  <c r="T789" i="4"/>
  <c r="S789" i="4"/>
  <c r="R789" i="4"/>
  <c r="U788" i="4"/>
  <c r="T788" i="4"/>
  <c r="S788" i="4"/>
  <c r="R788" i="4"/>
  <c r="U787" i="4"/>
  <c r="T787" i="4"/>
  <c r="S787" i="4"/>
  <c r="R787" i="4"/>
  <c r="U786" i="4"/>
  <c r="T786" i="4"/>
  <c r="S786" i="4"/>
  <c r="R786" i="4"/>
  <c r="U785" i="4"/>
  <c r="T785" i="4"/>
  <c r="S785" i="4"/>
  <c r="R785" i="4"/>
  <c r="U784" i="4"/>
  <c r="T784" i="4"/>
  <c r="S784" i="4"/>
  <c r="R784" i="4"/>
  <c r="U783" i="4"/>
  <c r="T783" i="4"/>
  <c r="S783" i="4"/>
  <c r="R783" i="4"/>
  <c r="U782" i="4"/>
  <c r="T782" i="4"/>
  <c r="S782" i="4"/>
  <c r="R782" i="4"/>
  <c r="U781" i="4"/>
  <c r="T781" i="4"/>
  <c r="S781" i="4"/>
  <c r="R781" i="4"/>
  <c r="U780" i="4"/>
  <c r="T780" i="4"/>
  <c r="S780" i="4"/>
  <c r="R780" i="4"/>
  <c r="U779" i="4"/>
  <c r="T779" i="4"/>
  <c r="S779" i="4"/>
  <c r="R779" i="4"/>
  <c r="U778" i="4"/>
  <c r="T778" i="4"/>
  <c r="S778" i="4"/>
  <c r="R778" i="4"/>
  <c r="O778" i="4"/>
  <c r="L778" i="4"/>
  <c r="K778" i="4"/>
  <c r="J778" i="4"/>
  <c r="U777" i="4"/>
  <c r="T777" i="4"/>
  <c r="S777" i="4"/>
  <c r="R777" i="4"/>
  <c r="U776" i="4"/>
  <c r="T776" i="4"/>
  <c r="S776" i="4"/>
  <c r="R776" i="4"/>
  <c r="O776" i="4"/>
  <c r="L776" i="4"/>
  <c r="K776" i="4"/>
  <c r="J776" i="4"/>
  <c r="U775" i="4"/>
  <c r="T775" i="4"/>
  <c r="S775" i="4"/>
  <c r="R775" i="4"/>
  <c r="U774" i="4"/>
  <c r="T774" i="4"/>
  <c r="S774" i="4"/>
  <c r="R774" i="4"/>
  <c r="U773" i="4"/>
  <c r="T773" i="4"/>
  <c r="S773" i="4"/>
  <c r="R773" i="4"/>
  <c r="U772" i="4"/>
  <c r="T772" i="4"/>
  <c r="S772" i="4"/>
  <c r="R772" i="4"/>
  <c r="U771" i="4"/>
  <c r="T771" i="4"/>
  <c r="S771" i="4"/>
  <c r="R771" i="4"/>
  <c r="U770" i="4"/>
  <c r="T770" i="4"/>
  <c r="S770" i="4"/>
  <c r="R770" i="4"/>
  <c r="O770" i="4"/>
  <c r="L770" i="4"/>
  <c r="K770" i="4"/>
  <c r="J770" i="4"/>
  <c r="U769" i="4"/>
  <c r="T769" i="4"/>
  <c r="S769" i="4"/>
  <c r="R769" i="4"/>
  <c r="U768" i="4"/>
  <c r="T768" i="4"/>
  <c r="S768" i="4"/>
  <c r="R768" i="4"/>
  <c r="U767" i="4"/>
  <c r="T767" i="4"/>
  <c r="S767" i="4"/>
  <c r="R767" i="4"/>
  <c r="U766" i="4"/>
  <c r="T766" i="4"/>
  <c r="S766" i="4"/>
  <c r="R766" i="4"/>
  <c r="U765" i="4"/>
  <c r="T765" i="4"/>
  <c r="S765" i="4"/>
  <c r="R765" i="4"/>
  <c r="U764" i="4"/>
  <c r="T764" i="4"/>
  <c r="S764" i="4"/>
  <c r="R764" i="4"/>
  <c r="U763" i="4"/>
  <c r="T763" i="4"/>
  <c r="S763" i="4"/>
  <c r="R763" i="4"/>
  <c r="U762" i="4"/>
  <c r="T762" i="4"/>
  <c r="S762" i="4"/>
  <c r="U761" i="4"/>
  <c r="T761" i="4"/>
  <c r="S761" i="4"/>
  <c r="R761" i="4"/>
  <c r="U760" i="4"/>
  <c r="T760" i="4"/>
  <c r="S760" i="4"/>
  <c r="R760" i="4"/>
  <c r="U759" i="4"/>
  <c r="T759" i="4"/>
  <c r="S759" i="4"/>
  <c r="R759" i="4"/>
  <c r="O759" i="4"/>
  <c r="L759" i="4"/>
  <c r="K759" i="4"/>
  <c r="J759" i="4"/>
  <c r="U758" i="4"/>
  <c r="T758" i="4"/>
  <c r="S758" i="4"/>
  <c r="R758" i="4"/>
  <c r="U757" i="4"/>
  <c r="T757" i="4"/>
  <c r="S757" i="4"/>
  <c r="R757" i="4"/>
  <c r="U756" i="4"/>
  <c r="T756" i="4"/>
  <c r="S756" i="4"/>
  <c r="R756" i="4"/>
  <c r="U755" i="4"/>
  <c r="T755" i="4"/>
  <c r="S755" i="4"/>
  <c r="R755" i="4"/>
  <c r="U754" i="4"/>
  <c r="T754" i="4"/>
  <c r="S754" i="4"/>
  <c r="R754" i="4"/>
  <c r="U753" i="4"/>
  <c r="T753" i="4"/>
  <c r="S753" i="4"/>
  <c r="R753" i="4"/>
  <c r="U752" i="4"/>
  <c r="T752" i="4"/>
  <c r="S752" i="4"/>
  <c r="R752" i="4"/>
  <c r="U751" i="4"/>
  <c r="T751" i="4"/>
  <c r="S751" i="4"/>
  <c r="R751" i="4"/>
  <c r="U750" i="4"/>
  <c r="T750" i="4"/>
  <c r="S750" i="4"/>
  <c r="R750" i="4"/>
  <c r="O750" i="4"/>
  <c r="L750" i="4"/>
  <c r="K750" i="4"/>
  <c r="J750" i="4"/>
  <c r="U749" i="4"/>
  <c r="T749" i="4"/>
  <c r="S749" i="4"/>
  <c r="R749" i="4"/>
  <c r="U748" i="4"/>
  <c r="T748" i="4"/>
  <c r="S748" i="4"/>
  <c r="R748" i="4"/>
  <c r="U747" i="4"/>
  <c r="T747" i="4"/>
  <c r="S747" i="4"/>
  <c r="R747" i="4"/>
  <c r="U746" i="4"/>
  <c r="T746" i="4"/>
  <c r="S746" i="4"/>
  <c r="R746" i="4"/>
  <c r="U745" i="4"/>
  <c r="T745" i="4"/>
  <c r="S745" i="4"/>
  <c r="R745" i="4"/>
  <c r="U744" i="4"/>
  <c r="T744" i="4"/>
  <c r="S744" i="4"/>
  <c r="R744" i="4"/>
  <c r="U743" i="4"/>
  <c r="T743" i="4"/>
  <c r="S743" i="4"/>
  <c r="R743" i="4"/>
  <c r="U742" i="4"/>
  <c r="T742" i="4"/>
  <c r="S742" i="4"/>
  <c r="R742" i="4"/>
  <c r="U741" i="4"/>
  <c r="T741" i="4"/>
  <c r="S741" i="4"/>
  <c r="R741" i="4"/>
  <c r="U740" i="4"/>
  <c r="T740" i="4"/>
  <c r="S740" i="4"/>
  <c r="R740" i="4"/>
  <c r="U739" i="4"/>
  <c r="T739" i="4"/>
  <c r="S739" i="4"/>
  <c r="R739" i="4"/>
  <c r="U738" i="4"/>
  <c r="T738" i="4"/>
  <c r="S738" i="4"/>
  <c r="R738" i="4"/>
  <c r="U737" i="4"/>
  <c r="T737" i="4"/>
  <c r="S737" i="4"/>
  <c r="R737" i="4"/>
  <c r="U736" i="4"/>
  <c r="T736" i="4"/>
  <c r="S736" i="4"/>
  <c r="R736" i="4"/>
  <c r="U735" i="4"/>
  <c r="T735" i="4"/>
  <c r="S735" i="4"/>
  <c r="R735" i="4"/>
  <c r="U734" i="4"/>
  <c r="T734" i="4"/>
  <c r="S734" i="4"/>
  <c r="R734" i="4"/>
  <c r="U733" i="4"/>
  <c r="T733" i="4"/>
  <c r="S733" i="4"/>
  <c r="R733" i="4"/>
  <c r="U732" i="4"/>
  <c r="T732" i="4"/>
  <c r="S732" i="4"/>
  <c r="R732" i="4"/>
  <c r="U731" i="4"/>
  <c r="T731" i="4"/>
  <c r="S731" i="4"/>
  <c r="R731" i="4"/>
  <c r="U730" i="4"/>
  <c r="T730" i="4"/>
  <c r="S730" i="4"/>
  <c r="R730" i="4"/>
  <c r="U729" i="4"/>
  <c r="T729" i="4"/>
  <c r="S729" i="4"/>
  <c r="R729" i="4"/>
  <c r="U728" i="4"/>
  <c r="T728" i="4"/>
  <c r="S728" i="4"/>
  <c r="R728" i="4"/>
  <c r="U727" i="4"/>
  <c r="T727" i="4"/>
  <c r="S727" i="4"/>
  <c r="R727" i="4"/>
  <c r="U726" i="4"/>
  <c r="T726" i="4"/>
  <c r="S726" i="4"/>
  <c r="R726" i="4"/>
  <c r="U725" i="4"/>
  <c r="T725" i="4"/>
  <c r="S725" i="4"/>
  <c r="R725" i="4"/>
  <c r="U724" i="4"/>
  <c r="T724" i="4"/>
  <c r="S724" i="4"/>
  <c r="R724" i="4"/>
  <c r="O724" i="4"/>
  <c r="L724" i="4"/>
  <c r="K724" i="4"/>
  <c r="J724" i="4"/>
  <c r="U723" i="4"/>
  <c r="T723" i="4"/>
  <c r="S723" i="4"/>
  <c r="R723" i="4"/>
  <c r="U722" i="4"/>
  <c r="T722" i="4"/>
  <c r="S722" i="4"/>
  <c r="R722" i="4"/>
  <c r="U721" i="4"/>
  <c r="T721" i="4"/>
  <c r="S721" i="4"/>
  <c r="R721" i="4"/>
  <c r="U720" i="4"/>
  <c r="T720" i="4"/>
  <c r="S720" i="4"/>
  <c r="R720" i="4"/>
  <c r="U719" i="4"/>
  <c r="T719" i="4"/>
  <c r="S719" i="4"/>
  <c r="R719" i="4"/>
  <c r="U718" i="4"/>
  <c r="T718" i="4"/>
  <c r="S718" i="4"/>
  <c r="R718" i="4"/>
  <c r="U717" i="4"/>
  <c r="T717" i="4"/>
  <c r="S717" i="4"/>
  <c r="R717" i="4"/>
  <c r="U716" i="4"/>
  <c r="T716" i="4"/>
  <c r="S716" i="4"/>
  <c r="R716" i="4"/>
  <c r="U715" i="4"/>
  <c r="T715" i="4"/>
  <c r="S715" i="4"/>
  <c r="R715" i="4"/>
  <c r="U714" i="4"/>
  <c r="T714" i="4"/>
  <c r="S714" i="4"/>
  <c r="R714" i="4"/>
  <c r="U713" i="4"/>
  <c r="T713" i="4"/>
  <c r="S713" i="4"/>
  <c r="R713" i="4"/>
  <c r="U712" i="4"/>
  <c r="T712" i="4"/>
  <c r="S712" i="4"/>
  <c r="R712" i="4"/>
  <c r="U711" i="4"/>
  <c r="T711" i="4"/>
  <c r="S711" i="4"/>
  <c r="R711" i="4"/>
  <c r="U710" i="4"/>
  <c r="T710" i="4"/>
  <c r="S710" i="4"/>
  <c r="R710" i="4"/>
  <c r="U709" i="4"/>
  <c r="T709" i="4"/>
  <c r="S709" i="4"/>
  <c r="R709" i="4"/>
  <c r="U708" i="4"/>
  <c r="T708" i="4"/>
  <c r="S708" i="4"/>
  <c r="R708" i="4"/>
  <c r="U707" i="4"/>
  <c r="T707" i="4"/>
  <c r="S707" i="4"/>
  <c r="R707" i="4"/>
  <c r="U706" i="4"/>
  <c r="T706" i="4"/>
  <c r="S706" i="4"/>
  <c r="R706" i="4"/>
  <c r="U705" i="4"/>
  <c r="T705" i="4"/>
  <c r="S705" i="4"/>
  <c r="R705" i="4"/>
  <c r="J705" i="4"/>
  <c r="U704" i="4"/>
  <c r="T704" i="4"/>
  <c r="S704" i="4"/>
  <c r="R704" i="4"/>
  <c r="U703" i="4"/>
  <c r="T703" i="4"/>
  <c r="S703" i="4"/>
  <c r="R703" i="4"/>
  <c r="U702" i="4"/>
  <c r="T702" i="4"/>
  <c r="S702" i="4"/>
  <c r="R702" i="4"/>
  <c r="U701" i="4"/>
  <c r="T701" i="4"/>
  <c r="S701" i="4"/>
  <c r="R701" i="4"/>
  <c r="U700" i="4"/>
  <c r="T700" i="4"/>
  <c r="S700" i="4"/>
  <c r="R700" i="4"/>
  <c r="U699" i="4"/>
  <c r="T699" i="4"/>
  <c r="S699" i="4"/>
  <c r="R699" i="4"/>
  <c r="U698" i="4"/>
  <c r="T698" i="4"/>
  <c r="S698" i="4"/>
  <c r="R698" i="4"/>
  <c r="U697" i="4"/>
  <c r="T697" i="4"/>
  <c r="S697" i="4"/>
  <c r="R697" i="4"/>
  <c r="U696" i="4"/>
  <c r="T696" i="4"/>
  <c r="S696" i="4"/>
  <c r="R696" i="4"/>
  <c r="U695" i="4"/>
  <c r="T695" i="4"/>
  <c r="S695" i="4"/>
  <c r="R695" i="4"/>
  <c r="U694" i="4"/>
  <c r="T694" i="4"/>
  <c r="S694" i="4"/>
  <c r="R694" i="4"/>
  <c r="U693" i="4"/>
  <c r="T693" i="4"/>
  <c r="S693" i="4"/>
  <c r="R693" i="4"/>
  <c r="U692" i="4"/>
  <c r="T692" i="4"/>
  <c r="S692" i="4"/>
  <c r="R692" i="4"/>
  <c r="U691" i="4"/>
  <c r="T691" i="4"/>
  <c r="S691" i="4"/>
  <c r="R691" i="4"/>
  <c r="U690" i="4"/>
  <c r="T690" i="4"/>
  <c r="S690" i="4"/>
  <c r="R690" i="4"/>
  <c r="U689" i="4"/>
  <c r="T689" i="4"/>
  <c r="S689" i="4"/>
  <c r="R689" i="4"/>
  <c r="U688" i="4"/>
  <c r="T688" i="4"/>
  <c r="S688" i="4"/>
  <c r="R688" i="4"/>
  <c r="U687" i="4"/>
  <c r="T687" i="4"/>
  <c r="S687" i="4"/>
  <c r="R687" i="4"/>
  <c r="U686" i="4"/>
  <c r="T686" i="4"/>
  <c r="S686" i="4"/>
  <c r="R686" i="4"/>
  <c r="U685" i="4"/>
  <c r="T685" i="4"/>
  <c r="S685" i="4"/>
  <c r="R685" i="4"/>
  <c r="U684" i="4"/>
  <c r="T684" i="4"/>
  <c r="S684" i="4"/>
  <c r="R684" i="4"/>
  <c r="U683" i="4"/>
  <c r="T683" i="4"/>
  <c r="S683" i="4"/>
  <c r="R683" i="4"/>
  <c r="U682" i="4"/>
  <c r="T682" i="4"/>
  <c r="S682" i="4"/>
  <c r="R682" i="4"/>
  <c r="U681" i="4"/>
  <c r="T681" i="4"/>
  <c r="S681" i="4"/>
  <c r="R681" i="4"/>
  <c r="O681" i="4"/>
  <c r="L681" i="4"/>
  <c r="K681" i="4"/>
  <c r="J681" i="4"/>
  <c r="U680" i="4"/>
  <c r="T680" i="4"/>
  <c r="S680" i="4"/>
  <c r="R680" i="4"/>
  <c r="U679" i="4"/>
  <c r="T679" i="4"/>
  <c r="S679" i="4"/>
  <c r="R679" i="4"/>
  <c r="U678" i="4"/>
  <c r="T678" i="4"/>
  <c r="S678" i="4"/>
  <c r="R678" i="4"/>
  <c r="U677" i="4"/>
  <c r="T677" i="4"/>
  <c r="S677" i="4"/>
  <c r="R677" i="4"/>
  <c r="U676" i="4"/>
  <c r="T676" i="4"/>
  <c r="S676" i="4"/>
  <c r="R676" i="4"/>
  <c r="U675" i="4"/>
  <c r="T675" i="4"/>
  <c r="S675" i="4"/>
  <c r="R675" i="4"/>
  <c r="U674" i="4"/>
  <c r="T674" i="4"/>
  <c r="S674" i="4"/>
  <c r="R674" i="4"/>
  <c r="U673" i="4"/>
  <c r="T673" i="4"/>
  <c r="S673" i="4"/>
  <c r="R673" i="4"/>
  <c r="U672" i="4"/>
  <c r="T672" i="4"/>
  <c r="S672" i="4"/>
  <c r="R672" i="4"/>
  <c r="U671" i="4"/>
  <c r="T671" i="4"/>
  <c r="S671" i="4"/>
  <c r="R671" i="4"/>
  <c r="U670" i="4"/>
  <c r="T670" i="4"/>
  <c r="S670" i="4"/>
  <c r="R670" i="4"/>
  <c r="U669" i="4"/>
  <c r="T669" i="4"/>
  <c r="S669" i="4"/>
  <c r="R669" i="4"/>
  <c r="U668" i="4"/>
  <c r="T668" i="4"/>
  <c r="S668" i="4"/>
  <c r="R668" i="4"/>
  <c r="U667" i="4"/>
  <c r="T667" i="4"/>
  <c r="S667" i="4"/>
  <c r="R667" i="4"/>
  <c r="U666" i="4"/>
  <c r="T666" i="4"/>
  <c r="S666" i="4"/>
  <c r="R666" i="4"/>
  <c r="U665" i="4"/>
  <c r="T665" i="4"/>
  <c r="S665" i="4"/>
  <c r="R665" i="4"/>
  <c r="U664" i="4"/>
  <c r="T664" i="4"/>
  <c r="S664" i="4"/>
  <c r="R664" i="4"/>
  <c r="U663" i="4"/>
  <c r="T663" i="4"/>
  <c r="S663" i="4"/>
  <c r="R663" i="4"/>
  <c r="U662" i="4"/>
  <c r="T662" i="4"/>
  <c r="S662" i="4"/>
  <c r="R662" i="4"/>
  <c r="U661" i="4"/>
  <c r="T661" i="4"/>
  <c r="S661" i="4"/>
  <c r="R661" i="4"/>
  <c r="U660" i="4"/>
  <c r="T660" i="4"/>
  <c r="S660" i="4"/>
  <c r="R660" i="4"/>
  <c r="U659" i="4"/>
  <c r="T659" i="4"/>
  <c r="S659" i="4"/>
  <c r="R659" i="4"/>
  <c r="O659" i="4"/>
  <c r="L659" i="4"/>
  <c r="K659" i="4"/>
  <c r="J659" i="4"/>
  <c r="U658" i="4"/>
  <c r="T658" i="4"/>
  <c r="S658" i="4"/>
  <c r="R658" i="4"/>
  <c r="U657" i="4"/>
  <c r="T657" i="4"/>
  <c r="S657" i="4"/>
  <c r="R657" i="4"/>
  <c r="U656" i="4"/>
  <c r="T656" i="4"/>
  <c r="S656" i="4"/>
  <c r="R656" i="4"/>
  <c r="U655" i="4"/>
  <c r="T655" i="4"/>
  <c r="S655" i="4"/>
  <c r="R655" i="4"/>
  <c r="O655" i="4"/>
  <c r="L655" i="4"/>
  <c r="K655" i="4"/>
  <c r="J655" i="4"/>
  <c r="U654" i="4"/>
  <c r="T654" i="4"/>
  <c r="S654" i="4"/>
  <c r="R654" i="4"/>
  <c r="U653" i="4"/>
  <c r="T653" i="4"/>
  <c r="S653" i="4"/>
  <c r="R653" i="4"/>
  <c r="U652" i="4"/>
  <c r="T652" i="4"/>
  <c r="S652" i="4"/>
  <c r="R652" i="4"/>
  <c r="O652" i="4"/>
  <c r="L652" i="4"/>
  <c r="K652" i="4"/>
  <c r="J652" i="4"/>
  <c r="U651" i="4"/>
  <c r="T651" i="4"/>
  <c r="S651" i="4"/>
  <c r="R651" i="4"/>
  <c r="O651" i="4"/>
  <c r="L651" i="4"/>
  <c r="K651" i="4"/>
  <c r="J651" i="4"/>
  <c r="U650" i="4"/>
  <c r="T650" i="4"/>
  <c r="S650" i="4"/>
  <c r="R650" i="4"/>
  <c r="U649" i="4"/>
  <c r="T649" i="4"/>
  <c r="S649" i="4"/>
  <c r="R649" i="4"/>
  <c r="O649" i="4"/>
  <c r="L649" i="4"/>
  <c r="K649" i="4"/>
  <c r="J649" i="4"/>
  <c r="U648" i="4"/>
  <c r="T648" i="4"/>
  <c r="S648" i="4"/>
  <c r="R648" i="4"/>
  <c r="U647" i="4"/>
  <c r="T647" i="4"/>
  <c r="S647" i="4"/>
  <c r="R647" i="4"/>
  <c r="O647" i="4"/>
  <c r="L647" i="4"/>
  <c r="K647" i="4"/>
  <c r="J647" i="4"/>
  <c r="U646" i="4"/>
  <c r="T646" i="4"/>
  <c r="S646" i="4"/>
  <c r="R646" i="4"/>
  <c r="U645" i="4"/>
  <c r="T645" i="4"/>
  <c r="S645" i="4"/>
  <c r="R645" i="4"/>
  <c r="U644" i="4"/>
  <c r="T644" i="4"/>
  <c r="S644" i="4"/>
  <c r="R644" i="4"/>
  <c r="U643" i="4"/>
  <c r="T643" i="4"/>
  <c r="S643" i="4"/>
  <c r="R643" i="4"/>
  <c r="O643" i="4"/>
  <c r="L643" i="4"/>
  <c r="K643" i="4"/>
  <c r="J643" i="4"/>
  <c r="U642" i="4"/>
  <c r="T642" i="4"/>
  <c r="S642" i="4"/>
  <c r="R642" i="4"/>
  <c r="U641" i="4"/>
  <c r="T641" i="4"/>
  <c r="S641" i="4"/>
  <c r="R641" i="4"/>
  <c r="O641" i="4"/>
  <c r="L641" i="4"/>
  <c r="K641" i="4"/>
  <c r="J641" i="4"/>
  <c r="U640" i="4"/>
  <c r="T640" i="4"/>
  <c r="S640" i="4"/>
  <c r="R640" i="4"/>
  <c r="U639" i="4"/>
  <c r="T639" i="4"/>
  <c r="S639" i="4"/>
  <c r="R639" i="4"/>
  <c r="U638" i="4"/>
  <c r="T638" i="4"/>
  <c r="S638" i="4"/>
  <c r="R638" i="4"/>
  <c r="U637" i="4"/>
  <c r="T637" i="4"/>
  <c r="S637" i="4"/>
  <c r="R637" i="4"/>
  <c r="U636" i="4"/>
  <c r="T636" i="4"/>
  <c r="S636" i="4"/>
  <c r="R636" i="4"/>
  <c r="O636" i="4"/>
  <c r="L636" i="4"/>
  <c r="K636" i="4"/>
  <c r="J636" i="4"/>
  <c r="D636" i="4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U635" i="4"/>
  <c r="T635" i="4"/>
  <c r="S635" i="4"/>
  <c r="R635" i="4"/>
  <c r="U634" i="4"/>
  <c r="T634" i="4"/>
  <c r="S634" i="4"/>
  <c r="R634" i="4"/>
  <c r="U633" i="4"/>
  <c r="T633" i="4"/>
  <c r="S633" i="4"/>
  <c r="R633" i="4"/>
  <c r="U632" i="4"/>
  <c r="T632" i="4"/>
  <c r="S632" i="4"/>
  <c r="R632" i="4"/>
  <c r="U631" i="4"/>
  <c r="T631" i="4"/>
  <c r="S631" i="4"/>
  <c r="R631" i="4"/>
  <c r="U630" i="4"/>
  <c r="T630" i="4"/>
  <c r="S630" i="4"/>
  <c r="R630" i="4"/>
  <c r="U629" i="4"/>
  <c r="T629" i="4"/>
  <c r="S629" i="4"/>
  <c r="R629" i="4"/>
  <c r="U628" i="4"/>
  <c r="T628" i="4"/>
  <c r="S628" i="4"/>
  <c r="R628" i="4"/>
  <c r="U627" i="4"/>
  <c r="T627" i="4"/>
  <c r="S627" i="4"/>
  <c r="R627" i="4"/>
  <c r="U626" i="4"/>
  <c r="T626" i="4"/>
  <c r="S626" i="4"/>
  <c r="R626" i="4"/>
  <c r="U625" i="4"/>
  <c r="T625" i="4"/>
  <c r="S625" i="4"/>
  <c r="R625" i="4"/>
  <c r="U624" i="4"/>
  <c r="T624" i="4"/>
  <c r="S624" i="4"/>
  <c r="R624" i="4"/>
  <c r="U623" i="4"/>
  <c r="T623" i="4"/>
  <c r="S623" i="4"/>
  <c r="R623" i="4"/>
  <c r="U622" i="4"/>
  <c r="T622" i="4"/>
  <c r="S622" i="4"/>
  <c r="R622" i="4"/>
  <c r="U621" i="4"/>
  <c r="T621" i="4"/>
  <c r="S621" i="4"/>
  <c r="R621" i="4"/>
  <c r="U620" i="4"/>
  <c r="T620" i="4"/>
  <c r="S620" i="4"/>
  <c r="R620" i="4"/>
  <c r="U619" i="4"/>
  <c r="T619" i="4"/>
  <c r="S619" i="4"/>
  <c r="R619" i="4"/>
  <c r="O619" i="4"/>
  <c r="L619" i="4"/>
  <c r="J619" i="4"/>
  <c r="U618" i="4"/>
  <c r="T618" i="4"/>
  <c r="S618" i="4"/>
  <c r="R618" i="4"/>
  <c r="U617" i="4"/>
  <c r="T617" i="4"/>
  <c r="S617" i="4"/>
  <c r="R617" i="4"/>
  <c r="U616" i="4"/>
  <c r="T616" i="4"/>
  <c r="S616" i="4"/>
  <c r="R616" i="4"/>
  <c r="U615" i="4"/>
  <c r="T615" i="4"/>
  <c r="S615" i="4"/>
  <c r="R615" i="4"/>
  <c r="U614" i="4"/>
  <c r="T614" i="4"/>
  <c r="S614" i="4"/>
  <c r="R614" i="4"/>
  <c r="U613" i="4"/>
  <c r="T613" i="4"/>
  <c r="S613" i="4"/>
  <c r="R613" i="4"/>
  <c r="U612" i="4"/>
  <c r="T612" i="4"/>
  <c r="S612" i="4"/>
  <c r="R612" i="4"/>
  <c r="U611" i="4"/>
  <c r="T611" i="4"/>
  <c r="S611" i="4"/>
  <c r="R611" i="4"/>
  <c r="U610" i="4"/>
  <c r="T610" i="4"/>
  <c r="S610" i="4"/>
  <c r="R610" i="4"/>
  <c r="U609" i="4"/>
  <c r="T609" i="4"/>
  <c r="S609" i="4"/>
  <c r="R609" i="4"/>
  <c r="O609" i="4"/>
  <c r="L609" i="4"/>
  <c r="J609" i="4"/>
  <c r="U608" i="4"/>
  <c r="T608" i="4"/>
  <c r="S608" i="4"/>
  <c r="R608" i="4"/>
  <c r="U607" i="4"/>
  <c r="T607" i="4"/>
  <c r="S607" i="4"/>
  <c r="R607" i="4"/>
  <c r="U606" i="4"/>
  <c r="T606" i="4"/>
  <c r="S606" i="4"/>
  <c r="R606" i="4"/>
  <c r="U605" i="4"/>
  <c r="T605" i="4"/>
  <c r="S605" i="4"/>
  <c r="R605" i="4"/>
  <c r="O605" i="4"/>
  <c r="K605" i="4"/>
  <c r="J605" i="4"/>
  <c r="U604" i="4"/>
  <c r="T604" i="4"/>
  <c r="S604" i="4"/>
  <c r="R604" i="4"/>
  <c r="U603" i="4"/>
  <c r="T603" i="4"/>
  <c r="S603" i="4"/>
  <c r="R603" i="4"/>
  <c r="O603" i="4"/>
  <c r="L603" i="4"/>
  <c r="J603" i="4"/>
  <c r="U602" i="4"/>
  <c r="T602" i="4"/>
  <c r="S602" i="4"/>
  <c r="R602" i="4"/>
  <c r="U601" i="4"/>
  <c r="T601" i="4"/>
  <c r="S601" i="4"/>
  <c r="R601" i="4"/>
  <c r="U600" i="4"/>
  <c r="T600" i="4"/>
  <c r="S600" i="4"/>
  <c r="R600" i="4"/>
  <c r="U599" i="4"/>
  <c r="T599" i="4"/>
  <c r="S599" i="4"/>
  <c r="R599" i="4"/>
  <c r="U598" i="4"/>
  <c r="T598" i="4"/>
  <c r="S598" i="4"/>
  <c r="R598" i="4"/>
  <c r="U597" i="4"/>
  <c r="T597" i="4"/>
  <c r="S597" i="4"/>
  <c r="R597" i="4"/>
  <c r="U596" i="4"/>
  <c r="T596" i="4"/>
  <c r="S596" i="4"/>
  <c r="R596" i="4"/>
  <c r="U595" i="4"/>
  <c r="T595" i="4"/>
  <c r="S595" i="4"/>
  <c r="R595" i="4"/>
  <c r="U594" i="4"/>
  <c r="T594" i="4"/>
  <c r="S594" i="4"/>
  <c r="R594" i="4"/>
  <c r="U593" i="4"/>
  <c r="T593" i="4"/>
  <c r="S593" i="4"/>
  <c r="R593" i="4"/>
  <c r="U592" i="4"/>
  <c r="T592" i="4"/>
  <c r="S592" i="4"/>
  <c r="R592" i="4"/>
  <c r="U591" i="4"/>
  <c r="T591" i="4"/>
  <c r="S591" i="4"/>
  <c r="R591" i="4"/>
  <c r="U590" i="4"/>
  <c r="T590" i="4"/>
  <c r="S590" i="4"/>
  <c r="R590" i="4"/>
  <c r="U589" i="4"/>
  <c r="T589" i="4"/>
  <c r="S589" i="4"/>
  <c r="R589" i="4"/>
  <c r="U588" i="4"/>
  <c r="T588" i="4"/>
  <c r="S588" i="4"/>
  <c r="R588" i="4"/>
  <c r="U587" i="4"/>
  <c r="T587" i="4"/>
  <c r="S587" i="4"/>
  <c r="R587" i="4"/>
  <c r="U586" i="4"/>
  <c r="T586" i="4"/>
  <c r="S586" i="4"/>
  <c r="R586" i="4"/>
  <c r="U585" i="4"/>
  <c r="T585" i="4"/>
  <c r="S585" i="4"/>
  <c r="R585" i="4"/>
  <c r="U584" i="4"/>
  <c r="T584" i="4"/>
  <c r="S584" i="4"/>
  <c r="R584" i="4"/>
  <c r="O584" i="4"/>
  <c r="L584" i="4"/>
  <c r="J584" i="4"/>
  <c r="U583" i="4"/>
  <c r="T583" i="4"/>
  <c r="S583" i="4"/>
  <c r="R583" i="4"/>
  <c r="U582" i="4"/>
  <c r="T582" i="4"/>
  <c r="S582" i="4"/>
  <c r="R582" i="4"/>
  <c r="U581" i="4"/>
  <c r="T581" i="4"/>
  <c r="S581" i="4"/>
  <c r="R581" i="4"/>
  <c r="U580" i="4"/>
  <c r="T580" i="4"/>
  <c r="S580" i="4"/>
  <c r="R580" i="4"/>
  <c r="U579" i="4"/>
  <c r="T579" i="4"/>
  <c r="S579" i="4"/>
  <c r="R579" i="4"/>
  <c r="U578" i="4"/>
  <c r="T578" i="4"/>
  <c r="S578" i="4"/>
  <c r="R578" i="4"/>
  <c r="U577" i="4"/>
  <c r="T577" i="4"/>
  <c r="S577" i="4"/>
  <c r="R577" i="4"/>
  <c r="O577" i="4"/>
  <c r="L577" i="4"/>
  <c r="J577" i="4"/>
  <c r="U576" i="4"/>
  <c r="T576" i="4"/>
  <c r="S576" i="4"/>
  <c r="R576" i="4"/>
  <c r="U575" i="4"/>
  <c r="T575" i="4"/>
  <c r="S575" i="4"/>
  <c r="R575" i="4"/>
  <c r="U574" i="4"/>
  <c r="T574" i="4"/>
  <c r="S574" i="4"/>
  <c r="O574" i="4"/>
  <c r="L574" i="4"/>
  <c r="K574" i="4"/>
  <c r="J574" i="4"/>
  <c r="U573" i="4"/>
  <c r="T573" i="4"/>
  <c r="S573" i="4"/>
  <c r="R573" i="4"/>
  <c r="U572" i="4"/>
  <c r="T572" i="4"/>
  <c r="S572" i="4"/>
  <c r="R572" i="4"/>
  <c r="U571" i="4"/>
  <c r="T571" i="4"/>
  <c r="S571" i="4"/>
  <c r="R571" i="4"/>
  <c r="U570" i="4"/>
  <c r="T570" i="4"/>
  <c r="S570" i="4"/>
  <c r="R570" i="4"/>
  <c r="U569" i="4"/>
  <c r="T569" i="4"/>
  <c r="S569" i="4"/>
  <c r="R569" i="4"/>
  <c r="U568" i="4"/>
  <c r="T568" i="4"/>
  <c r="S568" i="4"/>
  <c r="R568" i="4"/>
  <c r="U567" i="4"/>
  <c r="T567" i="4"/>
  <c r="S567" i="4"/>
  <c r="R567" i="4"/>
  <c r="U566" i="4"/>
  <c r="T566" i="4"/>
  <c r="S566" i="4"/>
  <c r="R566" i="4"/>
  <c r="U565" i="4"/>
  <c r="T565" i="4"/>
  <c r="S565" i="4"/>
  <c r="R565" i="4"/>
  <c r="O565" i="4"/>
  <c r="L565" i="4"/>
  <c r="J565" i="4"/>
  <c r="U564" i="4"/>
  <c r="T564" i="4"/>
  <c r="S564" i="4"/>
  <c r="R564" i="4"/>
  <c r="U563" i="4"/>
  <c r="T563" i="4"/>
  <c r="S563" i="4"/>
  <c r="R563" i="4"/>
  <c r="U562" i="4"/>
  <c r="T562" i="4"/>
  <c r="S562" i="4"/>
  <c r="R562" i="4"/>
  <c r="U561" i="4"/>
  <c r="T561" i="4"/>
  <c r="S561" i="4"/>
  <c r="R561" i="4"/>
  <c r="U560" i="4"/>
  <c r="T560" i="4"/>
  <c r="S560" i="4"/>
  <c r="R560" i="4"/>
  <c r="U559" i="4"/>
  <c r="T559" i="4"/>
  <c r="S559" i="4"/>
  <c r="R559" i="4"/>
  <c r="U558" i="4"/>
  <c r="T558" i="4"/>
  <c r="S558" i="4"/>
  <c r="R558" i="4"/>
  <c r="U557" i="4"/>
  <c r="T557" i="4"/>
  <c r="S557" i="4"/>
  <c r="R557" i="4"/>
  <c r="U556" i="4"/>
  <c r="T556" i="4"/>
  <c r="S556" i="4"/>
  <c r="R556" i="4"/>
  <c r="U555" i="4"/>
  <c r="T555" i="4"/>
  <c r="S555" i="4"/>
  <c r="R555" i="4"/>
  <c r="U554" i="4"/>
  <c r="T554" i="4"/>
  <c r="S554" i="4"/>
  <c r="R554" i="4"/>
  <c r="U553" i="4"/>
  <c r="T553" i="4"/>
  <c r="S553" i="4"/>
  <c r="R553" i="4"/>
  <c r="U552" i="4"/>
  <c r="T552" i="4"/>
  <c r="S552" i="4"/>
  <c r="R552" i="4"/>
  <c r="U551" i="4"/>
  <c r="T551" i="4"/>
  <c r="S551" i="4"/>
  <c r="R551" i="4"/>
  <c r="U550" i="4"/>
  <c r="T550" i="4"/>
  <c r="S550" i="4"/>
  <c r="R550" i="4"/>
  <c r="U549" i="4"/>
  <c r="T549" i="4"/>
  <c r="S549" i="4"/>
  <c r="R549" i="4"/>
  <c r="U548" i="4"/>
  <c r="T548" i="4"/>
  <c r="S548" i="4"/>
  <c r="R548" i="4"/>
  <c r="U547" i="4"/>
  <c r="T547" i="4"/>
  <c r="S547" i="4"/>
  <c r="R547" i="4"/>
  <c r="U546" i="4"/>
  <c r="T546" i="4"/>
  <c r="S546" i="4"/>
  <c r="R546" i="4"/>
  <c r="U545" i="4"/>
  <c r="T545" i="4"/>
  <c r="S545" i="4"/>
  <c r="R545" i="4"/>
  <c r="U544" i="4"/>
  <c r="T544" i="4"/>
  <c r="S544" i="4"/>
  <c r="R544" i="4"/>
  <c r="U543" i="4"/>
  <c r="T543" i="4"/>
  <c r="S543" i="4"/>
  <c r="R543" i="4"/>
  <c r="U542" i="4"/>
  <c r="T542" i="4"/>
  <c r="S542" i="4"/>
  <c r="R542" i="4"/>
  <c r="U541" i="4"/>
  <c r="T541" i="4"/>
  <c r="S541" i="4"/>
  <c r="R541" i="4"/>
  <c r="U540" i="4"/>
  <c r="T540" i="4"/>
  <c r="S540" i="4"/>
  <c r="R540" i="4"/>
  <c r="U539" i="4"/>
  <c r="T539" i="4"/>
  <c r="S539" i="4"/>
  <c r="R539" i="4"/>
  <c r="U538" i="4"/>
  <c r="T538" i="4"/>
  <c r="S538" i="4"/>
  <c r="R538" i="4"/>
  <c r="O538" i="4"/>
  <c r="L538" i="4"/>
  <c r="J538" i="4"/>
  <c r="U537" i="4"/>
  <c r="T537" i="4"/>
  <c r="S537" i="4"/>
  <c r="R537" i="4"/>
  <c r="U536" i="4"/>
  <c r="T536" i="4"/>
  <c r="S536" i="4"/>
  <c r="R536" i="4"/>
  <c r="U535" i="4"/>
  <c r="T535" i="4"/>
  <c r="S535" i="4"/>
  <c r="R535" i="4"/>
  <c r="U534" i="4"/>
  <c r="T534" i="4"/>
  <c r="S534" i="4"/>
  <c r="R534" i="4"/>
  <c r="U533" i="4"/>
  <c r="T533" i="4"/>
  <c r="S533" i="4"/>
  <c r="R533" i="4"/>
  <c r="U532" i="4"/>
  <c r="T532" i="4"/>
  <c r="S532" i="4"/>
  <c r="R532" i="4"/>
  <c r="U531" i="4"/>
  <c r="T531" i="4"/>
  <c r="S531" i="4"/>
  <c r="R531" i="4"/>
  <c r="U530" i="4"/>
  <c r="T530" i="4"/>
  <c r="S530" i="4"/>
  <c r="R530" i="4"/>
  <c r="U529" i="4"/>
  <c r="T529" i="4"/>
  <c r="S529" i="4"/>
  <c r="R529" i="4"/>
  <c r="U528" i="4"/>
  <c r="T528" i="4"/>
  <c r="S528" i="4"/>
  <c r="R528" i="4"/>
  <c r="U527" i="4"/>
  <c r="T527" i="4"/>
  <c r="S527" i="4"/>
  <c r="R527" i="4"/>
  <c r="U526" i="4"/>
  <c r="T526" i="4"/>
  <c r="S526" i="4"/>
  <c r="R526" i="4"/>
  <c r="U525" i="4"/>
  <c r="T525" i="4"/>
  <c r="S525" i="4"/>
  <c r="R525" i="4"/>
  <c r="U524" i="4"/>
  <c r="T524" i="4"/>
  <c r="S524" i="4"/>
  <c r="R524" i="4"/>
  <c r="U523" i="4"/>
  <c r="T523" i="4"/>
  <c r="S523" i="4"/>
  <c r="R523" i="4"/>
  <c r="U522" i="4"/>
  <c r="T522" i="4"/>
  <c r="S522" i="4"/>
  <c r="R522" i="4"/>
  <c r="U521" i="4"/>
  <c r="T521" i="4"/>
  <c r="S521" i="4"/>
  <c r="R521" i="4"/>
  <c r="U520" i="4"/>
  <c r="T520" i="4"/>
  <c r="S520" i="4"/>
  <c r="R520" i="4"/>
  <c r="U519" i="4"/>
  <c r="T519" i="4"/>
  <c r="S519" i="4"/>
  <c r="R519" i="4"/>
  <c r="U518" i="4"/>
  <c r="T518" i="4"/>
  <c r="S518" i="4"/>
  <c r="R518" i="4"/>
  <c r="U517" i="4"/>
  <c r="T517" i="4"/>
  <c r="S517" i="4"/>
  <c r="R517" i="4"/>
  <c r="U516" i="4"/>
  <c r="T516" i="4"/>
  <c r="S516" i="4"/>
  <c r="R516" i="4"/>
  <c r="U515" i="4"/>
  <c r="T515" i="4"/>
  <c r="S515" i="4"/>
  <c r="R515" i="4"/>
  <c r="U514" i="4"/>
  <c r="T514" i="4"/>
  <c r="S514" i="4"/>
  <c r="O514" i="4"/>
  <c r="L514" i="4"/>
  <c r="K514" i="4"/>
  <c r="J514" i="4"/>
  <c r="U513" i="4"/>
  <c r="T513" i="4"/>
  <c r="S513" i="4"/>
  <c r="R513" i="4"/>
  <c r="U512" i="4"/>
  <c r="T512" i="4"/>
  <c r="S512" i="4"/>
  <c r="R512" i="4"/>
  <c r="U511" i="4"/>
  <c r="T511" i="4"/>
  <c r="S511" i="4"/>
  <c r="R511" i="4"/>
  <c r="U510" i="4"/>
  <c r="T510" i="4"/>
  <c r="S510" i="4"/>
  <c r="R510" i="4"/>
  <c r="U509" i="4"/>
  <c r="T509" i="4"/>
  <c r="S509" i="4"/>
  <c r="O509" i="4"/>
  <c r="L509" i="4"/>
  <c r="K509" i="4"/>
  <c r="J509" i="4"/>
  <c r="U508" i="4"/>
  <c r="T508" i="4"/>
  <c r="S508" i="4"/>
  <c r="R508" i="4"/>
  <c r="U507" i="4"/>
  <c r="T507" i="4"/>
  <c r="S507" i="4"/>
  <c r="R507" i="4"/>
  <c r="U506" i="4"/>
  <c r="T506" i="4"/>
  <c r="S506" i="4"/>
  <c r="R506" i="4"/>
  <c r="U505" i="4"/>
  <c r="T505" i="4"/>
  <c r="S505" i="4"/>
  <c r="R505" i="4"/>
  <c r="U504" i="4"/>
  <c r="T504" i="4"/>
  <c r="S504" i="4"/>
  <c r="R504" i="4"/>
  <c r="O504" i="4"/>
  <c r="L504" i="4"/>
  <c r="J504" i="4"/>
  <c r="U503" i="4"/>
  <c r="T503" i="4"/>
  <c r="S503" i="4"/>
  <c r="R503" i="4"/>
  <c r="U502" i="4"/>
  <c r="T502" i="4"/>
  <c r="S502" i="4"/>
  <c r="R502" i="4"/>
  <c r="U501" i="4"/>
  <c r="T501" i="4"/>
  <c r="S501" i="4"/>
  <c r="R501" i="4"/>
  <c r="U500" i="4"/>
  <c r="T500" i="4"/>
  <c r="S500" i="4"/>
  <c r="R500" i="4"/>
  <c r="U499" i="4"/>
  <c r="T499" i="4"/>
  <c r="S499" i="4"/>
  <c r="R499" i="4"/>
  <c r="U498" i="4"/>
  <c r="T498" i="4"/>
  <c r="S498" i="4"/>
  <c r="R498" i="4"/>
  <c r="U497" i="4"/>
  <c r="T497" i="4"/>
  <c r="S497" i="4"/>
  <c r="R497" i="4"/>
  <c r="U496" i="4"/>
  <c r="T496" i="4"/>
  <c r="S496" i="4"/>
  <c r="R496" i="4"/>
  <c r="U495" i="4"/>
  <c r="T495" i="4"/>
  <c r="S495" i="4"/>
  <c r="R495" i="4"/>
  <c r="U494" i="4"/>
  <c r="T494" i="4"/>
  <c r="S494" i="4"/>
  <c r="R494" i="4"/>
  <c r="U493" i="4"/>
  <c r="T493" i="4"/>
  <c r="S493" i="4"/>
  <c r="R493" i="4"/>
  <c r="U492" i="4"/>
  <c r="T492" i="4"/>
  <c r="S492" i="4"/>
  <c r="R492" i="4"/>
  <c r="U491" i="4"/>
  <c r="T491" i="4"/>
  <c r="S491" i="4"/>
  <c r="R491" i="4"/>
  <c r="U490" i="4"/>
  <c r="T490" i="4"/>
  <c r="S490" i="4"/>
  <c r="R490" i="4"/>
  <c r="U489" i="4"/>
  <c r="T489" i="4"/>
  <c r="S489" i="4"/>
  <c r="R489" i="4"/>
  <c r="U488" i="4"/>
  <c r="T488" i="4"/>
  <c r="S488" i="4"/>
  <c r="R488" i="4"/>
  <c r="U487" i="4"/>
  <c r="T487" i="4"/>
  <c r="S487" i="4"/>
  <c r="R487" i="4"/>
  <c r="U486" i="4"/>
  <c r="T486" i="4"/>
  <c r="S486" i="4"/>
  <c r="R486" i="4"/>
  <c r="U485" i="4"/>
  <c r="T485" i="4"/>
  <c r="S485" i="4"/>
  <c r="R485" i="4"/>
  <c r="U484" i="4"/>
  <c r="T484" i="4"/>
  <c r="S484" i="4"/>
  <c r="R484" i="4"/>
  <c r="U483" i="4"/>
  <c r="T483" i="4"/>
  <c r="S483" i="4"/>
  <c r="R483" i="4"/>
  <c r="U482" i="4"/>
  <c r="T482" i="4"/>
  <c r="S482" i="4"/>
  <c r="R482" i="4"/>
  <c r="U481" i="4"/>
  <c r="T481" i="4"/>
  <c r="S481" i="4"/>
  <c r="R481" i="4"/>
  <c r="U480" i="4"/>
  <c r="T480" i="4"/>
  <c r="S480" i="4"/>
  <c r="R480" i="4"/>
  <c r="U479" i="4"/>
  <c r="T479" i="4"/>
  <c r="S479" i="4"/>
  <c r="R479" i="4"/>
  <c r="U478" i="4"/>
  <c r="T478" i="4"/>
  <c r="S478" i="4"/>
  <c r="R478" i="4"/>
  <c r="U477" i="4"/>
  <c r="T477" i="4"/>
  <c r="S477" i="4"/>
  <c r="R477" i="4"/>
  <c r="U476" i="4"/>
  <c r="T476" i="4"/>
  <c r="S476" i="4"/>
  <c r="R476" i="4"/>
  <c r="U475" i="4"/>
  <c r="T475" i="4"/>
  <c r="S475" i="4"/>
  <c r="R475" i="4"/>
  <c r="U474" i="4"/>
  <c r="T474" i="4"/>
  <c r="S474" i="4"/>
  <c r="R474" i="4"/>
  <c r="U473" i="4"/>
  <c r="T473" i="4"/>
  <c r="S473" i="4"/>
  <c r="R473" i="4"/>
  <c r="O473" i="4"/>
  <c r="L473" i="4"/>
  <c r="J473" i="4"/>
  <c r="U472" i="4"/>
  <c r="T472" i="4"/>
  <c r="S472" i="4"/>
  <c r="R472" i="4"/>
  <c r="U471" i="4"/>
  <c r="T471" i="4"/>
  <c r="S471" i="4"/>
  <c r="R471" i="4"/>
  <c r="U470" i="4"/>
  <c r="T470" i="4"/>
  <c r="S470" i="4"/>
  <c r="R470" i="4"/>
  <c r="U469" i="4"/>
  <c r="T469" i="4"/>
  <c r="S469" i="4"/>
  <c r="R469" i="4"/>
  <c r="U468" i="4"/>
  <c r="T468" i="4"/>
  <c r="S468" i="4"/>
  <c r="R468" i="4"/>
  <c r="U467" i="4"/>
  <c r="T467" i="4"/>
  <c r="S467" i="4"/>
  <c r="R467" i="4"/>
  <c r="O467" i="4"/>
  <c r="L467" i="4"/>
  <c r="J467" i="4"/>
  <c r="U466" i="4"/>
  <c r="T466" i="4"/>
  <c r="S466" i="4"/>
  <c r="R466" i="4"/>
  <c r="U465" i="4"/>
  <c r="T465" i="4"/>
  <c r="S465" i="4"/>
  <c r="R465" i="4"/>
  <c r="U464" i="4"/>
  <c r="T464" i="4"/>
  <c r="S464" i="4"/>
  <c r="R464" i="4"/>
  <c r="U463" i="4"/>
  <c r="T463" i="4"/>
  <c r="S463" i="4"/>
  <c r="R463" i="4"/>
  <c r="U462" i="4"/>
  <c r="T462" i="4"/>
  <c r="S462" i="4"/>
  <c r="R462" i="4"/>
  <c r="U461" i="4"/>
  <c r="T461" i="4"/>
  <c r="S461" i="4"/>
  <c r="R461" i="4"/>
  <c r="U460" i="4"/>
  <c r="T460" i="4"/>
  <c r="S460" i="4"/>
  <c r="R460" i="4"/>
  <c r="U459" i="4"/>
  <c r="T459" i="4"/>
  <c r="S459" i="4"/>
  <c r="R459" i="4"/>
  <c r="U458" i="4"/>
  <c r="T458" i="4"/>
  <c r="S458" i="4"/>
  <c r="R458" i="4"/>
  <c r="U457" i="4"/>
  <c r="T457" i="4"/>
  <c r="S457" i="4"/>
  <c r="R457" i="4"/>
  <c r="U456" i="4"/>
  <c r="T456" i="4"/>
  <c r="S456" i="4"/>
  <c r="R456" i="4"/>
  <c r="U455" i="4"/>
  <c r="T455" i="4"/>
  <c r="S455" i="4"/>
  <c r="R455" i="4"/>
  <c r="U454" i="4"/>
  <c r="T454" i="4"/>
  <c r="S454" i="4"/>
  <c r="U453" i="4"/>
  <c r="T453" i="4"/>
  <c r="S453" i="4"/>
  <c r="R453" i="4"/>
  <c r="U452" i="4"/>
  <c r="T452" i="4"/>
  <c r="S452" i="4"/>
  <c r="R452" i="4"/>
  <c r="O452" i="4"/>
  <c r="L452" i="4"/>
  <c r="K452" i="4"/>
  <c r="J452" i="4"/>
  <c r="U451" i="4"/>
  <c r="T451" i="4"/>
  <c r="S451" i="4"/>
  <c r="R451" i="4"/>
  <c r="U450" i="4"/>
  <c r="T450" i="4"/>
  <c r="S450" i="4"/>
  <c r="R450" i="4"/>
  <c r="U449" i="4"/>
  <c r="T449" i="4"/>
  <c r="S449" i="4"/>
  <c r="R449" i="4"/>
  <c r="U448" i="4"/>
  <c r="T448" i="4"/>
  <c r="S448" i="4"/>
  <c r="R448" i="4"/>
  <c r="U447" i="4"/>
  <c r="T447" i="4"/>
  <c r="S447" i="4"/>
  <c r="R447" i="4"/>
  <c r="U446" i="4"/>
  <c r="T446" i="4"/>
  <c r="S446" i="4"/>
  <c r="L446" i="4"/>
  <c r="J446" i="4"/>
  <c r="U445" i="4"/>
  <c r="T445" i="4"/>
  <c r="S445" i="4"/>
  <c r="R445" i="4"/>
  <c r="U444" i="4"/>
  <c r="T444" i="4"/>
  <c r="S444" i="4"/>
  <c r="R444" i="4"/>
  <c r="U443" i="4"/>
  <c r="T443" i="4"/>
  <c r="S443" i="4"/>
  <c r="R443" i="4"/>
  <c r="U442" i="4"/>
  <c r="T442" i="4"/>
  <c r="S442" i="4"/>
  <c r="R442" i="4"/>
  <c r="U441" i="4"/>
  <c r="T441" i="4"/>
  <c r="S441" i="4"/>
  <c r="R441" i="4"/>
  <c r="U440" i="4"/>
  <c r="T440" i="4"/>
  <c r="S440" i="4"/>
  <c r="R440" i="4"/>
  <c r="O440" i="4"/>
  <c r="L440" i="4"/>
  <c r="J440" i="4"/>
  <c r="U439" i="4"/>
  <c r="T439" i="4"/>
  <c r="S439" i="4"/>
  <c r="R439" i="4"/>
  <c r="U438" i="4"/>
  <c r="T438" i="4"/>
  <c r="S438" i="4"/>
  <c r="R438" i="4"/>
  <c r="U437" i="4"/>
  <c r="T437" i="4"/>
  <c r="S437" i="4"/>
  <c r="R437" i="4"/>
  <c r="U436" i="4"/>
  <c r="T436" i="4"/>
  <c r="S436" i="4"/>
  <c r="R436" i="4"/>
  <c r="U435" i="4"/>
  <c r="T435" i="4"/>
  <c r="S435" i="4"/>
  <c r="R435" i="4"/>
  <c r="U434" i="4"/>
  <c r="T434" i="4"/>
  <c r="S434" i="4"/>
  <c r="R434" i="4"/>
  <c r="U433" i="4"/>
  <c r="T433" i="4"/>
  <c r="S433" i="4"/>
  <c r="R433" i="4"/>
  <c r="U432" i="4"/>
  <c r="T432" i="4"/>
  <c r="S432" i="4"/>
  <c r="R432" i="4"/>
  <c r="U431" i="4"/>
  <c r="T431" i="4"/>
  <c r="S431" i="4"/>
  <c r="R431" i="4"/>
  <c r="U430" i="4"/>
  <c r="T430" i="4"/>
  <c r="S430" i="4"/>
  <c r="R430" i="4"/>
  <c r="U429" i="4"/>
  <c r="T429" i="4"/>
  <c r="S429" i="4"/>
  <c r="R429" i="4"/>
  <c r="U428" i="4"/>
  <c r="T428" i="4"/>
  <c r="S428" i="4"/>
  <c r="R428" i="4"/>
  <c r="U427" i="4"/>
  <c r="T427" i="4"/>
  <c r="S427" i="4"/>
  <c r="R427" i="4"/>
  <c r="U426" i="4"/>
  <c r="T426" i="4"/>
  <c r="S426" i="4"/>
  <c r="R426" i="4"/>
  <c r="U425" i="4"/>
  <c r="T425" i="4"/>
  <c r="S425" i="4"/>
  <c r="R425" i="4"/>
  <c r="U424" i="4"/>
  <c r="T424" i="4"/>
  <c r="S424" i="4"/>
  <c r="R424" i="4"/>
  <c r="U423" i="4"/>
  <c r="T423" i="4"/>
  <c r="S423" i="4"/>
  <c r="U422" i="4"/>
  <c r="T422" i="4"/>
  <c r="S422" i="4"/>
  <c r="R422" i="4"/>
  <c r="U421" i="4"/>
  <c r="T421" i="4"/>
  <c r="S421" i="4"/>
  <c r="R421" i="4"/>
  <c r="U420" i="4"/>
  <c r="T420" i="4"/>
  <c r="S420" i="4"/>
  <c r="R420" i="4"/>
  <c r="U419" i="4"/>
  <c r="T419" i="4"/>
  <c r="S419" i="4"/>
  <c r="R419" i="4"/>
  <c r="U418" i="4"/>
  <c r="T418" i="4"/>
  <c r="S418" i="4"/>
  <c r="R418" i="4"/>
  <c r="U417" i="4"/>
  <c r="T417" i="4"/>
  <c r="S417" i="4"/>
  <c r="R417" i="4"/>
  <c r="U416" i="4"/>
  <c r="T416" i="4"/>
  <c r="S416" i="4"/>
  <c r="R416" i="4"/>
  <c r="U415" i="4"/>
  <c r="T415" i="4"/>
  <c r="S415" i="4"/>
  <c r="R415" i="4"/>
  <c r="U414" i="4"/>
  <c r="T414" i="4"/>
  <c r="S414" i="4"/>
  <c r="R414" i="4"/>
  <c r="U413" i="4"/>
  <c r="T413" i="4"/>
  <c r="S413" i="4"/>
  <c r="R413" i="4"/>
  <c r="U412" i="4"/>
  <c r="T412" i="4"/>
  <c r="S412" i="4"/>
  <c r="R412" i="4"/>
  <c r="U411" i="4"/>
  <c r="T411" i="4"/>
  <c r="S411" i="4"/>
  <c r="R411" i="4"/>
  <c r="U410" i="4"/>
  <c r="T410" i="4"/>
  <c r="S410" i="4"/>
  <c r="R410" i="4"/>
  <c r="U409" i="4"/>
  <c r="T409" i="4"/>
  <c r="S409" i="4"/>
  <c r="R409" i="4"/>
  <c r="U408" i="4"/>
  <c r="T408" i="4"/>
  <c r="S408" i="4"/>
  <c r="R408" i="4"/>
  <c r="U407" i="4"/>
  <c r="T407" i="4"/>
  <c r="S407" i="4"/>
  <c r="R407" i="4"/>
  <c r="U406" i="4"/>
  <c r="T406" i="4"/>
  <c r="S406" i="4"/>
  <c r="R406" i="4"/>
  <c r="O406" i="4"/>
  <c r="L406" i="4"/>
  <c r="J406" i="4"/>
  <c r="U405" i="4"/>
  <c r="T405" i="4"/>
  <c r="S405" i="4"/>
  <c r="R405" i="4"/>
  <c r="O405" i="4"/>
  <c r="L405" i="4"/>
  <c r="J405" i="4"/>
  <c r="U404" i="4"/>
  <c r="T404" i="4"/>
  <c r="S404" i="4"/>
  <c r="R404" i="4"/>
  <c r="U403" i="4"/>
  <c r="T403" i="4"/>
  <c r="S403" i="4"/>
  <c r="R403" i="4"/>
  <c r="U402" i="4"/>
  <c r="T402" i="4"/>
  <c r="S402" i="4"/>
  <c r="R402" i="4"/>
  <c r="U401" i="4"/>
  <c r="T401" i="4"/>
  <c r="S401" i="4"/>
  <c r="R401" i="4"/>
  <c r="U400" i="4"/>
  <c r="T400" i="4"/>
  <c r="S400" i="4"/>
  <c r="R400" i="4"/>
  <c r="U399" i="4"/>
  <c r="T399" i="4"/>
  <c r="S399" i="4"/>
  <c r="R399" i="4"/>
  <c r="U398" i="4"/>
  <c r="T398" i="4"/>
  <c r="S398" i="4"/>
  <c r="R398" i="4"/>
  <c r="U397" i="4"/>
  <c r="T397" i="4"/>
  <c r="S397" i="4"/>
  <c r="R397" i="4"/>
  <c r="U396" i="4"/>
  <c r="T396" i="4"/>
  <c r="S396" i="4"/>
  <c r="R396" i="4"/>
  <c r="U395" i="4"/>
  <c r="T395" i="4"/>
  <c r="S395" i="4"/>
  <c r="R395" i="4"/>
  <c r="U394" i="4"/>
  <c r="T394" i="4"/>
  <c r="S394" i="4"/>
  <c r="R394" i="4"/>
  <c r="U393" i="4"/>
  <c r="T393" i="4"/>
  <c r="S393" i="4"/>
  <c r="R393" i="4"/>
  <c r="U392" i="4"/>
  <c r="T392" i="4"/>
  <c r="S392" i="4"/>
  <c r="R392" i="4"/>
  <c r="U391" i="4"/>
  <c r="T391" i="4"/>
  <c r="S391" i="4"/>
  <c r="R391" i="4"/>
  <c r="U390" i="4"/>
  <c r="T390" i="4"/>
  <c r="S390" i="4"/>
  <c r="R390" i="4"/>
  <c r="U389" i="4"/>
  <c r="T389" i="4"/>
  <c r="S389" i="4"/>
  <c r="R389" i="4"/>
  <c r="U388" i="4"/>
  <c r="T388" i="4"/>
  <c r="S388" i="4"/>
  <c r="R388" i="4"/>
  <c r="U387" i="4"/>
  <c r="T387" i="4"/>
  <c r="S387" i="4"/>
  <c r="R387" i="4"/>
  <c r="U386" i="4"/>
  <c r="T386" i="4"/>
  <c r="S386" i="4"/>
  <c r="R386" i="4"/>
  <c r="U385" i="4"/>
  <c r="T385" i="4"/>
  <c r="S385" i="4"/>
  <c r="R385" i="4"/>
  <c r="U384" i="4"/>
  <c r="T384" i="4"/>
  <c r="S384" i="4"/>
  <c r="R384" i="4"/>
  <c r="U383" i="4"/>
  <c r="T383" i="4"/>
  <c r="S383" i="4"/>
  <c r="R383" i="4"/>
  <c r="O383" i="4"/>
  <c r="L383" i="4"/>
  <c r="J383" i="4"/>
  <c r="U382" i="4"/>
  <c r="T382" i="4"/>
  <c r="S382" i="4"/>
  <c r="R382" i="4"/>
  <c r="U381" i="4"/>
  <c r="T381" i="4"/>
  <c r="S381" i="4"/>
  <c r="R381" i="4"/>
  <c r="U380" i="4"/>
  <c r="T380" i="4"/>
  <c r="S380" i="4"/>
  <c r="O380" i="4"/>
  <c r="L380" i="4"/>
  <c r="K380" i="4"/>
  <c r="J380" i="4"/>
  <c r="U379" i="4"/>
  <c r="T379" i="4"/>
  <c r="S379" i="4"/>
  <c r="R379" i="4"/>
  <c r="O379" i="4"/>
  <c r="L379" i="4"/>
  <c r="J379" i="4"/>
  <c r="U378" i="4"/>
  <c r="T378" i="4"/>
  <c r="S378" i="4"/>
  <c r="R378" i="4"/>
  <c r="U377" i="4"/>
  <c r="T377" i="4"/>
  <c r="S377" i="4"/>
  <c r="R377" i="4"/>
  <c r="U376" i="4"/>
  <c r="T376" i="4"/>
  <c r="S376" i="4"/>
  <c r="R376" i="4"/>
  <c r="U375" i="4"/>
  <c r="T375" i="4"/>
  <c r="S375" i="4"/>
  <c r="R375" i="4"/>
  <c r="U374" i="4"/>
  <c r="T374" i="4"/>
  <c r="S374" i="4"/>
  <c r="R374" i="4"/>
  <c r="U373" i="4"/>
  <c r="T373" i="4"/>
  <c r="S373" i="4"/>
  <c r="R373" i="4"/>
  <c r="U372" i="4"/>
  <c r="T372" i="4"/>
  <c r="S372" i="4"/>
  <c r="R372" i="4"/>
  <c r="U371" i="4"/>
  <c r="T371" i="4"/>
  <c r="S371" i="4"/>
  <c r="R371" i="4"/>
  <c r="U370" i="4"/>
  <c r="T370" i="4"/>
  <c r="S370" i="4"/>
  <c r="R370" i="4"/>
  <c r="U369" i="4"/>
  <c r="T369" i="4"/>
  <c r="S369" i="4"/>
  <c r="R369" i="4"/>
  <c r="U368" i="4"/>
  <c r="T368" i="4"/>
  <c r="S368" i="4"/>
  <c r="R368" i="4"/>
  <c r="U367" i="4"/>
  <c r="T367" i="4"/>
  <c r="S367" i="4"/>
  <c r="R367" i="4"/>
  <c r="U366" i="4"/>
  <c r="T366" i="4"/>
  <c r="S366" i="4"/>
  <c r="R366" i="4"/>
  <c r="U365" i="4"/>
  <c r="T365" i="4"/>
  <c r="S365" i="4"/>
  <c r="R365" i="4"/>
  <c r="U364" i="4"/>
  <c r="T364" i="4"/>
  <c r="S364" i="4"/>
  <c r="R364" i="4"/>
  <c r="U363" i="4"/>
  <c r="T363" i="4"/>
  <c r="S363" i="4"/>
  <c r="O363" i="4"/>
  <c r="L363" i="4"/>
  <c r="K363" i="4"/>
  <c r="J363" i="4"/>
  <c r="U362" i="4"/>
  <c r="T362" i="4"/>
  <c r="S362" i="4"/>
  <c r="R362" i="4"/>
  <c r="U361" i="4"/>
  <c r="T361" i="4"/>
  <c r="S361" i="4"/>
  <c r="R361" i="4"/>
  <c r="U360" i="4"/>
  <c r="T360" i="4"/>
  <c r="S360" i="4"/>
  <c r="R360" i="4"/>
  <c r="U359" i="4"/>
  <c r="T359" i="4"/>
  <c r="S359" i="4"/>
  <c r="R359" i="4"/>
  <c r="U358" i="4"/>
  <c r="T358" i="4"/>
  <c r="S358" i="4"/>
  <c r="R358" i="4"/>
  <c r="U357" i="4"/>
  <c r="T357" i="4"/>
  <c r="S357" i="4"/>
  <c r="R357" i="4"/>
  <c r="U356" i="4"/>
  <c r="T356" i="4"/>
  <c r="S356" i="4"/>
  <c r="R356" i="4"/>
  <c r="U355" i="4"/>
  <c r="T355" i="4"/>
  <c r="S355" i="4"/>
  <c r="R355" i="4"/>
  <c r="U354" i="4"/>
  <c r="T354" i="4"/>
  <c r="S354" i="4"/>
  <c r="R354" i="4"/>
  <c r="U353" i="4"/>
  <c r="T353" i="4"/>
  <c r="S353" i="4"/>
  <c r="R353" i="4"/>
  <c r="U352" i="4"/>
  <c r="T352" i="4"/>
  <c r="S352" i="4"/>
  <c r="R352" i="4"/>
  <c r="U351" i="4"/>
  <c r="T351" i="4"/>
  <c r="S351" i="4"/>
  <c r="R351" i="4"/>
  <c r="U350" i="4"/>
  <c r="T350" i="4"/>
  <c r="S350" i="4"/>
  <c r="R350" i="4"/>
  <c r="O350" i="4"/>
  <c r="L350" i="4"/>
  <c r="K350" i="4"/>
  <c r="J350" i="4"/>
  <c r="U349" i="4"/>
  <c r="T349" i="4"/>
  <c r="S349" i="4"/>
  <c r="R349" i="4"/>
  <c r="U348" i="4"/>
  <c r="T348" i="4"/>
  <c r="S348" i="4"/>
  <c r="R348" i="4"/>
  <c r="U347" i="4"/>
  <c r="T347" i="4"/>
  <c r="S347" i="4"/>
  <c r="R347" i="4"/>
  <c r="U346" i="4"/>
  <c r="T346" i="4"/>
  <c r="S346" i="4"/>
  <c r="R346" i="4"/>
  <c r="U345" i="4"/>
  <c r="T345" i="4"/>
  <c r="S345" i="4"/>
  <c r="R345" i="4"/>
  <c r="U344" i="4"/>
  <c r="T344" i="4"/>
  <c r="S344" i="4"/>
  <c r="R344" i="4"/>
  <c r="U343" i="4"/>
  <c r="T343" i="4"/>
  <c r="S343" i="4"/>
  <c r="R343" i="4"/>
  <c r="U342" i="4"/>
  <c r="T342" i="4"/>
  <c r="S342" i="4"/>
  <c r="R342" i="4"/>
  <c r="U341" i="4"/>
  <c r="T341" i="4"/>
  <c r="S341" i="4"/>
  <c r="R341" i="4"/>
  <c r="U340" i="4"/>
  <c r="T340" i="4"/>
  <c r="S340" i="4"/>
  <c r="R340" i="4"/>
  <c r="U339" i="4"/>
  <c r="T339" i="4"/>
  <c r="S339" i="4"/>
  <c r="R339" i="4"/>
  <c r="U338" i="4"/>
  <c r="T338" i="4"/>
  <c r="S338" i="4"/>
  <c r="R338" i="4"/>
  <c r="O338" i="4"/>
  <c r="L338" i="4"/>
  <c r="J338" i="4"/>
  <c r="U337" i="4"/>
  <c r="T337" i="4"/>
  <c r="S337" i="4"/>
  <c r="R337" i="4"/>
  <c r="U336" i="4"/>
  <c r="T336" i="4"/>
  <c r="S336" i="4"/>
  <c r="R336" i="4"/>
  <c r="U335" i="4"/>
  <c r="T335" i="4"/>
  <c r="S335" i="4"/>
  <c r="R335" i="4"/>
  <c r="O335" i="4"/>
  <c r="L335" i="4"/>
  <c r="K335" i="4"/>
  <c r="J335" i="4"/>
  <c r="U334" i="4"/>
  <c r="T334" i="4"/>
  <c r="S334" i="4"/>
  <c r="R334" i="4"/>
  <c r="U333" i="4"/>
  <c r="T333" i="4"/>
  <c r="S333" i="4"/>
  <c r="R333" i="4"/>
  <c r="U332" i="4"/>
  <c r="T332" i="4"/>
  <c r="S332" i="4"/>
  <c r="R332" i="4"/>
  <c r="U331" i="4"/>
  <c r="T331" i="4"/>
  <c r="S331" i="4"/>
  <c r="R331" i="4"/>
  <c r="U330" i="4"/>
  <c r="T330" i="4"/>
  <c r="S330" i="4"/>
  <c r="R330" i="4"/>
  <c r="U329" i="4"/>
  <c r="T329" i="4"/>
  <c r="S329" i="4"/>
  <c r="R329" i="4"/>
  <c r="U328" i="4"/>
  <c r="T328" i="4"/>
  <c r="S328" i="4"/>
  <c r="R328" i="4"/>
  <c r="U327" i="4"/>
  <c r="T327" i="4"/>
  <c r="S327" i="4"/>
  <c r="R327" i="4"/>
  <c r="U326" i="4"/>
  <c r="T326" i="4"/>
  <c r="S326" i="4"/>
  <c r="R326" i="4"/>
  <c r="U325" i="4"/>
  <c r="T325" i="4"/>
  <c r="S325" i="4"/>
  <c r="R325" i="4"/>
  <c r="U324" i="4"/>
  <c r="T324" i="4"/>
  <c r="S324" i="4"/>
  <c r="R324" i="4"/>
  <c r="U323" i="4"/>
  <c r="T323" i="4"/>
  <c r="S323" i="4"/>
  <c r="R323" i="4"/>
  <c r="U322" i="4"/>
  <c r="T322" i="4"/>
  <c r="S322" i="4"/>
  <c r="R322" i="4"/>
  <c r="U321" i="4"/>
  <c r="T321" i="4"/>
  <c r="S321" i="4"/>
  <c r="O321" i="4"/>
  <c r="L321" i="4"/>
  <c r="K321" i="4"/>
  <c r="J321" i="4"/>
  <c r="U320" i="4"/>
  <c r="T320" i="4"/>
  <c r="S320" i="4"/>
  <c r="R320" i="4"/>
  <c r="U319" i="4"/>
  <c r="T319" i="4"/>
  <c r="S319" i="4"/>
  <c r="R319" i="4"/>
  <c r="U318" i="4"/>
  <c r="T318" i="4"/>
  <c r="S318" i="4"/>
  <c r="R318" i="4"/>
  <c r="U317" i="4"/>
  <c r="T317" i="4"/>
  <c r="S317" i="4"/>
  <c r="R317" i="4"/>
  <c r="U316" i="4"/>
  <c r="T316" i="4"/>
  <c r="S316" i="4"/>
  <c r="R316" i="4"/>
  <c r="U315" i="4"/>
  <c r="T315" i="4"/>
  <c r="S315" i="4"/>
  <c r="R315" i="4"/>
  <c r="U314" i="4"/>
  <c r="T314" i="4"/>
  <c r="S314" i="4"/>
  <c r="R314" i="4"/>
  <c r="U313" i="4"/>
  <c r="T313" i="4"/>
  <c r="S313" i="4"/>
  <c r="R313" i="4"/>
  <c r="U312" i="4"/>
  <c r="T312" i="4"/>
  <c r="S312" i="4"/>
  <c r="R312" i="4"/>
  <c r="U311" i="4"/>
  <c r="T311" i="4"/>
  <c r="S311" i="4"/>
  <c r="R311" i="4"/>
  <c r="U310" i="4"/>
  <c r="T310" i="4"/>
  <c r="S310" i="4"/>
  <c r="R310" i="4"/>
  <c r="U309" i="4"/>
  <c r="T309" i="4"/>
  <c r="S309" i="4"/>
  <c r="R309" i="4"/>
  <c r="U308" i="4"/>
  <c r="T308" i="4"/>
  <c r="S308" i="4"/>
  <c r="R308" i="4"/>
  <c r="U307" i="4"/>
  <c r="T307" i="4"/>
  <c r="S307" i="4"/>
  <c r="R307" i="4"/>
  <c r="U306" i="4"/>
  <c r="S306" i="4"/>
  <c r="O306" i="4"/>
  <c r="L306" i="4"/>
  <c r="J306" i="4"/>
  <c r="U305" i="4"/>
  <c r="T305" i="4"/>
  <c r="S305" i="4"/>
  <c r="R305" i="4"/>
  <c r="U304" i="4"/>
  <c r="T304" i="4"/>
  <c r="S304" i="4"/>
  <c r="R304" i="4"/>
  <c r="U303" i="4"/>
  <c r="T303" i="4"/>
  <c r="S303" i="4"/>
  <c r="R303" i="4"/>
  <c r="U302" i="4"/>
  <c r="T302" i="4"/>
  <c r="S302" i="4"/>
  <c r="R302" i="4"/>
  <c r="U301" i="4"/>
  <c r="T301" i="4"/>
  <c r="S301" i="4"/>
  <c r="R301" i="4"/>
  <c r="U300" i="4"/>
  <c r="T300" i="4"/>
  <c r="S300" i="4"/>
  <c r="R300" i="4"/>
  <c r="U299" i="4"/>
  <c r="T299" i="4"/>
  <c r="S299" i="4"/>
  <c r="R299" i="4"/>
  <c r="O299" i="4"/>
  <c r="L299" i="4"/>
  <c r="K299" i="4"/>
  <c r="J299" i="4"/>
  <c r="U298" i="4"/>
  <c r="T298" i="4"/>
  <c r="S298" i="4"/>
  <c r="R298" i="4"/>
  <c r="U297" i="4"/>
  <c r="T297" i="4"/>
  <c r="S297" i="4"/>
  <c r="R297" i="4"/>
  <c r="U296" i="4"/>
  <c r="T296" i="4"/>
  <c r="S296" i="4"/>
  <c r="R296" i="4"/>
  <c r="U295" i="4"/>
  <c r="T295" i="4"/>
  <c r="S295" i="4"/>
  <c r="R295" i="4"/>
  <c r="U294" i="4"/>
  <c r="T294" i="4"/>
  <c r="S294" i="4"/>
  <c r="R294" i="4"/>
  <c r="U293" i="4"/>
  <c r="T293" i="4"/>
  <c r="S293" i="4"/>
  <c r="R293" i="4"/>
  <c r="U292" i="4"/>
  <c r="T292" i="4"/>
  <c r="S292" i="4"/>
  <c r="R292" i="4"/>
  <c r="U291" i="4"/>
  <c r="T291" i="4"/>
  <c r="S291" i="4"/>
  <c r="R291" i="4"/>
  <c r="U290" i="4"/>
  <c r="T290" i="4"/>
  <c r="S290" i="4"/>
  <c r="R290" i="4"/>
  <c r="U289" i="4"/>
  <c r="T289" i="4"/>
  <c r="S289" i="4"/>
  <c r="R289" i="4"/>
  <c r="U288" i="4"/>
  <c r="T288" i="4"/>
  <c r="S288" i="4"/>
  <c r="R288" i="4"/>
  <c r="U287" i="4"/>
  <c r="T287" i="4"/>
  <c r="S287" i="4"/>
  <c r="R287" i="4"/>
  <c r="O287" i="4"/>
  <c r="L287" i="4"/>
  <c r="K287" i="4"/>
  <c r="J287" i="4"/>
  <c r="U286" i="4"/>
  <c r="T286" i="4"/>
  <c r="S286" i="4"/>
  <c r="R286" i="4"/>
  <c r="O286" i="4"/>
  <c r="L286" i="4"/>
  <c r="K286" i="4"/>
  <c r="J286" i="4"/>
  <c r="U285" i="4"/>
  <c r="T285" i="4"/>
  <c r="S285" i="4"/>
  <c r="R285" i="4"/>
  <c r="U284" i="4"/>
  <c r="T284" i="4"/>
  <c r="S284" i="4"/>
  <c r="R284" i="4"/>
  <c r="U283" i="4"/>
  <c r="T283" i="4"/>
  <c r="S283" i="4"/>
  <c r="R283" i="4"/>
  <c r="O283" i="4"/>
  <c r="U282" i="4"/>
  <c r="T282" i="4"/>
  <c r="S282" i="4"/>
  <c r="R282" i="4"/>
  <c r="O282" i="4"/>
  <c r="U281" i="4"/>
  <c r="T281" i="4"/>
  <c r="S281" i="4"/>
  <c r="R281" i="4"/>
  <c r="U280" i="4"/>
  <c r="T280" i="4"/>
  <c r="S280" i="4"/>
  <c r="R280" i="4"/>
  <c r="U279" i="4"/>
  <c r="T279" i="4"/>
  <c r="S279" i="4"/>
  <c r="R279" i="4"/>
  <c r="O279" i="4"/>
  <c r="L279" i="4"/>
  <c r="K279" i="4"/>
  <c r="J279" i="4"/>
  <c r="U278" i="4"/>
  <c r="T278" i="4"/>
  <c r="S278" i="4"/>
  <c r="R278" i="4"/>
  <c r="U277" i="4"/>
  <c r="T277" i="4"/>
  <c r="S277" i="4"/>
  <c r="R277" i="4"/>
  <c r="U276" i="4"/>
  <c r="T276" i="4"/>
  <c r="S276" i="4"/>
  <c r="R276" i="4"/>
  <c r="U274" i="4"/>
  <c r="T274" i="4"/>
  <c r="S274" i="4"/>
  <c r="R274" i="4"/>
  <c r="U273" i="4"/>
  <c r="T273" i="4"/>
  <c r="S273" i="4"/>
  <c r="R273" i="4"/>
  <c r="U272" i="4"/>
  <c r="T272" i="4"/>
  <c r="S272" i="4"/>
  <c r="R272" i="4"/>
  <c r="U271" i="4"/>
  <c r="T271" i="4"/>
  <c r="S271" i="4"/>
  <c r="R271" i="4"/>
  <c r="U270" i="4"/>
  <c r="T270" i="4"/>
  <c r="S270" i="4"/>
  <c r="R270" i="4"/>
  <c r="U269" i="4"/>
  <c r="T269" i="4"/>
  <c r="S269" i="4"/>
  <c r="R269" i="4"/>
  <c r="U268" i="4"/>
  <c r="T268" i="4"/>
  <c r="S268" i="4"/>
  <c r="R268" i="4"/>
  <c r="U267" i="4"/>
  <c r="T267" i="4"/>
  <c r="S267" i="4"/>
  <c r="R267" i="4"/>
  <c r="U266" i="4"/>
  <c r="T266" i="4"/>
  <c r="S266" i="4"/>
  <c r="R266" i="4"/>
  <c r="U265" i="4"/>
  <c r="T265" i="4"/>
  <c r="S265" i="4"/>
  <c r="R265" i="4"/>
  <c r="U264" i="4"/>
  <c r="T264" i="4"/>
  <c r="S264" i="4"/>
  <c r="R264" i="4"/>
  <c r="U263" i="4"/>
  <c r="T263" i="4"/>
  <c r="S263" i="4"/>
  <c r="R263" i="4"/>
  <c r="U262" i="4"/>
  <c r="T262" i="4"/>
  <c r="S262" i="4"/>
  <c r="R262" i="4"/>
  <c r="U261" i="4"/>
  <c r="T261" i="4"/>
  <c r="S261" i="4"/>
  <c r="R261" i="4"/>
  <c r="U260" i="4"/>
  <c r="T260" i="4"/>
  <c r="S260" i="4"/>
  <c r="R260" i="4"/>
  <c r="U259" i="4"/>
  <c r="T259" i="4"/>
  <c r="S259" i="4"/>
  <c r="R259" i="4"/>
  <c r="U258" i="4"/>
  <c r="T258" i="4"/>
  <c r="S258" i="4"/>
  <c r="R258" i="4"/>
  <c r="U257" i="4"/>
  <c r="T257" i="4"/>
  <c r="S257" i="4"/>
  <c r="R257" i="4"/>
  <c r="O257" i="4"/>
  <c r="L257" i="4"/>
  <c r="K257" i="4"/>
  <c r="J257" i="4"/>
  <c r="D257" i="4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U256" i="4"/>
  <c r="T256" i="4"/>
  <c r="S256" i="4"/>
  <c r="R256" i="4"/>
  <c r="U255" i="4"/>
  <c r="T255" i="4"/>
  <c r="S255" i="4"/>
  <c r="R255" i="4"/>
  <c r="U254" i="4"/>
  <c r="T254" i="4"/>
  <c r="S254" i="4"/>
  <c r="R254" i="4"/>
  <c r="U253" i="4"/>
  <c r="T253" i="4"/>
  <c r="S253" i="4"/>
  <c r="R253" i="4"/>
  <c r="U252" i="4"/>
  <c r="T252" i="4"/>
  <c r="S252" i="4"/>
  <c r="R252" i="4"/>
  <c r="O252" i="4"/>
  <c r="L252" i="4"/>
  <c r="J252" i="4"/>
  <c r="U251" i="4"/>
  <c r="T251" i="4"/>
  <c r="S251" i="4"/>
  <c r="R251" i="4"/>
  <c r="U250" i="4"/>
  <c r="T250" i="4"/>
  <c r="S250" i="4"/>
  <c r="R250" i="4"/>
  <c r="U249" i="4"/>
  <c r="T249" i="4"/>
  <c r="S249" i="4"/>
  <c r="R249" i="4"/>
  <c r="U248" i="4"/>
  <c r="T248" i="4"/>
  <c r="S248" i="4"/>
  <c r="R248" i="4"/>
  <c r="D248" i="4"/>
  <c r="D249" i="4" s="1"/>
  <c r="D250" i="4" s="1"/>
  <c r="D251" i="4" s="1"/>
  <c r="D252" i="4" s="1"/>
  <c r="D253" i="4" s="1"/>
  <c r="D254" i="4" s="1"/>
  <c r="D255" i="4" s="1"/>
  <c r="U247" i="4"/>
  <c r="T247" i="4"/>
  <c r="S247" i="4"/>
  <c r="R247" i="4"/>
  <c r="U246" i="4"/>
  <c r="T246" i="4"/>
  <c r="S246" i="4"/>
  <c r="R246" i="4"/>
  <c r="U245" i="4"/>
  <c r="T245" i="4"/>
  <c r="S245" i="4"/>
  <c r="R245" i="4"/>
  <c r="U244" i="4"/>
  <c r="T244" i="4"/>
  <c r="S244" i="4"/>
  <c r="R244" i="4"/>
  <c r="U243" i="4"/>
  <c r="T243" i="4"/>
  <c r="S243" i="4"/>
  <c r="R243" i="4"/>
  <c r="U242" i="4"/>
  <c r="T242" i="4"/>
  <c r="S242" i="4"/>
  <c r="R242" i="4"/>
  <c r="U241" i="4"/>
  <c r="T241" i="4"/>
  <c r="S241" i="4"/>
  <c r="R241" i="4"/>
  <c r="U240" i="4"/>
  <c r="T240" i="4"/>
  <c r="S240" i="4"/>
  <c r="R240" i="4"/>
  <c r="U239" i="4"/>
  <c r="T239" i="4"/>
  <c r="S239" i="4"/>
  <c r="R239" i="4"/>
  <c r="U238" i="4"/>
  <c r="T238" i="4"/>
  <c r="S238" i="4"/>
  <c r="R238" i="4"/>
  <c r="U237" i="4"/>
  <c r="S237" i="4"/>
  <c r="U236" i="4"/>
  <c r="T236" i="4"/>
  <c r="S236" i="4"/>
  <c r="R236" i="4"/>
  <c r="U235" i="4"/>
  <c r="T235" i="4"/>
  <c r="S235" i="4"/>
  <c r="U233" i="4"/>
  <c r="T233" i="4"/>
  <c r="S233" i="4"/>
  <c r="R233" i="4"/>
  <c r="U232" i="4"/>
  <c r="T232" i="4"/>
  <c r="S232" i="4"/>
  <c r="R232" i="4"/>
  <c r="U231" i="4"/>
  <c r="T231" i="4"/>
  <c r="S231" i="4"/>
  <c r="R231" i="4"/>
  <c r="U230" i="4"/>
  <c r="T230" i="4"/>
  <c r="S230" i="4"/>
  <c r="R230" i="4"/>
  <c r="U228" i="4"/>
  <c r="T228" i="4"/>
  <c r="S228" i="4"/>
  <c r="R228" i="4"/>
  <c r="U227" i="4"/>
  <c r="T227" i="4"/>
  <c r="S227" i="4"/>
  <c r="R227" i="4"/>
  <c r="U226" i="4"/>
  <c r="T226" i="4"/>
  <c r="S226" i="4"/>
  <c r="R226" i="4"/>
  <c r="U225" i="4"/>
  <c r="T225" i="4"/>
  <c r="S225" i="4"/>
  <c r="R225" i="4"/>
  <c r="U224" i="4"/>
  <c r="T224" i="4"/>
  <c r="S224" i="4"/>
  <c r="R224" i="4"/>
  <c r="U223" i="4"/>
  <c r="T223" i="4"/>
  <c r="S223" i="4"/>
  <c r="R223" i="4"/>
  <c r="U221" i="4"/>
  <c r="T221" i="4"/>
  <c r="S221" i="4"/>
  <c r="R221" i="4"/>
  <c r="U220" i="4"/>
  <c r="T220" i="4"/>
  <c r="S220" i="4"/>
  <c r="R220" i="4"/>
  <c r="D220" i="4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U219" i="4"/>
  <c r="T219" i="4"/>
  <c r="S219" i="4"/>
  <c r="R219" i="4"/>
  <c r="U218" i="4"/>
  <c r="T218" i="4"/>
  <c r="S218" i="4"/>
  <c r="R218" i="4"/>
  <c r="U217" i="4"/>
  <c r="T217" i="4"/>
  <c r="S217" i="4"/>
  <c r="R217" i="4"/>
  <c r="U216" i="4"/>
  <c r="T216" i="4"/>
  <c r="S216" i="4"/>
  <c r="R216" i="4"/>
  <c r="U215" i="4"/>
  <c r="T215" i="4"/>
  <c r="S215" i="4"/>
  <c r="R215" i="4"/>
  <c r="U214" i="4"/>
  <c r="T214" i="4"/>
  <c r="S214" i="4"/>
  <c r="R214" i="4"/>
  <c r="U213" i="4"/>
  <c r="T213" i="4"/>
  <c r="S213" i="4"/>
  <c r="R213" i="4"/>
  <c r="U212" i="4"/>
  <c r="T212" i="4"/>
  <c r="S212" i="4"/>
  <c r="R212" i="4"/>
  <c r="U211" i="4"/>
  <c r="T211" i="4"/>
  <c r="S211" i="4"/>
  <c r="R211" i="4"/>
  <c r="U210" i="4"/>
  <c r="T210" i="4"/>
  <c r="S210" i="4"/>
  <c r="R210" i="4"/>
  <c r="U209" i="4"/>
  <c r="T209" i="4"/>
  <c r="S209" i="4"/>
  <c r="R209" i="4"/>
  <c r="U208" i="4"/>
  <c r="T208" i="4"/>
  <c r="S208" i="4"/>
  <c r="R208" i="4"/>
  <c r="U207" i="4"/>
  <c r="T207" i="4"/>
  <c r="S207" i="4"/>
  <c r="R207" i="4"/>
  <c r="U206" i="4"/>
  <c r="T206" i="4"/>
  <c r="S206" i="4"/>
  <c r="R206" i="4"/>
  <c r="U205" i="4"/>
  <c r="T205" i="4"/>
  <c r="S205" i="4"/>
  <c r="R205" i="4"/>
  <c r="U204" i="4"/>
  <c r="T204" i="4"/>
  <c r="S204" i="4"/>
  <c r="R204" i="4"/>
  <c r="U203" i="4"/>
  <c r="T203" i="4"/>
  <c r="S203" i="4"/>
  <c r="R203" i="4"/>
  <c r="U202" i="4"/>
  <c r="T202" i="4"/>
  <c r="S202" i="4"/>
  <c r="R202" i="4"/>
  <c r="U201" i="4"/>
  <c r="T201" i="4"/>
  <c r="S201" i="4"/>
  <c r="R201" i="4"/>
  <c r="U200" i="4"/>
  <c r="T200" i="4"/>
  <c r="S200" i="4"/>
  <c r="R200" i="4"/>
  <c r="U199" i="4"/>
  <c r="T199" i="4"/>
  <c r="S199" i="4"/>
  <c r="R199" i="4"/>
  <c r="U198" i="4"/>
  <c r="T198" i="4"/>
  <c r="S198" i="4"/>
  <c r="R198" i="4"/>
  <c r="U197" i="4"/>
  <c r="T197" i="4"/>
  <c r="S197" i="4"/>
  <c r="R197" i="4"/>
  <c r="U196" i="4"/>
  <c r="T196" i="4"/>
  <c r="S196" i="4"/>
  <c r="R196" i="4"/>
  <c r="U195" i="4"/>
  <c r="T195" i="4"/>
  <c r="S195" i="4"/>
  <c r="R195" i="4"/>
  <c r="U194" i="4"/>
  <c r="T194" i="4"/>
  <c r="S194" i="4"/>
  <c r="R194" i="4"/>
  <c r="U193" i="4"/>
  <c r="T193" i="4"/>
  <c r="S193" i="4"/>
  <c r="R193" i="4"/>
  <c r="U192" i="4"/>
  <c r="T192" i="4"/>
  <c r="S192" i="4"/>
  <c r="R192" i="4"/>
  <c r="U191" i="4"/>
  <c r="T191" i="4"/>
  <c r="S191" i="4"/>
  <c r="R191" i="4"/>
  <c r="U190" i="4"/>
  <c r="T190" i="4"/>
  <c r="S190" i="4"/>
  <c r="R190" i="4"/>
  <c r="U189" i="4"/>
  <c r="T189" i="4"/>
  <c r="S189" i="4"/>
  <c r="R189" i="4"/>
  <c r="U188" i="4"/>
  <c r="T188" i="4"/>
  <c r="S188" i="4"/>
  <c r="R188" i="4"/>
  <c r="U187" i="4"/>
  <c r="T187" i="4"/>
  <c r="S187" i="4"/>
  <c r="R187" i="4"/>
  <c r="U186" i="4"/>
  <c r="T186" i="4"/>
  <c r="S186" i="4"/>
  <c r="R186" i="4"/>
  <c r="U185" i="4"/>
  <c r="T185" i="4"/>
  <c r="S185" i="4"/>
  <c r="R185" i="4"/>
  <c r="U184" i="4"/>
  <c r="T184" i="4"/>
  <c r="S184" i="4"/>
  <c r="R184" i="4"/>
  <c r="U183" i="4"/>
  <c r="T183" i="4"/>
  <c r="S183" i="4"/>
  <c r="R183" i="4"/>
  <c r="U182" i="4"/>
  <c r="T182" i="4"/>
  <c r="S182" i="4"/>
  <c r="R182" i="4"/>
  <c r="U181" i="4"/>
  <c r="T181" i="4"/>
  <c r="S181" i="4"/>
  <c r="R181" i="4"/>
  <c r="U180" i="4"/>
  <c r="T180" i="4"/>
  <c r="S180" i="4"/>
  <c r="R180" i="4"/>
  <c r="U179" i="4"/>
  <c r="T179" i="4"/>
  <c r="S179" i="4"/>
  <c r="R179" i="4"/>
  <c r="U178" i="4"/>
  <c r="T178" i="4"/>
  <c r="S178" i="4"/>
  <c r="R178" i="4"/>
  <c r="U177" i="4"/>
  <c r="T177" i="4"/>
  <c r="S177" i="4"/>
  <c r="R177" i="4"/>
  <c r="U176" i="4"/>
  <c r="T176" i="4"/>
  <c r="S176" i="4"/>
  <c r="R176" i="4"/>
  <c r="U175" i="4"/>
  <c r="T175" i="4"/>
  <c r="S175" i="4"/>
  <c r="R175" i="4"/>
  <c r="U174" i="4"/>
  <c r="T174" i="4"/>
  <c r="S174" i="4"/>
  <c r="R174" i="4"/>
  <c r="U173" i="4"/>
  <c r="T173" i="4"/>
  <c r="S173" i="4"/>
  <c r="R173" i="4"/>
  <c r="U172" i="4"/>
  <c r="T172" i="4"/>
  <c r="S172" i="4"/>
  <c r="R172" i="4"/>
  <c r="U171" i="4"/>
  <c r="T171" i="4"/>
  <c r="S171" i="4"/>
  <c r="R171" i="4"/>
  <c r="U170" i="4"/>
  <c r="T170" i="4"/>
  <c r="S170" i="4"/>
  <c r="R170" i="4"/>
  <c r="U169" i="4"/>
  <c r="T169" i="4"/>
  <c r="S169" i="4"/>
  <c r="R169" i="4"/>
  <c r="U168" i="4"/>
  <c r="T168" i="4"/>
  <c r="S168" i="4"/>
  <c r="R168" i="4"/>
  <c r="U167" i="4"/>
  <c r="T167" i="4"/>
  <c r="S167" i="4"/>
  <c r="R167" i="4"/>
  <c r="U166" i="4"/>
  <c r="T166" i="4"/>
  <c r="S166" i="4"/>
  <c r="R166" i="4"/>
  <c r="U165" i="4"/>
  <c r="T165" i="4"/>
  <c r="S165" i="4"/>
  <c r="R165" i="4"/>
  <c r="U164" i="4"/>
  <c r="T164" i="4"/>
  <c r="S164" i="4"/>
  <c r="R164" i="4"/>
  <c r="U163" i="4"/>
  <c r="T163" i="4"/>
  <c r="S163" i="4"/>
  <c r="R163" i="4"/>
  <c r="U162" i="4"/>
  <c r="T162" i="4"/>
  <c r="S162" i="4"/>
  <c r="R162" i="4"/>
  <c r="U161" i="4"/>
  <c r="T161" i="4"/>
  <c r="S161" i="4"/>
  <c r="R161" i="4"/>
  <c r="U160" i="4"/>
  <c r="T160" i="4"/>
  <c r="S160" i="4"/>
  <c r="R160" i="4"/>
  <c r="U159" i="4"/>
  <c r="T159" i="4"/>
  <c r="S159" i="4"/>
  <c r="R159" i="4"/>
  <c r="U158" i="4"/>
  <c r="T158" i="4"/>
  <c r="S158" i="4"/>
  <c r="R158" i="4"/>
  <c r="U157" i="4"/>
  <c r="T157" i="4"/>
  <c r="S157" i="4"/>
  <c r="R157" i="4"/>
  <c r="U156" i="4"/>
  <c r="T156" i="4"/>
  <c r="S156" i="4"/>
  <c r="R156" i="4"/>
  <c r="U155" i="4"/>
  <c r="T155" i="4"/>
  <c r="S155" i="4"/>
  <c r="R155" i="4"/>
  <c r="U154" i="4"/>
  <c r="T154" i="4"/>
  <c r="S154" i="4"/>
  <c r="R154" i="4"/>
  <c r="U153" i="4"/>
  <c r="T153" i="4"/>
  <c r="S153" i="4"/>
  <c r="R153" i="4"/>
  <c r="U152" i="4"/>
  <c r="T152" i="4"/>
  <c r="S152" i="4"/>
  <c r="R152" i="4"/>
  <c r="U151" i="4"/>
  <c r="T151" i="4"/>
  <c r="S151" i="4"/>
  <c r="R151" i="4"/>
  <c r="U150" i="4"/>
  <c r="T150" i="4"/>
  <c r="S150" i="4"/>
  <c r="R150" i="4"/>
  <c r="U149" i="4"/>
  <c r="T149" i="4"/>
  <c r="S149" i="4"/>
  <c r="R149" i="4"/>
  <c r="U148" i="4"/>
  <c r="T148" i="4"/>
  <c r="S148" i="4"/>
  <c r="R148" i="4"/>
  <c r="U147" i="4"/>
  <c r="T147" i="4"/>
  <c r="S147" i="4"/>
  <c r="R147" i="4"/>
  <c r="U146" i="4"/>
  <c r="T146" i="4"/>
  <c r="S146" i="4"/>
  <c r="R146" i="4"/>
  <c r="U145" i="4"/>
  <c r="T145" i="4"/>
  <c r="S145" i="4"/>
  <c r="R145" i="4"/>
  <c r="O145" i="4"/>
  <c r="L145" i="4"/>
  <c r="J145" i="4"/>
  <c r="U144" i="4"/>
  <c r="T144" i="4"/>
  <c r="S144" i="4"/>
  <c r="R144" i="4"/>
  <c r="U143" i="4"/>
  <c r="T143" i="4"/>
  <c r="S143" i="4"/>
  <c r="R143" i="4"/>
  <c r="U142" i="4"/>
  <c r="T142" i="4"/>
  <c r="S142" i="4"/>
  <c r="R142" i="4"/>
  <c r="U141" i="4"/>
  <c r="T141" i="4"/>
  <c r="S141" i="4"/>
  <c r="R141" i="4"/>
  <c r="U140" i="4"/>
  <c r="T140" i="4"/>
  <c r="S140" i="4"/>
  <c r="R140" i="4"/>
  <c r="U139" i="4"/>
  <c r="T139" i="4"/>
  <c r="S139" i="4"/>
  <c r="R139" i="4"/>
  <c r="O139" i="4"/>
  <c r="L139" i="4"/>
  <c r="J139" i="4"/>
  <c r="U138" i="4"/>
  <c r="T138" i="4"/>
  <c r="S138" i="4"/>
  <c r="R138" i="4"/>
  <c r="U137" i="4"/>
  <c r="T137" i="4"/>
  <c r="S137" i="4"/>
  <c r="R137" i="4"/>
  <c r="U136" i="4"/>
  <c r="T136" i="4"/>
  <c r="S136" i="4"/>
  <c r="R136" i="4"/>
  <c r="U135" i="4"/>
  <c r="T135" i="4"/>
  <c r="S135" i="4"/>
  <c r="R135" i="4"/>
  <c r="U134" i="4"/>
  <c r="T134" i="4"/>
  <c r="S134" i="4"/>
  <c r="R134" i="4"/>
  <c r="U133" i="4"/>
  <c r="T133" i="4"/>
  <c r="S133" i="4"/>
  <c r="R133" i="4"/>
  <c r="U132" i="4"/>
  <c r="T132" i="4"/>
  <c r="S132" i="4"/>
  <c r="R132" i="4"/>
  <c r="O132" i="4"/>
  <c r="L132" i="4"/>
  <c r="J132" i="4"/>
  <c r="U131" i="4"/>
  <c r="T131" i="4"/>
  <c r="S131" i="4"/>
  <c r="R131" i="4"/>
  <c r="U130" i="4"/>
  <c r="T130" i="4"/>
  <c r="S130" i="4"/>
  <c r="R130" i="4"/>
  <c r="U129" i="4"/>
  <c r="T129" i="4"/>
  <c r="S129" i="4"/>
  <c r="R129" i="4"/>
  <c r="U128" i="4"/>
  <c r="T128" i="4"/>
  <c r="S128" i="4"/>
  <c r="R128" i="4"/>
  <c r="U127" i="4"/>
  <c r="T127" i="4"/>
  <c r="S127" i="4"/>
  <c r="R127" i="4"/>
  <c r="U126" i="4"/>
  <c r="T126" i="4"/>
  <c r="S126" i="4"/>
  <c r="U125" i="4"/>
  <c r="T125" i="4"/>
  <c r="S125" i="4"/>
  <c r="R125" i="4"/>
  <c r="U124" i="4"/>
  <c r="S124" i="4"/>
  <c r="U123" i="4"/>
  <c r="T123" i="4"/>
  <c r="S123" i="4"/>
  <c r="R123" i="4"/>
  <c r="U122" i="4"/>
  <c r="T122" i="4"/>
  <c r="S122" i="4"/>
  <c r="R122" i="4"/>
  <c r="U121" i="4"/>
  <c r="T121" i="4"/>
  <c r="S121" i="4"/>
  <c r="R121" i="4"/>
  <c r="U120" i="4"/>
  <c r="T120" i="4"/>
  <c r="S120" i="4"/>
  <c r="R120" i="4"/>
  <c r="U119" i="4"/>
  <c r="T119" i="4"/>
  <c r="S119" i="4"/>
  <c r="R119" i="4"/>
  <c r="U118" i="4"/>
  <c r="T118" i="4"/>
  <c r="S118" i="4"/>
  <c r="R118" i="4"/>
  <c r="U117" i="4"/>
  <c r="T117" i="4"/>
  <c r="S117" i="4"/>
  <c r="R117" i="4"/>
  <c r="U116" i="4"/>
  <c r="T116" i="4"/>
  <c r="S116" i="4"/>
  <c r="R116" i="4"/>
  <c r="U115" i="4"/>
  <c r="T115" i="4"/>
  <c r="S115" i="4"/>
  <c r="R115" i="4"/>
  <c r="U114" i="4"/>
  <c r="T114" i="4"/>
  <c r="S114" i="4"/>
  <c r="R114" i="4"/>
  <c r="U113" i="4"/>
  <c r="T113" i="4"/>
  <c r="S113" i="4"/>
  <c r="R113" i="4"/>
  <c r="U112" i="4"/>
  <c r="T112" i="4"/>
  <c r="S112" i="4"/>
  <c r="R112" i="4"/>
  <c r="U111" i="4"/>
  <c r="T111" i="4"/>
  <c r="S111" i="4"/>
  <c r="R111" i="4"/>
  <c r="U110" i="4"/>
  <c r="T110" i="4"/>
  <c r="S110" i="4"/>
  <c r="R110" i="4"/>
  <c r="U109" i="4"/>
  <c r="T109" i="4"/>
  <c r="S109" i="4"/>
  <c r="R109" i="4"/>
  <c r="U108" i="4"/>
  <c r="T108" i="4"/>
  <c r="S108" i="4"/>
  <c r="R108" i="4"/>
  <c r="U107" i="4"/>
  <c r="T107" i="4"/>
  <c r="S107" i="4"/>
  <c r="R107" i="4"/>
  <c r="U106" i="4"/>
  <c r="T106" i="4"/>
  <c r="S106" i="4"/>
  <c r="R106" i="4"/>
  <c r="U105" i="4"/>
  <c r="T105" i="4"/>
  <c r="S105" i="4"/>
  <c r="R105" i="4"/>
  <c r="U104" i="4"/>
  <c r="T104" i="4"/>
  <c r="S104" i="4"/>
  <c r="R104" i="4"/>
  <c r="U103" i="4"/>
  <c r="T103" i="4"/>
  <c r="S103" i="4"/>
  <c r="R103" i="4"/>
  <c r="U102" i="4"/>
  <c r="T102" i="4"/>
  <c r="S102" i="4"/>
  <c r="R102" i="4"/>
  <c r="U101" i="4"/>
  <c r="T101" i="4"/>
  <c r="S101" i="4"/>
  <c r="R101" i="4"/>
  <c r="U100" i="4"/>
  <c r="T100" i="4"/>
  <c r="S100" i="4"/>
  <c r="R100" i="4"/>
  <c r="U99" i="4"/>
  <c r="T99" i="4"/>
  <c r="S99" i="4"/>
  <c r="R99" i="4"/>
  <c r="U98" i="4"/>
  <c r="T98" i="4"/>
  <c r="S98" i="4"/>
  <c r="R98" i="4"/>
  <c r="U97" i="4"/>
  <c r="T97" i="4"/>
  <c r="S97" i="4"/>
  <c r="R97" i="4"/>
  <c r="U96" i="4"/>
  <c r="T96" i="4"/>
  <c r="S96" i="4"/>
  <c r="R96" i="4"/>
  <c r="U95" i="4"/>
  <c r="T95" i="4"/>
  <c r="S95" i="4"/>
  <c r="R95" i="4"/>
  <c r="O95" i="4"/>
  <c r="L95" i="4"/>
  <c r="J95" i="4"/>
  <c r="U94" i="4"/>
  <c r="T94" i="4"/>
  <c r="S94" i="4"/>
  <c r="R94" i="4"/>
  <c r="U93" i="4"/>
  <c r="T93" i="4"/>
  <c r="S93" i="4"/>
  <c r="R93" i="4"/>
  <c r="U92" i="4"/>
  <c r="T92" i="4"/>
  <c r="S92" i="4"/>
  <c r="R92" i="4"/>
  <c r="U91" i="4"/>
  <c r="T91" i="4"/>
  <c r="S91" i="4"/>
  <c r="R91" i="4"/>
  <c r="U90" i="4"/>
  <c r="T90" i="4"/>
  <c r="S90" i="4"/>
  <c r="R90" i="4"/>
  <c r="U89" i="4"/>
  <c r="T89" i="4"/>
  <c r="S89" i="4"/>
  <c r="R89" i="4"/>
  <c r="O89" i="4"/>
  <c r="L89" i="4"/>
  <c r="J89" i="4"/>
  <c r="U88" i="4"/>
  <c r="T88" i="4"/>
  <c r="S88" i="4"/>
  <c r="R88" i="4"/>
  <c r="U87" i="4"/>
  <c r="T87" i="4"/>
  <c r="S87" i="4"/>
  <c r="R87" i="4"/>
  <c r="U86" i="4"/>
  <c r="T86" i="4"/>
  <c r="S86" i="4"/>
  <c r="R86" i="4"/>
  <c r="U85" i="4"/>
  <c r="T85" i="4"/>
  <c r="S85" i="4"/>
  <c r="R85" i="4"/>
  <c r="U84" i="4"/>
  <c r="T84" i="4"/>
  <c r="S84" i="4"/>
  <c r="R84" i="4"/>
  <c r="U83" i="4"/>
  <c r="T83" i="4"/>
  <c r="S83" i="4"/>
  <c r="R83" i="4"/>
  <c r="U82" i="4"/>
  <c r="T82" i="4"/>
  <c r="S82" i="4"/>
  <c r="R82" i="4"/>
  <c r="U81" i="4"/>
  <c r="T81" i="4"/>
  <c r="S81" i="4"/>
  <c r="R81" i="4"/>
  <c r="U80" i="4"/>
  <c r="T80" i="4"/>
  <c r="S80" i="4"/>
  <c r="R80" i="4"/>
  <c r="U79" i="4"/>
  <c r="T79" i="4"/>
  <c r="S79" i="4"/>
  <c r="R79" i="4"/>
  <c r="U78" i="4"/>
  <c r="T78" i="4"/>
  <c r="S78" i="4"/>
  <c r="R78" i="4"/>
  <c r="U77" i="4"/>
  <c r="T77" i="4"/>
  <c r="S77" i="4"/>
  <c r="R77" i="4"/>
  <c r="U76" i="4"/>
  <c r="T76" i="4"/>
  <c r="S76" i="4"/>
  <c r="R76" i="4"/>
  <c r="O76" i="4"/>
  <c r="L76" i="4"/>
  <c r="J76" i="4"/>
  <c r="U75" i="4"/>
  <c r="T75" i="4"/>
  <c r="S75" i="4"/>
  <c r="R75" i="4"/>
  <c r="U74" i="4"/>
  <c r="T74" i="4"/>
  <c r="S74" i="4"/>
  <c r="R74" i="4"/>
  <c r="T73" i="4"/>
  <c r="S73" i="4"/>
  <c r="R73" i="4"/>
  <c r="U72" i="4"/>
  <c r="T72" i="4"/>
  <c r="S72" i="4"/>
  <c r="R72" i="4"/>
  <c r="U71" i="4"/>
  <c r="T71" i="4"/>
  <c r="S71" i="4"/>
  <c r="R71" i="4"/>
  <c r="U70" i="4"/>
  <c r="T70" i="4"/>
  <c r="S70" i="4"/>
  <c r="R70" i="4"/>
  <c r="U69" i="4"/>
  <c r="T69" i="4"/>
  <c r="S69" i="4"/>
  <c r="R69" i="4"/>
  <c r="U68" i="4"/>
  <c r="T68" i="4"/>
  <c r="S68" i="4"/>
  <c r="R68" i="4"/>
  <c r="O68" i="4"/>
  <c r="L68" i="4"/>
  <c r="J68" i="4"/>
  <c r="U67" i="4"/>
  <c r="T67" i="4"/>
  <c r="S67" i="4"/>
  <c r="R67" i="4"/>
  <c r="U66" i="4"/>
  <c r="T66" i="4"/>
  <c r="S66" i="4"/>
  <c r="R66" i="4"/>
  <c r="U65" i="4"/>
  <c r="T65" i="4"/>
  <c r="S65" i="4"/>
  <c r="R65" i="4"/>
  <c r="U64" i="4"/>
  <c r="T64" i="4"/>
  <c r="S64" i="4"/>
  <c r="R64" i="4"/>
  <c r="U63" i="4"/>
  <c r="T63" i="4"/>
  <c r="S63" i="4"/>
  <c r="R63" i="4"/>
  <c r="U62" i="4"/>
  <c r="T62" i="4"/>
  <c r="S62" i="4"/>
  <c r="R62" i="4"/>
  <c r="U61" i="4"/>
  <c r="T61" i="4"/>
  <c r="S61" i="4"/>
  <c r="R61" i="4"/>
  <c r="U60" i="4"/>
  <c r="T60" i="4"/>
  <c r="S60" i="4"/>
  <c r="R60" i="4"/>
  <c r="U59" i="4"/>
  <c r="T59" i="4"/>
  <c r="S59" i="4"/>
  <c r="R59" i="4"/>
  <c r="U58" i="4"/>
  <c r="T58" i="4"/>
  <c r="S58" i="4"/>
  <c r="R58" i="4"/>
  <c r="U57" i="4"/>
  <c r="T57" i="4"/>
  <c r="S57" i="4"/>
  <c r="R57" i="4"/>
  <c r="U56" i="4"/>
  <c r="T56" i="4"/>
  <c r="S56" i="4"/>
  <c r="R56" i="4"/>
  <c r="U55" i="4"/>
  <c r="T55" i="4"/>
  <c r="S55" i="4"/>
  <c r="R55" i="4"/>
  <c r="U54" i="4"/>
  <c r="T54" i="4"/>
  <c r="S54" i="4"/>
  <c r="R54" i="4"/>
  <c r="U53" i="4"/>
  <c r="T53" i="4"/>
  <c r="S53" i="4"/>
  <c r="R53" i="4"/>
  <c r="U52" i="4"/>
  <c r="T52" i="4"/>
  <c r="S52" i="4"/>
  <c r="R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O47" i="4"/>
  <c r="L47" i="4"/>
  <c r="J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O20" i="4"/>
  <c r="L20" i="4"/>
  <c r="K20" i="4"/>
  <c r="J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O14" i="4"/>
  <c r="L14" i="4"/>
  <c r="J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U6" i="4"/>
  <c r="T6" i="4"/>
  <c r="S6" i="4"/>
  <c r="R6" i="4"/>
  <c r="U5" i="4"/>
  <c r="T5" i="4"/>
  <c r="S5" i="4"/>
  <c r="R5" i="4"/>
  <c r="U4" i="4"/>
  <c r="T4" i="4"/>
  <c r="R4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U3" i="4"/>
  <c r="T3" i="4"/>
  <c r="S3" i="4"/>
  <c r="R3" i="4"/>
  <c r="A18" i="9"/>
  <c r="A19" i="9" s="1"/>
  <c r="A20" i="9" s="1"/>
  <c r="A21" i="9" s="1"/>
  <c r="A22" i="9" s="1"/>
  <c r="A23" i="9" s="1"/>
  <c r="A24" i="9" s="1"/>
  <c r="A25" i="9" s="1"/>
  <c r="A26" i="9" s="1"/>
  <c r="C265" i="6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264" i="6"/>
  <c r="C261" i="6"/>
  <c r="C262" i="6" s="1"/>
  <c r="C263" i="6" s="1"/>
  <c r="C257" i="6"/>
  <c r="C258" i="6" s="1"/>
  <c r="C259" i="6" s="1"/>
  <c r="C256" i="6"/>
  <c r="C247" i="6"/>
  <c r="C248" i="6" s="1"/>
  <c r="C249" i="6" s="1"/>
  <c r="C250" i="6" s="1"/>
  <c r="C251" i="6" s="1"/>
  <c r="C252" i="6" s="1"/>
  <c r="C253" i="6" s="1"/>
  <c r="C254" i="6" s="1"/>
  <c r="C234" i="6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25" i="6"/>
  <c r="C226" i="6" s="1"/>
  <c r="C227" i="6" s="1"/>
  <c r="C228" i="6" s="1"/>
  <c r="C229" i="6" s="1"/>
  <c r="C230" i="6" s="1"/>
  <c r="C231" i="6" s="1"/>
  <c r="C232" i="6" s="1"/>
  <c r="C233" i="6" s="1"/>
  <c r="C223" i="6"/>
  <c r="C224" i="6" s="1"/>
  <c r="C219" i="6"/>
  <c r="C220" i="6" s="1"/>
  <c r="C221" i="6" s="1"/>
  <c r="C222" i="6" s="1"/>
  <c r="B259" i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256" i="1"/>
  <c r="B257" i="1" s="1"/>
  <c r="B258" i="1" s="1"/>
  <c r="B255" i="1"/>
  <c r="B254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Hu</author>
  </authors>
  <commentList>
    <comment ref="G20" authorId="0" shapeId="0" xr:uid="{B4D0AFD1-E493-4FB3-98D0-26FD54F1CBA6}">
      <text>
        <r>
          <rPr>
            <b/>
            <sz val="9"/>
            <color indexed="81"/>
            <rFont val="Tahoma"/>
            <family val="2"/>
          </rPr>
          <t xml:space="preserve">
恒业影业（北京）有限公司 </t>
        </r>
      </text>
    </comment>
    <comment ref="G39" authorId="0" shapeId="0" xr:uid="{2D66337B-910D-4592-AB4A-640064418B34}">
      <text>
        <r>
          <rPr>
            <b/>
            <sz val="9"/>
            <color indexed="81"/>
            <rFont val="Tahoma"/>
            <family val="2"/>
          </rPr>
          <t xml:space="preserve">
中国电影股份有限公司、五洲电影发行有限公司、北京光线影业有限公司等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40" authorId="0" shapeId="0" xr:uid="{0A4C788A-64CB-4F7C-89C8-90F98099F74B}">
      <text>
        <r>
          <rPr>
            <b/>
            <sz val="9"/>
            <color indexed="81"/>
            <rFont val="Tahoma"/>
            <family val="2"/>
          </rPr>
          <t>中国电影股份有限公司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" authorId="0" shapeId="0" xr:uid="{7182566A-0463-4E7D-9373-DB191F3177B1}">
      <text>
        <r>
          <rPr>
            <b/>
            <sz val="9"/>
            <color indexed="81"/>
            <rFont val="Tahoma"/>
            <family val="2"/>
          </rPr>
          <t>大德影业(天津)有限公司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1" authorId="0" shapeId="0" xr:uid="{E4287894-582A-4293-B2D4-785020A7B6F2}">
      <text>
        <r>
          <rPr>
            <b/>
            <sz val="9"/>
            <color indexed="81"/>
            <rFont val="Tahoma"/>
            <family val="2"/>
          </rPr>
          <t>浙江开心麻花影业有限公司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" authorId="0" shapeId="0" xr:uid="{8FC7DAFF-8D91-46B4-93C0-9136FEF59E14}">
      <text>
        <r>
          <rPr>
            <b/>
            <sz val="9"/>
            <color indexed="81"/>
            <rFont val="Tahoma"/>
            <family val="2"/>
          </rPr>
          <t>阿里巴巴影业（北京）有限公司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9" authorId="0" shapeId="0" xr:uid="{A88733FF-F26C-46E8-80C9-21786B85FC84}">
      <text>
        <r>
          <rPr>
            <sz val="9"/>
            <color indexed="81"/>
            <rFont val="Tahoma"/>
            <family val="2"/>
          </rPr>
          <t xml:space="preserve">合肥千里文化
</t>
        </r>
      </text>
    </comment>
    <comment ref="G69" authorId="0" shapeId="0" xr:uid="{EEB71B1B-6052-4702-ADCB-0D874BF4F1B5}">
      <text>
        <r>
          <rPr>
            <b/>
            <sz val="9"/>
            <color indexed="81"/>
            <rFont val="Tahoma"/>
            <family val="2"/>
          </rPr>
          <t>高先发行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3" authorId="0" shapeId="0" xr:uid="{E5BC0C39-FA67-4A2C-838E-351C7D30846C}">
      <text>
        <r>
          <rPr>
            <b/>
            <sz val="9"/>
            <color indexed="81"/>
            <rFont val="Tahoma"/>
            <family val="2"/>
          </rPr>
          <t>上海思远影视文化传播有限公司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 xr:uid="{8856A7C1-8C1C-4572-AC16-0E71A588242D}">
      <text>
        <r>
          <rPr>
            <b/>
            <sz val="9"/>
            <color indexed="81"/>
            <rFont val="Tahoma"/>
            <family val="2"/>
          </rPr>
          <t>合肥泰尚文化科技有限公司</t>
        </r>
      </text>
    </comment>
    <comment ref="G167" authorId="0" shapeId="0" xr:uid="{21809D35-33EC-4860-9F22-E81BA9AC683A}">
      <text>
        <r>
          <rPr>
            <b/>
            <sz val="9"/>
            <color indexed="81"/>
            <rFont val="Tahoma"/>
            <family val="2"/>
          </rPr>
          <t>深圳市东方明星谷影视文化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73" authorId="0" shapeId="0" xr:uid="{955E8814-4EF2-465D-832A-F54743514EEF}">
      <text>
        <r>
          <rPr>
            <b/>
            <sz val="9"/>
            <color indexed="81"/>
            <rFont val="Tahoma"/>
            <family val="2"/>
          </rPr>
          <t>优酷电影有限公司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7" authorId="0" shapeId="0" xr:uid="{044B326A-2824-48A8-A465-4DD0B4CE57BA}">
      <text>
        <r>
          <rPr>
            <b/>
            <sz val="9"/>
            <color indexed="81"/>
            <rFont val="Tahoma"/>
            <family val="2"/>
          </rPr>
          <t>中共陕西省委宣传部</t>
        </r>
      </text>
    </comment>
    <comment ref="G194" authorId="0" shapeId="0" xr:uid="{B99676A1-159D-4DF4-8AFB-E5004861409D}">
      <text>
        <r>
          <rPr>
            <b/>
            <sz val="9"/>
            <color indexed="81"/>
            <rFont val="Tahoma"/>
            <family val="2"/>
          </rPr>
          <t>北京斓景盛世文化传媒有限公司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Hu</author>
  </authors>
  <commentList>
    <comment ref="D9" authorId="0" shapeId="0" xr:uid="{0D9AE02E-FF30-4F34-81A0-A78D28BFD81B}">
      <text>
        <r>
          <rPr>
            <b/>
            <sz val="9"/>
            <color indexed="81"/>
            <rFont val="Tahoma"/>
            <family val="2"/>
          </rPr>
          <t xml:space="preserve">
恒业影业（北京）有限公司 </t>
        </r>
      </text>
    </comment>
    <comment ref="D10" authorId="0" shapeId="0" xr:uid="{DDF43361-2CAE-45C7-83C2-195FC23C5B0D}">
      <text>
        <r>
          <rPr>
            <b/>
            <sz val="9"/>
            <color indexed="81"/>
            <rFont val="Tahoma"/>
            <family val="2"/>
          </rPr>
          <t xml:space="preserve">
中国电影股份有限公司、五洲电影发行有限公司、北京光线影业有限公司等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 xr:uid="{34A8465E-914C-4581-A1EC-83FD68812CE5}">
      <text>
        <r>
          <rPr>
            <b/>
            <sz val="9"/>
            <color indexed="81"/>
            <rFont val="Tahoma"/>
            <family val="2"/>
          </rPr>
          <t>大德影业(天津)有限公司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558F5A34-D4C0-44E1-B470-E906B18A9F0C}">
      <text>
        <r>
          <rPr>
            <b/>
            <sz val="9"/>
            <color indexed="81"/>
            <rFont val="Tahoma"/>
            <family val="2"/>
          </rPr>
          <t>浙江开心麻花影业有限公司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8B149452-81B5-4250-9B6B-66EB35D49DA8}">
      <text>
        <r>
          <rPr>
            <b/>
            <sz val="9"/>
            <color indexed="81"/>
            <rFont val="Tahoma"/>
            <family val="2"/>
          </rPr>
          <t>阿里巴巴影业（北京）有限公司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E1BD7514-09A0-46F7-9052-3C5453987A22}">
      <text>
        <r>
          <rPr>
            <sz val="9"/>
            <color indexed="81"/>
            <rFont val="Tahoma"/>
            <family val="2"/>
          </rPr>
          <t xml:space="preserve">合肥千里文化
</t>
        </r>
      </text>
    </comment>
    <comment ref="D16" authorId="0" shapeId="0" xr:uid="{A9055D39-C594-429B-BB26-7D70504A0331}">
      <text>
        <r>
          <rPr>
            <b/>
            <sz val="9"/>
            <color indexed="81"/>
            <rFont val="Tahoma"/>
            <family val="2"/>
          </rPr>
          <t>高先发行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" authorId="0" shapeId="0" xr:uid="{A861F1FF-C9EA-4D12-AE35-05735BB4960F}">
      <text>
        <r>
          <rPr>
            <b/>
            <sz val="9"/>
            <color indexed="81"/>
            <rFont val="Tahoma"/>
            <family val="2"/>
          </rPr>
          <t>上海思远影视文化传播有限公司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 shapeId="0" xr:uid="{C37F60E8-B7EC-4B0A-B746-DBB310DCC8AB}">
      <text>
        <r>
          <rPr>
            <b/>
            <sz val="9"/>
            <color indexed="81"/>
            <rFont val="Tahoma"/>
            <family val="2"/>
          </rPr>
          <t>合肥泰尚文化科技有限公司</t>
        </r>
      </text>
    </comment>
    <comment ref="D19" authorId="0" shapeId="0" xr:uid="{6AAA199A-B93B-407E-BABD-7293E031E1EA}">
      <text>
        <r>
          <rPr>
            <b/>
            <sz val="9"/>
            <color indexed="81"/>
            <rFont val="Tahoma"/>
            <family val="2"/>
          </rPr>
          <t>深圳市东方明星谷影视文化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6EC0CD4D-BCAB-4699-947D-B5C5154EC31A}">
      <text>
        <r>
          <rPr>
            <b/>
            <sz val="9"/>
            <color indexed="81"/>
            <rFont val="Tahoma"/>
            <family val="2"/>
          </rPr>
          <t>优酷电影有限公司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 shapeId="0" xr:uid="{A44BF6BF-0E4E-46D8-BD53-F0EEA91BE50C}">
      <text>
        <r>
          <rPr>
            <b/>
            <sz val="9"/>
            <color indexed="81"/>
            <rFont val="Tahoma"/>
            <family val="2"/>
          </rPr>
          <t>中共陕西省委宣传部</t>
        </r>
      </text>
    </comment>
    <comment ref="D22" authorId="0" shapeId="0" xr:uid="{797594E9-27D9-45C1-8BB2-08C1D2F298E8}">
      <text>
        <r>
          <rPr>
            <b/>
            <sz val="9"/>
            <color indexed="81"/>
            <rFont val="Tahoma"/>
            <family val="2"/>
          </rPr>
          <t>北京斓景盛世文化传媒有限公司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Hu</author>
  </authors>
  <commentList>
    <comment ref="G20" authorId="0" shapeId="0" xr:uid="{52AA9747-7D1B-4411-8A7E-98E9360DB6B1}">
      <text>
        <r>
          <rPr>
            <b/>
            <sz val="9"/>
            <color indexed="81"/>
            <rFont val="Tahoma"/>
            <family val="2"/>
          </rPr>
          <t xml:space="preserve">
恒业影业（北京）有限公司 </t>
        </r>
      </text>
    </comment>
    <comment ref="G39" authorId="0" shapeId="0" xr:uid="{CC428305-1397-486B-8CD7-08B4579C8D82}">
      <text>
        <r>
          <rPr>
            <b/>
            <sz val="9"/>
            <color indexed="81"/>
            <rFont val="Tahoma"/>
            <family val="2"/>
          </rPr>
          <t xml:space="preserve">
中国电影股份有限公司、五洲电影发行有限公司、北京光线影业有限公司等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40" authorId="0" shapeId="0" xr:uid="{69EF1029-5AF1-472D-8BCA-BE2BA99D0FD5}">
      <text>
        <r>
          <rPr>
            <b/>
            <sz val="9"/>
            <color indexed="81"/>
            <rFont val="Tahoma"/>
            <family val="2"/>
          </rPr>
          <t>中国电影股份有限公司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" authorId="0" shapeId="0" xr:uid="{28D64110-33BC-43F5-8A43-8ACC957990CD}">
      <text>
        <r>
          <rPr>
            <b/>
            <sz val="9"/>
            <color indexed="81"/>
            <rFont val="Tahoma"/>
            <family val="2"/>
          </rPr>
          <t>大德影业(天津)有限公司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1" authorId="0" shapeId="0" xr:uid="{6B6CB401-2240-4690-ABFE-253DA53034A2}">
      <text>
        <r>
          <rPr>
            <b/>
            <sz val="9"/>
            <color indexed="81"/>
            <rFont val="Tahoma"/>
            <family val="2"/>
          </rPr>
          <t>浙江开心麻花影业有限公司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" authorId="0" shapeId="0" xr:uid="{68575154-F99C-492B-8C12-D2B2ADA5DBFB}">
      <text>
        <r>
          <rPr>
            <b/>
            <sz val="9"/>
            <color indexed="81"/>
            <rFont val="Tahoma"/>
            <family val="2"/>
          </rPr>
          <t>阿里巴巴影业（北京）有限公司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9" authorId="0" shapeId="0" xr:uid="{86DD3ADD-AFB4-42C3-8990-12D89AEF73CB}">
      <text>
        <r>
          <rPr>
            <sz val="9"/>
            <color indexed="81"/>
            <rFont val="Tahoma"/>
            <family val="2"/>
          </rPr>
          <t xml:space="preserve">合肥千里文化
</t>
        </r>
      </text>
    </comment>
    <comment ref="G69" authorId="0" shapeId="0" xr:uid="{BA0A39F6-F96F-4232-B5A4-ACC7CD331CD7}">
      <text>
        <r>
          <rPr>
            <b/>
            <sz val="9"/>
            <color indexed="81"/>
            <rFont val="Tahoma"/>
            <family val="2"/>
          </rPr>
          <t>高先发行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3" authorId="0" shapeId="0" xr:uid="{88FFEA4A-A20C-4433-80B9-F40BC7827433}">
      <text>
        <r>
          <rPr>
            <b/>
            <sz val="9"/>
            <color indexed="81"/>
            <rFont val="Tahoma"/>
            <family val="2"/>
          </rPr>
          <t>上海思远影视文化传播有限公司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 xr:uid="{831E6844-D14E-4346-BF60-FDE76C3652A1}">
      <text>
        <r>
          <rPr>
            <b/>
            <sz val="9"/>
            <color indexed="81"/>
            <rFont val="Tahoma"/>
            <family val="2"/>
          </rPr>
          <t>合肥泰尚文化科技有限公司</t>
        </r>
      </text>
    </comment>
    <comment ref="G167" authorId="0" shapeId="0" xr:uid="{75899C08-8012-48BD-93C9-8E7E31290AF5}">
      <text>
        <r>
          <rPr>
            <b/>
            <sz val="9"/>
            <color indexed="81"/>
            <rFont val="Tahoma"/>
            <family val="2"/>
          </rPr>
          <t>深圳市东方明星谷影视文化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73" authorId="0" shapeId="0" xr:uid="{143DA427-57AA-4966-86BC-8CC0DD21DAFF}">
      <text>
        <r>
          <rPr>
            <b/>
            <sz val="9"/>
            <color indexed="81"/>
            <rFont val="Tahoma"/>
            <family val="2"/>
          </rPr>
          <t>优酷电影有限公司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7" authorId="0" shapeId="0" xr:uid="{A6D40687-B586-4F18-A331-A4FE7DDEB63D}">
      <text>
        <r>
          <rPr>
            <b/>
            <sz val="9"/>
            <color indexed="81"/>
            <rFont val="Tahoma"/>
            <family val="2"/>
          </rPr>
          <t>中共陕西省委宣传部</t>
        </r>
      </text>
    </comment>
    <comment ref="G194" authorId="0" shapeId="0" xr:uid="{98D272C9-06E4-42EC-99B8-27D02336810B}">
      <text>
        <r>
          <rPr>
            <b/>
            <sz val="9"/>
            <color indexed="81"/>
            <rFont val="Tahoma"/>
            <family val="2"/>
          </rPr>
          <t>北京斓景盛世文化传媒有限公司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Hu</author>
  </authors>
  <commentList>
    <comment ref="M72" authorId="0" shapeId="0" xr:uid="{EAE3D411-4C5D-4EF2-A204-809DA4FE8781}">
      <text>
        <r>
          <rPr>
            <b/>
            <sz val="9"/>
            <color indexed="81"/>
            <rFont val="Tahoma"/>
            <family val="2"/>
          </rPr>
          <t>深圳市东方明星谷影视文化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8" authorId="0" shapeId="0" xr:uid="{2A33E0BB-F368-476D-AA63-18C6F226260A}">
      <text>
        <r>
          <rPr>
            <b/>
            <sz val="9"/>
            <color indexed="81"/>
            <rFont val="Tahoma"/>
            <family val="2"/>
          </rPr>
          <t>优酷电影有限公司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8" authorId="0" shapeId="0" xr:uid="{674CAABF-B9CD-43DA-8BE1-8A5D3BA2EB37}">
      <text>
        <r>
          <rPr>
            <b/>
            <sz val="9"/>
            <color indexed="81"/>
            <rFont val="Tahoma"/>
            <family val="2"/>
          </rPr>
          <t>北京斓景盛世文化传媒有限公司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<sst xmlns="http://schemas.openxmlformats.org/spreadsheetml/2006/main" count="32586" uniqueCount="3078">
  <si>
    <t>Year</t>
  </si>
  <si>
    <t>Total Movies Produced</t>
  </si>
  <si>
    <t>Total Worldwide Box Office</t>
  </si>
  <si>
    <t>Share</t>
  </si>
  <si>
    <t>Top-Grossing Movie</t>
  </si>
  <si>
    <t>Ba bai</t>
  </si>
  <si>
    <t>Ne Zha Zhi Mo Tong Jiang Shi</t>
  </si>
  <si>
    <t>Tang Ren Jie Tan An 2</t>
  </si>
  <si>
    <t>Zhan Lang 2</t>
  </si>
  <si>
    <t>Mei Ren Yu</t>
  </si>
  <si>
    <t>Zhuo yao ji</t>
  </si>
  <si>
    <t>Lucy</t>
  </si>
  <si>
    <t>Xi you xiang mo pian</t>
  </si>
  <si>
    <t>Ren zai jiong tu zhi tai jiong</t>
  </si>
  <si>
    <t>Jiàn Dang Wei Yè</t>
  </si>
  <si>
    <t>Fei Cheng Wu Rao 2</t>
  </si>
  <si>
    <t>Jiàn gúo dà yè</t>
  </si>
  <si>
    <t>The Dark Knight</t>
  </si>
  <si>
    <t>Se jie</t>
  </si>
  <si>
    <t>Kill Bill: Volume 2</t>
  </si>
  <si>
    <t>Balzac et la petite tailleuse chinoise</t>
  </si>
  <si>
    <t>The Transporter</t>
  </si>
  <si>
    <t xml:space="preserve"> </t>
  </si>
  <si>
    <t>Crouching Tiger, Hidden Dragon</t>
  </si>
  <si>
    <t>Hak Hap</t>
  </si>
  <si>
    <t>He liu</t>
  </si>
  <si>
    <t>Seven Years in Tibet</t>
  </si>
  <si>
    <t>Ashes of Time</t>
  </si>
  <si>
    <t>Yao a yao yao dao waipo qiao</t>
  </si>
  <si>
    <t>Qiu Ju da guan si</t>
  </si>
  <si>
    <t>Ba wang bie ji</t>
  </si>
  <si>
    <t>Gu ling jie shao nian sha ren shi jian</t>
  </si>
  <si>
    <t>Ah Fei Ching Chuen</t>
  </si>
  <si>
    <t>Eat a Bowl of Tea</t>
  </si>
  <si>
    <t>Ying Xiong Ben Se</t>
  </si>
  <si>
    <t>Qing mei zhu ma</t>
  </si>
  <si>
    <t>Indiana Jones and the Temple of Doom</t>
  </si>
  <si>
    <t>Shi Ye Sheng</t>
  </si>
  <si>
    <t>Shan zhong zhuan qi</t>
  </si>
  <si>
    <t>Master of the Flying Guillotine</t>
  </si>
  <si>
    <t>Ying chun ge zhi Fengbo</t>
  </si>
  <si>
    <t>The Sand Pebbles</t>
  </si>
  <si>
    <t>The Inn of the Sixth Happiness</t>
  </si>
  <si>
    <t>Yi jiang chun shui xiang dong liu</t>
  </si>
  <si>
    <t>China</t>
  </si>
  <si>
    <t>Hong Kong</t>
  </si>
  <si>
    <t>Taiwan</t>
  </si>
  <si>
    <t>Singapore</t>
  </si>
  <si>
    <t>Average Production Budget</t>
  </si>
  <si>
    <t>Mai Luren</t>
  </si>
  <si>
    <t>Xia Ban Chang</t>
  </si>
  <si>
    <t>Chasing the Present</t>
  </si>
  <si>
    <t>Yip Man 4</t>
  </si>
  <si>
    <t>Yi wen ding qing</t>
  </si>
  <si>
    <t>Wu Shuang</t>
  </si>
  <si>
    <t>Bi Bei Shang Geng Bei Shang De Gu Shi</t>
  </si>
  <si>
    <t>The Extraordinary Journey of the Fakir</t>
  </si>
  <si>
    <t>Yao Mao Zhuan</t>
  </si>
  <si>
    <t>DiDi's Dreams</t>
  </si>
  <si>
    <t>Pop Aye</t>
  </si>
  <si>
    <t>Xi You Ji zhi Sun Wu Kong San Da Bai Gu Jing</t>
  </si>
  <si>
    <t>Inside or Outside (China)</t>
  </si>
  <si>
    <t>Distance</t>
  </si>
  <si>
    <t>Yip Man 3</t>
  </si>
  <si>
    <t>Our Times</t>
  </si>
  <si>
    <t>Xi you ji: Da nao tian gong</t>
  </si>
  <si>
    <t>Jiao you</t>
  </si>
  <si>
    <t>Battle of the Damned</t>
  </si>
  <si>
    <t>The Taking of Tiger Mountain</t>
  </si>
  <si>
    <t>Jing cha gu shi er ling yi san</t>
  </si>
  <si>
    <t>Ai</t>
  </si>
  <si>
    <t>Ilo Ilo</t>
  </si>
  <si>
    <t>Shi Er Sheng Xiao</t>
  </si>
  <si>
    <t>Na xie nian, wo men yi qi zhui de nv hai</t>
  </si>
  <si>
    <t>Bait 3D</t>
  </si>
  <si>
    <t>Ip Man: Legend of the Grand Master</t>
  </si>
  <si>
    <t>Let's fall in love</t>
  </si>
  <si>
    <t>Qian bu gou yong II</t>
  </si>
  <si>
    <t>Three Kingdoms: Resurrection of the Dragon</t>
  </si>
  <si>
    <t>Chi Bi Juezhan Tianxia</t>
  </si>
  <si>
    <t>Astro Boy</t>
  </si>
  <si>
    <t>Gong fu guan lan</t>
  </si>
  <si>
    <t>Red Cliff</t>
  </si>
  <si>
    <t>???? (CJ7)</t>
  </si>
  <si>
    <t>Tian tang kou</t>
  </si>
  <si>
    <t>Coral Reef Adventure</t>
  </si>
  <si>
    <t>The Forbidden Kingdom</t>
  </si>
  <si>
    <t>TMNT</t>
  </si>
  <si>
    <t>Zui Hao De Shi Guang</t>
  </si>
  <si>
    <t>The Eye</t>
  </si>
  <si>
    <t>Man cheng jin dai huang jin jia</t>
  </si>
  <si>
    <t>The Touch</t>
  </si>
  <si>
    <t>Lan se da men</t>
  </si>
  <si>
    <t>The White Countess</t>
  </si>
  <si>
    <t>Jet Li's Hero</t>
  </si>
  <si>
    <t>Shiqi sui de dan che</t>
  </si>
  <si>
    <t>The Medallion</t>
  </si>
  <si>
    <t>Lan Yu</t>
  </si>
  <si>
    <t>Xing fu shi guang</t>
  </si>
  <si>
    <t>Iron Monkey</t>
  </si>
  <si>
    <t>Shadow Magic</t>
  </si>
  <si>
    <t>Pushing Hands</t>
  </si>
  <si>
    <t>Mr. Nice Guy</t>
  </si>
  <si>
    <t>The Ogre</t>
  </si>
  <si>
    <t>Heung Gong jai jo</t>
  </si>
  <si>
    <t>Sai yau gei: Yut gwong bou haap</t>
  </si>
  <si>
    <t>Rumble in the Bronx</t>
  </si>
  <si>
    <t>Kong bu fen zi</t>
  </si>
  <si>
    <t>Hong gao liang</t>
  </si>
  <si>
    <t>Tron</t>
  </si>
  <si>
    <t>The Last Emperor</t>
  </si>
  <si>
    <t>Ga yau hei si</t>
  </si>
  <si>
    <t>Teenage Mutant Ninja Turtles II: The Secret of the Ooze</t>
  </si>
  <si>
    <t>No Retreat, No Surrender 2</t>
  </si>
  <si>
    <t>The Protector</t>
  </si>
  <si>
    <t>Cannonball Run II</t>
  </si>
  <si>
    <t>Better Late Than Never</t>
  </si>
  <si>
    <t>Blade Runner</t>
  </si>
  <si>
    <t>The Cannonball Run</t>
  </si>
  <si>
    <t>The Big Brawl</t>
  </si>
  <si>
    <t>Enter the Dragon</t>
  </si>
  <si>
    <t>Movie</t>
  </si>
  <si>
    <t>Worldwide Language(s)</t>
  </si>
  <si>
    <t>Genre</t>
  </si>
  <si>
    <t>Production Budget</t>
  </si>
  <si>
    <t>Box Office to Date</t>
  </si>
  <si>
    <t>Mandarin</t>
  </si>
  <si>
    <t>Adventure</t>
  </si>
  <si>
    <t>Liu Lang Di Qiu</t>
  </si>
  <si>
    <t>Action</t>
  </si>
  <si>
    <t>Wo he wo de zu guo</t>
  </si>
  <si>
    <t>Drama</t>
  </si>
  <si>
    <t>Zhongguo jizhang</t>
  </si>
  <si>
    <t>Mandarin,</t>
  </si>
  <si>
    <t>Tibetan</t>
  </si>
  <si>
    <t>Feng Kuang De Wai Xing Ren</t>
  </si>
  <si>
    <t>Comedy</t>
  </si>
  <si>
    <t>Fei Chi Ren Sheng</t>
  </si>
  <si>
    <t>Lie huo ying xiong</t>
  </si>
  <si>
    <t>Shao Nian De Ni</t>
  </si>
  <si>
    <t>Wu Sha</t>
  </si>
  <si>
    <t>Pan Deng Zhe</t>
  </si>
  <si>
    <t>Yin He Bu Xi Ban</t>
  </si>
  <si>
    <t>Fan Tan Feng Bao 4</t>
  </si>
  <si>
    <t>Cantonese,</t>
  </si>
  <si>
    <t>Boonie Bears: Blast Into The Past</t>
  </si>
  <si>
    <t>English,</t>
  </si>
  <si>
    <t>Chong Ai</t>
  </si>
  <si>
    <t>Romantic Comedy</t>
  </si>
  <si>
    <t>Xin xijù zhi wáng</t>
  </si>
  <si>
    <t>Bai She: Yuan Qi</t>
  </si>
  <si>
    <t>Wo Wei Xiong Di Kuang</t>
  </si>
  <si>
    <t>Zhu Xian</t>
  </si>
  <si>
    <t>Da Ren Wu</t>
  </si>
  <si>
    <t>Thriller/Suspense</t>
  </si>
  <si>
    <t>Song of Youth</t>
  </si>
  <si>
    <t>Luo Xiaohei zhan ji</t>
  </si>
  <si>
    <t>Wei Da De Yuan Wang</t>
  </si>
  <si>
    <t>Warriors of Honor</t>
  </si>
  <si>
    <t>Da Yue Zai Dong Ji</t>
  </si>
  <si>
    <t>Liang Zhi Lao Hu</t>
  </si>
  <si>
    <t>Black Comedy</t>
  </si>
  <si>
    <t>Shou Yi Ren</t>
  </si>
  <si>
    <t>Nan Fang Che Zhan De Ju Hui</t>
  </si>
  <si>
    <t>Ban Ge Xi Ju</t>
  </si>
  <si>
    <t>Chen Mo Zheng Ren</t>
  </si>
  <si>
    <t>Tian Huo Wei Qing</t>
  </si>
  <si>
    <t>Zhi You Yun Zhi Dao</t>
  </si>
  <si>
    <t>Shéntàn púsong líng</t>
  </si>
  <si>
    <t>The Farewell</t>
  </si>
  <si>
    <t>Italian,</t>
  </si>
  <si>
    <t>Japanese,</t>
  </si>
  <si>
    <t>Xia Yi Ren: Qian Ren</t>
  </si>
  <si>
    <t>Xiao zhu pei qi guo da nian</t>
  </si>
  <si>
    <t>Shang Hai Bao Lei</t>
  </si>
  <si>
    <t>Jue Sheng Shi Ke</t>
  </si>
  <si>
    <t>Cui mian · cai jue</t>
  </si>
  <si>
    <t>Shu dan ying xiong</t>
  </si>
  <si>
    <t>Quan zhi gao shou zhi dian feng rong yao</t>
  </si>
  <si>
    <t>Bei Guang Zhua Zou De Ren</t>
  </si>
  <si>
    <t>Feng Zhong You Duo Yu Zuo De Yun</t>
  </si>
  <si>
    <t>Minuscule - Les mandibules du bout du monde</t>
  </si>
  <si>
    <t>Creole,</t>
  </si>
  <si>
    <t>French,</t>
  </si>
  <si>
    <t>Shi Dai Kuang Ren</t>
  </si>
  <si>
    <t>Ba Jie Chuan Shuo</t>
  </si>
  <si>
    <t>Chui Shao Ren</t>
  </si>
  <si>
    <t>Viy 2</t>
  </si>
  <si>
    <t>Russian</t>
  </si>
  <si>
    <t>Te Jing Dui</t>
  </si>
  <si>
    <t>Di jiu tian chang</t>
  </si>
  <si>
    <t>Documentary</t>
  </si>
  <si>
    <t>Die Xian</t>
  </si>
  <si>
    <t>Horror</t>
  </si>
  <si>
    <t>Ma Ge Shi Zuo Cheng</t>
  </si>
  <si>
    <t>Mayday Life</t>
  </si>
  <si>
    <t>Concert/Performance</t>
  </si>
  <si>
    <t>Wo Shi Xiong Shou</t>
  </si>
  <si>
    <t>Gu Tian Jun Hao</t>
  </si>
  <si>
    <t>Song of Love</t>
  </si>
  <si>
    <t>Ting Er Zou Xian</t>
  </si>
  <si>
    <t>Jie Fang Le</t>
  </si>
  <si>
    <t>Yi Sheng You Ni</t>
  </si>
  <si>
    <t>Dragon Force-Rise of Ultraman</t>
  </si>
  <si>
    <t>Tiao Wu Ba! Da Xiang</t>
  </si>
  <si>
    <t>Loli Pop in Fantasy</t>
  </si>
  <si>
    <t>The Secret of China</t>
  </si>
  <si>
    <t>Qin Ming . Sheng Si Yu Zhe</t>
  </si>
  <si>
    <t>Seer Movie 7: Crazy Intelligence</t>
  </si>
  <si>
    <t>Xue Bao</t>
  </si>
  <si>
    <t>Song Wo Shang Qing Yun</t>
  </si>
  <si>
    <t>Zhou Enlai</t>
  </si>
  <si>
    <t>Happy Little Submarine: Space Pals</t>
  </si>
  <si>
    <t>Shimajiro And The Fantastic Flying Ship</t>
  </si>
  <si>
    <t>Ru Ying Sui Xin</t>
  </si>
  <si>
    <t>Wo De Quan Wang Nan You</t>
  </si>
  <si>
    <t>Sheng Ye Shi Tang</t>
  </si>
  <si>
    <t>Su Ren te Gong</t>
  </si>
  <si>
    <t>Xiao xiàng guanjia</t>
  </si>
  <si>
    <t>Wu Kong Qi Yu Ji</t>
  </si>
  <si>
    <t>Kak ya stal russkim</t>
  </si>
  <si>
    <t>Chang An Dao</t>
  </si>
  <si>
    <t>Zao An Gong Zhu</t>
  </si>
  <si>
    <t>Bao Chi Chen Mo</t>
  </si>
  <si>
    <t>Towards The River Glorious</t>
  </si>
  <si>
    <t>Ba Zi</t>
  </si>
  <si>
    <t>Hui dao guo qu yong bao ni</t>
  </si>
  <si>
    <t>Wo De Qing Chun Dou Shi Ni</t>
  </si>
  <si>
    <t>Gou Yan Kan Ren Xin</t>
  </si>
  <si>
    <t>Back to Youth</t>
  </si>
  <si>
    <t>Nan Shen Xun Lian Ying</t>
  </si>
  <si>
    <t>Shuang Sheng</t>
  </si>
  <si>
    <t>Zhuan Xing Tan Huo</t>
  </si>
  <si>
    <t>Untold Body</t>
  </si>
  <si>
    <t>Jin Huang Cheng</t>
  </si>
  <si>
    <t>Made in China</t>
  </si>
  <si>
    <t>Bing Feng Bao</t>
  </si>
  <si>
    <t>The Moment Of The Sunrises</t>
  </si>
  <si>
    <t>Fanxiao</t>
  </si>
  <si>
    <t>Gui Xiang Jie</t>
  </si>
  <si>
    <t>Annyeong, Tirano: Yeongwonhi, Hamkke</t>
  </si>
  <si>
    <t>Four Springs</t>
  </si>
  <si>
    <t>Guo Chun Tian</t>
  </si>
  <si>
    <t>Da Meng Nan Wang</t>
  </si>
  <si>
    <t>Frog Prince Adventures</t>
  </si>
  <si>
    <t>Bian Hua Zhong De Zhong Guo: Sheng Huo Yin Ni Er Huo Re</t>
  </si>
  <si>
    <t>Ping Yuan Shang De Xia Luo Ke</t>
  </si>
  <si>
    <t>Hong Kong-Zhuhai-Macao Bridge</t>
  </si>
  <si>
    <t>Startups</t>
  </si>
  <si>
    <t>Guo Zhi Ge Zhe</t>
  </si>
  <si>
    <t>Da Zhen Tan</t>
  </si>
  <si>
    <t>Zui chang 1 qiang</t>
  </si>
  <si>
    <t>Yu Nian You Xi</t>
  </si>
  <si>
    <t>Multiple Genres</t>
  </si>
  <si>
    <t>Huan Ying Lai Dao Xiong Ren Zhen</t>
  </si>
  <si>
    <t>Yi Sheng Zhi Wei Yi Shi Lai</t>
  </si>
  <si>
    <t>Dou ai xiong ren zhen</t>
  </si>
  <si>
    <t>The Ghost in Well</t>
  </si>
  <si>
    <t>Fu xing gao zhao zhu xiao ba</t>
  </si>
  <si>
    <t>Zai Hu Ni</t>
  </si>
  <si>
    <t>Yin Yue Jia</t>
  </si>
  <si>
    <t>Feng kuang meng huan cheng</t>
  </si>
  <si>
    <t>Guo Li</t>
  </si>
  <si>
    <t>Step Up China</t>
  </si>
  <si>
    <t>Musical</t>
  </si>
  <si>
    <t>Heng Cai Ju Zhong Ju</t>
  </si>
  <si>
    <t>Ying huo qi bing 2: xiao chong bu hao re</t>
  </si>
  <si>
    <t>Tong Tong De Feng Ling Mi Shi</t>
  </si>
  <si>
    <t>Yang Tai Shang</t>
  </si>
  <si>
    <t>Flowers and songs</t>
  </si>
  <si>
    <t>Hui hou</t>
  </si>
  <si>
    <t>Shakuhachi: One Sound One Life</t>
  </si>
  <si>
    <t>Fire Works</t>
  </si>
  <si>
    <t>The Awakening Calling from Love</t>
  </si>
  <si>
    <t>Maizi de gaitou</t>
  </si>
  <si>
    <t>A Journey To The Seaside</t>
  </si>
  <si>
    <t>Magic Mirror 3</t>
  </si>
  <si>
    <t>Dong Wu Chu Ji</t>
  </si>
  <si>
    <t>Midnight Melody</t>
  </si>
  <si>
    <t>Property Master</t>
  </si>
  <si>
    <t>Wo De Chong Wu Shi Da Xiang</t>
  </si>
  <si>
    <t>Zhui Xiaong Shi Jiu Nian</t>
  </si>
  <si>
    <t>Ice Breaking</t>
  </si>
  <si>
    <t>Da Dao Li</t>
  </si>
  <si>
    <t>Think Big Big</t>
  </si>
  <si>
    <t>Shao Nu Su She</t>
  </si>
  <si>
    <t>Dang Wo Men Hao Kuo Tian Kong</t>
  </si>
  <si>
    <t>Yi Lu Ai Qing</t>
  </si>
  <si>
    <t>The Road To Hippie</t>
  </si>
  <si>
    <t>Neighbor</t>
  </si>
  <si>
    <t>Yi Qie Ru Ni</t>
  </si>
  <si>
    <t>Wu Shi Mi Zhi Lian</t>
  </si>
  <si>
    <t>Lan Se Sheng Si Lian</t>
  </si>
  <si>
    <t>Liu Yu Tian</t>
  </si>
  <si>
    <t>Once Upon a Time in China</t>
  </si>
  <si>
    <t>Na Yi Ye Wo Gei Ni Kai Guo Che</t>
  </si>
  <si>
    <t>Xue Qu Fang 72 Xiao Shi</t>
  </si>
  <si>
    <t>Ma Ma, Wo Xiang Ni</t>
  </si>
  <si>
    <t>Good boy and kongfu</t>
  </si>
  <si>
    <t>Gu Yao Mi Zong</t>
  </si>
  <si>
    <t>L'autre continent</t>
  </si>
  <si>
    <t>Dutch,</t>
  </si>
  <si>
    <t>Young Female Warrior</t>
  </si>
  <si>
    <t>Lao Gong Qu Na Le</t>
  </si>
  <si>
    <t>Sonora</t>
  </si>
  <si>
    <t>Spanish</t>
  </si>
  <si>
    <t>Western</t>
  </si>
  <si>
    <t>Love Doesn't Come Easy</t>
  </si>
  <si>
    <t>Save Your Soul</t>
  </si>
  <si>
    <t>The Tianchi Monster</t>
  </si>
  <si>
    <t>Highway 318</t>
  </si>
  <si>
    <t>Inferior Student Qiao Xi</t>
  </si>
  <si>
    <t>Mi Ju Fu Xiang</t>
  </si>
  <si>
    <t>Only Love Can Do This To Me</t>
  </si>
  <si>
    <t>Happy Little Submarines 4: Adventure of Octopus</t>
  </si>
  <si>
    <t>Hai Shang Fu Cheng</t>
  </si>
  <si>
    <t>You Ran Jian Nan Shan</t>
  </si>
  <si>
    <t>Qian Long Ju Ji</t>
  </si>
  <si>
    <t>Diamond Anxiety</t>
  </si>
  <si>
    <t>Dian Qi Jiao Jian Shuo Ai Ni</t>
  </si>
  <si>
    <t>Haimen Depths</t>
  </si>
  <si>
    <t>The Scapegoat</t>
  </si>
  <si>
    <t>Zui Mei De Di Fang Yu Jian Ni</t>
  </si>
  <si>
    <t>Ni Zui</t>
  </si>
  <si>
    <t>Ren mian yu: Hong yu xiao nuhai waizhuan</t>
  </si>
  <si>
    <t>Grace of Porridge</t>
  </si>
  <si>
    <t>Ru Hai Feng Yun</t>
  </si>
  <si>
    <t>Gong Hei Pat Poh</t>
  </si>
  <si>
    <t>Ying Ge Hun</t>
  </si>
  <si>
    <t>Adventure Journey</t>
  </si>
  <si>
    <t>Out of Crimes</t>
  </si>
  <si>
    <t>Ni Hao Xian Ren</t>
  </si>
  <si>
    <t>Wu Lin Gu Er</t>
  </si>
  <si>
    <t>Island of the Hungry Ghosts</t>
  </si>
  <si>
    <t>Persian</t>
  </si>
  <si>
    <t>Dating Times</t>
  </si>
  <si>
    <t>Lu Xing Gong Lu Zhi Que Ren Ni Shi Wo De Ren</t>
  </si>
  <si>
    <t>Country Far Away</t>
  </si>
  <si>
    <t>Yi Lu Feng Dian</t>
  </si>
  <si>
    <t>San Liu Yong Shi</t>
  </si>
  <si>
    <t>Ta Ta Ta Ta</t>
  </si>
  <si>
    <t>Fei Fan Ji Yi</t>
  </si>
  <si>
    <t>Love You</t>
  </si>
  <si>
    <t>Jiao Qu De Niao</t>
  </si>
  <si>
    <t>Yellow is Forbidden</t>
  </si>
  <si>
    <t>Tie Quan Xiong Xin</t>
  </si>
  <si>
    <t>Bei Dou Feng Yun</t>
  </si>
  <si>
    <t>Pear Blossom</t>
  </si>
  <si>
    <t>Conquering the demons of master</t>
  </si>
  <si>
    <t>Avenida Almirante Reis em 3 andamentos</t>
  </si>
  <si>
    <t>Portuguese</t>
  </si>
  <si>
    <t>Abduction</t>
  </si>
  <si>
    <t>Make America White Again</t>
  </si>
  <si>
    <t>Russian,</t>
  </si>
  <si>
    <t>Long Cang Shen Quan Wang Yin Lin</t>
  </si>
  <si>
    <t>The VelociPastor</t>
  </si>
  <si>
    <t>Korean,</t>
  </si>
  <si>
    <t>Liu Lian Sha</t>
  </si>
  <si>
    <t>Xing Fu Dao Wei Dao</t>
  </si>
  <si>
    <t>Hong Hai Xing Dong</t>
  </si>
  <si>
    <t>Wo Bi Shi Yao Shen</t>
  </si>
  <si>
    <t>Xi Hong Shi Shou Fu</t>
  </si>
  <si>
    <t>Zhuo yao ji 2</t>
  </si>
  <si>
    <t>Hou Lai De Wo Men</t>
  </si>
  <si>
    <t>Yi Chu Hao Xi</t>
  </si>
  <si>
    <t>How Long Will I Love U</t>
  </si>
  <si>
    <t>Wu Wen Xi Dong</t>
  </si>
  <si>
    <t>Huang Qiang Zou Ban</t>
  </si>
  <si>
    <t>Xi You Ji Nu Er Guo</t>
  </si>
  <si>
    <t>Xiong Chu Mei Zhi Bian Xing Ji</t>
  </si>
  <si>
    <t>Shou Ji Kuang Xiang</t>
  </si>
  <si>
    <t>Jing Zhou</t>
  </si>
  <si>
    <t>Play</t>
  </si>
  <si>
    <t>Di Ren Jie Zhi Si Da Tian Wang</t>
  </si>
  <si>
    <t>Li Cha De Gu Ma</t>
  </si>
  <si>
    <t>Xie Bu Ya Zheng</t>
  </si>
  <si>
    <t>Ai qing gong yu</t>
  </si>
  <si>
    <t>Dongwu shijie</t>
  </si>
  <si>
    <t>Li hai le, wo de guo</t>
  </si>
  <si>
    <t>Mu Hou Wan Jia</t>
  </si>
  <si>
    <t>Kuai Ba Wo Ge Dai Zou</t>
  </si>
  <si>
    <t>Bei Shang Ni Liu Cheng He</t>
  </si>
  <si>
    <t>Di Qiu Zui Hou De Ye Wang</t>
  </si>
  <si>
    <t>Zhao Dao Ni</t>
  </si>
  <si>
    <t>Gongjak</t>
  </si>
  <si>
    <t>Pan Zi Xinh Dong Dui</t>
  </si>
  <si>
    <t>Nan Ji Jue Lian</t>
  </si>
  <si>
    <t>Meng Chong Guo Jiang</t>
  </si>
  <si>
    <t>Zu Zong Shi Jiu Dai</t>
  </si>
  <si>
    <t>New Happy Dad and Son 3: Adventure in Russia</t>
  </si>
  <si>
    <t>Yun Nan Chong Gu Yunnan Valley</t>
  </si>
  <si>
    <t>Gu Jian Qi Tan Zhi Liu Yue Zhao Ming</t>
  </si>
  <si>
    <t>Ye Wen hui chuan: Zhang Tianzhi</t>
  </si>
  <si>
    <t>Oolong Courtyard:Kung Fu School</t>
  </si>
  <si>
    <t>Tian Qi Yu Bao</t>
  </si>
  <si>
    <t>21 Ke La</t>
  </si>
  <si>
    <t>Yugo &amp; Lala 4</t>
  </si>
  <si>
    <t>Xing Fu Ma Shang Lai</t>
  </si>
  <si>
    <t>Crystal Sky Of Yesterday</t>
  </si>
  <si>
    <t>Jiang hu er nv</t>
  </si>
  <si>
    <t>Ni Hao, Zhi Hua</t>
  </si>
  <si>
    <t>Cinderella and The Secret Prince</t>
  </si>
  <si>
    <t>Wu Lin Guai Shou</t>
  </si>
  <si>
    <t>The Adventure of Afanti</t>
  </si>
  <si>
    <t>Qian Ting Zong Dong Yuan: Hai Di Liang Wan Li</t>
  </si>
  <si>
    <t>Xie Mi Xing Zhe</t>
  </si>
  <si>
    <t>Long Xia Xing Jing</t>
  </si>
  <si>
    <t>Gui Mi 2</t>
  </si>
  <si>
    <t>Mao Yu Tao Hua Yuan</t>
  </si>
  <si>
    <t>Ying Xiong Ben Se 2018</t>
  </si>
  <si>
    <t>Bao Lie Wu Sheng</t>
  </si>
  <si>
    <t>Yu jian ni zhen hao</t>
  </si>
  <si>
    <t>7 Guardians of the Tomb</t>
  </si>
  <si>
    <t>Dog 13</t>
  </si>
  <si>
    <t>Duan Pian Er</t>
  </si>
  <si>
    <t>A Xiu Luo</t>
  </si>
  <si>
    <t>Proud of Me</t>
  </si>
  <si>
    <t>Tie Mu Zhen Chuan Shuo</t>
  </si>
  <si>
    <t>Wo Shi Ni Ma</t>
  </si>
  <si>
    <t>Tuo Dan Gao Ji</t>
  </si>
  <si>
    <t>Di Ya Cao</t>
  </si>
  <si>
    <t>Da Nao Xi You</t>
  </si>
  <si>
    <t>Qi Pa Duo Duo</t>
  </si>
  <si>
    <t>Jin Gui Zi</t>
  </si>
  <si>
    <t>Huai Ba Ba</t>
  </si>
  <si>
    <t>Bao Bei Er</t>
  </si>
  <si>
    <t>The Photographer</t>
  </si>
  <si>
    <t>Pao Fu Xiao Jie</t>
  </si>
  <si>
    <t>Zhong Guo He Huo Ren 2</t>
  </si>
  <si>
    <t>The Hidden Land: Back To No Man's Land In Northern Tibet</t>
  </si>
  <si>
    <t>Wo Shuo De Dou Shi Zhen De</t>
  </si>
  <si>
    <t>Zhong Guo Lan Kui</t>
  </si>
  <si>
    <t>Gong Fu Lian Meng</t>
  </si>
  <si>
    <t>Next Gen</t>
  </si>
  <si>
    <t>Mo jing qi yuan</t>
  </si>
  <si>
    <t>Wei Ni Xie Shi</t>
  </si>
  <si>
    <t>The Taste of Apple</t>
  </si>
  <si>
    <t>Yuan Qu De Mu Ge</t>
  </si>
  <si>
    <t>I Love Yangge Dance</t>
  </si>
  <si>
    <t>Jie Ma You Xi</t>
  </si>
  <si>
    <t>Shuo Zou Jiu Zou Zhi Bi Ye Lu Xing</t>
  </si>
  <si>
    <t>Chun Tian De Ma La Song</t>
  </si>
  <si>
    <t>Kung Food</t>
  </si>
  <si>
    <t>It’s March 3Rd Again</t>
  </si>
  <si>
    <t>You Lang</t>
  </si>
  <si>
    <t>Wei Ze Zhi Lu</t>
  </si>
  <si>
    <t>Xiang Gang Da Ying Jiu</t>
  </si>
  <si>
    <t>Rise of the Legend</t>
  </si>
  <si>
    <t>Hokkien,</t>
  </si>
  <si>
    <t>Malagasy,</t>
  </si>
  <si>
    <t>Mai Bing Bing</t>
  </si>
  <si>
    <t>Anthropocene: The Human Epoch</t>
  </si>
  <si>
    <t>German,</t>
  </si>
  <si>
    <t>Dài wo qù yuè qiú</t>
  </si>
  <si>
    <t>Do Not Miss It</t>
  </si>
  <si>
    <t>Xia Lu Xiang Feng</t>
  </si>
  <si>
    <t>Foodiverse</t>
  </si>
  <si>
    <t>Na Xie Nu Ren</t>
  </si>
  <si>
    <t>Ramen Teh</t>
  </si>
  <si>
    <t>Super Bear</t>
  </si>
  <si>
    <t>Love Trip</t>
  </si>
  <si>
    <t>Gei 19 Sui De Wo Zi Ji</t>
  </si>
  <si>
    <t>Wait Here</t>
  </si>
  <si>
    <t>Xi Bei Feng Yun</t>
  </si>
  <si>
    <t>Seek Mc Cartny</t>
  </si>
  <si>
    <t>From the Mountain a Smile</t>
  </si>
  <si>
    <t>S4 Xia Xiang Mo Ji</t>
  </si>
  <si>
    <t>Hei An Mi Gong</t>
  </si>
  <si>
    <t>You Beautify My Life</t>
  </si>
  <si>
    <t>Air Strike</t>
  </si>
  <si>
    <t>Da Shi Jie</t>
  </si>
  <si>
    <t>Sheng Nu Da Tao Wang</t>
  </si>
  <si>
    <t>Wu Ye You Ling</t>
  </si>
  <si>
    <t>Er Shi Sui</t>
  </si>
  <si>
    <t>Meng De Di Si Qu</t>
  </si>
  <si>
    <t>Si shi qing chun</t>
  </si>
  <si>
    <t>Wo Men De Qing Chun Sui Yue</t>
  </si>
  <si>
    <t>Lu Guo Wei Lai</t>
  </si>
  <si>
    <t>Horror Bathroom</t>
  </si>
  <si>
    <t>Midnight XII</t>
  </si>
  <si>
    <t>Inside the Boys</t>
  </si>
  <si>
    <t>Yin Yang Yan Zhi Tong Ling Gong Guan</t>
  </si>
  <si>
    <t>Kong Bu Kuai Di</t>
  </si>
  <si>
    <t>Mu Guang Ba Li</t>
  </si>
  <si>
    <t>San Guo Sha . Huan</t>
  </si>
  <si>
    <t>Panic: Ghost Apartment</t>
  </si>
  <si>
    <t>Ying Jiu Wang Xing Ren</t>
  </si>
  <si>
    <t>Rang Wo Zen Me Xiang Xin Ni</t>
  </si>
  <si>
    <t>The Ladybug</t>
  </si>
  <si>
    <t>Fake Partner</t>
  </si>
  <si>
    <t>Huang Cheng Ji</t>
  </si>
  <si>
    <t>Gu Mu Shou Ying</t>
  </si>
  <si>
    <t>Yi Ge Ren De Ke Tang</t>
  </si>
  <si>
    <t>Yin Guo Qi Shi Lu</t>
  </si>
  <si>
    <t>Disturbed Souls on Campus</t>
  </si>
  <si>
    <t>Mr. Big</t>
  </si>
  <si>
    <t>Jian Yu Quan Ji Hua</t>
  </si>
  <si>
    <t>Shi Kong Tou Du Shao Nu</t>
  </si>
  <si>
    <t>Life Is A Belief</t>
  </si>
  <si>
    <t>Kazakh,</t>
  </si>
  <si>
    <t>Tian Shang You Hai</t>
  </si>
  <si>
    <t>Bei Ji</t>
  </si>
  <si>
    <t>Save My Dogs</t>
  </si>
  <si>
    <t>Pao Cai Ai Shang Xiao Long Xia</t>
  </si>
  <si>
    <t>Catacombe</t>
  </si>
  <si>
    <t>You Wu Ge Jie Jie De Wo Jiu Zhu Ding Yao Dan Shen Le A!</t>
  </si>
  <si>
    <t>Joheunnal</t>
  </si>
  <si>
    <t>In the Underground</t>
  </si>
  <si>
    <t>The Family</t>
  </si>
  <si>
    <t>The Kiss Addict</t>
  </si>
  <si>
    <t>Yi Zhi Hun Yue</t>
  </si>
  <si>
    <t>Gui Hua</t>
  </si>
  <si>
    <t>Super Master &amp; Disciple</t>
  </si>
  <si>
    <t>Blood 13</t>
  </si>
  <si>
    <t>Qing Chun Bu Liu Bai</t>
  </si>
  <si>
    <t>Shi Kong Zhong Dian</t>
  </si>
  <si>
    <t>Jin Ji De Nan Hai</t>
  </si>
  <si>
    <t>Tian Xia Di Yi Biao Ju</t>
  </si>
  <si>
    <t>Po Meng You Xi Zhi Bu Xing Cheng</t>
  </si>
  <si>
    <t>Malan Flower Blooms</t>
  </si>
  <si>
    <t>Wo De Yingzi Zai Ben Pao</t>
  </si>
  <si>
    <t>Byootipool Deizu</t>
  </si>
  <si>
    <t>The Red Shield Pioneer</t>
  </si>
  <si>
    <t>Da Xue Dong Zhi</t>
  </si>
  <si>
    <t>Three Spaces</t>
  </si>
  <si>
    <t>Love of God</t>
  </si>
  <si>
    <t>Qi Pao Xian Sheng</t>
  </si>
  <si>
    <t>Source of Dreams</t>
  </si>
  <si>
    <t>K.G.F: Chapter 1</t>
  </si>
  <si>
    <t>Kannada,</t>
  </si>
  <si>
    <t>Malayalam,</t>
  </si>
  <si>
    <t>Tamil,</t>
  </si>
  <si>
    <t>Telugu</t>
  </si>
  <si>
    <t>Graduation Journey</t>
  </si>
  <si>
    <t>Looking for Goddess Jiao Ai</t>
  </si>
  <si>
    <t>Qin Zei Xian Qin Wang</t>
  </si>
  <si>
    <t>Wu Du Kong Jian</t>
  </si>
  <si>
    <t>People’s Republic of Desire</t>
  </si>
  <si>
    <t>Tian Lai Meng Xiang</t>
  </si>
  <si>
    <t>Da xiang xi di er zuo</t>
  </si>
  <si>
    <t>When Ge Sanghua Opened</t>
  </si>
  <si>
    <t>A Genius Professor</t>
  </si>
  <si>
    <t>Please Remember me</t>
  </si>
  <si>
    <t>Fly with the Crane</t>
  </si>
  <si>
    <t>Yi Ge Ren De Jiang Hu</t>
  </si>
  <si>
    <t>Shen Yu Tong Tian</t>
  </si>
  <si>
    <t>My Fading Childhood</t>
  </si>
  <si>
    <t>Zhi Xiang Hao Hao He Ni Zai Yi Qi</t>
  </si>
  <si>
    <t>The Cage of Time</t>
  </si>
  <si>
    <t>The Thief Who Stared at the Thief</t>
  </si>
  <si>
    <t>Dun Huang Bu Liao Qing</t>
  </si>
  <si>
    <t>Chu Zou De Nuo La</t>
  </si>
  <si>
    <t>Yao Gun Xiao Zi</t>
  </si>
  <si>
    <t>Maineland</t>
  </si>
  <si>
    <t>Ku Qian</t>
  </si>
  <si>
    <t>The Cloverfield Paradox</t>
  </si>
  <si>
    <t>Gong Fu Ji Qi Xia</t>
  </si>
  <si>
    <t>Cities of Last Things</t>
  </si>
  <si>
    <t>Qie Xiao Jin Jia De Lu Guan</t>
  </si>
  <si>
    <t>Late Life: The Chien-Ming Wang Story</t>
  </si>
  <si>
    <t>Fei chang dao</t>
  </si>
  <si>
    <t>Kuang tu</t>
  </si>
  <si>
    <t>Huang Fei Hong Zhi Sheng Hua Ren</t>
  </si>
  <si>
    <t>Source : https://www.the-numbers.com/movies/report-builder</t>
  </si>
  <si>
    <t>Active criteria</t>
  </si>
  <si>
    <t>Production Country: China</t>
  </si>
  <si>
    <t>Max Budget (mUSD): 400</t>
  </si>
  <si>
    <t>Min Release Year: 2019</t>
  </si>
  <si>
    <t>Max Release Year: 2019</t>
  </si>
  <si>
    <t>Min Release Month: 1</t>
  </si>
  <si>
    <t>Max Release Month: 6</t>
  </si>
  <si>
    <t>Max Runtime (min.): 983</t>
  </si>
  <si>
    <t>Max Opening Weekend (mUSD): 358</t>
  </si>
  <si>
    <t>Released</t>
  </si>
  <si>
    <t>Title</t>
  </si>
  <si>
    <t>Theatrical</t>
  </si>
  <si>
    <t>Distributor</t>
  </si>
  <si>
    <t>Production</t>
  </si>
  <si>
    <t>Budget</t>
  </si>
  <si>
    <t>Maximum</t>
  </si>
  <si>
    <t>Theaters</t>
  </si>
  <si>
    <t>Opening Weekend</t>
  </si>
  <si>
    <t>Revenue</t>
  </si>
  <si>
    <t>International</t>
  </si>
  <si>
    <t>Box Office</t>
  </si>
  <si>
    <t>Worldwide</t>
  </si>
  <si>
    <t>Theatrical Distributor</t>
  </si>
  <si>
    <t>Maximum Theaters</t>
  </si>
  <si>
    <t>Opening Weekend Revenue</t>
  </si>
  <si>
    <t>International Box office</t>
  </si>
  <si>
    <t>Worldwide Box Office</t>
  </si>
  <si>
    <t>Source</t>
  </si>
  <si>
    <t>Production Method</t>
  </si>
  <si>
    <t>Creative Type</t>
  </si>
  <si>
    <t>Jan 2, 2019</t>
  </si>
  <si>
    <t>Genesis 2.0</t>
  </si>
  <si>
    <t>KimStim</t>
  </si>
  <si>
    <t>Based on Real Life Events</t>
  </si>
  <si>
    <t>Live Action</t>
  </si>
  <si>
    <t>Factual</t>
  </si>
  <si>
    <t>Jan 4, 2019</t>
  </si>
  <si>
    <t>Well Go USA</t>
  </si>
  <si>
    <t>Based on Fiction Book/Short Story</t>
  </si>
  <si>
    <t>Fantasy</t>
  </si>
  <si>
    <t>Feb 5, 2019</t>
  </si>
  <si>
    <t>CMC Pictures</t>
  </si>
  <si>
    <t>Original Screenplay</t>
  </si>
  <si>
    <t>Science Fiction</t>
  </si>
  <si>
    <t>Feb 6, 2019</t>
  </si>
  <si>
    <t>STX Entertainment</t>
  </si>
  <si>
    <t>Based on TV</t>
  </si>
  <si>
    <t>Animation/Live Action</t>
  </si>
  <si>
    <t>Kids Fiction</t>
  </si>
  <si>
    <t>Feb 19, 2019</t>
  </si>
  <si>
    <t>Bing Feng Xia 2</t>
  </si>
  <si>
    <t>Mar 8, 2019</t>
  </si>
  <si>
    <t>Contemporary Fiction</t>
  </si>
  <si>
    <t>Mar 15, 2019</t>
  </si>
  <si>
    <t>Cohen Media Group</t>
  </si>
  <si>
    <t>Mar 19, 2019</t>
  </si>
  <si>
    <t>Triple Threat</t>
  </si>
  <si>
    <t>Apr 5, 2019</t>
  </si>
  <si>
    <t>Cinema Guild</t>
  </si>
  <si>
    <t>Apr 12, 2019</t>
  </si>
  <si>
    <t>Kino Lorber</t>
  </si>
  <si>
    <t>May 3, 2019</t>
  </si>
  <si>
    <t>China Lion Film Distribution</t>
  </si>
  <si>
    <t>May 28, 2019</t>
  </si>
  <si>
    <t>Jun 4, 2019</t>
  </si>
  <si>
    <t>Jun 11, 2019</t>
  </si>
  <si>
    <t>Norm of the North: King Sized Adventure</t>
  </si>
  <si>
    <t>Digital Animation</t>
  </si>
  <si>
    <t>Jun 14, 2019</t>
  </si>
  <si>
    <t>Boonie Bears: Entangled Worlds</t>
  </si>
  <si>
    <t>Viva Entertainment</t>
  </si>
  <si>
    <t>$77,072,06</t>
  </si>
  <si>
    <t>Min Release Month: 7</t>
  </si>
  <si>
    <t>Max Release Month: 9</t>
  </si>
  <si>
    <t>Jul 1, 2019</t>
  </si>
  <si>
    <t>Jul 19, 2019</t>
  </si>
  <si>
    <t>Aug 9, 2019</t>
  </si>
  <si>
    <t>Sony Pictures</t>
  </si>
  <si>
    <t>Aug 13, 2019</t>
  </si>
  <si>
    <t>Aug 16, 2019</t>
  </si>
  <si>
    <t>Shi Tu Xing Zhe 2 Die Ying Xing Dong</t>
  </si>
  <si>
    <t>Aug 20, 2019</t>
  </si>
  <si>
    <t>Aug 29, 2019</t>
  </si>
  <si>
    <t>Sep 13, 2019</t>
  </si>
  <si>
    <t>Hua Jiao Zhi Wei</t>
  </si>
  <si>
    <t>Sep 17, 2019</t>
  </si>
  <si>
    <t>Sep 20, 2019</t>
  </si>
  <si>
    <t>Sep 27, 2019</t>
  </si>
  <si>
    <t>Abominable</t>
  </si>
  <si>
    <t>Universal</t>
  </si>
  <si>
    <t>Sep 30, 2019</t>
  </si>
  <si>
    <t>Min Release Month: 10</t>
  </si>
  <si>
    <t>Max Release Month: 11</t>
  </si>
  <si>
    <t>Oct 1, 2019</t>
  </si>
  <si>
    <t>Historical Fiction</t>
  </si>
  <si>
    <t>Oct 8, 2019</t>
  </si>
  <si>
    <t>Oct 18, 2019</t>
  </si>
  <si>
    <t>Oct 29, 2019</t>
  </si>
  <si>
    <t>Nov 1, 2019</t>
  </si>
  <si>
    <t>Arctic Dogs</t>
  </si>
  <si>
    <t>Entertainment Studios Motion Pictures</t>
  </si>
  <si>
    <t>Nov 5, 2019</t>
  </si>
  <si>
    <t>Based on Folk Tale/Legend/Fairytale</t>
  </si>
  <si>
    <t>Nov 8, 2019</t>
  </si>
  <si>
    <t>Nov 15, 2019</t>
  </si>
  <si>
    <t>GKIDS</t>
  </si>
  <si>
    <t>Min Release Month: 12</t>
  </si>
  <si>
    <t>Max Release Month: 12</t>
  </si>
  <si>
    <t>Max Runtime (min.): 90</t>
  </si>
  <si>
    <t>Dec 13, 2019</t>
  </si>
  <si>
    <t>Chinese Portrait</t>
  </si>
  <si>
    <t>Dec 20, 2019</t>
  </si>
  <si>
    <t>Dec 31, 2019</t>
  </si>
  <si>
    <t>The Hero Battle</t>
  </si>
  <si>
    <t>Bi Xue Jin Yi Wei</t>
  </si>
  <si>
    <t>Kung Fu Town</t>
  </si>
  <si>
    <t>Hand Animation</t>
  </si>
  <si>
    <t>Deep Sea Rangers: Super Crystals</t>
  </si>
  <si>
    <t>China's Posts-00s</t>
  </si>
  <si>
    <t>Steel Soldiers</t>
  </si>
  <si>
    <t>Herons</t>
  </si>
  <si>
    <t>Close to Me and Warm You</t>
  </si>
  <si>
    <t>Jiong Ma</t>
  </si>
  <si>
    <t>Lie Hu Xing Dong</t>
  </si>
  <si>
    <t>Kiangnan 1894</t>
  </si>
  <si>
    <t>Lu Xing Gong Lu Zhi Que Ren Ni Shi Wo…</t>
  </si>
  <si>
    <t>Don't Walk Away</t>
  </si>
  <si>
    <t>Wo Zai Shi Jian Jin Tou Deng Ni</t>
  </si>
  <si>
    <t>Shanghai de nv er</t>
  </si>
  <si>
    <t>Huang Hua Tang</t>
  </si>
  <si>
    <t>Liao Junbo</t>
  </si>
  <si>
    <t>Hotel Império</t>
  </si>
  <si>
    <t>Spycies</t>
  </si>
  <si>
    <t>Yang Jing Yu</t>
  </si>
  <si>
    <t>Mosley</t>
  </si>
  <si>
    <t>Zhong Guo Nu Pai</t>
  </si>
  <si>
    <t>My Little Friends and I</t>
  </si>
  <si>
    <t>The 22th Shanghai International Film …</t>
  </si>
  <si>
    <t>Compilation</t>
  </si>
  <si>
    <t>Multiple Production Methods</t>
  </si>
  <si>
    <t>Multiple Creative Types</t>
  </si>
  <si>
    <t>Zong Shi Ye Wen</t>
  </si>
  <si>
    <t>Battle of the Dream</t>
  </si>
  <si>
    <t>Dramatization</t>
  </si>
  <si>
    <t>Cat Princess</t>
  </si>
  <si>
    <t>Coded Bias</t>
  </si>
  <si>
    <t>Maker Brother</t>
  </si>
  <si>
    <t>Tang Ren Jie Tan An 3</t>
  </si>
  <si>
    <t>Very Smart Very Lucky</t>
  </si>
  <si>
    <t>Ji Xian Feng</t>
  </si>
  <si>
    <t>Min Runtime (min.): 91</t>
  </si>
  <si>
    <t>Max Runtime (min.): 100</t>
  </si>
  <si>
    <t>Watchers</t>
  </si>
  <si>
    <t>Agent Backkom: Kings Bear</t>
  </si>
  <si>
    <t>Öndög</t>
  </si>
  <si>
    <t>Common Destiny</t>
  </si>
  <si>
    <t>Unsymmetric Battle</t>
  </si>
  <si>
    <t>Engagement</t>
  </si>
  <si>
    <t>Crazy House</t>
  </si>
  <si>
    <t>Artisan Spirit</t>
  </si>
  <si>
    <t>Stop! Thieves!</t>
  </si>
  <si>
    <t>Xiong Chu Mo: Kuang Ye Da Lu</t>
  </si>
  <si>
    <t>Yang guang xia de shao nian zhi wo de…</t>
  </si>
  <si>
    <t>Cheng Shi Meng</t>
  </si>
  <si>
    <t>The Hulunhuir City</t>
  </si>
  <si>
    <t>Fragrance</t>
  </si>
  <si>
    <t>A Story of Ulanfu</t>
  </si>
  <si>
    <t>The Hidden Love</t>
  </si>
  <si>
    <t>Lesser Fullness</t>
  </si>
  <si>
    <t>Dino King 3D: Journey to Fire Mountain</t>
  </si>
  <si>
    <t>The River in Me</t>
  </si>
  <si>
    <t>Love Song of West River</t>
  </si>
  <si>
    <t>Blue Pleated Skirt</t>
  </si>
  <si>
    <t>That Person and Those Things</t>
  </si>
  <si>
    <t>Wu Sheng Guan Gong</t>
  </si>
  <si>
    <t>Song for Turbulent Youth</t>
  </si>
  <si>
    <t>Kunlun Brothers</t>
  </si>
  <si>
    <t>The Wind Comes Up From the Plateau</t>
  </si>
  <si>
    <t>I Will Wait For You</t>
  </si>
  <si>
    <t>Returning of Red Flag Canal</t>
  </si>
  <si>
    <t>SUS SCROFA</t>
  </si>
  <si>
    <t>Dance Juvenile</t>
  </si>
  <si>
    <t>Min Runtime (min.): 101</t>
  </si>
  <si>
    <t>Dec 6, 2019</t>
  </si>
  <si>
    <t>Qin Ai Dw Xin Nian Hao</t>
  </si>
  <si>
    <t>Mestari Cheng</t>
  </si>
  <si>
    <t>Yellow Rose</t>
  </si>
  <si>
    <t>Chun Jiang Shui Nuan</t>
  </si>
  <si>
    <t>Chaogtu with Sarula</t>
  </si>
  <si>
    <t>Thunderstorm</t>
  </si>
  <si>
    <t>The Heart</t>
  </si>
  <si>
    <t>Zhi Jing Ying Xiong</t>
  </si>
  <si>
    <t>Extreme Crisis</t>
  </si>
  <si>
    <t>Huo zhe chang zhe</t>
  </si>
  <si>
    <t>Fan Zui Xian Chang</t>
  </si>
  <si>
    <t>Belated Confession</t>
  </si>
  <si>
    <t>Bian Hua Zhong De Zhong Guo: Sheng Hu…</t>
  </si>
  <si>
    <t>The First People's City Found by the …</t>
  </si>
  <si>
    <t>Production Country: Hong Kong</t>
  </si>
  <si>
    <t>Rambo: Last Blood</t>
  </si>
  <si>
    <t>Lionsgate</t>
  </si>
  <si>
    <t>Feb 8, 2019</t>
  </si>
  <si>
    <t>The Prodigy</t>
  </si>
  <si>
    <t>Orion Pictures</t>
  </si>
  <si>
    <t>Dec 25, 2019</t>
  </si>
  <si>
    <t>Jun 7, 2019</t>
  </si>
  <si>
    <t>Zhui Long 2: Zhui Ji Da Fu Hao</t>
  </si>
  <si>
    <t>Feb 1, 2019</t>
  </si>
  <si>
    <t>Ging chaat goo si/Ging chaat goo si j…</t>
  </si>
  <si>
    <t>Janus Films</t>
  </si>
  <si>
    <t>Film Movement</t>
  </si>
  <si>
    <t>Xiao Q</t>
  </si>
  <si>
    <t>Kuang Shou</t>
  </si>
  <si>
    <t>Effetto Domino</t>
  </si>
  <si>
    <t>Xin He Dong Shi Hou</t>
  </si>
  <si>
    <t>Dec 3, 2019</t>
  </si>
  <si>
    <t>Fine Lines</t>
  </si>
  <si>
    <t>Lian Zheng Feng Yun</t>
  </si>
  <si>
    <t>Asia Releasing</t>
  </si>
  <si>
    <t>Suk Suk</t>
  </si>
  <si>
    <t>Legally Declared Dead</t>
  </si>
  <si>
    <t>Aug 6, 2019</t>
  </si>
  <si>
    <t>Attrition</t>
  </si>
  <si>
    <t>8 Minutes Ahead</t>
  </si>
  <si>
    <t>Jun 25, 2019</t>
  </si>
  <si>
    <t>Ying xiong wu lei</t>
  </si>
  <si>
    <t>Mie Dai Zong Shi</t>
  </si>
  <si>
    <t>Huan Ai</t>
  </si>
  <si>
    <t>Production Country: Taiwan, Province of China</t>
  </si>
  <si>
    <t>May 31, 2019</t>
  </si>
  <si>
    <t>May 7, 2019</t>
  </si>
  <si>
    <t>Scotch: A Golden Dream</t>
  </si>
  <si>
    <t>Oct 15, 2019</t>
  </si>
  <si>
    <t>Nan be tui wang</t>
  </si>
  <si>
    <t>Motel Acacia</t>
  </si>
  <si>
    <t>Production Country: Singapore</t>
  </si>
  <si>
    <t>Mar 22, 2019</t>
  </si>
  <si>
    <t>Strand</t>
  </si>
  <si>
    <t>Mar 5, 2019</t>
  </si>
  <si>
    <t>100 Yards</t>
  </si>
  <si>
    <t>Jan 11, 2019</t>
  </si>
  <si>
    <t>Buffalo Boys</t>
  </si>
  <si>
    <t>Samuel Goldwyn Films</t>
  </si>
  <si>
    <t>Jun 21, 2019</t>
  </si>
  <si>
    <t>Self Distributed</t>
  </si>
  <si>
    <t>Min Release Year: 2018</t>
  </si>
  <si>
    <t>Max Release Year: 2018</t>
  </si>
  <si>
    <t>Feb 16, 2018</t>
  </si>
  <si>
    <t>Warner Bros.</t>
  </si>
  <si>
    <t>Feb 23, 2018</t>
  </si>
  <si>
    <t>May 25, 2018</t>
  </si>
  <si>
    <t>Aug 10, 2018</t>
  </si>
  <si>
    <t>Nov 16, 2018</t>
  </si>
  <si>
    <t>Jul 27, 2018</t>
  </si>
  <si>
    <t>Jan 5, 2018</t>
  </si>
  <si>
    <t>Yao Ling Ling</t>
  </si>
  <si>
    <t>Nov 9, 2018</t>
  </si>
  <si>
    <t>Jun 15, 2018</t>
  </si>
  <si>
    <t>Eating Animals</t>
  </si>
  <si>
    <t>Sundance Selects</t>
  </si>
  <si>
    <t>Feb 2, 2018</t>
  </si>
  <si>
    <t>Jun 22, 2018</t>
  </si>
  <si>
    <t>Jan 26, 2018</t>
  </si>
  <si>
    <t>Namiya</t>
  </si>
  <si>
    <t>Mar 9, 2018</t>
  </si>
  <si>
    <t>Aug 24, 2018</t>
  </si>
  <si>
    <t>Nov 30, 2018</t>
  </si>
  <si>
    <t>Tripod Media</t>
  </si>
  <si>
    <t>Apr 13, 2018</t>
  </si>
  <si>
    <t>A Prayer Before Dawn</t>
  </si>
  <si>
    <t>A24</t>
  </si>
  <si>
    <t>Mar 23, 2018</t>
  </si>
  <si>
    <t>Tyut pei ba ba</t>
  </si>
  <si>
    <t>Nov 23, 2018</t>
  </si>
  <si>
    <t>Invisible Hands</t>
  </si>
  <si>
    <t>First Run Features</t>
  </si>
  <si>
    <t>Wanda Media Group</t>
  </si>
  <si>
    <t>Jun 26, 2018</t>
  </si>
  <si>
    <t>Zhong Guo Tui Xiao Yuan</t>
  </si>
  <si>
    <t>Aug 14, 2018</t>
  </si>
  <si>
    <t>Peace Breaker</t>
  </si>
  <si>
    <t>Oct 23, 2018</t>
  </si>
  <si>
    <t>Master</t>
  </si>
  <si>
    <t>Cinema Libre</t>
  </si>
  <si>
    <t>Aug 31, 2018</t>
  </si>
  <si>
    <t>Ji zhi zhui ji: Long Feng Jie</t>
  </si>
  <si>
    <t>Jul 6, 2018</t>
  </si>
  <si>
    <t>Ji Qi Zhi Xue</t>
  </si>
  <si>
    <t>Lionsgate Premiere</t>
  </si>
  <si>
    <t>Er Dai Yao Jing</t>
  </si>
  <si>
    <t>Jun 29, 2018</t>
  </si>
  <si>
    <t>Escape Plan 2: Hades</t>
  </si>
  <si>
    <t>Jul 17, 2018</t>
  </si>
  <si>
    <t>Feb 6, 2018</t>
  </si>
  <si>
    <t>Extraordinary Mission</t>
  </si>
  <si>
    <t>Mar 6, 2018</t>
  </si>
  <si>
    <t>Wukong</t>
  </si>
  <si>
    <t>Gravitas Ventures</t>
  </si>
  <si>
    <t>Oct 26, 2018</t>
  </si>
  <si>
    <t>May 4, 2018</t>
  </si>
  <si>
    <t>Jia Nian Hua</t>
  </si>
  <si>
    <t>Feb 9, 2018</t>
  </si>
  <si>
    <t>Caffè</t>
  </si>
  <si>
    <t>Uncork'd Entertainment</t>
  </si>
  <si>
    <t>Apr 6, 2018</t>
  </si>
  <si>
    <t>Dà Yú Hai Táng</t>
  </si>
  <si>
    <t>Shout! Factory</t>
  </si>
  <si>
    <t>Sep 7, 2018</t>
  </si>
  <si>
    <t>Sep 4, 2018</t>
  </si>
  <si>
    <t>Gang Dao</t>
  </si>
  <si>
    <t>May 8, 2018</t>
  </si>
  <si>
    <t>Sha Po Lang: Tan Lang</t>
  </si>
  <si>
    <t>Mar 16, 2018</t>
  </si>
  <si>
    <t>Abramorama Films</t>
  </si>
  <si>
    <t>Ghostbox Cowboy</t>
  </si>
  <si>
    <t>Dark Star Pictures</t>
  </si>
  <si>
    <t>Sep 11, 2018</t>
  </si>
  <si>
    <t>Xin Li Zui Zhi Cheng Shi Zhi Guang</t>
  </si>
  <si>
    <t>Nov 20, 2018</t>
  </si>
  <si>
    <t>Feb 13, 2018</t>
  </si>
  <si>
    <t>Bobby the Hedgehog</t>
  </si>
  <si>
    <t>Max Runtime (min.): 80</t>
  </si>
  <si>
    <t>Dec 31, 2018</t>
  </si>
  <si>
    <t>Let's go</t>
  </si>
  <si>
    <t>Binding Destiny</t>
  </si>
  <si>
    <t>Indian films screened</t>
  </si>
  <si>
    <t>The Ark: An Iron Sky Story</t>
  </si>
  <si>
    <t>Brave Rabbit 3: The Creazy Time Machine</t>
  </si>
  <si>
    <t>Three Changes, Mountain Changes</t>
  </si>
  <si>
    <t>Farewell, My Love</t>
  </si>
  <si>
    <t>The Chief Legend</t>
  </si>
  <si>
    <t>Blood-Soaked GuangChang</t>
  </si>
  <si>
    <t>Zhong Kui Zhuo Yao Ji Zhi Meng Mo Chu…</t>
  </si>
  <si>
    <t>Travel! Frog</t>
  </si>
  <si>
    <t>Flowers in Full Bloom</t>
  </si>
  <si>
    <t>The Story of Yu-Looking For Power</t>
  </si>
  <si>
    <t>Blade of the Law</t>
  </si>
  <si>
    <t>Eight Immortals</t>
  </si>
  <si>
    <t>Grandma's Home</t>
  </si>
  <si>
    <t>Beijing international film festival 1</t>
  </si>
  <si>
    <t>Alibaba The Three Golden Hair</t>
  </si>
  <si>
    <t>A Fishboy's Story: Tortoise From the Sea</t>
  </si>
  <si>
    <t>Princess and the Kingdom</t>
  </si>
  <si>
    <t>Te Bie Zhui Zong</t>
  </si>
  <si>
    <t>Dragon Blade</t>
  </si>
  <si>
    <t>Guo Zhao Guan</t>
  </si>
  <si>
    <t>No Choice</t>
  </si>
  <si>
    <t>Home Under The Sea</t>
  </si>
  <si>
    <t>Li Xue Sheng</t>
  </si>
  <si>
    <t>Fade Away Pastoral</t>
  </si>
  <si>
    <t>Adventure in time and space</t>
  </si>
  <si>
    <t>Capriccio of Tracking Down the Treasure</t>
  </si>
  <si>
    <t>Zhengzheng's Word</t>
  </si>
  <si>
    <t>Two Small Pigs Brave The Mysterious I…</t>
  </si>
  <si>
    <t>Stage</t>
  </si>
  <si>
    <t>Magic Mirror 2</t>
  </si>
  <si>
    <t>New Happy Dad and Son 3: Adventure in…</t>
  </si>
  <si>
    <t>Four Warriors: The Underworld</t>
  </si>
  <si>
    <t>The Innocence of Childhood</t>
  </si>
  <si>
    <t>Born To Be Wild: The Graduation Trip</t>
  </si>
  <si>
    <t>Sky Rise</t>
  </si>
  <si>
    <t>Min Runtime (min.): 81</t>
  </si>
  <si>
    <t>Max Runtime (min.): 89</t>
  </si>
  <si>
    <t>Dr. Huang Danian</t>
  </si>
  <si>
    <t>The Forest Monster</t>
  </si>
  <si>
    <t>Snowing Indicates Harvest</t>
  </si>
  <si>
    <t>Shen Mi Shi Jie Li Xian Ji 4</t>
  </si>
  <si>
    <t>Love is the Sunshine</t>
  </si>
  <si>
    <t>Gu Mu Qi Tan 2 Chuan Yue Si Wang Hai</t>
  </si>
  <si>
    <t>Dino King</t>
  </si>
  <si>
    <t>Painted Skin: The Double Mask</t>
  </si>
  <si>
    <t>Legend of Tang Dynasty 2</t>
  </si>
  <si>
    <t>Damnation</t>
  </si>
  <si>
    <t>Battle of Ao Lun Prague</t>
  </si>
  <si>
    <t>Fatal Nightmare</t>
  </si>
  <si>
    <t>Sharp the Bull</t>
  </si>
  <si>
    <t>Di yi ci de li bie</t>
  </si>
  <si>
    <t>Monkey Magic</t>
  </si>
  <si>
    <t>The Dream of Nobody</t>
  </si>
  <si>
    <t>Tai Xian Mo Zhou</t>
  </si>
  <si>
    <t>Pretty Princess</t>
  </si>
  <si>
    <t>There Will Be Ample Time</t>
  </si>
  <si>
    <t>Battle of Tortoise and Rabbit</t>
  </si>
  <si>
    <t>Journey to the Snowing Mountains</t>
  </si>
  <si>
    <t>Deadly Treasure</t>
  </si>
  <si>
    <t>The Hidden Land: Back To No Man's Lan…</t>
  </si>
  <si>
    <t>Confucian Dream</t>
  </si>
  <si>
    <t>When Africa Meets You</t>
  </si>
  <si>
    <t>Min Runtime (min.): 90</t>
  </si>
  <si>
    <t>Max Runtime (min.): 95</t>
  </si>
  <si>
    <t>Dear, I Will Marry To Others</t>
  </si>
  <si>
    <t>Rural Summer Vacation</t>
  </si>
  <si>
    <t>Police Car Union</t>
  </si>
  <si>
    <t>Minuscule - Les mandibules du bout du…</t>
  </si>
  <si>
    <t>I Want To Be With You</t>
  </si>
  <si>
    <t>Super Kids' Attack</t>
  </si>
  <si>
    <t>Fridge Horror</t>
  </si>
  <si>
    <t>The King of Football</t>
  </si>
  <si>
    <t>The Sky Eye</t>
  </si>
  <si>
    <t>Better Angels</t>
  </si>
  <si>
    <t>Fate Express</t>
  </si>
  <si>
    <t>Nightmare of Darkness</t>
  </si>
  <si>
    <t>Take Me Home</t>
  </si>
  <si>
    <t>Doomed</t>
  </si>
  <si>
    <t>Beyond Belief</t>
  </si>
  <si>
    <t>Fantastic Dream Trip</t>
  </si>
  <si>
    <t>Love Afterlife</t>
  </si>
  <si>
    <t>Return</t>
  </si>
  <si>
    <t>Hello Beijing</t>
  </si>
  <si>
    <t>The First Time</t>
  </si>
  <si>
    <t>Cao Jie Zhi</t>
  </si>
  <si>
    <t>Dec 4, 2018</t>
  </si>
  <si>
    <t>Ying Jiu Fei Hu Dui</t>
  </si>
  <si>
    <t>Business on Wechat</t>
  </si>
  <si>
    <t>Wo Shi Jian Cha Guan</t>
  </si>
  <si>
    <t>Champa Flower</t>
  </si>
  <si>
    <t>Chan KeNan Sheng</t>
  </si>
  <si>
    <t>The Soul of Shui People in 1944</t>
  </si>
  <si>
    <t>Happy Planet: Tale of Boy 36</t>
  </si>
  <si>
    <t>Breeze on the Lingding Ocean</t>
  </si>
  <si>
    <t>Hello Life</t>
  </si>
  <si>
    <t>Beautiful Lie</t>
  </si>
  <si>
    <t>Sky Stream</t>
  </si>
  <si>
    <t>Left Hand and Right Hand</t>
  </si>
  <si>
    <t>Winter In My Heart</t>
  </si>
  <si>
    <t>Doggy Man</t>
  </si>
  <si>
    <t>Midnight Ruins</t>
  </si>
  <si>
    <t>Stolen Fairytales</t>
  </si>
  <si>
    <t>Min Runtime (min.): 96</t>
  </si>
  <si>
    <t>Max Runtime (min.): 120</t>
  </si>
  <si>
    <t>Dec 21, 2018</t>
  </si>
  <si>
    <t>Dawning</t>
  </si>
  <si>
    <t>Underground Snatch</t>
  </si>
  <si>
    <t>Wen Chaorong</t>
  </si>
  <si>
    <t>Holding Hands</t>
  </si>
  <si>
    <t>The Connection</t>
  </si>
  <si>
    <t>Go to Heaven Alive</t>
  </si>
  <si>
    <t>Pet Departures</t>
  </si>
  <si>
    <t>Two/One</t>
  </si>
  <si>
    <t>Ala Changso</t>
  </si>
  <si>
    <t>The Faithful</t>
  </si>
  <si>
    <t>The Star on Wuling Mountain</t>
  </si>
  <si>
    <t>Patrolman Baoyin</t>
  </si>
  <si>
    <t>The Most Beautiful Season</t>
  </si>
  <si>
    <t>The White Storm 2: Drug Lords</t>
  </si>
  <si>
    <t>Dao Gao Yi Zhang</t>
  </si>
  <si>
    <t>Di Da Zhi Mi</t>
  </si>
  <si>
    <t>Departure Along the Sea</t>
  </si>
  <si>
    <t>A Smile from the Mountain</t>
  </si>
  <si>
    <t>Route 33</t>
  </si>
  <si>
    <t>Feng Yu Zhou</t>
  </si>
  <si>
    <t>Kill My Brother</t>
  </si>
  <si>
    <t>Counterespionage</t>
  </si>
  <si>
    <t>Hope of Road</t>
  </si>
  <si>
    <t>Half the Sky</t>
  </si>
  <si>
    <t>The Last Stickman of Chongqing</t>
  </si>
  <si>
    <t>A Man Who is Obsessed With Donkey</t>
  </si>
  <si>
    <t>Blue Amber</t>
  </si>
  <si>
    <t>Koali &amp; Rice</t>
  </si>
  <si>
    <t>Sun Flower</t>
  </si>
  <si>
    <t>Screaming Live</t>
  </si>
  <si>
    <t>Ayka</t>
  </si>
  <si>
    <t>Min Runtime (min.): 121</t>
  </si>
  <si>
    <t>Ma.Ama</t>
  </si>
  <si>
    <t>Jing Cheng 81 Hao 2</t>
  </si>
  <si>
    <t>Waiting For Me In Heaven</t>
  </si>
  <si>
    <t>Cao Cao and Yang Xiu</t>
  </si>
  <si>
    <t>Sep 28, 2018</t>
  </si>
  <si>
    <t>Huang Jin Xiong Di</t>
  </si>
  <si>
    <t>Dong Du Te Gong</t>
  </si>
  <si>
    <t>Da Shi Xiong</t>
  </si>
  <si>
    <t>L Feng Bao</t>
  </si>
  <si>
    <t>Dec 18, 2018</t>
  </si>
  <si>
    <t>I Miss You When I See You</t>
  </si>
  <si>
    <t>Jia HeWan Shi Jing</t>
  </si>
  <si>
    <t>Wan Shui Qian Shan Zong Heng</t>
  </si>
  <si>
    <t>Jan 12, 2018</t>
  </si>
  <si>
    <t>Icarus Films</t>
  </si>
  <si>
    <t>Jul 10, 2018</t>
  </si>
  <si>
    <t>Long men kezhan</t>
  </si>
  <si>
    <t>Ba Li Gong Lue</t>
  </si>
  <si>
    <t>Ni Mi Li, Wo Ai Ni!</t>
  </si>
  <si>
    <t>Captured</t>
  </si>
  <si>
    <t>Xiong Di Ban</t>
  </si>
  <si>
    <t>Lun Luo Ren</t>
  </si>
  <si>
    <t>You Wu Ge Jie Jie De Wo Jiu Zhu Ding …</t>
  </si>
  <si>
    <t>Oct 19, 2018</t>
  </si>
  <si>
    <t>Passion River</t>
  </si>
  <si>
    <t>Edge of Obedience</t>
  </si>
  <si>
    <t>Indie Rights</t>
  </si>
  <si>
    <t>Huan tu</t>
  </si>
  <si>
    <t>Min Release Year: 2017</t>
  </si>
  <si>
    <t>Max Release Year: 2017</t>
  </si>
  <si>
    <t>Feb 17, 2017</t>
  </si>
  <si>
    <t>The Great Wall</t>
  </si>
  <si>
    <t>Oct 13, 2017</t>
  </si>
  <si>
    <t>The Foreigner</t>
  </si>
  <si>
    <t>Apr 21, 2017</t>
  </si>
  <si>
    <t>Born in China</t>
  </si>
  <si>
    <t>Walt Disney</t>
  </si>
  <si>
    <t>Feb 24, 2017</t>
  </si>
  <si>
    <t>Rock Dog</t>
  </si>
  <si>
    <t>Jul 28, 2017</t>
  </si>
  <si>
    <t>The H Collective</t>
  </si>
  <si>
    <t>Feb 3, 2017</t>
  </si>
  <si>
    <t>Xi You Fu Yao Pian</t>
  </si>
  <si>
    <t>Mar 31, 2017</t>
  </si>
  <si>
    <t>The Devotion of Suspect X</t>
  </si>
  <si>
    <t>Apr 28, 2017</t>
  </si>
  <si>
    <t>Jìyì dàshi</t>
  </si>
  <si>
    <t>Aug 11, 2017</t>
  </si>
  <si>
    <t>Once Upon a Time</t>
  </si>
  <si>
    <t>Feb 10, 2017</t>
  </si>
  <si>
    <t>Cheng feng po lang</t>
  </si>
  <si>
    <t>Sep 29, 2017</t>
  </si>
  <si>
    <t>Chasing the Dragon</t>
  </si>
  <si>
    <t>Jan 27, 2017</t>
  </si>
  <si>
    <t>Gong fu yu jia</t>
  </si>
  <si>
    <t>May 5, 2017</t>
  </si>
  <si>
    <t>This Is Not What I Expected</t>
  </si>
  <si>
    <t>Oct 6, 2017</t>
  </si>
  <si>
    <t>Feng Ren Ji Yue Dui</t>
  </si>
  <si>
    <t>Buddies in India</t>
  </si>
  <si>
    <t>Jan 6, 2017</t>
  </si>
  <si>
    <t>Railroad Tigers</t>
  </si>
  <si>
    <t>Aug 18, 2017</t>
  </si>
  <si>
    <t>The Adventurers</t>
  </si>
  <si>
    <t>Nov 24, 2017</t>
  </si>
  <si>
    <t>Yin Bao Zhe</t>
  </si>
  <si>
    <t>Jul 7, 2017</t>
  </si>
  <si>
    <t>Míng Yuè Ji Shí You</t>
  </si>
  <si>
    <t>Jun 30, 2017</t>
  </si>
  <si>
    <t>Ni Shi Ying Jiu</t>
  </si>
  <si>
    <t>Jun 2, 2017</t>
  </si>
  <si>
    <t>God of War</t>
  </si>
  <si>
    <t>Jun 9, 2017</t>
  </si>
  <si>
    <t>Mei Hao De Yi Wai</t>
  </si>
  <si>
    <t>Jan 13, 2017</t>
  </si>
  <si>
    <t>Some Like It Hot</t>
  </si>
  <si>
    <t>Jun 23, 2017</t>
  </si>
  <si>
    <t>In Pursuit of Silence</t>
  </si>
  <si>
    <t>Sep 8, 2017</t>
  </si>
  <si>
    <t>Twenty-Two</t>
  </si>
  <si>
    <t>Aug 25, 2017</t>
  </si>
  <si>
    <t>Jiao Zhu Chuan</t>
  </si>
  <si>
    <t>May 19, 2017</t>
  </si>
  <si>
    <t>Pi Sheng Shang de Hun</t>
  </si>
  <si>
    <t>Nov 3, 2017</t>
  </si>
  <si>
    <t>On Wings of Eagles</t>
  </si>
  <si>
    <t>Archstone Entertainment</t>
  </si>
  <si>
    <t>Sep 5, 2017</t>
  </si>
  <si>
    <t>Chao ji bao biao</t>
  </si>
  <si>
    <t>Warrior’s Gate</t>
  </si>
  <si>
    <t>EuropaCorp</t>
  </si>
  <si>
    <t>Bei xi mo shou</t>
  </si>
  <si>
    <t>Grasshopper Film</t>
  </si>
  <si>
    <t>Aug 15, 2017</t>
  </si>
  <si>
    <t>Free and Easy</t>
  </si>
  <si>
    <t>Apr 18, 2017</t>
  </si>
  <si>
    <t>The Frog Kingdom 2: Sub-Zero Mission</t>
  </si>
  <si>
    <t>Jan 3, 2017</t>
  </si>
  <si>
    <t>Wo Shi Shei</t>
  </si>
  <si>
    <t>Dec 31, 2017</t>
  </si>
  <si>
    <t>28 Degrees North of Love</t>
  </si>
  <si>
    <t>Ling Hun Dang Pu Zhi Shi Jian Dian Dang</t>
  </si>
  <si>
    <t>Qing Chun 24 Miao</t>
  </si>
  <si>
    <t>Plan Egg</t>
  </si>
  <si>
    <t>Rally Car</t>
  </si>
  <si>
    <t>Yi Hao Bie Shu</t>
  </si>
  <si>
    <t>Seventeen Year Old Rainy Season</t>
  </si>
  <si>
    <t>Shen mi jia zu</t>
  </si>
  <si>
    <t>Falling in Love</t>
  </si>
  <si>
    <t>Polar star</t>
  </si>
  <si>
    <t>Makino Legend</t>
  </si>
  <si>
    <t>Love Without Words</t>
  </si>
  <si>
    <t>Instant Hit of the Elephant Lin Wang</t>
  </si>
  <si>
    <t>Wolf Hunters</t>
  </si>
  <si>
    <t>Yi Lu Xiang Ai</t>
  </si>
  <si>
    <t>Axel 2: Adventures of the Spacekids</t>
  </si>
  <si>
    <t>Shang Hun</t>
  </si>
  <si>
    <t>Qing Wu Kao Jin</t>
  </si>
  <si>
    <t>Everyday Hero</t>
  </si>
  <si>
    <t>Sister Brother Forever</t>
  </si>
  <si>
    <t>Hailongtun Tusi Fortress</t>
  </si>
  <si>
    <t>Wan Ming Da Shi</t>
  </si>
  <si>
    <t>Ling Long Jing</t>
  </si>
  <si>
    <t>Spiritpact</t>
  </si>
  <si>
    <t>Mid-night</t>
  </si>
  <si>
    <t>Red Army Primary School</t>
  </si>
  <si>
    <t>Haunted Dormitory: White Paper Girl</t>
  </si>
  <si>
    <t>You Were Here In My Youth</t>
  </si>
  <si>
    <t>The Three Little Pigs 2</t>
  </si>
  <si>
    <t>Where is the Towhship</t>
  </si>
  <si>
    <t>The Haunted Graduation Photo</t>
  </si>
  <si>
    <t>Forgiveness</t>
  </si>
  <si>
    <t>Tofu</t>
  </si>
  <si>
    <t>Gui Jing</t>
  </si>
  <si>
    <t>Gang Tie Fei Long Zhi Zai Jian Ao Te Man</t>
  </si>
  <si>
    <t>Ghost Bride</t>
  </si>
  <si>
    <t>Qian Ting Zong Dong Yuan: Hai Di Lian…</t>
  </si>
  <si>
    <t>The Tattoist</t>
  </si>
  <si>
    <t>Underset</t>
  </si>
  <si>
    <t>Open Fire</t>
  </si>
  <si>
    <t>Spirit Touch Seventh Senses</t>
  </si>
  <si>
    <t>Feng Kuang Xiong Hai Zi</t>
  </si>
  <si>
    <t>Cun Xi</t>
  </si>
  <si>
    <t>Seven Fright Nights</t>
  </si>
  <si>
    <t>Li Xiang Zhi Lu</t>
  </si>
  <si>
    <t>Hidden Love</t>
  </si>
  <si>
    <t>Haunted Dormitory: Marionette Teacher</t>
  </si>
  <si>
    <t>My King My Father</t>
  </si>
  <si>
    <t>Traveling Over The Sea</t>
  </si>
  <si>
    <t>Sea Guard</t>
  </si>
  <si>
    <t>Monster Mayhem</t>
  </si>
  <si>
    <t>T-Guardians</t>
  </si>
  <si>
    <t>S De Mi Mi</t>
  </si>
  <si>
    <t>Forbidden Zone</t>
  </si>
  <si>
    <t>Haunted Road 2</t>
  </si>
  <si>
    <t>Gei Shi Jiu Sui De Wo Zi Ji</t>
  </si>
  <si>
    <t>King of Forest</t>
  </si>
  <si>
    <t>Jojo's Magic</t>
  </si>
  <si>
    <t>My Godmother</t>
  </si>
  <si>
    <t>Max Runtime (min.): 94</t>
  </si>
  <si>
    <t>Fan Gun Ba, Jie Mei</t>
  </si>
  <si>
    <t>Tui Li Bi Ji</t>
  </si>
  <si>
    <t>Xuan Feng Nu Dui</t>
  </si>
  <si>
    <t>Mr. Made</t>
  </si>
  <si>
    <t>Qingshui li de daozi</t>
  </si>
  <si>
    <t>Qi Hao Gong Guan</t>
  </si>
  <si>
    <t>Soldier Grandpa</t>
  </si>
  <si>
    <t>Mao Pai Jian Hu Ren</t>
  </si>
  <si>
    <t>Pian Jia Bu Liu</t>
  </si>
  <si>
    <t>Mei Rong Zhen</t>
  </si>
  <si>
    <t>Gui Yi Jiu Lou</t>
  </si>
  <si>
    <t>Mystery Zone: Soul Eating Hill</t>
  </si>
  <si>
    <t>Xue Zhan Xiang Jiang</t>
  </si>
  <si>
    <t>Wilderness Gas Station</t>
  </si>
  <si>
    <t>Jing hun qi you</t>
  </si>
  <si>
    <t>Dear Tutu</t>
  </si>
  <si>
    <t>Jue Ji Qing Yuan Zhi Yi Hun</t>
  </si>
  <si>
    <t>The Floating Planet</t>
  </si>
  <si>
    <t>The Striving</t>
  </si>
  <si>
    <t>Zou Bi Hua</t>
  </si>
  <si>
    <t>Shu Shan Xiang Mo Zhuan</t>
  </si>
  <si>
    <t>Qi Shi Qi Tian</t>
  </si>
  <si>
    <t>Forgetting Space</t>
  </si>
  <si>
    <t>Xong Di, Bie Nao!</t>
  </si>
  <si>
    <t>Kong Bu Dian Ying Yuan 2</t>
  </si>
  <si>
    <t>Yu zhou you ai lang man tong you</t>
  </si>
  <si>
    <t>Yin Wei Ai Qing</t>
  </si>
  <si>
    <t>Wu Mo Zhi Sha</t>
  </si>
  <si>
    <t>Fan Zha Feng Bao</t>
  </si>
  <si>
    <t>Bao Bei Te Gong</t>
  </si>
  <si>
    <t>He Jian Shenf Shou</t>
  </si>
  <si>
    <t>All the Way to Bloom</t>
  </si>
  <si>
    <t>Tian Xia Fu Mu</t>
  </si>
  <si>
    <t>The Blood Hound</t>
  </si>
  <si>
    <t>Zhuang Xie 31 Hao</t>
  </si>
  <si>
    <t>Sha Jiu Shen</t>
  </si>
  <si>
    <t>Hua Kuang Nu Ren</t>
  </si>
  <si>
    <t>Rang Ai Huo Xia Qu</t>
  </si>
  <si>
    <t>Ye Ban Xiong Ling</t>
  </si>
  <si>
    <t>La Historia De Un Amor</t>
  </si>
  <si>
    <t>Cu Ju</t>
  </si>
  <si>
    <t>Doom of Humanity</t>
  </si>
  <si>
    <t>Come On Teacher</t>
  </si>
  <si>
    <t>Fat Girl Wedding</t>
  </si>
  <si>
    <t>The Song of the Angels</t>
  </si>
  <si>
    <t>Er Ci Chu Lian</t>
  </si>
  <si>
    <t>Alex:the floating planet</t>
  </si>
  <si>
    <t>The Frighten Studio</t>
  </si>
  <si>
    <t>A Way Out</t>
  </si>
  <si>
    <t>The Portrait of My Mother</t>
  </si>
  <si>
    <t>The Chaser</t>
  </si>
  <si>
    <t>Xiang Ai Xiang Qin</t>
  </si>
  <si>
    <t>Luo Rao</t>
  </si>
  <si>
    <t>Shen Mo Dao Ji Gong</t>
  </si>
  <si>
    <t>Ni Ruo An Hao</t>
  </si>
  <si>
    <t>Hometown on the Cloud</t>
  </si>
  <si>
    <t>Wan Ming</t>
  </si>
  <si>
    <t>Wo Di Ju Xing</t>
  </si>
  <si>
    <t>Er Shi Xiong Lai Le</t>
  </si>
  <si>
    <t>Mr. Zhu's Summer</t>
  </si>
  <si>
    <t>Burst of Youth</t>
  </si>
  <si>
    <t>Tian Meng</t>
  </si>
  <si>
    <t>Echo of Time</t>
  </si>
  <si>
    <t>Snow In Midsummer</t>
  </si>
  <si>
    <t>Bu Qi Er Yu</t>
  </si>
  <si>
    <t>Destiny Among the Mountains</t>
  </si>
  <si>
    <t>Shei Shi Qiu Wang</t>
  </si>
  <si>
    <t>Gulu Mermaid 2</t>
  </si>
  <si>
    <t>How Are You</t>
  </si>
  <si>
    <t>Da Er Duo Tu Tu Zhi Mei Shi Ye Feng K…</t>
  </si>
  <si>
    <t>Kong Bu Bi Ye Zhao 2</t>
  </si>
  <si>
    <t>Mi Yue Ji Hua</t>
  </si>
  <si>
    <t>Hui Tong De Shi Qi Sui</t>
  </si>
  <si>
    <t>Xiao Gou Nai Ping</t>
  </si>
  <si>
    <t>Qing Yu Man Ha Dun</t>
  </si>
  <si>
    <t>Crazy Journey</t>
  </si>
  <si>
    <t>The Great Guys</t>
  </si>
  <si>
    <t>Suo Ha Ren Sheng</t>
  </si>
  <si>
    <t>Tian Sheng Bu Dui</t>
  </si>
  <si>
    <t>Min Runtime (min.): 95</t>
  </si>
  <si>
    <t>Dec 15, 2017</t>
  </si>
  <si>
    <t>Fang Hua</t>
  </si>
  <si>
    <t>Dec 29, 2017</t>
  </si>
  <si>
    <t>Qian Ren 3: Yan Zhi Da Zuo Zhan</t>
  </si>
  <si>
    <t>Qi Man Dun Jia</t>
  </si>
  <si>
    <t>Dec 1, 2017</t>
  </si>
  <si>
    <t>xiu chun dao II: xiu luo zhan chang</t>
  </si>
  <si>
    <t>Seer Movie 6: Invincible Puni</t>
  </si>
  <si>
    <t>The Chainbreakers</t>
  </si>
  <si>
    <t>The Revenge of Phantom Knight</t>
  </si>
  <si>
    <t>Yu E Bu Zhu</t>
  </si>
  <si>
    <t>Da Dao Gui Lai</t>
  </si>
  <si>
    <t>Never Say Die</t>
  </si>
  <si>
    <t>Hu Yang De Xia Tian</t>
  </si>
  <si>
    <t>Yi Shu Ye Feng Kuang</t>
  </si>
  <si>
    <t>Zhui bu</t>
  </si>
  <si>
    <t>What a Wonderful Family!</t>
  </si>
  <si>
    <t>Edge of Innocence</t>
  </si>
  <si>
    <t>Wo Shi Shei De Bao Bei</t>
  </si>
  <si>
    <t>Young Pea</t>
  </si>
  <si>
    <t>The Women Soldiers' Legend</t>
  </si>
  <si>
    <t>Ai De Pa Si Ka</t>
  </si>
  <si>
    <t>Jue Shi Gao Shou</t>
  </si>
  <si>
    <t>Keng Die You Xi</t>
  </si>
  <si>
    <t>Da Hu Fa</t>
  </si>
  <si>
    <t>Deep in My Heart</t>
  </si>
  <si>
    <t>Beyond the Mountains</t>
  </si>
  <si>
    <t>Fu zi xiong bing</t>
  </si>
  <si>
    <t>Breathing</t>
  </si>
  <si>
    <t>The War of Loong</t>
  </si>
  <si>
    <t>The Eighth Day of a Week</t>
  </si>
  <si>
    <t>Great Cold</t>
  </si>
  <si>
    <t>Shiwan Ge Lengxiaohua 2</t>
  </si>
  <si>
    <t>Defenders</t>
  </si>
  <si>
    <t>Bing Feng Mi An</t>
  </si>
  <si>
    <t>Shi Ba Dong Cun</t>
  </si>
  <si>
    <t>Xin Yong Bu Xiao Shi De Dian Bo</t>
  </si>
  <si>
    <t>A Nail Clipper Romance</t>
  </si>
  <si>
    <t>Lovelorn 399 Years</t>
  </si>
  <si>
    <t>Absurd Accident</t>
  </si>
  <si>
    <t>Feng Meng Long's Legend</t>
  </si>
  <si>
    <t>Kill Me Please</t>
  </si>
  <si>
    <t>Happiness of Shunde Family</t>
  </si>
  <si>
    <t>Jia Ru Wang Zi Shui Zhao Le</t>
  </si>
  <si>
    <t>Return to the Wolves</t>
  </si>
  <si>
    <t>Strangers</t>
  </si>
  <si>
    <t>Love in City</t>
  </si>
  <si>
    <t>Liu Nian Liu Tian</t>
  </si>
  <si>
    <t>Mi Hua Zhi Wei</t>
  </si>
  <si>
    <t>Mi Guo</t>
  </si>
  <si>
    <t>Shanguang Shaonu</t>
  </si>
  <si>
    <t>Shi Se, Xing Ye</t>
  </si>
  <si>
    <t>Judge Zhongkui</t>
  </si>
  <si>
    <t>The Founding of an Army</t>
  </si>
  <si>
    <t>My Other Home</t>
  </si>
  <si>
    <t>Old Beast</t>
  </si>
  <si>
    <t>Ming wang xing shi ke</t>
  </si>
  <si>
    <t>The Widowed Witch</t>
  </si>
  <si>
    <t>Hei Bai Mi Gong</t>
  </si>
  <si>
    <t>Ren Pa Chu Ming Zhu Pa Zhuang</t>
  </si>
  <si>
    <t>Kong tian liè</t>
  </si>
  <si>
    <t>Rou qing shi</t>
  </si>
  <si>
    <t>Qiu Qiu Ni Ai Shang Wo</t>
  </si>
  <si>
    <t>Where has the Time Gone?</t>
  </si>
  <si>
    <t>Young &amp; Amazing</t>
  </si>
  <si>
    <t>Bao Xue Jiang Zhi</t>
  </si>
  <si>
    <t>Ao Jiao &amp; Pian Jian</t>
  </si>
  <si>
    <t>The Grudge</t>
  </si>
  <si>
    <t>20:16</t>
  </si>
  <si>
    <t>However</t>
  </si>
  <si>
    <t>Na Yi Chang Hu Xiao Er Guo De Qing Chun</t>
  </si>
  <si>
    <t>Through the Eye</t>
  </si>
  <si>
    <t>Fan Zhuan Ren Sheng</t>
  </si>
  <si>
    <t>Mi Zheng</t>
  </si>
  <si>
    <t>Butterfly Cemetery</t>
  </si>
  <si>
    <t>Fist &amp; Faith</t>
  </si>
  <si>
    <t>Xi Xiao He De Xia Tian</t>
  </si>
  <si>
    <t>Start Over Tonight</t>
  </si>
  <si>
    <t>Dian Di Lian Meng</t>
  </si>
  <si>
    <t>The North of Peking</t>
  </si>
  <si>
    <t>Xin Li Zui</t>
  </si>
  <si>
    <t>Mar 3, 2017</t>
  </si>
  <si>
    <t>Apprentice</t>
  </si>
  <si>
    <t>Deok Gaai</t>
  </si>
  <si>
    <t>Meow</t>
  </si>
  <si>
    <t>Seung Joi Nei Jor Yau</t>
  </si>
  <si>
    <t>When Sun Meets Moon</t>
  </si>
  <si>
    <t>Jan 20, 2017</t>
  </si>
  <si>
    <t>A Plastic Ocean</t>
  </si>
  <si>
    <t>Chai dàn zhuanjia</t>
  </si>
  <si>
    <t>Crimson Forest Entertainment Group Inc.</t>
  </si>
  <si>
    <t>Oct 24, 2017</t>
  </si>
  <si>
    <t>The Jade Pendant</t>
  </si>
  <si>
    <t>The Sinking City: Capsule Odyssey</t>
  </si>
  <si>
    <t>Da Yao Shi</t>
  </si>
  <si>
    <t>Lady Bloodfight</t>
  </si>
  <si>
    <t>Vertical Entertainment</t>
  </si>
  <si>
    <t>May 16, 2017</t>
  </si>
  <si>
    <t>Utopians</t>
  </si>
  <si>
    <t>Yuen Loeng Taa 77 Chi</t>
  </si>
  <si>
    <t>Si Ren Hui Suo</t>
  </si>
  <si>
    <t>Huang Jin Hua</t>
  </si>
  <si>
    <t>No. 1 Chung Ying Street</t>
  </si>
  <si>
    <t>Sep 22, 2017</t>
  </si>
  <si>
    <t>Hong Yi Xiao Nu Hai 2</t>
  </si>
  <si>
    <t>Mar 17, 2017</t>
  </si>
  <si>
    <t>Baby Steps</t>
  </si>
  <si>
    <t>Ma La Xue Yuan</t>
  </si>
  <si>
    <t>Barkley</t>
  </si>
  <si>
    <t>Qing Ai Wo De Nu Peng You</t>
  </si>
  <si>
    <t>Cheng Cheng Films</t>
  </si>
  <si>
    <t>On Happiness Road</t>
  </si>
  <si>
    <t>roduction Country: Singapore</t>
  </si>
  <si>
    <t>Jun 28, 2017</t>
  </si>
  <si>
    <t>Bad Match</t>
  </si>
  <si>
    <t>Sixteen Legs</t>
  </si>
  <si>
    <t>Jun 20, 2017</t>
  </si>
  <si>
    <t>Under the Turban</t>
  </si>
  <si>
    <t>Ratings</t>
  </si>
  <si>
    <t>G</t>
  </si>
  <si>
    <t>GP</t>
  </si>
  <si>
    <t>M/PG</t>
  </si>
  <si>
    <t>NC-17</t>
  </si>
  <si>
    <t>Not Rated</t>
  </si>
  <si>
    <t>Open</t>
  </si>
  <si>
    <t>PG</t>
  </si>
  <si>
    <t>PG-13</t>
  </si>
  <si>
    <t>R</t>
  </si>
  <si>
    <t>Production country</t>
  </si>
  <si>
    <r>
      <rPr>
        <sz val="11"/>
        <color theme="1"/>
        <rFont val="Calibri"/>
        <family val="2"/>
        <scheme val="minor"/>
      </rPr>
      <t>Wo B</t>
    </r>
    <r>
      <rPr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Shi Yao Shen</t>
    </r>
  </si>
  <si>
    <t>Based on Comic/Graphic Novel</t>
  </si>
  <si>
    <t>Remake</t>
  </si>
  <si>
    <t>Based on Play</t>
  </si>
  <si>
    <t>Row Labels</t>
  </si>
  <si>
    <t>Grand Total</t>
  </si>
  <si>
    <t>Animation</t>
  </si>
  <si>
    <t>Suspense</t>
  </si>
  <si>
    <t>Thriller</t>
  </si>
  <si>
    <t>Romantic</t>
  </si>
  <si>
    <t>None</t>
  </si>
  <si>
    <t>Well Go USA Video</t>
  </si>
  <si>
    <t xml:space="preserve">Well Go USA </t>
  </si>
  <si>
    <t>Beijing Basic Film and Television Culture Media Co., Ltd</t>
  </si>
  <si>
    <t>Wuzhou Film Distribution Co., Ltd</t>
  </si>
  <si>
    <t>/</t>
  </si>
  <si>
    <t>Beijing Zhonglian Huameng Cultural Media Investment Co., Ltd</t>
  </si>
  <si>
    <t>Shanghai Xinyue Film &amp; TV Communication Co., Ltd</t>
  </si>
  <si>
    <t>Beijing Perfect film media Co., Ltd</t>
  </si>
  <si>
    <t>LETV pictures (Beijing) Co., Ltd</t>
  </si>
  <si>
    <t>Beijing Xishiji Film and Television Culture Development Co., Ltd</t>
  </si>
  <si>
    <t>China Film Co.,Ltd.</t>
  </si>
  <si>
    <t>Cinedigm</t>
  </si>
  <si>
    <t>Huace Film (Tianjin) Co., Ltd</t>
  </si>
  <si>
    <t>Shanghai sanciyuan Film Co., Ltd</t>
  </si>
  <si>
    <t>Chen Huan Ying Hua (Shanghai) Film Co., Ltd</t>
  </si>
  <si>
    <t>Beijing Film Time and Space Culture Media Co., Ltd</t>
  </si>
  <si>
    <t>Beijing Juyinglian Cultural Media Co., Ltd</t>
  </si>
  <si>
    <t>Dongfang Huaying (Beijing) Cultural Media Co., Ltd</t>
  </si>
  <si>
    <t>Zhongzhi Film Legend (Beijing) Film Co., Ltd</t>
  </si>
  <si>
    <t>BEI JING CHUNQIU TIME</t>
  </si>
  <si>
    <t>Beijing Qitai Ocean Culture Media Co., Ltd</t>
  </si>
  <si>
    <t>Tianjin Cat's Eye Micro Film Culture Media Co., Ltd</t>
  </si>
  <si>
    <t>Liang Rui</t>
  </si>
  <si>
    <t>Universal United Film &amp; TV culture (Beijing) Co., Ltd</t>
  </si>
  <si>
    <t>Shanghai Bona Culture Media Co., Ltd</t>
  </si>
  <si>
    <t>Horgos</t>
  </si>
  <si>
    <t>Yuyue Film (Tianjin) Co., Ltd</t>
  </si>
  <si>
    <t>Beijing cat's eye culture media Co., Ltd</t>
  </si>
  <si>
    <t>Xinjiang Bona Runze culture media Co., Ltd</t>
  </si>
  <si>
    <t>King's film distribution (Beijing) Co., Ltd</t>
  </si>
  <si>
    <t>Shanghai taopiao Film &amp; TV Culture Co., Ltd</t>
  </si>
  <si>
    <t>Huanyang media (Beijing) Co., Ltd</t>
  </si>
  <si>
    <t>Zhejiang Qiangshi Media Co., Ltd</t>
  </si>
  <si>
    <t>Tianjin Fenghai Film Co., Ltd</t>
  </si>
  <si>
    <t>Horgos youth Light Film Co., Ltd</t>
  </si>
  <si>
    <t>Erdong Times Pictures (Tianjin) Co., Ltd</t>
  </si>
  <si>
    <t>Fortissimo Films</t>
  </si>
  <si>
    <t>Horgos Wo Xing Film Co., Ltd</t>
  </si>
  <si>
    <t>Chengdu Huacan Culture Communication Co., Ltd</t>
  </si>
  <si>
    <t>Horgos Anshi Yingna Film Distribution Co., Ltd</t>
  </si>
  <si>
    <t>The Match Factory</t>
  </si>
  <si>
    <t>Bona Film Group Co., Ltd</t>
  </si>
  <si>
    <t>Beijing Light Film Co., Ltd</t>
  </si>
  <si>
    <t>Bravos Pictures</t>
  </si>
  <si>
    <t>3 years</t>
  </si>
  <si>
    <t>3 countries</t>
  </si>
  <si>
    <t>https://www.the-numbers.com/</t>
  </si>
  <si>
    <t>https://pro.imdb.com/</t>
  </si>
  <si>
    <t>https://maoyan.com</t>
  </si>
  <si>
    <t>Team</t>
  </si>
  <si>
    <t>Production Country</t>
  </si>
  <si>
    <t>S/N</t>
  </si>
  <si>
    <t>Released-corrected</t>
  </si>
  <si>
    <t xml:space="preserve">Title </t>
  </si>
  <si>
    <t xml:space="preserve">Production Budget </t>
  </si>
  <si>
    <t xml:space="preserve">Marketing Budget </t>
  </si>
  <si>
    <t>Producers Revenue Sharing</t>
  </si>
  <si>
    <t xml:space="preserve">Domestic Box Office </t>
  </si>
  <si>
    <t>Title with Chinese</t>
  </si>
  <si>
    <t>Title - English</t>
  </si>
  <si>
    <t>Leading Cast 1</t>
  </si>
  <si>
    <t>Leading Cast 2</t>
  </si>
  <si>
    <t>Leading Cast 3</t>
  </si>
  <si>
    <t>Director 1</t>
  </si>
  <si>
    <t>Director 2</t>
  </si>
  <si>
    <t>Production Companies</t>
  </si>
  <si>
    <t>Mao Yan Grade</t>
  </si>
  <si>
    <t>Mark</t>
  </si>
  <si>
    <t>Exclude</t>
  </si>
  <si>
    <t>Mia</t>
  </si>
  <si>
    <t>Christian Frei</t>
  </si>
  <si>
    <t>Maxim Arbugaev</t>
  </si>
  <si>
    <t>云南虫谷</t>
  </si>
  <si>
    <t>Mojin: The Worm Valley</t>
  </si>
  <si>
    <t>Hang Cai</t>
  </si>
  <si>
    <t>Xing Fei</t>
  </si>
  <si>
    <t>Golden Harvest Company</t>
  </si>
  <si>
    <t>流浪地球</t>
  </si>
  <si>
    <t>The Wandering Earth</t>
  </si>
  <si>
    <t>Chuxiao Qu</t>
  </si>
  <si>
    <t xml:space="preserve"> Frant Gwo</t>
  </si>
  <si>
    <t>Beijing Jingxi Culture and Tourism Company</t>
  </si>
  <si>
    <t>SFE</t>
  </si>
  <si>
    <t>小猪佩奇过大年</t>
  </si>
  <si>
    <t>Peppa Celebrates Chinese New Year</t>
  </si>
  <si>
    <t>Yun Liu</t>
  </si>
  <si>
    <t>Dapeng Zhang</t>
  </si>
  <si>
    <t>Alibaba Pictures</t>
  </si>
  <si>
    <t>冰封侠：时空行者</t>
  </si>
  <si>
    <t>Iceman: The Time Traveller</t>
  </si>
  <si>
    <t>Donnie Yen</t>
  </si>
  <si>
    <t>Wai-Man Yip</t>
  </si>
  <si>
    <t>Zhongmeng Century Media</t>
  </si>
  <si>
    <t>Kimstim Films</t>
  </si>
  <si>
    <t>NA</t>
  </si>
  <si>
    <t>大象席地而坐</t>
  </si>
  <si>
    <t>An Elephant Sitting Still</t>
  </si>
  <si>
    <t xml:space="preserve"> Yu Zhang</t>
  </si>
  <si>
    <t>Bo Hu</t>
  </si>
  <si>
    <t>Dongchun Films</t>
  </si>
  <si>
    <t>江湖儿女</t>
  </si>
  <si>
    <t>Ash Is Purest White</t>
  </si>
  <si>
    <t>Zhao Tao</t>
  </si>
  <si>
    <t>Zhangke Jia</t>
  </si>
  <si>
    <t>Arte France Cinéma</t>
  </si>
  <si>
    <t>三重威胁之跨国大营救</t>
  </si>
  <si>
    <t>Tony Jaa</t>
  </si>
  <si>
    <t>Jesse V. Johnson</t>
  </si>
  <si>
    <t>Aurora Alliance Films</t>
  </si>
  <si>
    <t>郊区的鸟</t>
  </si>
  <si>
    <t>Suburban Birds</t>
  </si>
  <si>
    <t>Yihao Chen</t>
  </si>
  <si>
    <t>Sheng Qiu</t>
  </si>
  <si>
    <t>Chan Films</t>
  </si>
  <si>
    <t>1069 人想看</t>
  </si>
  <si>
    <r>
      <rPr>
        <sz val="11"/>
        <color rgb="FF000000"/>
        <rFont val="宋体"/>
        <charset val="134"/>
      </rPr>
      <t>叶问回传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charset val="134"/>
      </rPr>
      <t>张天志</t>
    </r>
  </si>
  <si>
    <t>Master Z: The Ip Man Legacy</t>
  </si>
  <si>
    <t>Jin Zhang</t>
  </si>
  <si>
    <t>Yuen Woo Ping</t>
  </si>
  <si>
    <t>地球最后的夜晚</t>
  </si>
  <si>
    <t>Long Day's Journey Into Night</t>
  </si>
  <si>
    <t>Tang Wei</t>
  </si>
  <si>
    <t>Huang Jue</t>
  </si>
  <si>
    <t>Slyvia Chang</t>
  </si>
  <si>
    <t>Gan Bi</t>
  </si>
  <si>
    <t>Beijing Herui FIlm Culture</t>
  </si>
  <si>
    <t>Apr 30, 2019</t>
  </si>
  <si>
    <t>雪暴</t>
  </si>
  <si>
    <t>Savage</t>
  </si>
  <si>
    <t>Chen Chang</t>
  </si>
  <si>
    <t>Siwei Cui</t>
  </si>
  <si>
    <t>Maisong Film &amp; TV Investment Co., Ltd</t>
  </si>
  <si>
    <r>
      <rPr>
        <sz val="11"/>
        <color rgb="FF000000"/>
        <rFont val="宋体"/>
        <charset val="134"/>
      </rPr>
      <t>下一任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charset val="134"/>
      </rPr>
      <t>：前任</t>
    </r>
  </si>
  <si>
    <t>Always Miss You</t>
  </si>
  <si>
    <t>Amber Kuo</t>
  </si>
  <si>
    <t>Hung-i Chen</t>
  </si>
  <si>
    <t>Beijing Huahui Brothers Film Culture Media Co., Ltd</t>
  </si>
  <si>
    <t>影</t>
  </si>
  <si>
    <t>Shadow</t>
  </si>
  <si>
    <t>Chao Deng</t>
  </si>
  <si>
    <t>Zhang Yimou</t>
  </si>
  <si>
    <t>Perfect Village Entertainment</t>
  </si>
  <si>
    <t>黄飞鸿：南北英雄</t>
  </si>
  <si>
    <t>The Unity of Heroes</t>
  </si>
  <si>
    <t>Wenzhuo Zhao</t>
  </si>
  <si>
    <t>Zhenzhao Lin</t>
  </si>
  <si>
    <t>决战异世界</t>
  </si>
  <si>
    <t>Scott Adkins</t>
  </si>
  <si>
    <t>Andy On</t>
  </si>
  <si>
    <t>Truong Ngoc Anh</t>
  </si>
  <si>
    <t>Ernie Barbarash</t>
  </si>
  <si>
    <t>Ace Films</t>
  </si>
  <si>
    <t>Jan 14, 2017</t>
  </si>
  <si>
    <r>
      <rPr>
        <sz val="11"/>
        <color rgb="FF000000"/>
        <rFont val="宋体"/>
        <charset val="134"/>
      </rPr>
      <t>熊出没</t>
    </r>
    <r>
      <rPr>
        <sz val="11"/>
        <color rgb="FF000000"/>
        <rFont val="Calibri"/>
        <family val="2"/>
      </rPr>
      <t>·</t>
    </r>
    <r>
      <rPr>
        <sz val="11"/>
        <color rgb="FF000000"/>
        <rFont val="宋体"/>
        <charset val="134"/>
      </rPr>
      <t>奇幻空间</t>
    </r>
  </si>
  <si>
    <t>Joseph</t>
  </si>
  <si>
    <t>Shang Wenjie</t>
  </si>
  <si>
    <t>Ding Liang</t>
  </si>
  <si>
    <t>Shenzhen Huaqiang Digital Animation Co., Ltd</t>
  </si>
  <si>
    <t>银河补习班</t>
  </si>
  <si>
    <t>Looking Up</t>
  </si>
  <si>
    <t>Yu Bai</t>
  </si>
  <si>
    <t>Suxi Ren</t>
  </si>
  <si>
    <t>Yu Baimei</t>
  </si>
  <si>
    <t>Tianjin Chengzi Yingxiang Media</t>
  </si>
  <si>
    <t>烈火英雄</t>
  </si>
  <si>
    <t>The Bravest</t>
  </si>
  <si>
    <t>Huang Xiaoming</t>
  </si>
  <si>
    <t>Jiang Du</t>
  </si>
  <si>
    <t>Zhuo Tan</t>
  </si>
  <si>
    <t>Tony Chan</t>
  </si>
  <si>
    <t>Bona Film Group</t>
  </si>
  <si>
    <t>Wo Bu Shi Yao Shen</t>
  </si>
  <si>
    <t>我不是药神</t>
  </si>
  <si>
    <t>Dying to Survive</t>
  </si>
  <si>
    <t>Zheng Xu</t>
  </si>
  <si>
    <t>Yiwei Zhou</t>
  </si>
  <si>
    <t>Chuan-jun Wang</t>
  </si>
  <si>
    <t>Muye Wen</t>
  </si>
  <si>
    <t>Beijing Culture</t>
  </si>
  <si>
    <t>Jun 19, 2019</t>
  </si>
  <si>
    <t>未择之路</t>
  </si>
  <si>
    <t>The Road Not Taken</t>
  </si>
  <si>
    <t>Xuebing Wang</t>
  </si>
  <si>
    <t>Gengyou Zhu</t>
  </si>
  <si>
    <t>Gaopeng Tang</t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</si>
  <si>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charset val="134"/>
      </rPr>
      <t>哪吒之魔童降世</t>
    </r>
  </si>
  <si>
    <t>Ne Zha : I am the Destiny</t>
  </si>
  <si>
    <t>Yanting Lü</t>
  </si>
  <si>
    <t>Mo Han</t>
  </si>
  <si>
    <t>Yu Yang</t>
  </si>
  <si>
    <t>Coco Cartoon</t>
  </si>
  <si>
    <t>Netflix</t>
  </si>
  <si>
    <t>上海堡垒</t>
  </si>
  <si>
    <t>Shanghai Fortress</t>
  </si>
  <si>
    <t>Shu Qi</t>
  </si>
  <si>
    <t>Godfrey Gao</t>
  </si>
  <si>
    <t>Lu Han</t>
  </si>
  <si>
    <t>Hua-Tao Teng</t>
  </si>
  <si>
    <t>HS Entertainment Group</t>
  </si>
  <si>
    <t>花椒之味</t>
  </si>
  <si>
    <t>Fagara</t>
  </si>
  <si>
    <t>Sammi Cheng</t>
  </si>
  <si>
    <t>Megan Lai</t>
  </si>
  <si>
    <t>Li Xiaofeng</t>
  </si>
  <si>
    <t>Heiward Mak</t>
  </si>
  <si>
    <t>Media Asia Films</t>
  </si>
  <si>
    <t>Wells Go USA</t>
  </si>
  <si>
    <t>功夫联盟</t>
  </si>
  <si>
    <t>Kung Fu League</t>
  </si>
  <si>
    <t>Ashin</t>
  </si>
  <si>
    <t>Danny Kwok-Kwan Chan</t>
  </si>
  <si>
    <t>Jeffrey Lau</t>
  </si>
  <si>
    <t>United Entertainment Partners</t>
  </si>
  <si>
    <t>深夜食堂</t>
  </si>
  <si>
    <t>Midnight Diner</t>
  </si>
  <si>
    <t>Tony Ka Fai Leung</t>
  </si>
  <si>
    <t>Tony Yo-ning Yang</t>
  </si>
  <si>
    <t>Tao Liu</t>
  </si>
  <si>
    <t>雪人奇缘</t>
  </si>
  <si>
    <t>Chloe Bennet</t>
  </si>
  <si>
    <t>Albert Tsai</t>
  </si>
  <si>
    <t>Jill Culton</t>
  </si>
  <si>
    <t>DreamWorks Animation</t>
  </si>
  <si>
    <t>攀登者</t>
  </si>
  <si>
    <t>The Climbers</t>
  </si>
  <si>
    <t>Jing Wu</t>
  </si>
  <si>
    <t>Zhang Ziyi</t>
  </si>
  <si>
    <t>Boran Jing</t>
  </si>
  <si>
    <t>Daniel Lee</t>
  </si>
  <si>
    <t>Shanghai Film Group</t>
  </si>
  <si>
    <t>我和我的祖国</t>
  </si>
  <si>
    <t>My People, My Country</t>
  </si>
  <si>
    <t>Bo Huang</t>
  </si>
  <si>
    <t>Qianyuan Wang</t>
  </si>
  <si>
    <t>Hao Ou</t>
  </si>
  <si>
    <t>Chen Kaige</t>
  </si>
  <si>
    <t>CMC Pictures Holdings</t>
  </si>
  <si>
    <t>武林怪兽!!</t>
  </si>
  <si>
    <t xml:space="preserve">Kung Fu Monster </t>
  </si>
  <si>
    <t>Louis Koo</t>
  </si>
  <si>
    <t>Cheney Chen</t>
  </si>
  <si>
    <t>Bea Hayden Kuo</t>
  </si>
  <si>
    <t>Andrew Lau</t>
  </si>
  <si>
    <t>中国机长</t>
  </si>
  <si>
    <t>The Captain</t>
  </si>
  <si>
    <t>Hanyu Zhang</t>
  </si>
  <si>
    <t>Dec 22, 2017</t>
  </si>
  <si>
    <t>妖猫传</t>
  </si>
  <si>
    <t>Legend Of The Demon Cat</t>
  </si>
  <si>
    <t>Huang Xuan</t>
  </si>
  <si>
    <t>Sometani Shota</t>
  </si>
  <si>
    <t>Huaxia Film Distribution Co., Ltd</t>
  </si>
  <si>
    <t>北极狗</t>
  </si>
  <si>
    <t>Jeremy Renner</t>
  </si>
  <si>
    <t>Heidi Klum</t>
  </si>
  <si>
    <t>James Franco</t>
  </si>
  <si>
    <t>Aaron Woodley</t>
  </si>
  <si>
    <t>AMBI Group</t>
  </si>
  <si>
    <t>暂无</t>
  </si>
  <si>
    <t>Gold Valley Films</t>
  </si>
  <si>
    <t>Cinderalla 3D</t>
  </si>
  <si>
    <t>Cassandra Lee Morris</t>
  </si>
  <si>
    <t>Lynne Southerland</t>
  </si>
  <si>
    <t>受益人</t>
  </si>
  <si>
    <t>My Dear Liar</t>
  </si>
  <si>
    <t>Chengpeng Dong</t>
  </si>
  <si>
    <t>Yan Liu</t>
  </si>
  <si>
    <t>Zixian Zhang</t>
  </si>
  <si>
    <t>Ao Shen</t>
  </si>
  <si>
    <t>Clover Films</t>
  </si>
  <si>
    <t>少年的你</t>
  </si>
  <si>
    <t>Better Days</t>
  </si>
  <si>
    <t>Dongyu Zhuo</t>
  </si>
  <si>
    <t>Jackson Yee</t>
  </si>
  <si>
    <t>Fang Yin</t>
  </si>
  <si>
    <t>Derek Tsang</t>
  </si>
  <si>
    <t>Shooting Pictures</t>
  </si>
  <si>
    <t>Bai</t>
  </si>
  <si>
    <t>白蛇：缘起</t>
  </si>
  <si>
    <t>White Snake</t>
  </si>
  <si>
    <t>Zhang Zhe</t>
  </si>
  <si>
    <t>Yang Tianxiang</t>
  </si>
  <si>
    <t>Wong Amp</t>
  </si>
  <si>
    <t>只有芸知道</t>
  </si>
  <si>
    <t>Only Cloud Knows</t>
  </si>
  <si>
    <t>Xuan Huang</t>
  </si>
  <si>
    <t>Caiyu Yang</t>
  </si>
  <si>
    <t>Lydia Peckham</t>
  </si>
  <si>
    <t>Xiaogang Feng</t>
  </si>
  <si>
    <t>Jun, 21st, 2019</t>
  </si>
  <si>
    <t>碟仙</t>
  </si>
  <si>
    <t>Mortal Ouija</t>
  </si>
  <si>
    <t>Crystal</t>
  </si>
  <si>
    <t>Lian Tao</t>
  </si>
  <si>
    <t>Zhujiang Film Group Co., Ltd</t>
  </si>
  <si>
    <t>误杀</t>
  </si>
  <si>
    <t>Sheep Without A Shepherd</t>
  </si>
  <si>
    <t>Yang Xiao</t>
  </si>
  <si>
    <t>Joan Chen</t>
  </si>
  <si>
    <t>Sam Quah</t>
  </si>
  <si>
    <t>815 Pictures</t>
  </si>
  <si>
    <t>Aug 18, 2019</t>
  </si>
  <si>
    <t xml:space="preserve">The Mystery of Dragon Seal </t>
  </si>
  <si>
    <t>Jetsen Huashi Media US</t>
  </si>
  <si>
    <t>被光抓走的人</t>
  </si>
  <si>
    <t>Gone with the Light</t>
  </si>
  <si>
    <t>Luodan Wang</t>
  </si>
  <si>
    <t>Runnian Dong</t>
  </si>
  <si>
    <t>May 18, 2019</t>
  </si>
  <si>
    <t>双生</t>
  </si>
  <si>
    <t>The Twins</t>
  </si>
  <si>
    <t>Liu Haoran</t>
  </si>
  <si>
    <t>Chen Duling</t>
  </si>
  <si>
    <t>Jin Zhencheng</t>
  </si>
  <si>
    <t>CHUNQIU TIME</t>
  </si>
  <si>
    <t>最好的我们</t>
  </si>
  <si>
    <t>My Best Summer</t>
  </si>
  <si>
    <t>Chen Feiyu</t>
  </si>
  <si>
    <t>He Landou</t>
  </si>
  <si>
    <t>Disha Zhang</t>
  </si>
  <si>
    <t>江南</t>
  </si>
  <si>
    <t>Xiaogang Wu</t>
  </si>
  <si>
    <t>我的青春都是你</t>
  </si>
  <si>
    <t>Love The Way You Are</t>
  </si>
  <si>
    <t>Vivian Sung</t>
  </si>
  <si>
    <t>Song Weilong</t>
  </si>
  <si>
    <t>Stella</t>
  </si>
  <si>
    <t>Zhou Tong</t>
  </si>
  <si>
    <t>Dai Mengying</t>
  </si>
  <si>
    <t>Xie Zhenghui</t>
  </si>
  <si>
    <t>Martin</t>
  </si>
  <si>
    <t>悟空圣诞奇遇记</t>
  </si>
  <si>
    <t>WuKong's Christmas Adventure</t>
  </si>
  <si>
    <t>Yin Yuqi</t>
  </si>
  <si>
    <t>DANCING CG STUDIO</t>
  </si>
  <si>
    <t>潜艇总动员：外星宝贝计划</t>
  </si>
  <si>
    <t>Happy Little Submarine：Space Pals</t>
  </si>
  <si>
    <t>Shen Yu</t>
  </si>
  <si>
    <t>Zhang Chao</t>
  </si>
  <si>
    <t>Shenzhen Global Digital Film and Television Culture Co., Ltd</t>
  </si>
  <si>
    <t>HM</t>
  </si>
  <si>
    <t>Wei Da De Yuan Wang （The Last Ride）</t>
  </si>
  <si>
    <t>Oct 12, 2019</t>
  </si>
  <si>
    <t>犯罪现场</t>
  </si>
  <si>
    <t>A Witness out of the Blue</t>
  </si>
  <si>
    <t>Jessica Hester Hsuan</t>
  </si>
  <si>
    <t>Chi-Keung Fung</t>
  </si>
  <si>
    <t>Sep 7, 2019</t>
  </si>
  <si>
    <t>Beijing Joy Pictures</t>
  </si>
  <si>
    <t>罗小黑战记</t>
  </si>
  <si>
    <t>The Legend of Hei</t>
  </si>
  <si>
    <t>Youji Wang</t>
  </si>
  <si>
    <t>Kei Gambit</t>
  </si>
  <si>
    <t>Mtjj</t>
  </si>
  <si>
    <t>MTJJ</t>
  </si>
  <si>
    <t>Aug 2, 2019</t>
  </si>
  <si>
    <t>鼠胆英雄</t>
  </si>
  <si>
    <t>Coward Hero</t>
  </si>
  <si>
    <t>Yunpeng Yue</t>
  </si>
  <si>
    <t>Liya Tong</t>
  </si>
  <si>
    <t>Yu Tian</t>
  </si>
  <si>
    <t>Dan Shao</t>
  </si>
  <si>
    <t>Huan Shu</t>
  </si>
  <si>
    <t>Dec 27, 2019</t>
  </si>
  <si>
    <t>特警队</t>
  </si>
  <si>
    <t>S.W.A.T</t>
  </si>
  <si>
    <t>Xiao-su Ling</t>
  </si>
  <si>
    <t>Nailiang Jia</t>
  </si>
  <si>
    <t>Gina Chen Jin</t>
  </si>
  <si>
    <t>Sheng Ding</t>
  </si>
  <si>
    <t>半个喜剧</t>
  </si>
  <si>
    <t>Almost a Comedy</t>
  </si>
  <si>
    <t>Yuhan Wu</t>
  </si>
  <si>
    <t>Xun Liu</t>
  </si>
  <si>
    <t>Lu Liu</t>
  </si>
  <si>
    <t>Shen Zhou</t>
  </si>
  <si>
    <t>决胜时刻</t>
  </si>
  <si>
    <t>Mao Zedong 1949</t>
  </si>
  <si>
    <t>Tang Guoqiang</t>
  </si>
  <si>
    <t>Jin Liu</t>
  </si>
  <si>
    <t>Ted Duran</t>
  </si>
  <si>
    <t>Jianxin Huang</t>
  </si>
  <si>
    <t>Haiqiang Ning</t>
  </si>
  <si>
    <t>Ting Er Zou Xian 铤而走险</t>
  </si>
  <si>
    <t>Guoqiang Tang</t>
  </si>
  <si>
    <t>Apr 15, 2019</t>
  </si>
  <si>
    <t>Bob's Your Uncle</t>
  </si>
  <si>
    <t>素人特工</t>
  </si>
  <si>
    <t>The Rookies</t>
  </si>
  <si>
    <t>Talu Wang</t>
  </si>
  <si>
    <t>Sandrine Pinna</t>
  </si>
  <si>
    <t>Milla Jovovich</t>
  </si>
  <si>
    <t>Alan Yuen</t>
  </si>
  <si>
    <t>New Classics Media</t>
  </si>
  <si>
    <r>
      <rPr>
        <sz val="11"/>
        <color rgb="FF000000"/>
        <rFont val="宋体"/>
        <charset val="134"/>
      </rPr>
      <t>秦明</t>
    </r>
    <r>
      <rPr>
        <sz val="11"/>
        <color rgb="FF000000"/>
        <rFont val="Calibri"/>
        <family val="2"/>
      </rPr>
      <t>·</t>
    </r>
    <r>
      <rPr>
        <sz val="11"/>
        <color rgb="FF000000"/>
        <rFont val="宋体"/>
        <charset val="134"/>
      </rPr>
      <t>生死语者</t>
    </r>
  </si>
  <si>
    <t>Whisper of Silent Body</t>
  </si>
  <si>
    <t>Kevin Yan</t>
  </si>
  <si>
    <t>Daisy</t>
  </si>
  <si>
    <t>Le Geng</t>
  </si>
  <si>
    <t>Li Haishu</t>
  </si>
  <si>
    <t>Huang Yanwei</t>
  </si>
  <si>
    <t>Zhejiang Bodi Film &amp; TV Co., Ltd</t>
  </si>
  <si>
    <t xml:space="preserve">Wo De Quan Wang Nan You 我的拳王男友 </t>
  </si>
  <si>
    <t>Bing Feng Bao 冰风暴</t>
  </si>
  <si>
    <t xml:space="preserve">Zui chang 1 qiang 最长1枪 </t>
  </si>
  <si>
    <t>Sep 6, 2019</t>
  </si>
  <si>
    <t>Blue Sky Media</t>
  </si>
  <si>
    <t>逗爱熊仁镇</t>
  </si>
  <si>
    <t>ATM</t>
  </si>
  <si>
    <t>Yurong Zhang</t>
  </si>
  <si>
    <t>Yawen Zhu</t>
  </si>
  <si>
    <t>Muchun Zha</t>
  </si>
  <si>
    <t>iQIYI Pictures</t>
  </si>
  <si>
    <t>Qin Ai Dw Xin Nian Hao 亲爱的新年好</t>
  </si>
  <si>
    <t>八子</t>
  </si>
  <si>
    <t>ADVANCE WAVE UPON WAVE</t>
  </si>
  <si>
    <t>Liu Duanduan</t>
  </si>
  <si>
    <t>Shao Bing</t>
  </si>
  <si>
    <t>Gao XiXi</t>
  </si>
  <si>
    <t>Ganzhou Tourism Investment Group Co., Ltd</t>
  </si>
  <si>
    <t>Zhi Jing Ying Xiong 致敬英雄</t>
  </si>
  <si>
    <t>Chun Jiang Shui Nuan 春江水暖</t>
  </si>
  <si>
    <t>吹哨人</t>
  </si>
  <si>
    <t>The Whistleblower</t>
  </si>
  <si>
    <t>Jiayin Lei</t>
  </si>
  <si>
    <t>Xi Qi</t>
  </si>
  <si>
    <t>Xue Xiaolu</t>
  </si>
  <si>
    <t>Edko Films</t>
  </si>
  <si>
    <t xml:space="preserve">Liu Yu Tian 六欲天 </t>
  </si>
  <si>
    <t>Ji Xian Feng 急先锋</t>
  </si>
  <si>
    <t>May 5, 2019</t>
  </si>
  <si>
    <t>周恩来回延安</t>
  </si>
  <si>
    <t>Zhou Enlai Returned To Yanan</t>
  </si>
  <si>
    <t>Liu Jing</t>
  </si>
  <si>
    <t>Wu Weidong</t>
  </si>
  <si>
    <t>Liu Jin</t>
  </si>
  <si>
    <t>Art Market Magazine Co., Ltd</t>
  </si>
  <si>
    <t>Ma Ma, Wo Xiang Ni 妈妈，我想你</t>
  </si>
  <si>
    <t>Sep 21, 2019</t>
  </si>
  <si>
    <t xml:space="preserve">疯狂梦幻城 </t>
  </si>
  <si>
    <t>Crazy and Dream City</t>
  </si>
  <si>
    <t>Hongsheng Luo</t>
  </si>
  <si>
    <t xml:space="preserve">Zao An Gong Zhu 早安公主 </t>
  </si>
  <si>
    <t xml:space="preserve">Guo Zhi Ge Zhe 国之歌者 </t>
  </si>
  <si>
    <t xml:space="preserve">Huan Ying Lai Dao Xiong Ren Zhen 欢迎来到熊仁镇 </t>
  </si>
  <si>
    <t>Na Yi Ye Wo Gei Ni Kai Guo Che 那一夜我给你开过车</t>
  </si>
  <si>
    <t xml:space="preserve">Huo zhe chang zhe 活着唱着 </t>
  </si>
  <si>
    <t>Very Smart Very Lucky 骑遇</t>
  </si>
  <si>
    <t xml:space="preserve">Liu Lian Sha 六连煞 </t>
  </si>
  <si>
    <t>Adrian</t>
  </si>
  <si>
    <t>Mei Ah Entertainment</t>
  </si>
  <si>
    <t>催眠 。 裁决</t>
  </si>
  <si>
    <t>Guilt by Design</t>
  </si>
  <si>
    <t>Nick Cheung</t>
  </si>
  <si>
    <t>Hans Zhang</t>
  </si>
  <si>
    <t>Siu Kwan Lai</t>
  </si>
  <si>
    <t>Lau Wing Tai</t>
  </si>
  <si>
    <t>Dahe Pictures Yangzhou</t>
  </si>
  <si>
    <t>The Wind Comes Up From the Plateau 风从塬上来</t>
  </si>
  <si>
    <t>Wen Jiang</t>
  </si>
  <si>
    <t>第一滴血5 ：最后的血</t>
  </si>
  <si>
    <t>Slyvester Stallone</t>
  </si>
  <si>
    <t>Pas Vega</t>
  </si>
  <si>
    <t>Sergio Peris-Mencheta</t>
  </si>
  <si>
    <t>Adrian Grunberg</t>
  </si>
  <si>
    <t>神童</t>
  </si>
  <si>
    <t>Taylor Shilling</t>
  </si>
  <si>
    <t>Jackson Robert Scott</t>
  </si>
  <si>
    <t>Peter Mooney</t>
  </si>
  <si>
    <t>Nicholas McCarthy</t>
  </si>
  <si>
    <t>叶问 4 : 完结篇</t>
  </si>
  <si>
    <t>Ip Man 4: The Finale</t>
  </si>
  <si>
    <t>Wilson Yip Wai Shun</t>
  </si>
  <si>
    <t>Dave Bautista</t>
  </si>
  <si>
    <t>Michelle Yeoh</t>
  </si>
  <si>
    <t>Woo-Ping Yuen</t>
  </si>
  <si>
    <t>x</t>
  </si>
  <si>
    <t>Jun 6, 2019</t>
  </si>
  <si>
    <t>追龙Ⅱ</t>
  </si>
  <si>
    <t>Chasing the Dragon 2: Wild Wild Bunch</t>
  </si>
  <si>
    <t>Wong Jing</t>
  </si>
  <si>
    <t>Sil-Metropole Organisation Ltd</t>
  </si>
  <si>
    <t>小Q</t>
  </si>
  <si>
    <t>Little Q</t>
  </si>
  <si>
    <t>Simon Yam</t>
  </si>
  <si>
    <t>Gigi Leung</t>
  </si>
  <si>
    <t>Him Law</t>
  </si>
  <si>
    <t>Wing-Cheong Law</t>
  </si>
  <si>
    <t>Filmko Entertainment Limited</t>
  </si>
  <si>
    <t>Nov 10, 2017</t>
  </si>
  <si>
    <t>狂兽</t>
  </si>
  <si>
    <t>The Brink</t>
  </si>
  <si>
    <t>Chang Hao-dong</t>
  </si>
  <si>
    <t>Jonathan Li</t>
  </si>
  <si>
    <t>Sil-Metropole Organisation</t>
  </si>
  <si>
    <t>Mar 10, 2020</t>
  </si>
  <si>
    <t>麦路人</t>
  </si>
  <si>
    <t>I'm Livin' It</t>
  </si>
  <si>
    <t>Aaron Kwok</t>
  </si>
  <si>
    <t>Miriam Chin Wah Yeung</t>
  </si>
  <si>
    <t>Alex Man</t>
  </si>
  <si>
    <t>Hing Fan Wong</t>
  </si>
  <si>
    <t>Lajin Film</t>
  </si>
  <si>
    <t>Dec 22nd, 2017</t>
  </si>
  <si>
    <t>Xinli Media Co., Ltd</t>
  </si>
  <si>
    <t>廉政风云</t>
  </si>
  <si>
    <t>Integrity</t>
  </si>
  <si>
    <t>Sean Andy</t>
  </si>
  <si>
    <t>Alan Mak</t>
  </si>
  <si>
    <t>Beijing Herui film culture Co., Ltd</t>
  </si>
  <si>
    <t>乜待宗师</t>
  </si>
  <si>
    <t>Dayo Wong</t>
  </si>
  <si>
    <t>比悲伤更悲伤的故事</t>
  </si>
  <si>
    <t>More Than Blue</t>
  </si>
  <si>
    <t>Ivy Chen</t>
  </si>
  <si>
    <t>Jasper Liu</t>
  </si>
  <si>
    <t>Bryan Chang Shu-Hao</t>
  </si>
  <si>
    <t>Gavin Lin</t>
  </si>
  <si>
    <t>MM2 Entertainment</t>
  </si>
  <si>
    <t>Mar 1, 2020</t>
  </si>
  <si>
    <t>返校</t>
  </si>
  <si>
    <t>Detention</t>
  </si>
  <si>
    <t>Gingle Wang</t>
  </si>
  <si>
    <t>Fu Meng-Po</t>
  </si>
  <si>
    <t xml:space="preserve">Tseng Jing-Hua </t>
  </si>
  <si>
    <t>John Hsu</t>
  </si>
  <si>
    <t>1 Production Film</t>
  </si>
  <si>
    <t>Meng-Po Fu</t>
  </si>
  <si>
    <t>Jing-Hua Tseng</t>
  </si>
  <si>
    <t>Aug 23, 2019</t>
  </si>
  <si>
    <t>下半场</t>
  </si>
  <si>
    <t>We Are Champions</t>
  </si>
  <si>
    <t>Fandy Fan</t>
  </si>
  <si>
    <t>Yi-Ching Lu</t>
  </si>
  <si>
    <t>Tsung-Hua Tou</t>
  </si>
  <si>
    <t>Jung-chi Chang</t>
  </si>
  <si>
    <t>We Are Champions Films</t>
  </si>
  <si>
    <t>唐人街探案2</t>
  </si>
  <si>
    <t>DETECTIVE CHINATOWN II</t>
  </si>
  <si>
    <t>Wang Baoqiang</t>
  </si>
  <si>
    <t>Chen Sicheng</t>
  </si>
  <si>
    <t>Wanda Media</t>
  </si>
  <si>
    <t>红海行动</t>
  </si>
  <si>
    <t>OPERATION RED SEA</t>
  </si>
  <si>
    <t>Zhang Yi</t>
  </si>
  <si>
    <t>Johnny</t>
  </si>
  <si>
    <t>Dante Lam</t>
  </si>
  <si>
    <t>Bona pictures</t>
  </si>
  <si>
    <t>超时空同居</t>
  </si>
  <si>
    <t>Lei Jiayin</t>
  </si>
  <si>
    <t>Tong Liya</t>
  </si>
  <si>
    <t>Su Lun</t>
  </si>
  <si>
    <t>Beijing Zhenledao Culture Communication Co., Ltd</t>
  </si>
  <si>
    <t>捉妖记2</t>
  </si>
  <si>
    <t>Monster Hunt 2</t>
  </si>
  <si>
    <t>Bai Baihe</t>
  </si>
  <si>
    <t>Jing Bo Ran</t>
  </si>
  <si>
    <t>Raman Hui</t>
  </si>
  <si>
    <t>Wuxi Film City Media Co., Ltd</t>
  </si>
  <si>
    <t>西游记女儿国</t>
  </si>
  <si>
    <t>The Monkey King 3</t>
  </si>
  <si>
    <t>William Feng</t>
  </si>
  <si>
    <t>Pou-Soi Cheang</t>
  </si>
  <si>
    <t>Xinghao Film Co., Ltd</t>
  </si>
  <si>
    <t>妖铃铃</t>
  </si>
  <si>
    <t>Demon bell</t>
  </si>
  <si>
    <t>Sandra Ng</t>
  </si>
  <si>
    <t>Shen Teng</t>
  </si>
  <si>
    <t>Jiamei Spring Pictures</t>
  </si>
  <si>
    <t>南极之恋</t>
  </si>
  <si>
    <t>Till The End Of The World</t>
  </si>
  <si>
    <t>Mark Chao</t>
  </si>
  <si>
    <t>Yang Zishan</t>
  </si>
  <si>
    <t>Wu Youyin</t>
  </si>
  <si>
    <t>Chen Ming Film (Shanghai) Co., Ltd</t>
  </si>
  <si>
    <t>龙虾刑警</t>
  </si>
  <si>
    <t>Lobster cop</t>
  </si>
  <si>
    <t>Wang Qianyuan</t>
  </si>
  <si>
    <t>Mabel Yuan</t>
  </si>
  <si>
    <t>Xinyun Li</t>
  </si>
  <si>
    <t>闺蜜2</t>
  </si>
  <si>
    <t>Girls vs. Gangsters</t>
  </si>
  <si>
    <t>Ning Chang</t>
  </si>
  <si>
    <t>Barbara Wong</t>
  </si>
  <si>
    <t>Beijing Perfect Star Media Co., Ltd</t>
  </si>
  <si>
    <t>脱皮爸爸</t>
  </si>
  <si>
    <t>Shed Skin Papa</t>
  </si>
  <si>
    <t>Francis NG</t>
  </si>
  <si>
    <t>Roy Szeto</t>
  </si>
  <si>
    <t>Beijing Ju Jiao Ying Hua culture media Co., Ltd</t>
  </si>
  <si>
    <t>破·局</t>
  </si>
  <si>
    <t>Tamia Liu</t>
  </si>
  <si>
    <t>Lian Yiqi</t>
  </si>
  <si>
    <t>极致追击</t>
  </si>
  <si>
    <t>S.M.A.R.T. Chase</t>
  </si>
  <si>
    <t>Orlando Jonathan Blanchard Bloom</t>
  </si>
  <si>
    <t>Charles Martin</t>
  </si>
  <si>
    <t>Shanghai Xiyi culture media Co., Ltd</t>
  </si>
  <si>
    <t>Jul 7th, 2017</t>
  </si>
  <si>
    <t>机器之血</t>
  </si>
  <si>
    <t>Bleeding Steel</t>
  </si>
  <si>
    <t>Jackie Chan</t>
  </si>
  <si>
    <t>Show Lo</t>
  </si>
  <si>
    <t>Leo</t>
  </si>
  <si>
    <t>Heyi Pictures</t>
  </si>
  <si>
    <t>二代妖精之今生有幸</t>
  </si>
  <si>
    <t>Hanson and the Beast</t>
  </si>
  <si>
    <t>Liu Yifei</t>
  </si>
  <si>
    <t>Xiao Yang</t>
  </si>
  <si>
    <t>Gongfu Film Co., Ltd</t>
  </si>
  <si>
    <t>非凡任务</t>
  </si>
  <si>
    <t>EXTRAORDINARY MISSION</t>
  </si>
  <si>
    <t>Duan Long</t>
  </si>
  <si>
    <t>Siu Fai Mak</t>
  </si>
  <si>
    <t>Pan Yaoming</t>
  </si>
  <si>
    <t>Jul 13, 2017</t>
  </si>
  <si>
    <t>悟空传</t>
  </si>
  <si>
    <t xml:space="preserve">Wukong </t>
  </si>
  <si>
    <t>Eddie Peng Yuyan</t>
  </si>
  <si>
    <t>NiNi</t>
  </si>
  <si>
    <t>Derek Kwok</t>
  </si>
  <si>
    <t>谜巢</t>
  </si>
  <si>
    <t>Li Bingbing</t>
  </si>
  <si>
    <t>Kimble Rendall</t>
  </si>
  <si>
    <t>Ye Liu</t>
  </si>
  <si>
    <t>Bruce Willis</t>
  </si>
  <si>
    <t>Seung-heon Song</t>
  </si>
  <si>
    <t>Xiao Feng</t>
  </si>
  <si>
    <t>Origin Films</t>
  </si>
  <si>
    <t>嘉年华</t>
  </si>
  <si>
    <t>Angels Wear White</t>
  </si>
  <si>
    <t>Zhou Meijun</t>
  </si>
  <si>
    <t>Vivian Qu</t>
  </si>
  <si>
    <t>Jul 17, 2017</t>
  </si>
  <si>
    <t>杀破狼·贪狼</t>
  </si>
  <si>
    <t>Paradox</t>
  </si>
  <si>
    <t>心理罪之城市之光</t>
  </si>
  <si>
    <t>The Liquidator</t>
  </si>
  <si>
    <t>Deng Chao</t>
  </si>
  <si>
    <t>Ethan Juan</t>
  </si>
  <si>
    <t>Xu Jizhou</t>
  </si>
  <si>
    <t>Shanghai Film Group Co., Ltd</t>
  </si>
  <si>
    <t>金龟子</t>
  </si>
  <si>
    <t>Liu Chunyan</t>
  </si>
  <si>
    <t>Zhang Lei</t>
  </si>
  <si>
    <t>Liu Bo</t>
  </si>
  <si>
    <t>Ding Shi</t>
  </si>
  <si>
    <t>Beijing qixinran film and Television Culture Communication Co., Ltd</t>
  </si>
  <si>
    <t>Jan 18, 2019</t>
  </si>
  <si>
    <t>闯堂兔3囧囧时光机</t>
  </si>
  <si>
    <t>Brave Rabbit 3: The Crazy Time Machine</t>
  </si>
  <si>
    <t>Zeng Xianlin</t>
  </si>
  <si>
    <t>Wuhan Maya Animation Co., Ltd</t>
  </si>
  <si>
    <t>May 12, 2018</t>
  </si>
  <si>
    <t>小公主艾薇拉与神秘王国</t>
  </si>
  <si>
    <t>Luo Yang</t>
  </si>
  <si>
    <t>Anhui Yulian film culture Co., Ltd</t>
  </si>
  <si>
    <t>Jun 1, 2018</t>
  </si>
  <si>
    <r>
      <rPr>
        <sz val="11"/>
        <color rgb="FF000000"/>
        <rFont val="宋体"/>
        <charset val="134"/>
      </rPr>
      <t>魔镜奇缘</t>
    </r>
    <r>
      <rPr>
        <sz val="11"/>
        <color rgb="FF000000"/>
        <rFont val="Calibri"/>
        <family val="2"/>
      </rPr>
      <t>2</t>
    </r>
  </si>
  <si>
    <t>Zheng Chengfeng</t>
  </si>
  <si>
    <t>Beijing film time and space culture media Co., Ltd</t>
  </si>
  <si>
    <t>May 1, 2019</t>
  </si>
  <si>
    <t>港珠澳大桥</t>
  </si>
  <si>
    <t>Lihong Li</t>
  </si>
  <si>
    <t>Jia Xin</t>
  </si>
  <si>
    <t>Yan Dong</t>
  </si>
  <si>
    <t>China Media Group</t>
  </si>
  <si>
    <t>Jun 16, 2018</t>
  </si>
  <si>
    <t>吃货宇宙</t>
  </si>
  <si>
    <t>Zhang Xuer</t>
  </si>
  <si>
    <t>Liu Sitong</t>
  </si>
  <si>
    <t>Sun Bo</t>
  </si>
  <si>
    <t>Chen Liaoyu</t>
  </si>
  <si>
    <t>Wuxi Tiangong Film Co., Ltd</t>
  </si>
  <si>
    <t>毕业作品</t>
  </si>
  <si>
    <t>Zray</t>
  </si>
  <si>
    <t>Ding Ding</t>
  </si>
  <si>
    <t>Xu Bin</t>
  </si>
  <si>
    <t>Hubei Changjiang Film Group Co., Ltd</t>
  </si>
  <si>
    <t>Feb 22, 2019</t>
  </si>
  <si>
    <t>古井凶灵</t>
  </si>
  <si>
    <t>The ghost in well</t>
  </si>
  <si>
    <t>Charies</t>
  </si>
  <si>
    <t>Chen Meilin</t>
  </si>
  <si>
    <t>Wang Chenliu</t>
  </si>
  <si>
    <t>Chongqing original picture film Co., Ltd</t>
  </si>
  <si>
    <t>寻找罗麦</t>
  </si>
  <si>
    <t>Looking for Rohmer</t>
  </si>
  <si>
    <t>Han Geng</t>
  </si>
  <si>
    <t>Wang Chao</t>
  </si>
  <si>
    <t>Wuhan Legend Film and Television</t>
  </si>
  <si>
    <t>青蛙王子历险记</t>
  </si>
  <si>
    <t>Ding Runqi</t>
  </si>
  <si>
    <t>Jiang Yefeng</t>
  </si>
  <si>
    <t>Hefei Taishang Technology Co., Ltd</t>
  </si>
  <si>
    <t>Mar 29, 2019</t>
  </si>
  <si>
    <t>人间·喜剧</t>
  </si>
  <si>
    <t>The Human Comedy</t>
  </si>
  <si>
    <t>Peng Cao</t>
  </si>
  <si>
    <t>Zhou Sun</t>
  </si>
  <si>
    <t>在乎你</t>
  </si>
  <si>
    <t>Wish You Were Here</t>
  </si>
  <si>
    <t>Faye Yu</t>
  </si>
  <si>
    <t>Osawa Takao</t>
  </si>
  <si>
    <t>Maeda Gouki</t>
  </si>
  <si>
    <t>Kenneth Bi</t>
  </si>
  <si>
    <t>Boji studio</t>
  </si>
  <si>
    <t>Apr 19, 2019</t>
  </si>
  <si>
    <t>如影随心</t>
  </si>
  <si>
    <t>Lost In Love</t>
  </si>
  <si>
    <t>Chen Xiao</t>
  </si>
  <si>
    <t>Jennifer</t>
  </si>
  <si>
    <t>Huo Jianqi</t>
  </si>
  <si>
    <t>后来的我们</t>
  </si>
  <si>
    <t>Us and Them</t>
  </si>
  <si>
    <t>Zhou Dongyu</t>
  </si>
  <si>
    <t>Rene Liu</t>
  </si>
  <si>
    <t>Feb 2, 2019</t>
  </si>
  <si>
    <t>新喜剧之王</t>
  </si>
  <si>
    <t>The New King of Comedy</t>
  </si>
  <si>
    <t>Er Jingwen</t>
  </si>
  <si>
    <t>Zhang Quandan</t>
  </si>
  <si>
    <t xml:space="preserve">Stephen Chow </t>
  </si>
  <si>
    <t>转型团伙</t>
  </si>
  <si>
    <t>Change Of Gangster</t>
  </si>
  <si>
    <t>Qiao Shan</t>
  </si>
  <si>
    <t>feynman</t>
  </si>
  <si>
    <t>Beijing Ningyi Tianxing Culture Communication Co., Ltd</t>
  </si>
  <si>
    <t>妈阁是座城</t>
  </si>
  <si>
    <t>A City Called Macau</t>
  </si>
  <si>
    <t>WU GANG</t>
  </si>
  <si>
    <t>Li Shaohon</t>
  </si>
  <si>
    <t>RongXinDa (Shanghai) Cultural Development Co., Ltd</t>
  </si>
  <si>
    <t>大闹西游</t>
  </si>
  <si>
    <t>Ma Xihai</t>
  </si>
  <si>
    <t>Shenzhen enitan Animation Co., Ltd</t>
  </si>
  <si>
    <t>烽火芳菲</t>
  </si>
  <si>
    <r>
      <rPr>
        <sz val="11"/>
        <color rgb="FF000000"/>
        <rFont val="Calibri"/>
        <family val="2"/>
      </rPr>
      <t>The Chinese Widow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family val="2"/>
      </rPr>
      <t>In Harm's Way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family val="2"/>
      </rPr>
      <t>The Hidden Soldier</t>
    </r>
  </si>
  <si>
    <t>Emile Hirsch</t>
  </si>
  <si>
    <t>Bille August</t>
  </si>
  <si>
    <t>Tianpeng Media Co., Ltd</t>
  </si>
  <si>
    <t>Apr 28, 2018</t>
  </si>
  <si>
    <t>低压槽：欲望之城</t>
  </si>
  <si>
    <t>The Trough</t>
  </si>
  <si>
    <t>Xu Jinglei</t>
  </si>
  <si>
    <t>Shanghai Bona culture media Co., Ltd</t>
  </si>
  <si>
    <t>Jun 8, 2018</t>
  </si>
  <si>
    <t>幸福马上来</t>
  </si>
  <si>
    <t>Happiness Around the Corner</t>
  </si>
  <si>
    <t>Feng Gong</t>
  </si>
  <si>
    <t>Bai Kainan</t>
  </si>
  <si>
    <t>Ling Jia</t>
  </si>
  <si>
    <t>Cui Junjie</t>
  </si>
  <si>
    <t>Chongqing Film Group</t>
  </si>
  <si>
    <t>欲念游戏</t>
  </si>
  <si>
    <t>Desire Game</t>
  </si>
  <si>
    <t>Guo Tao</t>
  </si>
  <si>
    <t>Zhang Zifeng</t>
  </si>
  <si>
    <t>Blooming Xingsheng film and TV</t>
  </si>
  <si>
    <t>Apr 20, 2019</t>
  </si>
  <si>
    <t>狗眼看人心</t>
  </si>
  <si>
    <t>Push and Shove</t>
  </si>
  <si>
    <t>Huang Lei</t>
  </si>
  <si>
    <t>NI YAN</t>
  </si>
  <si>
    <t>Wu Nan</t>
  </si>
  <si>
    <t>King (Beijing) film and television culture media Co., Ltd</t>
  </si>
  <si>
    <t>Jan 5, 2019</t>
  </si>
  <si>
    <t>The Klockworx</t>
  </si>
  <si>
    <t>“大”人物</t>
  </si>
  <si>
    <t xml:space="preserve"> The Big Shot (China)</t>
  </si>
  <si>
    <t>Bao Beier</t>
  </si>
  <si>
    <t>Wu Bai</t>
  </si>
  <si>
    <t>Shanghai Xiyan culture</t>
  </si>
  <si>
    <t>Jan 14, 2019</t>
  </si>
  <si>
    <t>燃点</t>
  </si>
  <si>
    <t>Luo Yuanhao</t>
  </si>
  <si>
    <t>Guan Xiu</t>
  </si>
  <si>
    <t>Xiao  Qinan</t>
  </si>
  <si>
    <t>Beijing fine blue line Culture Communication Co., Ltd</t>
  </si>
  <si>
    <t>西北风云</t>
  </si>
  <si>
    <t>Justice in Northwest</t>
  </si>
  <si>
    <t>Yu Nan</t>
  </si>
  <si>
    <t>Jack Kao</t>
  </si>
  <si>
    <t>Li Ke</t>
  </si>
  <si>
    <t>Qianyi Media Co., Ltd</t>
  </si>
  <si>
    <t>飞驰人生</t>
  </si>
  <si>
    <t>Pegasus</t>
  </si>
  <si>
    <t>Yin Zheng</t>
  </si>
  <si>
    <t>Han Han</t>
  </si>
  <si>
    <t>Shanghai Tingdong Film Co., Ltd</t>
  </si>
  <si>
    <t>May 29, 2018</t>
  </si>
  <si>
    <t>给19岁的我自己</t>
  </si>
  <si>
    <t>To my 19-year-old</t>
  </si>
  <si>
    <t>Annie</t>
  </si>
  <si>
    <t>Lin Bohong</t>
  </si>
  <si>
    <t>Huang Zhaoliang</t>
  </si>
  <si>
    <t>Qiangshi Media Co., Ltd</t>
  </si>
  <si>
    <t>Jan 25, 2019</t>
  </si>
  <si>
    <t>大侦探霍桑</t>
  </si>
  <si>
    <t>The Great Detective</t>
  </si>
  <si>
    <t>Roy Chow</t>
  </si>
  <si>
    <t>Lions gate films</t>
  </si>
  <si>
    <t>Apr 20, 2018</t>
  </si>
  <si>
    <t>Golden Village Pictures</t>
  </si>
  <si>
    <t>脱单告急</t>
  </si>
  <si>
    <t>Dude's Manual</t>
  </si>
  <si>
    <t>Dong Zijian</t>
  </si>
  <si>
    <t>Elaine Zhong</t>
  </si>
  <si>
    <t>Jessia Li</t>
  </si>
  <si>
    <t>Kevin Ko</t>
  </si>
  <si>
    <t>疯狂的外星人</t>
  </si>
  <si>
    <t>Crazy Alien (Australia)</t>
  </si>
  <si>
    <t>Huang Bo</t>
  </si>
  <si>
    <t>Xu Zheng</t>
  </si>
  <si>
    <t xml:space="preserve">Ning Hao </t>
  </si>
  <si>
    <t>Huanxi Media Group Co., Ltd</t>
  </si>
  <si>
    <t>反贪风暴4</t>
  </si>
  <si>
    <t>P Storm (Australia)</t>
  </si>
  <si>
    <t>Kevin Cheng</t>
  </si>
  <si>
    <t>LAM Raymond</t>
  </si>
  <si>
    <t xml:space="preserve">David Lam </t>
  </si>
  <si>
    <t>Tianma Yinglian film and Television Culture (Beijing) Co., Ltd</t>
  </si>
  <si>
    <t>Apr 4, 2018</t>
  </si>
  <si>
    <t>四个春天</t>
  </si>
  <si>
    <t>Li Guixian</t>
  </si>
  <si>
    <t>Lu Qingsong</t>
  </si>
  <si>
    <t>Lu Qingyi</t>
  </si>
  <si>
    <t>Baichuan film Wuxi Co., Ltd</t>
  </si>
  <si>
    <t>Apr 4th, 2018</t>
  </si>
  <si>
    <t>奇葩朵朵</t>
  </si>
  <si>
    <t>Nuts、Science and Sensibility</t>
  </si>
  <si>
    <t>Zhang Ruoyun</t>
  </si>
  <si>
    <t>Li Xin</t>
  </si>
  <si>
    <t>Li Yang</t>
  </si>
  <si>
    <t>Horgos Film Co., Ltd</t>
  </si>
  <si>
    <t>Apr 29, 2018</t>
  </si>
  <si>
    <t>尖叫直播</t>
  </si>
  <si>
    <t>Screaming live</t>
  </si>
  <si>
    <t>Wen Song</t>
  </si>
  <si>
    <t>Xiu Rui</t>
  </si>
  <si>
    <t>Xia Zitong</t>
  </si>
  <si>
    <t>Chen Chen</t>
  </si>
  <si>
    <t>Zhou Yingnan</t>
  </si>
  <si>
    <t>Jul 15, 2017</t>
  </si>
  <si>
    <t>猛虫过江</t>
  </si>
  <si>
    <t>A strong insect crossing the river</t>
  </si>
  <si>
    <t>Shen He</t>
  </si>
  <si>
    <t>Pan Binlong</t>
  </si>
  <si>
    <t>过春天</t>
  </si>
  <si>
    <t>The crossing</t>
  </si>
  <si>
    <t>Huang Rao</t>
  </si>
  <si>
    <t>Sunyang</t>
  </si>
  <si>
    <t>Bai Xue</t>
  </si>
  <si>
    <t>老师·好</t>
  </si>
  <si>
    <t>Yu Qian</t>
  </si>
  <si>
    <t>Luan Zhang</t>
  </si>
  <si>
    <t>Puzhao Film Co., Ltd</t>
  </si>
  <si>
    <t>地久天长</t>
  </si>
  <si>
    <t>So Long, My Son</t>
  </si>
  <si>
    <t>Wang Jingchun</t>
  </si>
  <si>
    <t>Yong Mei</t>
  </si>
  <si>
    <t>Wang Xiaoshuai</t>
  </si>
  <si>
    <t>Dongchun (Shanghai) Film Co., Ltd</t>
  </si>
  <si>
    <t>京城81号Ⅱ</t>
  </si>
  <si>
    <t>The House That Never DiesⅡ</t>
  </si>
  <si>
    <t>Julian Cheung</t>
  </si>
  <si>
    <t>Mei Ting</t>
  </si>
  <si>
    <t>Qian Renhao</t>
  </si>
  <si>
    <t>Apr 4, 2019</t>
  </si>
  <si>
    <t>Horgos Youth Light Film Co., Ltd</t>
  </si>
  <si>
    <t>风中有朵雨做的云</t>
  </si>
  <si>
    <t>The Shadow Play</t>
  </si>
  <si>
    <t>Ye Lou</t>
  </si>
  <si>
    <t>Beijing Light Film Co., Ltd. [China]</t>
  </si>
  <si>
    <t>动物世界</t>
  </si>
  <si>
    <t>ANIMAL WORLD</t>
  </si>
  <si>
    <t>Yifeng Li</t>
  </si>
  <si>
    <t>Han Yan</t>
  </si>
  <si>
    <t>Shanghai Ruyi film and television production Co., Ltd</t>
  </si>
  <si>
    <t>Feb 14, 2019</t>
  </si>
  <si>
    <t>一吻定情</t>
  </si>
  <si>
    <t>Fall in Love at First Kiss</t>
  </si>
  <si>
    <t>Darren Wang</t>
  </si>
  <si>
    <t>Jelly Lin</t>
  </si>
  <si>
    <t>Chen Yushan</t>
  </si>
  <si>
    <t>April，4th, 2019</t>
  </si>
  <si>
    <t>May 1st, 2019</t>
  </si>
  <si>
    <t>Mai Zhaohui</t>
  </si>
  <si>
    <t>家和万事惊</t>
  </si>
  <si>
    <t>A Home with a View</t>
  </si>
  <si>
    <t>Anita Yuen</t>
  </si>
  <si>
    <t>Herman Yau Lai-To</t>
  </si>
  <si>
    <t>Erdong film (Beijing) Co., Ltd</t>
  </si>
  <si>
    <t>Jul 17th, 2017</t>
  </si>
  <si>
    <t>Change Of Ganster</t>
  </si>
  <si>
    <t>Youku Film Co., Ltd</t>
  </si>
  <si>
    <t>Feb, 14th, 2019</t>
  </si>
  <si>
    <t>长城</t>
  </si>
  <si>
    <t>Matt Damon</t>
  </si>
  <si>
    <t>Tian Jing</t>
  </si>
  <si>
    <t>Andu Lau</t>
  </si>
  <si>
    <t>Legendary East</t>
  </si>
  <si>
    <t>Sep 30, 2017</t>
  </si>
  <si>
    <t>英伦对决</t>
  </si>
  <si>
    <t>Martin Campbell</t>
  </si>
  <si>
    <t>Beijing yaolai film and television culture media Co., Ltd</t>
  </si>
  <si>
    <t>摇滚藏獒</t>
  </si>
  <si>
    <t>Luke Wilson</t>
  </si>
  <si>
    <t>Eddie Izzard</t>
  </si>
  <si>
    <t>J.K Simmons</t>
  </si>
  <si>
    <t>Ash Brannon</t>
  </si>
  <si>
    <t>Summit Premiere</t>
  </si>
  <si>
    <t>战狼2</t>
  </si>
  <si>
    <t>Wolf Warriors Ⅱ</t>
  </si>
  <si>
    <t>Jason Wu</t>
  </si>
  <si>
    <t>Beijing Dengfeng International Culture Communication Co., Ltd</t>
  </si>
  <si>
    <t>西游伏妖篇</t>
  </si>
  <si>
    <t>Journey to the West: The Demons 
Strike Back</t>
  </si>
  <si>
    <t>Kris</t>
  </si>
  <si>
    <t>Hark Tsui</t>
  </si>
  <si>
    <r>
      <rPr>
        <sz val="11"/>
        <color rgb="FF000000"/>
        <rFont val="宋体"/>
        <charset val="134"/>
      </rPr>
      <t>嫌疑人</t>
    </r>
    <r>
      <rPr>
        <sz val="11"/>
        <color rgb="FF000000"/>
        <rFont val="Calibri"/>
        <family val="2"/>
      </rPr>
      <t>X</t>
    </r>
    <r>
      <rPr>
        <sz val="11"/>
        <color rgb="FF000000"/>
        <rFont val="宋体"/>
        <charset val="134"/>
      </rPr>
      <t>的献身</t>
    </r>
  </si>
  <si>
    <t>Wang Kai</t>
  </si>
  <si>
    <t>Edward Zhang</t>
  </si>
  <si>
    <t>Ruby Lin</t>
  </si>
  <si>
    <t>Alec Su</t>
  </si>
  <si>
    <t>Shenzhen Zhonghui film and Television Cultural Communication Co., Ltd</t>
  </si>
  <si>
    <t>记忆大师</t>
  </si>
  <si>
    <t>Battle of Memories</t>
  </si>
  <si>
    <t>Yihong Duan</t>
  </si>
  <si>
    <t>Jinglei Xu</t>
  </si>
  <si>
    <t>Leste Chen</t>
  </si>
  <si>
    <t>Golden Cicada Films</t>
  </si>
  <si>
    <t>Aug 3, 2017</t>
  </si>
  <si>
    <t>三生三世十里桃花</t>
  </si>
  <si>
    <t>Yang Yang</t>
  </si>
  <si>
    <t>Zhao Xiaoding</t>
  </si>
  <si>
    <t>Anthony LaMolinara</t>
  </si>
  <si>
    <t>Alibaba Pictures,</t>
  </si>
  <si>
    <t>乘风破浪</t>
  </si>
  <si>
    <t>Duckweed</t>
  </si>
  <si>
    <t>功夫瑜伽</t>
  </si>
  <si>
    <t>Kung Fu Yoga</t>
  </si>
  <si>
    <t>Stanley Tong</t>
  </si>
  <si>
    <t>Shanghai Taihe Film</t>
  </si>
  <si>
    <t>喜欢你</t>
  </si>
  <si>
    <t>Takeshi Kaneshiro</t>
  </si>
  <si>
    <t>Derek Hui</t>
  </si>
  <si>
    <t>Beijing Fengyi culture media</t>
  </si>
  <si>
    <t>缝纫机乐队</t>
  </si>
  <si>
    <t>City of Rock</t>
  </si>
  <si>
    <t>Da Peng</t>
  </si>
  <si>
    <t>Shanghai Tacheng Film Co., Ltd</t>
  </si>
  <si>
    <t>大闹天竺</t>
  </si>
  <si>
    <t>Lekaihua Film &amp; TV media Wuxi Co., Ltd</t>
  </si>
  <si>
    <t>侠盗联盟</t>
  </si>
  <si>
    <t xml:space="preserve">Andy Lau </t>
  </si>
  <si>
    <t>Hsu Chi</t>
  </si>
  <si>
    <t>Stephen Fung</t>
  </si>
  <si>
    <t>Gravity Film &amp; TV Investment Co., Ltd</t>
  </si>
  <si>
    <t>引爆者</t>
  </si>
  <si>
    <t>Explosion</t>
  </si>
  <si>
    <t>Chang Zheng</t>
  </si>
  <si>
    <t>Huayi Brothers Film Co., Ltd</t>
  </si>
  <si>
    <t>逆时营救</t>
  </si>
  <si>
    <t>RESET</t>
  </si>
  <si>
    <t>Yang Mi</t>
  </si>
  <si>
    <t>Wallace Huo</t>
  </si>
  <si>
    <t>Yin Hongcheng</t>
  </si>
  <si>
    <t>Horgos Jiaxing media</t>
  </si>
  <si>
    <t>荡寇风云</t>
  </si>
  <si>
    <t>God Of War</t>
  </si>
  <si>
    <t>Chiu Man-Cheuk</t>
  </si>
  <si>
    <t>Sammo Hung</t>
  </si>
  <si>
    <t>Gordon Chan</t>
  </si>
  <si>
    <t>美好的意外</t>
  </si>
  <si>
    <t>Beautiful Accident</t>
  </si>
  <si>
    <t>Kwai Lun Mei</t>
  </si>
  <si>
    <t>He Weiting</t>
  </si>
  <si>
    <t>二十二</t>
  </si>
  <si>
    <t>Guo Ke</t>
  </si>
  <si>
    <t>Sichuan Guangying deep cultural Communication Co., Ltd</t>
  </si>
  <si>
    <t>鲛珠传</t>
  </si>
  <si>
    <t>Legend Of The Naga Pearls</t>
  </si>
  <si>
    <t>Leon Yang</t>
  </si>
  <si>
    <t>Jun 9, 2019</t>
  </si>
  <si>
    <t>Anhui 1895 film and television media Co., Ltd</t>
  </si>
  <si>
    <t>忠爱无言</t>
  </si>
  <si>
    <t>Gao Qiang</t>
  </si>
  <si>
    <t>Yu Yuexian</t>
  </si>
  <si>
    <t>Tan Yizhi</t>
  </si>
  <si>
    <t>Jan 18, 2018</t>
  </si>
  <si>
    <t>钢铁飞龙之再见奥特曼</t>
  </si>
  <si>
    <t>Dragon Force: Rise of Ultraman</t>
  </si>
  <si>
    <t>Hao Shao-wen</t>
  </si>
  <si>
    <t>Hou Yong</t>
  </si>
  <si>
    <t>Luo Yunxi</t>
  </si>
  <si>
    <t>Wang Wei</t>
  </si>
  <si>
    <t xml:space="preserve">LETV pictures </t>
  </si>
  <si>
    <t>Horgos Xinyue film and television media Co., Ltd</t>
  </si>
  <si>
    <t>潜艇总动员：海底两万里</t>
  </si>
  <si>
    <t>Happy Little Submarine 20000 Leagues under the Sea</t>
  </si>
  <si>
    <t>Fan Churong</t>
  </si>
  <si>
    <t>Hong Haitian</t>
  </si>
  <si>
    <t>Beijing Asia Film and television production and Distribution Co., Ltd</t>
  </si>
  <si>
    <t>玩偶奇兵</t>
  </si>
  <si>
    <t>T-GUARDIANS</t>
  </si>
  <si>
    <t>Yan Lizhen</t>
  </si>
  <si>
    <t>Li Ye</t>
  </si>
  <si>
    <t>Wang  Heng</t>
  </si>
  <si>
    <t>Huang Yan</t>
  </si>
  <si>
    <t>英雄本色2018</t>
  </si>
  <si>
    <t>A Better Tomorrow 2018</t>
  </si>
  <si>
    <t>Ray Ma</t>
  </si>
  <si>
    <t>Ding Sheng</t>
  </si>
  <si>
    <t>Feb, 16, 2018</t>
  </si>
  <si>
    <t>Beijing Yiyi culture media Co., Ltd</t>
  </si>
  <si>
    <t>祖宗十九代</t>
  </si>
  <si>
    <t>The Face of My Gene</t>
  </si>
  <si>
    <t>Yue Yunpeng</t>
  </si>
  <si>
    <t>Lin Chi-ling</t>
  </si>
  <si>
    <t>Degang Guo</t>
  </si>
  <si>
    <t>21克拉</t>
  </si>
  <si>
    <t>21 Karat</t>
  </si>
  <si>
    <t>Guo Jingfei</t>
  </si>
  <si>
    <t>Dilraba Dilmurat</t>
  </si>
  <si>
    <t>He Nian</t>
  </si>
  <si>
    <t>Shanghai Shangshi film</t>
  </si>
  <si>
    <t>Xiaoxiang Film and Television Communication Co., Ltd</t>
  </si>
  <si>
    <t>香港大营救</t>
  </si>
  <si>
    <t>Hong Kong Rescue</t>
  </si>
  <si>
    <t>Cheng Taishen</t>
  </si>
  <si>
    <t>Yan Bingyan</t>
  </si>
  <si>
    <t>Huo Qing</t>
  </si>
  <si>
    <t>Liu Yijun</t>
  </si>
  <si>
    <t>Hunan Tianshang film media Co., Ltd</t>
  </si>
  <si>
    <t>血战湘江</t>
  </si>
  <si>
    <t>Battle Of Xiangjiang River</t>
  </si>
  <si>
    <t>Wang Ying</t>
  </si>
  <si>
    <t>Jeff Bao</t>
  </si>
  <si>
    <t>Xu Jian</t>
  </si>
  <si>
    <t>Li Tianyin</t>
  </si>
  <si>
    <t>Ba-Yi Film Studio</t>
  </si>
  <si>
    <t>Tianjin Yinhe culture media Co., Ltd</t>
  </si>
  <si>
    <t>昆塔：反转星球</t>
  </si>
  <si>
    <t>Guo Yifeng</t>
  </si>
  <si>
    <t>Zhao Qianjing</t>
  </si>
  <si>
    <t>Leo Lee</t>
  </si>
  <si>
    <t>Zhejiang BOCAI Media Co., Ltd</t>
  </si>
  <si>
    <t>Beijing juyinglian Cultural Media Co., Ltd</t>
  </si>
  <si>
    <t>七十七天</t>
  </si>
  <si>
    <t>Seventy-Seven Days</t>
  </si>
  <si>
    <t>Zhao Hantang</t>
  </si>
  <si>
    <t>Jiang Yiyan</t>
  </si>
  <si>
    <t>Defeng Film Co., Ltd</t>
  </si>
  <si>
    <t>Dec 8, 2017</t>
  </si>
  <si>
    <t>巨额来电</t>
  </si>
  <si>
    <t>The Big Call</t>
  </si>
  <si>
    <t>oxide Pang Chun</t>
  </si>
  <si>
    <t>Film Channel Program Center</t>
  </si>
  <si>
    <t>坏爸爸</t>
  </si>
  <si>
    <t>bad daddy</t>
  </si>
  <si>
    <t>Kong Lin</t>
  </si>
  <si>
    <t>Sun Shaolong</t>
  </si>
  <si>
    <t>Lan Chengxu</t>
  </si>
  <si>
    <t>Shenzhen Oriental Star Valley film and Television Culture Communication Co., Ltd</t>
  </si>
  <si>
    <t>Mar 2nd, 2018</t>
  </si>
  <si>
    <t>厉害了，我的国</t>
  </si>
  <si>
    <t>Amazing China</t>
  </si>
  <si>
    <t>Wei Tie</t>
  </si>
  <si>
    <t>Beijing Quansheng Century Film Co., Ltd</t>
  </si>
  <si>
    <t>血狼犬</t>
  </si>
  <si>
    <t>Huang Hong</t>
  </si>
  <si>
    <t>Liu Xiangjing</t>
  </si>
  <si>
    <t>Wang Haiyan</t>
  </si>
  <si>
    <t>Liu Jianhua</t>
  </si>
  <si>
    <t>Western Film Group Co., Ltd</t>
  </si>
  <si>
    <t>幕后玩家</t>
  </si>
  <si>
    <t>A or B</t>
  </si>
  <si>
    <t>Claudia</t>
  </si>
  <si>
    <t>Ren Pengyuan</t>
  </si>
  <si>
    <t>Beijing Hairun Film Co., Ltd</t>
  </si>
  <si>
    <t>Aug 20, 2017</t>
  </si>
  <si>
    <t>Horgos Lehua Film Co., Ltd</t>
  </si>
  <si>
    <t>二次初恋</t>
  </si>
  <si>
    <t>Once Again</t>
  </si>
  <si>
    <t>Athena Chu</t>
  </si>
  <si>
    <t>Calvin Tu</t>
  </si>
  <si>
    <t>Dai Wei</t>
  </si>
  <si>
    <t>Lehua Entertainment Co., Ltd</t>
  </si>
  <si>
    <t>Jan 12, 2019</t>
  </si>
  <si>
    <t>卧底巨星</t>
  </si>
  <si>
    <t>Keep Calm and Be a Superstar</t>
  </si>
  <si>
    <t>Eason Chan</t>
  </si>
  <si>
    <t>Ronghao Li</t>
  </si>
  <si>
    <t>Vincent Kuk Tak Chiu</t>
  </si>
  <si>
    <t>Sun Entertainment Limited</t>
  </si>
  <si>
    <t>Jan 27, 2018</t>
  </si>
  <si>
    <t>Fujian Hengye Film Co., Ltd</t>
  </si>
  <si>
    <t>麦兵兵之夺宝联“萌”</t>
  </si>
  <si>
    <t>Piggy BingBing</t>
  </si>
  <si>
    <t>Chang Chen</t>
  </si>
  <si>
    <t>Li Jiao</t>
  </si>
  <si>
    <t>Hu Heyi</t>
  </si>
  <si>
    <t>Beijing Huangyu culture media Co., Ltd</t>
  </si>
  <si>
    <t>泡芙小姐</t>
  </si>
  <si>
    <t>Miss Puff</t>
  </si>
  <si>
    <t>Zhang Xinyi</t>
  </si>
  <si>
    <t>Cultural communication of Sichuan best friend</t>
  </si>
  <si>
    <t>Mar 30, 2018</t>
  </si>
  <si>
    <t>March Guyu (Beijing) culture media Co., Ltd</t>
  </si>
  <si>
    <t>我说的都是真的</t>
  </si>
  <si>
    <t>Really？</t>
  </si>
  <si>
    <t>Wu Yue</t>
  </si>
  <si>
    <t>Liu Yiwei</t>
  </si>
  <si>
    <t>Chinese image (Beijing) Film Co., Ltd</t>
  </si>
  <si>
    <t>Dadi Times Film Distribution (Beijing) Co., Ltd</t>
  </si>
  <si>
    <t>李雷和韩梅梅</t>
  </si>
  <si>
    <t>Yang Yongchun</t>
  </si>
  <si>
    <t>Chengdu Tianyin Qilin film media Co., Ltd</t>
  </si>
  <si>
    <t>Shanghai Fine Arts Film Studio</t>
  </si>
  <si>
    <t>大耳朵图图之美食狂想曲</t>
  </si>
  <si>
    <t>Dou Dou</t>
  </si>
  <si>
    <t>Qian Hu</t>
  </si>
  <si>
    <t>Su Da</t>
  </si>
  <si>
    <t>Shanghai Minxin Film &amp; TV Entertainment Co., Ltd</t>
  </si>
  <si>
    <t>Beijing Full Film Times Film Culture Media Co., Ltd</t>
  </si>
  <si>
    <t>S4侠降魔记</t>
  </si>
  <si>
    <t>Super Four</t>
  </si>
  <si>
    <t>Liu Xiaoguang</t>
  </si>
  <si>
    <t>Li Kelong</t>
  </si>
  <si>
    <t>Zhongtian Hongzhan Cultural Media Co., Ltd</t>
  </si>
  <si>
    <t>天生不对</t>
  </si>
  <si>
    <t xml:space="preserve">Two Wrongs Make a Right </t>
  </si>
  <si>
    <t>Vic Zhou</t>
  </si>
  <si>
    <t>Fiona Sit</t>
  </si>
  <si>
    <t>芳华</t>
  </si>
  <si>
    <t>Youth</t>
  </si>
  <si>
    <t>Vivi</t>
  </si>
  <si>
    <t>Zhejiang Dongyang Meila Media Co., Ltd</t>
  </si>
  <si>
    <t>前任3：再见前任</t>
  </si>
  <si>
    <t>The Ex-file：The Return Of The Exes</t>
  </si>
  <si>
    <t>Ryan</t>
  </si>
  <si>
    <t>Tian Yusheng</t>
  </si>
  <si>
    <t>绣春刀Ⅱ：修罗战场</t>
  </si>
  <si>
    <t>BROTHERHOOD OF BLADES</t>
  </si>
  <si>
    <t>Lu Yang</t>
  </si>
  <si>
    <t>Bad monkey</t>
  </si>
  <si>
    <t>Film and Television Distribution Branch of Shanghai Film Co., Ltd</t>
  </si>
  <si>
    <r>
      <rPr>
        <sz val="11"/>
        <color rgb="FF000000"/>
        <rFont val="宋体"/>
        <charset val="134"/>
      </rPr>
      <t>赛尔号大电影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charset val="134"/>
      </rPr>
      <t>：圣者无敌</t>
    </r>
  </si>
  <si>
    <r>
      <rPr>
        <sz val="11"/>
        <color rgb="FF000000"/>
        <rFont val="Calibri"/>
        <family val="2"/>
      </rPr>
      <t>Seer Movie 6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family val="2"/>
      </rPr>
      <t>Invincible Puni</t>
    </r>
  </si>
  <si>
    <t>Luo Yuting</t>
  </si>
  <si>
    <t>Zhang Jun Wang</t>
  </si>
  <si>
    <t>Shanghai Taomi Network Technology Co., Ltd</t>
  </si>
  <si>
    <t>Happy Mahua film</t>
  </si>
  <si>
    <t>羞羞的铁拳</t>
  </si>
  <si>
    <t>Allen</t>
  </si>
  <si>
    <t>Mary</t>
  </si>
  <si>
    <t>Song Yang</t>
  </si>
  <si>
    <t>Zhang Chiyu</t>
  </si>
  <si>
    <t>Huanya film production Co., Ltd</t>
  </si>
  <si>
    <t>追捕</t>
  </si>
  <si>
    <t>Manhunt</t>
  </si>
  <si>
    <t>Zhang Hanyu</t>
  </si>
  <si>
    <t>Fukuyama Masaharu</t>
  </si>
  <si>
    <t>John Woo</t>
  </si>
  <si>
    <t>Huanya Film Production Co., Ltd</t>
  </si>
  <si>
    <t>May 11, 2017</t>
  </si>
  <si>
    <t>麻烦家族</t>
  </si>
  <si>
    <t>Anle (Beijing) Film Distribution Co., Ltd</t>
  </si>
  <si>
    <t>无问西东</t>
  </si>
  <si>
    <t>Forever Young</t>
  </si>
  <si>
    <t>Li Fangfang</t>
  </si>
  <si>
    <t>Shanghai Tencent Penguin film and Television Culture Communication Co., Ltd</t>
  </si>
  <si>
    <t>爱的帕斯卡</t>
  </si>
  <si>
    <t>Love Pascal</t>
  </si>
  <si>
    <t>XU Huanshan</t>
  </si>
  <si>
    <t>Xi Meijuan</t>
  </si>
  <si>
    <t>Yue</t>
  </si>
  <si>
    <t>Liu Hai</t>
  </si>
  <si>
    <t>Propaganda Department of the CPC Shaanxi Provincial Committee</t>
  </si>
  <si>
    <t>绝世高手</t>
  </si>
  <si>
    <t>The One</t>
  </si>
  <si>
    <t>Zhengyu Lu</t>
  </si>
  <si>
    <t>Chen Ming Film Co., Ltd</t>
  </si>
  <si>
    <t>大护法</t>
  </si>
  <si>
    <t>The Guardian</t>
  </si>
  <si>
    <t>Xiao Liansha</t>
  </si>
  <si>
    <t>Tu Te Ha Meng</t>
  </si>
  <si>
    <t>Jin Shijie</t>
  </si>
  <si>
    <t>Bu Sifan</t>
  </si>
  <si>
    <t>Apr 20th, 2018</t>
  </si>
  <si>
    <t>Guizhou XingKong cinema line Co., Ltd</t>
  </si>
  <si>
    <t>出山记</t>
  </si>
  <si>
    <t>Beyond the mountains</t>
  </si>
  <si>
    <t>Jiao Bo</t>
  </si>
  <si>
    <t>Zunyi Radio and Television Station</t>
  </si>
  <si>
    <t>Jul 21, 2017</t>
  </si>
  <si>
    <t>父子雄兵</t>
  </si>
  <si>
    <t>Father and Son</t>
  </si>
  <si>
    <t>Fan Wei</t>
  </si>
  <si>
    <t>Yuan Weidong</t>
  </si>
  <si>
    <t>Aug 4, 2017</t>
  </si>
  <si>
    <t>1905 (Beijing) Network Technology Co., Ltd</t>
  </si>
  <si>
    <t>龙之战</t>
  </si>
  <si>
    <t>Liu Peiqi</t>
  </si>
  <si>
    <t>Cao Yunjin</t>
  </si>
  <si>
    <t>Xiu Qing</t>
  </si>
  <si>
    <t>Gao Feng</t>
  </si>
  <si>
    <t>Oct 10, 2017</t>
  </si>
  <si>
    <t>十八洞村</t>
  </si>
  <si>
    <t>Hold Your Hands</t>
  </si>
  <si>
    <t>Wang Xueqi</t>
  </si>
  <si>
    <t>Chen Jin</t>
  </si>
  <si>
    <t>Miao Yue</t>
  </si>
  <si>
    <t>Dec 17, 2017</t>
  </si>
  <si>
    <t>SFC Film Distribution Company</t>
  </si>
  <si>
    <t>密战</t>
  </si>
  <si>
    <t>Eternal Wave</t>
  </si>
  <si>
    <t>Zhao Liying</t>
  </si>
  <si>
    <t>Cao Duoran</t>
  </si>
  <si>
    <t>Beijing Fengmang Culture Communication Co.</t>
  </si>
  <si>
    <t>北京斓景盛世文化传媒有限公司</t>
  </si>
  <si>
    <t>这就是命</t>
  </si>
  <si>
    <t>Wang Xun</t>
  </si>
  <si>
    <t>Eric Tsang</t>
  </si>
  <si>
    <t>Liang Chao</t>
  </si>
  <si>
    <t>Wang Dan</t>
  </si>
  <si>
    <t>Beijing Lehua Yuanyu Cultural Communication Co., Ltd</t>
  </si>
  <si>
    <t>Jun 16, 217</t>
  </si>
  <si>
    <t>重返·狼群</t>
  </si>
  <si>
    <t>Return To The Wolves</t>
  </si>
  <si>
    <t>Li Weiyi</t>
  </si>
  <si>
    <t>Yi Feng</t>
  </si>
  <si>
    <t>Sichuan return wolf group culture media Co., Ltd</t>
  </si>
  <si>
    <t>Mar 29, 2018</t>
  </si>
  <si>
    <t>Beijing premiere times culture media Co., Ltd</t>
  </si>
  <si>
    <t>遇见你真好</t>
  </si>
  <si>
    <t>Nice To Meet You</t>
  </si>
  <si>
    <t>Bai Ke</t>
  </si>
  <si>
    <t>Lyric</t>
  </si>
  <si>
    <t>Gu Changwei</t>
  </si>
  <si>
    <t>Jul 20, 2017</t>
  </si>
  <si>
    <t>闪光少女</t>
  </si>
  <si>
    <t>Our Shining Days</t>
  </si>
  <si>
    <t>LULU</t>
  </si>
  <si>
    <t>Peng Yuchang</t>
  </si>
  <si>
    <t>Liu Xongxi</t>
  </si>
  <si>
    <t>Wang Ran</t>
  </si>
  <si>
    <t>Beijing digital impression Culture Communication Co., Ltd</t>
  </si>
  <si>
    <t>Jul 27, 2017</t>
  </si>
  <si>
    <t>China Film Group Corporation (CFGC)</t>
  </si>
  <si>
    <t>建军大业</t>
  </si>
  <si>
    <t>The Founding of An Army</t>
  </si>
  <si>
    <t>Liu Ye</t>
  </si>
  <si>
    <t>Zhu Yawen</t>
  </si>
  <si>
    <t>August 1st Film Studio</t>
  </si>
  <si>
    <t>Aug 31, 2017</t>
  </si>
  <si>
    <t>Iqiyi film (Beijing) Co., Ltd</t>
  </si>
  <si>
    <t>黑白迷宫</t>
  </si>
  <si>
    <t>Color of the Game</t>
  </si>
  <si>
    <t>Jordan chan</t>
  </si>
  <si>
    <t xml:space="preserve"> Philip Wan Lung Ng</t>
  </si>
  <si>
    <t>Kan Jiawei</t>
  </si>
  <si>
    <t>Iqiyi film (Beijing) Co., Ltd., China</t>
  </si>
  <si>
    <t>Feb 20, 2018</t>
  </si>
  <si>
    <t>人怕出名猪怕壮</t>
  </si>
  <si>
    <t>Fat And Fame</t>
  </si>
  <si>
    <t>Shen Fa</t>
  </si>
  <si>
    <t>Yue Hong</t>
  </si>
  <si>
    <t>Fang Qingping</t>
  </si>
  <si>
    <t>Peng Jianwei</t>
  </si>
  <si>
    <t>Leshan Cultural Industry Investment Development Co., Ltd</t>
  </si>
  <si>
    <t>空天猎</t>
  </si>
  <si>
    <t>Sky Hunter</t>
  </si>
  <si>
    <t>Chen Li</t>
  </si>
  <si>
    <t>Fan Bingbing</t>
  </si>
  <si>
    <t>LiChen</t>
  </si>
  <si>
    <t>Air administration Television Art Center</t>
  </si>
  <si>
    <t>Nov 17, 2017</t>
  </si>
  <si>
    <t>Lianrui film</t>
  </si>
  <si>
    <t>暴雪将至</t>
  </si>
  <si>
    <t>The Looming Storm</t>
  </si>
  <si>
    <t>Du Yuan</t>
  </si>
  <si>
    <t>Dong Yue</t>
  </si>
  <si>
    <t>Century century film (Tianjin) Co., Ltd</t>
  </si>
  <si>
    <t>Apr 16, 2017</t>
  </si>
  <si>
    <t>傲娇与偏见</t>
  </si>
  <si>
    <t>Mr. Pride vs. Miss Prejudice</t>
  </si>
  <si>
    <t>Leon</t>
  </si>
  <si>
    <t>Damian Lau</t>
  </si>
  <si>
    <t>Xincheng Lv</t>
  </si>
  <si>
    <t>Ann Lu</t>
  </si>
  <si>
    <t>China Creative</t>
  </si>
  <si>
    <t>暴裂无声</t>
  </si>
  <si>
    <t>Wrath Of Silence</t>
  </si>
  <si>
    <t>Jian Wu</t>
  </si>
  <si>
    <t>Xin Yukun</t>
  </si>
  <si>
    <t>Co star (Shanghai) Film Co., Ltd</t>
  </si>
  <si>
    <t>反转人生</t>
  </si>
  <si>
    <t>Wished</t>
  </si>
  <si>
    <t>Xia Yu</t>
  </si>
  <si>
    <t>Dayyan Eng</t>
  </si>
  <si>
    <t>Daren culture</t>
  </si>
  <si>
    <t>May 11, 2018</t>
  </si>
  <si>
    <t>我是你妈</t>
  </si>
  <si>
    <t>I Am Your Mom</t>
  </si>
  <si>
    <t>Zhou Yuanqing</t>
  </si>
  <si>
    <t>Zhang Xiao</t>
  </si>
  <si>
    <t>Shanghai Alibaba Film Co., Ltd</t>
  </si>
  <si>
    <t>青禾男高</t>
  </si>
  <si>
    <t>Jing Tian</t>
  </si>
  <si>
    <t>Oho Ou</t>
  </si>
  <si>
    <t>Jiang Zhuoyuan</t>
  </si>
  <si>
    <t>Black ant film industry</t>
  </si>
  <si>
    <t>Aug 9, 2017</t>
  </si>
  <si>
    <t>Helichenguang international cultural media (Beijing) Co., Ltd</t>
  </si>
  <si>
    <t>心理罪</t>
  </si>
  <si>
    <t>Guilty of Mind</t>
  </si>
  <si>
    <t>Liao Fan</t>
  </si>
  <si>
    <t>Dong-shen Xie</t>
  </si>
  <si>
    <t>Andy Lau</t>
  </si>
  <si>
    <t>Shanghai Taopiao Film &amp; TV Culture Co., Ltd</t>
  </si>
  <si>
    <t>喵星人</t>
  </si>
  <si>
    <t>Liu Chutian</t>
  </si>
  <si>
    <t>Benny Chan</t>
  </si>
  <si>
    <t>拆弹专家</t>
  </si>
  <si>
    <t>Shock Wave</t>
  </si>
  <si>
    <t>Jiang Wu</t>
  </si>
  <si>
    <t>Bona Film Group, Infinitus Entertainment</t>
  </si>
  <si>
    <t>Jul 27th, 2017</t>
  </si>
  <si>
    <t>May 27, 2017</t>
  </si>
  <si>
    <t>吃吃的爱</t>
  </si>
  <si>
    <t>DIDI'S DREAMS</t>
  </si>
  <si>
    <t>Elephant Dee</t>
  </si>
  <si>
    <t>Jin Shijia</t>
  </si>
  <si>
    <t>Kevin Tsai</t>
  </si>
  <si>
    <t>LETV pictures</t>
  </si>
  <si>
    <t>Feb，5th, 2019</t>
  </si>
  <si>
    <t>Xiong Chu Mo: Yuan Shi Shi Dai</t>
  </si>
  <si>
    <t>Le Chuang film</t>
  </si>
  <si>
    <t>熊出没·原始时代</t>
  </si>
  <si>
    <t>Boonie Bears: Blast into the Past</t>
  </si>
  <si>
    <t>Lin Huida</t>
  </si>
  <si>
    <t>Huaqiang Fangte (Shenzhen) Animation Co., Ltd</t>
  </si>
  <si>
    <t xml:space="preserve">Shéntàn púsōng líng </t>
  </si>
  <si>
    <t xml:space="preserve"> Multiple Production Methods</t>
  </si>
  <si>
    <t>神探蒲松龄</t>
  </si>
  <si>
    <t>The Knight of Shadows</t>
  </si>
  <si>
    <t>Yan Jia</t>
  </si>
  <si>
    <t>Jun 1st, 2019</t>
  </si>
  <si>
    <t>Qiao Hu Da Fei Chuan Li Xian Ji</t>
  </si>
  <si>
    <t>巧虎大飞船历险记</t>
  </si>
  <si>
    <t>Qiaohu and the Fantastic Flying Ship</t>
  </si>
  <si>
    <t>Wang Zhen</t>
  </si>
  <si>
    <t>Shanghai Heyuan culture media Co., Ltd</t>
  </si>
  <si>
    <t>Apr 12th, 2019</t>
  </si>
  <si>
    <t>Zui Jia Nan You Jin Hua Lun</t>
  </si>
  <si>
    <t>最佳男友进化论</t>
  </si>
  <si>
    <t>The sexy guys</t>
  </si>
  <si>
    <t>Raquel</t>
  </si>
  <si>
    <t>Lam Tze Chung</t>
  </si>
  <si>
    <t>Beijing Fanfan Yingjie Cultural Media Co., Ltd</t>
  </si>
  <si>
    <t>May 10th, 2019</t>
  </si>
  <si>
    <t>Jin Jing Cheng</t>
  </si>
  <si>
    <t>drama</t>
  </si>
  <si>
    <t>进京城</t>
  </si>
  <si>
    <t>Enter the Forbidden City</t>
  </si>
  <si>
    <t>Fu Dalong</t>
  </si>
  <si>
    <t>Ma Yili</t>
  </si>
  <si>
    <t>Hu Mei</t>
  </si>
  <si>
    <t>Beijing Alliance Film Investment Co., Ltd</t>
  </si>
  <si>
    <t>Apr 26th, 2019</t>
  </si>
  <si>
    <t>Zhuang Si Le Yi Zhi Yang</t>
  </si>
  <si>
    <t>Beijing Quanying Culture Communication Co., Ltd</t>
  </si>
  <si>
    <t>撞死了一只羊</t>
  </si>
  <si>
    <t>Jinpa</t>
  </si>
  <si>
    <t>Jin Ba</t>
  </si>
  <si>
    <t>Geng Deng Peng Cuo</t>
  </si>
  <si>
    <t>Wan Ma Cai Dan</t>
  </si>
  <si>
    <t>Shanghai fanhuali Enterprise Development Co., Ltd</t>
  </si>
  <si>
    <t>Jun 24th, 2019</t>
  </si>
  <si>
    <t>Zhan Dou Min Zu Yang Cheng Ji</t>
  </si>
  <si>
    <t>Zhejiang Huace Film &amp; TV Co., Ltd</t>
  </si>
  <si>
    <t>战斗民族养成记</t>
  </si>
  <si>
    <t>Как я стал русским</t>
  </si>
  <si>
    <t>Dong Chao</t>
  </si>
  <si>
    <t>Vitaly Hayev</t>
  </si>
  <si>
    <t>shawn xia</t>
  </si>
  <si>
    <t>Jun 15th, 2019</t>
  </si>
  <si>
    <t>Fei Chai Lao Ba</t>
  </si>
  <si>
    <t>废柴老爸</t>
  </si>
  <si>
    <t>Waste Dad</t>
  </si>
  <si>
    <t>He Xiongfei</t>
  </si>
  <si>
    <t>Feng Chao</t>
  </si>
  <si>
    <t>Fruit media Limited</t>
  </si>
  <si>
    <t>Jan 18th, 2019</t>
  </si>
  <si>
    <t>Gang tie fei long zhi ao te man jue qi</t>
  </si>
  <si>
    <t>钢铁飞龙之奥特曼崛起</t>
  </si>
  <si>
    <t>Guangzhou blue arc animation Media Co., Ltd</t>
  </si>
  <si>
    <t>Feb, 16th, 2018</t>
  </si>
  <si>
    <t>Xiong chu mo: Bian Xing Ji</t>
  </si>
  <si>
    <r>
      <rPr>
        <sz val="11"/>
        <color rgb="FF000000"/>
        <rFont val="宋体"/>
        <charset val="134"/>
      </rPr>
      <t>熊出没</t>
    </r>
    <r>
      <rPr>
        <sz val="11"/>
        <color rgb="FF000000"/>
        <rFont val="Calibri"/>
        <family val="2"/>
      </rPr>
      <t>·</t>
    </r>
    <r>
      <rPr>
        <sz val="11"/>
        <color rgb="FF000000"/>
        <rFont val="宋体"/>
        <charset val="134"/>
      </rPr>
      <t>变形记</t>
    </r>
  </si>
  <si>
    <t>Boonie Bears: The Big Shrink</t>
  </si>
  <si>
    <t>Apr 28th, 2018</t>
  </si>
  <si>
    <t>Zhan Shen Ji</t>
  </si>
  <si>
    <t>战神纪</t>
  </si>
  <si>
    <t>William Chan</t>
  </si>
  <si>
    <t>Ha Si Chao Lu</t>
  </si>
  <si>
    <t>Mar 9th, 2018</t>
  </si>
  <si>
    <t>Ma Ma Mi Ya</t>
  </si>
  <si>
    <t>妈妈咪鸭</t>
  </si>
  <si>
    <t>Duck Duck Goose</t>
  </si>
  <si>
    <t>Zhao Lu</t>
  </si>
  <si>
    <t>Wu Haodong</t>
  </si>
  <si>
    <t>Chris Jenkins</t>
  </si>
  <si>
    <t>Apr 5th, 2018</t>
  </si>
  <si>
    <t>猫与桃花源</t>
  </si>
  <si>
    <t>Cats and Peachtopia</t>
  </si>
  <si>
    <t>Li Yufeng</t>
  </si>
  <si>
    <t>Yang Yanduo</t>
  </si>
  <si>
    <t>Lighting animation</t>
  </si>
  <si>
    <t>Dec 14th 2017</t>
  </si>
  <si>
    <t>Qi Men Dun Jia</t>
  </si>
  <si>
    <t>奇门遁甲</t>
  </si>
  <si>
    <t>Woo Ping Yuen</t>
  </si>
  <si>
    <t>Apr 24th, 2017</t>
  </si>
  <si>
    <t>Ji Yi Da Shi</t>
  </si>
  <si>
    <t>DEC 29th 2017</t>
  </si>
  <si>
    <t>JIE YOU ZA HUO DIAN</t>
  </si>
  <si>
    <t>解忧杂货店</t>
  </si>
  <si>
    <t>Miracles of the Namiya General Store</t>
  </si>
  <si>
    <t>Karry</t>
  </si>
  <si>
    <t>Han Jie</t>
  </si>
  <si>
    <t>Aug 18th, 2017</t>
  </si>
  <si>
    <t>Shi Wan Ge Leng Xiao Hua</t>
  </si>
  <si>
    <r>
      <rPr>
        <sz val="11"/>
        <color rgb="FF000000"/>
        <rFont val="宋体"/>
        <charset val="134"/>
      </rPr>
      <t>十万个冷笑话</t>
    </r>
    <r>
      <rPr>
        <sz val="11"/>
        <color rgb="FF000000"/>
        <rFont val="Calibri"/>
        <family val="2"/>
      </rPr>
      <t>2</t>
    </r>
  </si>
  <si>
    <t>One Hundred Thousand Bad Jokes II</t>
  </si>
  <si>
    <t>Huang Zhenji</t>
  </si>
  <si>
    <t>Shan Xin</t>
  </si>
  <si>
    <t>Lu Hengyu</t>
  </si>
  <si>
    <t>Li Shujie</t>
  </si>
  <si>
    <t>Shanghai Xuandong Communication Co., Ltd</t>
  </si>
  <si>
    <r>
      <rPr>
        <sz val="11"/>
        <color rgb="FF000000"/>
        <rFont val="Calibri"/>
        <family val="2"/>
      </rPr>
      <t>Backkom Bear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family val="2"/>
      </rPr>
      <t>Agent 008</t>
    </r>
  </si>
  <si>
    <t>Xinyue film and television</t>
  </si>
  <si>
    <t>大卫贝肯之倒霉特工熊</t>
  </si>
  <si>
    <t>Li Fingfang</t>
  </si>
  <si>
    <t>Aofei pictures</t>
  </si>
  <si>
    <t>Feb 10th 2017</t>
  </si>
  <si>
    <t>Battle upon shef</t>
  </si>
  <si>
    <t>King Group</t>
  </si>
  <si>
    <t>决战食神</t>
  </si>
  <si>
    <t>Nicholas Tse</t>
  </si>
  <si>
    <t>Ge You</t>
  </si>
  <si>
    <t>Ye Weiming</t>
  </si>
  <si>
    <t>Hong Kong King Entertainment Group</t>
  </si>
  <si>
    <t>DONG BEI WAGN SHI ZHI PO MA ZHANG FEI</t>
  </si>
  <si>
    <t>The era of shadow</t>
  </si>
  <si>
    <t>东北往事之破马张飞</t>
  </si>
  <si>
    <t>Jerry</t>
  </si>
  <si>
    <t>Zorro</t>
  </si>
  <si>
    <t>YOU XI GUI ZE</t>
  </si>
  <si>
    <t>游戏规则</t>
  </si>
  <si>
    <t>Peter Ho</t>
  </si>
  <si>
    <t>Z.TAO</t>
  </si>
  <si>
    <t>Beijing xishiji film and Television Culture Development Co., Ltd</t>
  </si>
  <si>
    <r>
      <rPr>
        <sz val="11"/>
        <color rgb="FF000000"/>
        <rFont val="Calibri"/>
        <family val="2"/>
      </rPr>
      <t>Path of The Soul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family val="2"/>
      </rPr>
      <t>Kang Rinpoche</t>
    </r>
  </si>
  <si>
    <t>Lantern Film Co., Ltd</t>
  </si>
  <si>
    <t>冈仁波齐</t>
  </si>
  <si>
    <t>Ni Ma Zha Dui</t>
  </si>
  <si>
    <t>Yang Pei</t>
  </si>
  <si>
    <t>Zhang Yang</t>
  </si>
  <si>
    <t>Mar 31,2017</t>
  </si>
  <si>
    <t>The Missing</t>
  </si>
  <si>
    <t>绑架者</t>
  </si>
  <si>
    <t>Stanley Huang</t>
  </si>
  <si>
    <t>Ming Dow</t>
  </si>
  <si>
    <t>Mar 17,2017</t>
  </si>
  <si>
    <t>McDull,Kung Fu Kindergarten</t>
  </si>
  <si>
    <r>
      <rPr>
        <sz val="11"/>
        <color rgb="FF000000"/>
        <rFont val="宋体"/>
        <charset val="134"/>
      </rPr>
      <t>麦兜响当当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charset val="134"/>
      </rPr>
      <t>（重映）</t>
    </r>
  </si>
  <si>
    <t>Anthony Perry</t>
  </si>
  <si>
    <t>Xie Liwen</t>
  </si>
  <si>
    <t>Sept 30th, 2017</t>
  </si>
  <si>
    <t>Mr.Black: Green Star</t>
  </si>
  <si>
    <t>Four seas film distribution alliance</t>
  </si>
  <si>
    <t>黑猫警长之翡翠之星</t>
  </si>
  <si>
    <t>Wu Tianhao</t>
  </si>
  <si>
    <t>Cheng Yuzhu</t>
  </si>
  <si>
    <t>Yu Shengjun</t>
  </si>
  <si>
    <t>Mar 24th, 2017</t>
  </si>
  <si>
    <t>Top Funny Comedian The Movie</t>
  </si>
  <si>
    <t>欢乐喜剧人</t>
  </si>
  <si>
    <t>Li Ji Qiang</t>
  </si>
  <si>
    <t>Comics union pictures</t>
  </si>
  <si>
    <t>Feb 14th, 2017</t>
  </si>
  <si>
    <t>Revenge for love</t>
  </si>
  <si>
    <t>疯岳撬佳人</t>
  </si>
  <si>
    <t>Siu Hung Cheung</t>
  </si>
  <si>
    <t>Beijing xidada Film &amp; TV</t>
  </si>
  <si>
    <t>Jul 1st, 2017</t>
  </si>
  <si>
    <t>Our Time Will Come</t>
  </si>
  <si>
    <t>明月几时有</t>
  </si>
  <si>
    <t>Zhou Xun</t>
  </si>
  <si>
    <t>Ann Hui</t>
  </si>
  <si>
    <t>Love Contractually</t>
  </si>
  <si>
    <t>合约男女</t>
  </si>
  <si>
    <t>Liu Guonan</t>
  </si>
  <si>
    <t>Apr 7th, 2017</t>
  </si>
  <si>
    <t>The Pork of Mu</t>
  </si>
  <si>
    <t>麦兜当当伴我心(重映)</t>
  </si>
  <si>
    <t>Hugh</t>
  </si>
  <si>
    <t>Aug 11th, 2017</t>
  </si>
  <si>
    <t>Earth: One Amazing Day</t>
  </si>
  <si>
    <t>Shanghai Shangshi Film Co., Ltd. (China)</t>
  </si>
  <si>
    <t>地球：神奇的一天</t>
  </si>
  <si>
    <t>Fan Lixin</t>
  </si>
  <si>
    <t>May 28th, 2019</t>
  </si>
  <si>
    <t>Happy Little Submarine Magic Box of Time</t>
  </si>
  <si>
    <t>Shenzhen global digital film and Television Culture Co., Ltd</t>
  </si>
  <si>
    <t>潜艇总动员之时光宝盒（重映）</t>
  </si>
  <si>
    <t>He Zili</t>
  </si>
  <si>
    <t>Jan 7th, 2019</t>
  </si>
  <si>
    <r>
      <rPr>
        <sz val="11"/>
        <color rgb="FF000000"/>
        <rFont val="Calibri"/>
        <family val="2"/>
      </rPr>
      <t>GG Bond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family val="2"/>
      </rPr>
      <t>Guarding</t>
    </r>
  </si>
  <si>
    <t>猪猪侠之英雄猪少年</t>
  </si>
  <si>
    <t>Chen Zhirong</t>
  </si>
  <si>
    <t>Lu Jinming</t>
  </si>
  <si>
    <t>Zhong Yu</t>
  </si>
  <si>
    <t>Guangdong Yongsheng animation</t>
  </si>
  <si>
    <t>Oct 13th, 2017</t>
  </si>
  <si>
    <t xml:space="preserve">The Monkey King </t>
  </si>
  <si>
    <t>Les Films de ma Vie (France) (VHS)</t>
  </si>
  <si>
    <t>大闹天宫</t>
  </si>
  <si>
    <t>Qiu Yuefeng</t>
  </si>
  <si>
    <t>Fu Runsheng</t>
  </si>
  <si>
    <t>Bi Ke</t>
  </si>
  <si>
    <t>Wan Laiming</t>
  </si>
  <si>
    <t>Tang Cheng</t>
  </si>
  <si>
    <t>Apr 1st, 2017</t>
  </si>
  <si>
    <r>
      <rPr>
        <sz val="11"/>
        <color rgb="FF000000"/>
        <rFont val="Calibri"/>
        <family val="2"/>
      </rPr>
      <t>WHAT A DAY</t>
    </r>
    <r>
      <rPr>
        <sz val="11"/>
        <color rgb="FF000000"/>
        <rFont val="宋体"/>
        <charset val="134"/>
      </rPr>
      <t>！</t>
    </r>
  </si>
  <si>
    <t>Hengye Film (Beijing) Co., Ltd</t>
  </si>
  <si>
    <t>有完没完</t>
  </si>
  <si>
    <t>Alyssa Chia</t>
  </si>
  <si>
    <t>Essay</t>
  </si>
  <si>
    <t>Beijing Ferris wheel culture media Co., Ltd</t>
  </si>
  <si>
    <t>Jul 21st, 2017</t>
  </si>
  <si>
    <t>Tea Pets</t>
  </si>
  <si>
    <t>Guangdong Dadi Cinema Construction Co., Ltd</t>
  </si>
  <si>
    <t>阿唐奇遇</t>
  </si>
  <si>
    <t>May 28th, 2017</t>
  </si>
  <si>
    <t>Mo Er Zhuang yuan 2</t>
  </si>
  <si>
    <r>
      <rPr>
        <sz val="11"/>
        <color rgb="FF000000"/>
        <rFont val="宋体"/>
        <charset val="134"/>
      </rPr>
      <t>摩尔庄园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charset val="134"/>
      </rPr>
      <t>：海妖宝藏（重映）</t>
    </r>
  </si>
  <si>
    <t>Xuan Xiaoming</t>
  </si>
  <si>
    <t>Kexin Liu</t>
  </si>
  <si>
    <t>May 27th, 2017</t>
  </si>
  <si>
    <t>SAN ZHI XIAO ZHU 2</t>
  </si>
  <si>
    <t>三只小猪2</t>
  </si>
  <si>
    <t>Nov, 3th, 2017</t>
  </si>
  <si>
    <t>Love Education</t>
  </si>
  <si>
    <t>相爱相亲</t>
  </si>
  <si>
    <t>Zhang Aijia</t>
  </si>
  <si>
    <t>Zhuangzhuang Tian</t>
  </si>
  <si>
    <t>Dec 1st, 2017</t>
  </si>
  <si>
    <t>Our happiness</t>
  </si>
  <si>
    <t>Beijing peak legend film and Television Culture Co., Ltd</t>
  </si>
  <si>
    <t>相声大电影之我要幸福</t>
  </si>
  <si>
    <t>Zhang Heluan</t>
  </si>
  <si>
    <t>Beijing Yixing Cultural Communication Co., Ltd</t>
  </si>
  <si>
    <t>Nov 10th 2017</t>
  </si>
  <si>
    <t>Max Zhang</t>
  </si>
  <si>
    <t>Shawn Yue</t>
  </si>
  <si>
    <t>Janice Man</t>
  </si>
  <si>
    <t>Li Zijun</t>
  </si>
  <si>
    <t>Nov 17th 2017</t>
  </si>
  <si>
    <t>Xiang Mo Zhuan</t>
  </si>
  <si>
    <t>降魔传</t>
  </si>
  <si>
    <t>The Golden Monk</t>
  </si>
  <si>
    <t xml:space="preserve">Yuqi Zhang </t>
  </si>
  <si>
    <t>Jing Wong</t>
  </si>
  <si>
    <t>none</t>
  </si>
  <si>
    <t>genre change</t>
  </si>
  <si>
    <t>Romantic -&gt; Romantic comedy</t>
  </si>
  <si>
    <t>L112</t>
  </si>
  <si>
    <t>L118</t>
  </si>
  <si>
    <t>Multiple Genres -&gt; Suspense</t>
  </si>
  <si>
    <t>L50</t>
  </si>
  <si>
    <t>L91</t>
  </si>
  <si>
    <t>L140</t>
  </si>
  <si>
    <t>L141</t>
  </si>
  <si>
    <t>Thriller/Suspense -&gt;Thriller</t>
  </si>
  <si>
    <t>龙牌之谜</t>
  </si>
  <si>
    <t>theatrical distributor</t>
  </si>
  <si>
    <t>Hengye Film (Beijing）</t>
  </si>
  <si>
    <t>Dade Film (Tianjin)</t>
  </si>
  <si>
    <t xml:space="preserve">Zhejiang Kaixinmahua </t>
  </si>
  <si>
    <t>Hefei Qianli</t>
  </si>
  <si>
    <t xml:space="preserve">Gaoxian </t>
  </si>
  <si>
    <t>Shanghai Siyuan Film</t>
  </si>
  <si>
    <t>Hefei Taishang</t>
  </si>
  <si>
    <t>Shenzhen Dongfang Mingxinggu</t>
  </si>
  <si>
    <t>Youku Film</t>
  </si>
  <si>
    <t>Shaanxi Publicity Department</t>
  </si>
  <si>
    <t>L20</t>
  </si>
  <si>
    <t>L39</t>
  </si>
  <si>
    <t>L49</t>
  </si>
  <si>
    <t>L51</t>
  </si>
  <si>
    <t>L52</t>
  </si>
  <si>
    <t>L59</t>
  </si>
  <si>
    <t>L69</t>
  </si>
  <si>
    <t>L93</t>
  </si>
  <si>
    <t>L101</t>
  </si>
  <si>
    <t>L167</t>
  </si>
  <si>
    <t>L173</t>
  </si>
  <si>
    <t>L187</t>
  </si>
  <si>
    <t>Beijing Lanjing Shengshi</t>
  </si>
  <si>
    <t>L194</t>
  </si>
  <si>
    <t>delta 
(WW - Itl)</t>
  </si>
  <si>
    <t>added Column Q: delta between WW and Intl box offices</t>
  </si>
  <si>
    <t>L40</t>
  </si>
  <si>
    <t>Oleg Stepchenko</t>
  </si>
  <si>
    <t xml:space="preserve">Count of Title </t>
  </si>
  <si>
    <t>Nuts</t>
  </si>
  <si>
    <t>In Yabin file</t>
  </si>
  <si>
    <t>Chinese Title</t>
    <phoneticPr fontId="7" type="noConversion"/>
  </si>
  <si>
    <t>Pinyin Title</t>
    <phoneticPr fontId="7" type="noConversion"/>
  </si>
  <si>
    <t>English Title</t>
    <phoneticPr fontId="7" type="noConversion"/>
  </si>
  <si>
    <t>Released Date</t>
    <phoneticPr fontId="7" type="noConversion"/>
  </si>
  <si>
    <t>Genre</t>
    <phoneticPr fontId="7" type="noConversion"/>
  </si>
  <si>
    <t>Theatrical Distributor</t>
    <phoneticPr fontId="7" type="noConversion"/>
  </si>
  <si>
    <t>Comedy</t>
    <phoneticPr fontId="7" type="noConversion"/>
  </si>
  <si>
    <t>魔镜奇缘2</t>
  </si>
  <si>
    <t>Dummy</t>
    <phoneticPr fontId="7" type="noConversion"/>
  </si>
  <si>
    <t>Beijing Lan Jin Shen Shi Culture Medium Co., Ltd</t>
    <phoneticPr fontId="7" type="noConversion"/>
  </si>
  <si>
    <t>嫌疑人X的献身</t>
  </si>
  <si>
    <t>Thriller and Suspense</t>
    <phoneticPr fontId="7" type="noConversion"/>
  </si>
  <si>
    <t>Frant Gwo</t>
    <phoneticPr fontId="7" type="noConversion"/>
  </si>
  <si>
    <t>赛尔号大电影6：圣者无敌</t>
  </si>
  <si>
    <r>
      <t>Seer Movie 6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>Invincible Puni</t>
    </r>
  </si>
  <si>
    <t>Li Chen</t>
    <phoneticPr fontId="7" type="noConversion"/>
  </si>
  <si>
    <t>Big Ear Tutu Food Fantasy</t>
    <phoneticPr fontId="7" type="noConversion"/>
  </si>
  <si>
    <t>熊出没·奇幻空间</t>
  </si>
  <si>
    <r>
      <t>The Chinese Widow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In Harm's Way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The Hidden Soldier</t>
    </r>
  </si>
  <si>
    <t>Mao Yin Mei</t>
  </si>
  <si>
    <t>He Yu Zhen</t>
  </si>
  <si>
    <t>Wei Shao Lan</t>
  </si>
  <si>
    <t>Count</t>
  </si>
  <si>
    <t>Jiang Hu San Ba Dao</t>
  </si>
  <si>
    <t>Jin Se Nian Hua</t>
  </si>
  <si>
    <t>Hu Yang Shu Zhi Lian</t>
  </si>
  <si>
    <t>Mao Ze Dong Zai Guang Dong</t>
  </si>
  <si>
    <t>毛泽东在广东</t>
  </si>
  <si>
    <t>江湖三把刀</t>
  </si>
  <si>
    <t>锦瑟年华</t>
  </si>
  <si>
    <t>胡杨树之恋</t>
  </si>
  <si>
    <t>Ni Yan</t>
  </si>
  <si>
    <t>Zhu Xudan</t>
  </si>
  <si>
    <t>Cui Zhijia</t>
  </si>
  <si>
    <t>Lu Chuan</t>
  </si>
  <si>
    <t>Liu Jiuhai</t>
  </si>
  <si>
    <t>Li Chen</t>
  </si>
  <si>
    <t>You Chunjin</t>
  </si>
  <si>
    <t>Yu Cheng Digital Film</t>
  </si>
  <si>
    <t>The Three Blades</t>
  </si>
  <si>
    <t>Chairman Mao in Guang Dong</t>
  </si>
  <si>
    <t>Love under the Tree</t>
  </si>
  <si>
    <t>What a Wonderful Life</t>
  </si>
  <si>
    <t>Release Month</t>
  </si>
  <si>
    <t>Hua Ju Production</t>
  </si>
  <si>
    <t>Zhonggong Zhongyang Tangxiao Yingshi Center</t>
  </si>
  <si>
    <t>Guangdong Warwold Film Group</t>
  </si>
  <si>
    <t xml:space="preserve">Ai Qi Yi </t>
  </si>
  <si>
    <t>Guangdong TV Station</t>
  </si>
  <si>
    <t>Yuchen Data Move House Guangdong)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</si>
</sst>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;[Red]\-&quot;$&quot;#,##0"/>
    <numFmt numFmtId="165" formatCode="0.0_ "/>
    <numFmt numFmtId="166" formatCode="&quot;$&quot;#,##0"/>
    <numFmt numFmtId="167" formatCode="[$-14809]d\ mmm\ yyyy;@"/>
    <numFmt numFmtId="168" formatCode="0.0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宋体"/>
      <charset val="134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34"/>
    </font>
    <font>
      <sz val="8"/>
      <name val="Calibri"/>
      <family val="2"/>
      <scheme val="minor"/>
    </font>
    <font>
      <sz val="10"/>
      <color rgb="FF333333"/>
      <name val="Arial"/>
      <family val="2"/>
    </font>
    <font>
      <sz val="5"/>
      <color rgb="FF0066C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166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6" fontId="1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15" fontId="8" fillId="0" borderId="0" xfId="0" applyNumberFormat="1" applyFont="1" applyFill="1" applyAlignment="1">
      <alignment horizontal="center"/>
    </xf>
    <xf numFmtId="3" fontId="10" fillId="0" borderId="0" xfId="0" applyNumberFormat="1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6" fontId="8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left"/>
    </xf>
    <xf numFmtId="0" fontId="0" fillId="0" borderId="0" xfId="0" applyNumberFormat="1"/>
    <xf numFmtId="0" fontId="9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9" fillId="0" borderId="0" xfId="0" applyFont="1" applyAlignment="1">
      <alignment wrapText="1"/>
    </xf>
    <xf numFmtId="10" fontId="0" fillId="0" borderId="0" xfId="0" applyNumberFormat="1"/>
    <xf numFmtId="0" fontId="9" fillId="0" borderId="0" xfId="0" applyFont="1" applyFill="1" applyAlignment="1">
      <alignment horizontal="center" wrapText="1"/>
    </xf>
    <xf numFmtId="0" fontId="8" fillId="4" borderId="0" xfId="0" applyFont="1" applyFill="1" applyAlignment="1">
      <alignment horizontal="left"/>
    </xf>
    <xf numFmtId="0" fontId="9" fillId="5" borderId="0" xfId="0" applyFont="1" applyFill="1" applyAlignment="1">
      <alignment horizontal="center" wrapText="1"/>
    </xf>
    <xf numFmtId="3" fontId="8" fillId="4" borderId="0" xfId="0" applyNumberFormat="1" applyFont="1" applyFill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5" fontId="8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20" fontId="8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pivotButton="1"/>
    <xf numFmtId="0" fontId="16" fillId="4" borderId="0" xfId="0" applyFont="1" applyFill="1"/>
    <xf numFmtId="0" fontId="17" fillId="0" borderId="0" xfId="0" applyFont="1"/>
    <xf numFmtId="0" fontId="8" fillId="0" borderId="0" xfId="0" applyFont="1" applyAlignment="1"/>
    <xf numFmtId="167" fontId="8" fillId="0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6" fontId="8" fillId="7" borderId="0" xfId="0" applyNumberFormat="1" applyFont="1" applyFill="1" applyAlignment="1">
      <alignment horizontal="center"/>
    </xf>
    <xf numFmtId="0" fontId="8" fillId="4" borderId="0" xfId="0" quotePrefix="1" applyFont="1" applyFill="1" applyAlignment="1">
      <alignment horizontal="left"/>
    </xf>
    <xf numFmtId="168" fontId="0" fillId="4" borderId="0" xfId="0" applyNumberFormat="1" applyFill="1" applyAlignment="1">
      <alignment horizontal="center"/>
    </xf>
    <xf numFmtId="0" fontId="6" fillId="4" borderId="0" xfId="0" applyFont="1" applyFill="1" applyAlignment="1">
      <alignment horizontal="center"/>
    </xf>
    <xf numFmtId="168" fontId="8" fillId="4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8" fontId="7" fillId="0" borderId="0" xfId="0" applyNumberFormat="1" applyFont="1" applyAlignment="1">
      <alignment horizontal="center"/>
    </xf>
    <xf numFmtId="168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166" fontId="8" fillId="0" borderId="0" xfId="0" applyNumberFormat="1" applyFont="1" applyAlignment="1">
      <alignment horizontal="center" wrapText="1"/>
    </xf>
    <xf numFmtId="3" fontId="8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1" applyAlignment="1">
      <alignment horizontal="center" wrapText="1"/>
    </xf>
    <xf numFmtId="0" fontId="18" fillId="0" borderId="0" xfId="1" applyAlignment="1">
      <alignment horizontal="left" wrapText="1"/>
    </xf>
    <xf numFmtId="0" fontId="0" fillId="0" borderId="0" xfId="0" applyAlignment="1">
      <alignment horizontal="left" wrapText="1"/>
    </xf>
    <xf numFmtId="20" fontId="6" fillId="0" borderId="0" xfId="0" quotePrefix="1" applyNumberFormat="1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9" fillId="0" borderId="0" xfId="0" applyFont="1" applyAlignment="1">
      <alignment horizontal="center" vertical="top" wrapText="1"/>
    </xf>
    <xf numFmtId="0" fontId="9" fillId="0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0" fontId="9" fillId="5" borderId="0" xfId="0" applyFont="1" applyFill="1" applyAlignment="1">
      <alignment horizontal="center" vertical="top" wrapText="1"/>
    </xf>
    <xf numFmtId="0" fontId="9" fillId="3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center" vertical="top" wrapText="1"/>
    </xf>
    <xf numFmtId="0" fontId="9" fillId="0" borderId="0" xfId="0" applyFont="1" applyFill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3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166" fontId="11" fillId="0" borderId="0" xfId="0" applyNumberFormat="1" applyFont="1" applyAlignment="1">
      <alignment horizontal="center"/>
    </xf>
    <xf numFmtId="0" fontId="5" fillId="0" borderId="0" xfId="0" applyFont="1"/>
    <xf numFmtId="168" fontId="0" fillId="8" borderId="0" xfId="0" applyNumberFormat="1" applyFill="1" applyAlignment="1">
      <alignment horizontal="center"/>
    </xf>
    <xf numFmtId="0" fontId="8" fillId="8" borderId="0" xfId="0" applyFont="1" applyFill="1" applyAlignment="1">
      <alignment horizontal="left"/>
    </xf>
    <xf numFmtId="167" fontId="8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8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8" fillId="0" borderId="0" xfId="0" applyFont="1"/>
    <xf numFmtId="15" fontId="8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wrapText="1"/>
    </xf>
    <xf numFmtId="0" fontId="21" fillId="3" borderId="0" xfId="0" applyFont="1" applyFill="1" applyAlignment="1">
      <alignment horizontal="center"/>
    </xf>
    <xf numFmtId="38" fontId="21" fillId="3" borderId="0" xfId="0" applyNumberFormat="1" applyFont="1" applyFill="1" applyAlignment="1">
      <alignment horizontal="center" wrapText="1"/>
    </xf>
    <xf numFmtId="38" fontId="21" fillId="6" borderId="0" xfId="0" applyNumberFormat="1" applyFont="1" applyFill="1" applyAlignment="1">
      <alignment horizontal="center" wrapText="1"/>
    </xf>
    <xf numFmtId="38" fontId="21" fillId="5" borderId="0" xfId="0" applyNumberFormat="1" applyFont="1" applyFill="1" applyAlignment="1">
      <alignment horizontal="center" wrapText="1"/>
    </xf>
    <xf numFmtId="0" fontId="21" fillId="5" borderId="0" xfId="0" applyFont="1" applyFill="1" applyAlignment="1">
      <alignment horizontal="center" wrapText="1"/>
    </xf>
    <xf numFmtId="0" fontId="22" fillId="0" borderId="0" xfId="0" applyFont="1"/>
    <xf numFmtId="0" fontId="23" fillId="0" borderId="0" xfId="0" applyFont="1" applyAlignment="1">
      <alignment horizontal="left"/>
    </xf>
    <xf numFmtId="38" fontId="8" fillId="0" borderId="0" xfId="0" applyNumberFormat="1" applyFont="1" applyAlignment="1">
      <alignment horizontal="center"/>
    </xf>
    <xf numFmtId="168" fontId="22" fillId="0" borderId="0" xfId="0" applyNumberFormat="1" applyFont="1" applyAlignment="1">
      <alignment horizontal="center"/>
    </xf>
    <xf numFmtId="38" fontId="8" fillId="4" borderId="0" xfId="0" applyNumberFormat="1" applyFont="1" applyFill="1" applyAlignment="1">
      <alignment horizontal="center"/>
    </xf>
    <xf numFmtId="168" fontId="10" fillId="0" borderId="0" xfId="0" applyNumberFormat="1" applyFont="1" applyAlignment="1">
      <alignment horizontal="center"/>
    </xf>
    <xf numFmtId="168" fontId="22" fillId="4" borderId="0" xfId="0" applyNumberFormat="1" applyFont="1" applyFill="1" applyAlignment="1">
      <alignment horizontal="center"/>
    </xf>
    <xf numFmtId="168" fontId="22" fillId="6" borderId="0" xfId="0" applyNumberFormat="1" applyFont="1" applyFill="1" applyAlignment="1">
      <alignment horizontal="center"/>
    </xf>
    <xf numFmtId="38" fontId="10" fillId="0" borderId="0" xfId="0" applyNumberFormat="1" applyFont="1" applyAlignment="1">
      <alignment horizontal="center"/>
    </xf>
    <xf numFmtId="0" fontId="23" fillId="4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38" fontId="0" fillId="0" borderId="0" xfId="0" applyNumberFormat="1"/>
    <xf numFmtId="166" fontId="0" fillId="0" borderId="0" xfId="0" applyNumberFormat="1"/>
    <xf numFmtId="0" fontId="0" fillId="9" borderId="0" xfId="0" applyFill="1"/>
    <xf numFmtId="0" fontId="3" fillId="0" borderId="0" xfId="0" applyFont="1"/>
    <xf numFmtId="0" fontId="2" fillId="0" borderId="0" xfId="0" applyFont="1"/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7" borderId="0" xfId="0" applyFill="1"/>
    <xf numFmtId="17" fontId="2" fillId="6" borderId="0" xfId="0" applyNumberFormat="1" applyFont="1" applyFill="1" applyAlignment="1"/>
    <xf numFmtId="17" fontId="0" fillId="6" borderId="0" xfId="0" applyNumberFormat="1" applyFill="1" applyAlignment="1"/>
    <xf numFmtId="0" fontId="21" fillId="2" borderId="0" xfId="0" applyFont="1" applyFill="1" applyAlignment="1">
      <alignment horizontal="center"/>
    </xf>
    <xf numFmtId="166" fontId="8" fillId="10" borderId="0" xfId="0" applyNumberFormat="1" applyFont="1" applyFill="1" applyAlignment="1">
      <alignment horizontal="center"/>
    </xf>
    <xf numFmtId="0" fontId="2" fillId="10" borderId="0" xfId="0" applyFont="1" applyFill="1"/>
    <xf numFmtId="0" fontId="1" fillId="10" borderId="0" xfId="0" applyFont="1" applyFill="1"/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119379</xdr:colOff>
      <xdr:row>389</xdr:row>
      <xdr:rowOff>175260</xdr:rowOff>
    </xdr:from>
    <xdr:to>
      <xdr:col>6</xdr:col>
      <xdr:colOff>621029</xdr:colOff>
      <xdr:row>421</xdr:row>
      <xdr:rowOff>1667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745" y="70364985"/>
          <a:ext cx="10006965" cy="54546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Tan" refreshedDate="44133.74366990741" createdVersion="6" refreshedVersion="6" minRefreshableVersion="3" recordCount="211" xr:uid="{B8DF01A6-A115-45B6-816F-89428B9F62E9}">
  <cacheSource type="worksheet">
    <worksheetSource ref="A1:AD212" sheet="Final cleaned data_1029"/>
  </cacheSource>
  <cacheFields count="30">
    <cacheField name="Year" numFmtId="0">
      <sharedItems containsSemiMixedTypes="0" containsString="0" containsNumber="1" containsInteger="1" minValue="2017" maxValue="2019"/>
    </cacheField>
    <cacheField name="Production Country" numFmtId="0">
      <sharedItems count="3">
        <s v="China"/>
        <s v="Hong Kong"/>
        <s v="Taiwan"/>
      </sharedItems>
    </cacheField>
    <cacheField name="S/N" numFmtId="0">
      <sharedItems containsSemiMixedTypes="0" containsString="0" containsNumber="1" containsInteger="1" minValue="1" maxValue="211"/>
    </cacheField>
    <cacheField name="Released" numFmtId="0">
      <sharedItems/>
    </cacheField>
    <cacheField name="Released-corrected" numFmtId="0">
      <sharedItems/>
    </cacheField>
    <cacheField name="Title " numFmtId="0">
      <sharedItems/>
    </cacheField>
    <cacheField name="Theatrical Distributor" numFmtId="0">
      <sharedItems count="118">
        <s v="Well Go USA"/>
        <s v="CMC Pictures"/>
        <s v="STX Entertainment"/>
        <s v="Kimstim Films"/>
        <s v="Cohen Media Group"/>
        <s v="Cinema Guild"/>
        <s v="Kino Lorber"/>
        <s v="China Lion Film Distribution"/>
        <s v="Shout! Factory"/>
        <s v="Viva Entertainment"/>
        <s v="Sony Pictures"/>
        <s v="Hengye Film (Beijing）"/>
        <s v="Netflix"/>
        <s v="Universal"/>
        <s v="Entertainment Studios Motion Pictures"/>
        <s v="Gold Valley Films"/>
        <s v="GKIDS"/>
        <s v="Beijing Basic Film and Television Culture Media Co., Ltd"/>
        <s v="China Film Co.,Ltd."/>
        <s v="Jetsen Huashi Media US"/>
        <s v="Wuzhou Film Distribution Co., Ltd"/>
        <s v="Beijing Zhonglian Huameng Cultural Media Investment Co., Ltd"/>
        <s v="Shanghai Xinyue Film &amp; TV Communication Co., Ltd"/>
        <s v="Beijing Perfect film media Co., Ltd"/>
        <s v="Beijing Joy Pictures"/>
        <s v="Dade Film (Tianjin)"/>
        <s v="Beijing Culture"/>
        <s v="Zhejiang Kaixinmahua "/>
        <s v="Alibaba Pictures"/>
        <s v="Bob's Your Uncle"/>
        <s v="LETV pictures (Beijing) Co., Ltd"/>
        <s v="Blue Sky Media"/>
        <s v="Beijing Xishiji Film and Television Culture Development Co., Ltd"/>
        <s v="Hefei Qianli"/>
        <s v="Mei Ah Entertainment"/>
        <s v="Lionsgate"/>
        <s v="Orion Pictures"/>
        <s v="Clover Films"/>
        <s v="Asia Releasing"/>
        <s v="Gaoxian "/>
        <s v="Warner Bros."/>
        <s v="Cinedigm"/>
        <s v="Huace Film (Tianjin) Co., Ltd"/>
        <s v="Shanghai sanciyuan Film Co., Ltd"/>
        <s v="Gravitas Ventures"/>
        <s v="Chen Huan Ying Hua (Shanghai) Film Co., Ltd"/>
        <s v="Shanghai Siyuan Film"/>
        <s v="Beijing Film Time and Space Culture Media Co., Ltd"/>
        <s v="Beijing Juyinglian Cultural Media Co., Ltd"/>
        <s v="Dongfang Huaying (Beijing) Cultural Media Co., Ltd"/>
        <s v="Zhongzhi Film Legend (Beijing) Film Co., Ltd"/>
        <s v="BEI JING CHUNQIU TIME"/>
        <s v="Hefei Taishang"/>
        <s v="Beijing Qitai Ocean Culture Media Co., Ltd"/>
        <s v="Tianjin Cat's Eye Micro Film Culture Media Co., Ltd"/>
        <s v="Liang Rui"/>
        <s v="Universal United Film &amp; TV culture (Beijing) Co., Ltd"/>
        <s v="Shanghai Bona Culture Media Co., Ltd"/>
        <s v="Yuyue Film (Tianjin) Co., Ltd"/>
        <s v="Beijing cat's eye culture media Co., Ltd"/>
        <s v="Xinjiang Bona Runze culture media Co., Ltd"/>
        <s v="King's film distribution (Beijing) Co., Ltd"/>
        <s v="The Klockworx"/>
        <s v="Shanghai taopiao Film &amp; TV Culture Co., Ltd"/>
        <s v="Huanyang media (Beijing) Co., Ltd"/>
        <s v="Zhejiang Qiangshi Media Co., Ltd"/>
        <s v="Tianjin Fenghai Film Co., Ltd"/>
        <s v="Golden Village Pictures"/>
        <s v="Horgos Youth Light Film Co., Ltd"/>
        <s v="Erdong Times Pictures (Tianjin) Co., Ltd"/>
        <s v="Fortissimo Films"/>
        <s v="Horgos Wo Xing Film Co., Ltd"/>
        <s v="Chengdu Huacan Culture Communication Co., Ltd"/>
        <s v="Horgos Anshi Yingna Film Distribution Co., Ltd"/>
        <s v="The Match Factory"/>
        <s v="Bona Film Group Co., Ltd"/>
        <s v="Beijing Light Film Co., Ltd"/>
        <s v="Bravos Pictures"/>
        <s v="The H Collective"/>
        <s v="Anhui 1895 film and television media Co., Ltd"/>
        <s v="Horgos Xinyue film and television media Co., Ltd"/>
        <s v="Beijing Asia Film and television production and Distribution Co., Ltd"/>
        <s v="Beijing Yiyi culture media Co., Ltd"/>
        <s v="Xiaoxiang Film and Television Communication Co., Ltd"/>
        <s v="Tianjin Yinhe culture media Co., Ltd"/>
        <s v="Huaxia Film Distribution Co., Ltd"/>
        <s v="Shenzhen Dongfang Mingxinggu"/>
        <s v="Beijing Quansheng Century Film Co., Ltd"/>
        <s v="Horgos Lehua Film Co., Ltd"/>
        <s v="Fujian Hengye Film Co., Ltd"/>
        <s v="Youku Film"/>
        <s v="March Guyu (Beijing) culture media Co., Ltd"/>
        <s v="Dadi Times Film Distribution (Beijing) Co., Ltd"/>
        <s v="Shanghai Fine Arts Film Studio"/>
        <s v="Film and Television Distribution Branch of Shanghai Film Co., Ltd"/>
        <s v="Happy Mahua film"/>
        <s v="Huanya film production Co., Ltd"/>
        <s v="Beijing Herui film culture Co., Ltd"/>
        <s v="Shaanxi Publicity Department"/>
        <s v="1905 (Beijing) Network Technology Co., Ltd"/>
        <s v="SFC Film Distribution Company"/>
        <s v="Beijing Lanjing Shengshi"/>
        <s v="Beijing premiere times culture media Co., Ltd"/>
        <s v="Anle (Beijing) Film Distribution Co., Ltd"/>
        <s v="China Film Group Corporation (CFGC)"/>
        <s v="Iqiyi film (Beijing) Co., Ltd"/>
        <s v="Chengdu Tianyin Qilin film media Co., Ltd"/>
        <s v="Lianrui film"/>
        <s v="Shanghai Alibaba Film Co., Ltd"/>
        <s v="Helichenguang international cultural media (Beijing) Co., Ltd"/>
        <s v="Crimson Forest Entertainment Group Inc."/>
        <s v="Cheng Cheng Films"/>
        <s v="Well Go USA Video" u="1"/>
        <s v="Well Go USA " u="1"/>
        <s v="KimStim" u="1"/>
        <s v="Wells Go USA" u="1"/>
        <s v="CMC Pictures Holdings" u="1"/>
        <s v="Beijing Full Film Times Film Culture Media Co., Ltd" u="1"/>
      </sharedItems>
    </cacheField>
    <cacheField name="Genre" numFmtId="0">
      <sharedItems count="11">
        <s v="Action"/>
        <s v="Adventure"/>
        <s v="Drama"/>
        <s v="Thriller"/>
        <s v="Suspense"/>
        <s v="Horror"/>
        <s v="Romantic Comedy"/>
        <s v="Comedy"/>
        <s v="Animation"/>
        <s v="Documentary"/>
        <s v="Musical"/>
      </sharedItems>
    </cacheField>
    <cacheField name="Production Budget " numFmtId="166">
      <sharedItems containsSemiMixedTypes="0" containsString="0" containsNumber="1" minValue="134000" maxValue="350000000"/>
    </cacheField>
    <cacheField name="Marketing Budget " numFmtId="166">
      <sharedItems containsBlank="1" containsMixedTypes="1" containsNumber="1" minValue="119402.98507462686" maxValue="35000000"/>
    </cacheField>
    <cacheField name="Producers Revenue Sharing" numFmtId="166">
      <sharedItems containsString="0" containsBlank="1" containsNumber="1" minValue="168656.71641791044" maxValue="311044776"/>
    </cacheField>
    <cacheField name="Maximum Theaters" numFmtId="3">
      <sharedItems containsMixedTypes="1" containsNumber="1" containsInteger="1" minValue="1" maxValue="245373134"/>
    </cacheField>
    <cacheField name="Opening Weekend Revenue" numFmtId="0">
      <sharedItems containsMixedTypes="1" containsNumber="1" containsInteger="1" minValue="1610" maxValue="296516000"/>
    </cacheField>
    <cacheField name="Domestic Box Office " numFmtId="166">
      <sharedItems containsString="0" containsBlank="1" containsNumber="1" minValue="13331" maxValue="792537313"/>
    </cacheField>
    <cacheField name="International Box office" numFmtId="166">
      <sharedItems containsSemiMixedTypes="0" containsString="0" containsNumber="1" containsInteger="1" minValue="0" maxValue="832753071"/>
    </cacheField>
    <cacheField name="Worldwide Box Office" numFmtId="166">
      <sharedItems containsSemiMixedTypes="0" containsString="0" containsNumber="1" containsInteger="1" minValue="10364" maxValue="835474171"/>
    </cacheField>
    <cacheField name="delta _x000a_(WW - Itl)" numFmtId="166">
      <sharedItems containsSemiMixedTypes="0" containsString="0" containsNumber="1" containsInteger="1" minValue="0" maxValue="60716390"/>
    </cacheField>
    <cacheField name="Source" numFmtId="0">
      <sharedItems count="8">
        <s v="Based on Fiction Book/Short Story"/>
        <s v="Original Screenplay"/>
        <s v="Based on TV"/>
        <s v="Based on Real Life Events"/>
        <s v="Based on Folk Tale/Legend/Fairytale"/>
        <s v="Remake"/>
        <s v="Based on Play"/>
        <s v="Based on Comic/Graphic Novel"/>
      </sharedItems>
    </cacheField>
    <cacheField name="Production Method" numFmtId="0">
      <sharedItems count="5">
        <s v="Live Action"/>
        <s v="Animation/Live Action"/>
        <s v="Digital Animation"/>
        <s v="Multiple Production Methods"/>
        <s v=" Multiple Production Methods" u="1"/>
      </sharedItems>
    </cacheField>
    <cacheField name="Creative Type" numFmtId="0">
      <sharedItems containsMixedTypes="1" containsNumber="1" containsInteger="1" minValue="0" maxValue="0" count="9">
        <s v="Fantasy"/>
        <s v="Science Fiction"/>
        <s v="Kids Fiction"/>
        <s v="Factual"/>
        <s v="Contemporary Fiction"/>
        <s v="Dramatization"/>
        <s v="Historical Fiction"/>
        <s v="Multiple Creative Types"/>
        <n v="0" u="1"/>
      </sharedItems>
    </cacheField>
    <cacheField name="Ratings" numFmtId="0">
      <sharedItems count="6">
        <s v="Not Rated"/>
        <s v="G"/>
        <s v="None"/>
        <s v="R"/>
        <s v="PG-13"/>
        <s v="PG"/>
      </sharedItems>
    </cacheField>
    <cacheField name="Title with Chinese" numFmtId="0">
      <sharedItems/>
    </cacheField>
    <cacheField name="Title - English" numFmtId="0">
      <sharedItems/>
    </cacheField>
    <cacheField name="Leading Cast 1" numFmtId="0">
      <sharedItems/>
    </cacheField>
    <cacheField name="Leading Cast 2" numFmtId="0">
      <sharedItems containsBlank="1"/>
    </cacheField>
    <cacheField name="Leading Cast 3" numFmtId="0">
      <sharedItems containsBlank="1"/>
    </cacheField>
    <cacheField name="Director 1" numFmtId="0">
      <sharedItems/>
    </cacheField>
    <cacheField name="Director 2" numFmtId="0">
      <sharedItems containsBlank="1"/>
    </cacheField>
    <cacheField name="Production Companies" numFmtId="0">
      <sharedItems/>
    </cacheField>
    <cacheField name="Mao Yan Grade" numFmtId="168">
      <sharedItems containsMixedTypes="1" containsNumber="1" minValue="2.6" maxValue="9.6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n v="2019"/>
    <x v="0"/>
    <n v="1"/>
    <s v="Jan 4, 2019"/>
    <s v="Jan 4, 2019"/>
    <s v="Yun Nan Chong Gu Yunnan Valley"/>
    <x v="0"/>
    <x v="0"/>
    <n v="1600000"/>
    <m/>
    <m/>
    <n v="17"/>
    <n v="50583"/>
    <m/>
    <n v="22268448"/>
    <n v="22369964"/>
    <n v="101516"/>
    <x v="0"/>
    <x v="0"/>
    <x v="0"/>
    <x v="0"/>
    <s v="云南虫谷"/>
    <s v="Mojin: The Worm Valley"/>
    <s v="Hang Cai"/>
    <m/>
    <m/>
    <s v="Xing Fei"/>
    <m/>
    <s v="Golden Harvest Company"/>
    <n v="5.6"/>
  </r>
  <r>
    <n v="2019"/>
    <x v="0"/>
    <n v="2"/>
    <s v="Feb 5, 2019"/>
    <s v="Feb 5, 2019"/>
    <s v="Liu Lang Di Qiu"/>
    <x v="1"/>
    <x v="0"/>
    <n v="50000000"/>
    <n v="3000000"/>
    <n v="253000000"/>
    <n v="129"/>
    <n v="1685287"/>
    <n v="694626865"/>
    <n v="683059335"/>
    <n v="688934822"/>
    <n v="5875487"/>
    <x v="1"/>
    <x v="0"/>
    <x v="1"/>
    <x v="0"/>
    <s v="流浪地球"/>
    <s v="The Wandering Earth"/>
    <s v="Chuxiao Qu"/>
    <m/>
    <m/>
    <s v=" Frant Gwo"/>
    <m/>
    <s v="Beijing Jingxi Culture and Tourism Company"/>
    <n v="9.1999999999999993"/>
  </r>
  <r>
    <n v="2019"/>
    <x v="0"/>
    <n v="3"/>
    <s v="Feb 6, 2019"/>
    <s v="Feb 6, 2019"/>
    <s v="Xiao zhu pei qi guo da nian"/>
    <x v="2"/>
    <x v="1"/>
    <n v="7462686"/>
    <s v="/"/>
    <n v="6417910"/>
    <n v="67"/>
    <n v="2733367"/>
    <n v="18507462"/>
    <n v="18521816"/>
    <n v="18653041"/>
    <n v="131225"/>
    <x v="2"/>
    <x v="1"/>
    <x v="2"/>
    <x v="1"/>
    <s v="小猪佩奇过大年"/>
    <s v="Peppa Celebrates Chinese New Year"/>
    <s v="Yun Liu"/>
    <m/>
    <m/>
    <s v="Dapeng Zhang"/>
    <m/>
    <s v="Alibaba Pictures"/>
    <n v="6"/>
  </r>
  <r>
    <n v="2019"/>
    <x v="0"/>
    <n v="4"/>
    <s v="Feb 19, 2019"/>
    <s v="Feb 19, 2019"/>
    <s v="Bing Feng Xia 2"/>
    <x v="0"/>
    <x v="1"/>
    <n v="25800000"/>
    <m/>
    <m/>
    <n v="60570"/>
    <n v="3880000"/>
    <m/>
    <n v="4957041"/>
    <n v="4957041"/>
    <n v="0"/>
    <x v="1"/>
    <x v="0"/>
    <x v="3"/>
    <x v="2"/>
    <s v="冰封侠：时空行者"/>
    <s v="Iceman: The Time Traveller"/>
    <s v="Donnie Yen"/>
    <m/>
    <m/>
    <s v="Wai-Man Yip"/>
    <m/>
    <s v="Zhongmeng Century Media"/>
    <n v="4.4000000000000004"/>
  </r>
  <r>
    <n v="2019"/>
    <x v="0"/>
    <n v="5"/>
    <s v="Mar 8, 2019"/>
    <s v="Mar 8, 2019"/>
    <s v="Da xiang xi di er zuo"/>
    <x v="3"/>
    <x v="2"/>
    <n v="134000"/>
    <m/>
    <m/>
    <s v="NA"/>
    <n v="45000"/>
    <m/>
    <n v="250000"/>
    <n v="250000"/>
    <n v="0"/>
    <x v="1"/>
    <x v="0"/>
    <x v="4"/>
    <x v="2"/>
    <s v="大象席地而坐"/>
    <s v="An Elephant Sitting Still"/>
    <s v=" Yu Zhang"/>
    <m/>
    <m/>
    <s v="Bo Hu"/>
    <m/>
    <s v="Dongchun Films"/>
    <n v="7.9"/>
  </r>
  <r>
    <n v="2019"/>
    <x v="0"/>
    <n v="6"/>
    <s v="Mar 15, 2019"/>
    <s v="Mar 15, 2019"/>
    <s v="Jiang hu er nv"/>
    <x v="4"/>
    <x v="2"/>
    <n v="12000000"/>
    <m/>
    <m/>
    <n v="47"/>
    <n v="2000000"/>
    <m/>
    <n v="11552069"/>
    <n v="11966647"/>
    <n v="414578"/>
    <x v="1"/>
    <x v="0"/>
    <x v="4"/>
    <x v="0"/>
    <s v="江湖儿女"/>
    <s v="Ash Is Purest White"/>
    <s v="Zhao Tao"/>
    <m/>
    <m/>
    <s v="Zhangke Jia"/>
    <m/>
    <s v="Arte France Cinéma"/>
    <n v="7.6"/>
  </r>
  <r>
    <n v="2019"/>
    <x v="0"/>
    <n v="7"/>
    <s v="Mar 19, 2019"/>
    <s v="Mar 19, 2019"/>
    <s v="Triple Threat"/>
    <x v="0"/>
    <x v="3"/>
    <n v="12000000"/>
    <m/>
    <m/>
    <n v="12"/>
    <n v="168740"/>
    <m/>
    <n v="269611"/>
    <n v="345900"/>
    <n v="76289"/>
    <x v="1"/>
    <x v="0"/>
    <x v="4"/>
    <x v="3"/>
    <s v="三重威胁之跨国大营救"/>
    <s v="Triple Threat"/>
    <s v="Tony Jaa"/>
    <m/>
    <m/>
    <s v="Jesse V. Johnson"/>
    <m/>
    <s v="Aurora Alliance Films"/>
    <n v="8"/>
  </r>
  <r>
    <n v="2019"/>
    <x v="0"/>
    <n v="8"/>
    <s v="Apr 5, 2019"/>
    <s v="Apr 5, 2019"/>
    <s v="Jiao Qu De Niao"/>
    <x v="5"/>
    <x v="2"/>
    <n v="1200000"/>
    <m/>
    <m/>
    <n v="3"/>
    <n v="3207"/>
    <m/>
    <n v="0"/>
    <n v="10364"/>
    <n v="10364"/>
    <x v="1"/>
    <x v="0"/>
    <x v="4"/>
    <x v="0"/>
    <s v="郊区的鸟"/>
    <s v="Suburban Birds"/>
    <s v="Yihao Chen"/>
    <m/>
    <m/>
    <s v="Sheng Qiu"/>
    <m/>
    <s v="Chan Films"/>
    <s v="1069 人想看"/>
  </r>
  <r>
    <n v="2019"/>
    <x v="0"/>
    <n v="9"/>
    <s v="Apr 12, 2019"/>
    <s v="Apr 12, 2019"/>
    <s v="Ye Wen hui chuan: Zhang Tianzhi"/>
    <x v="0"/>
    <x v="0"/>
    <n v="28000000"/>
    <m/>
    <m/>
    <n v="61"/>
    <n v="92663"/>
    <m/>
    <n v="19572493"/>
    <n v="19781947"/>
    <n v="209454"/>
    <x v="1"/>
    <x v="0"/>
    <x v="3"/>
    <x v="0"/>
    <s v="叶问回传 ： 张天志"/>
    <s v="Master Z: The Ip Man Legacy"/>
    <s v="Jin Zhang"/>
    <m/>
    <m/>
    <s v="Yuen Woo Ping"/>
    <m/>
    <s v="Golden Harvest Company"/>
    <n v="9"/>
  </r>
  <r>
    <n v="2019"/>
    <x v="0"/>
    <n v="10"/>
    <s v="Apr 12, 2019"/>
    <s v="Apr 12, 2019"/>
    <s v="Di Qiu Zui Hou De Ye Wang"/>
    <x v="6"/>
    <x v="2"/>
    <n v="7500000"/>
    <m/>
    <m/>
    <n v="24"/>
    <n v="26746"/>
    <m/>
    <n v="41619365"/>
    <n v="42140730"/>
    <n v="521365"/>
    <x v="1"/>
    <x v="0"/>
    <x v="4"/>
    <x v="0"/>
    <s v="地球最后的夜晚"/>
    <s v="Long Day's Journey Into Night"/>
    <s v="Tang Wei"/>
    <s v="Huang Jue"/>
    <s v="Slyvia Chang"/>
    <s v="Gan Bi"/>
    <m/>
    <s v="Beijing Herui FIlm Culture"/>
    <n v="2.6"/>
  </r>
  <r>
    <n v="2019"/>
    <x v="0"/>
    <n v="11"/>
    <s v="May 3, 2019"/>
    <s v="Apr 30, 2019"/>
    <s v="Xue Bao"/>
    <x v="0"/>
    <x v="4"/>
    <n v="14925373.134328358"/>
    <s v="/"/>
    <n v="1492537.3134328357"/>
    <n v="19"/>
    <n v="36590"/>
    <n v="4179104.4776119408"/>
    <n v="4066011"/>
    <n v="4140502"/>
    <n v="74491"/>
    <x v="1"/>
    <x v="0"/>
    <x v="4"/>
    <x v="0"/>
    <s v="雪暴"/>
    <s v="Savage"/>
    <s v="Chen Chang"/>
    <m/>
    <m/>
    <s v="Siwei Cui"/>
    <m/>
    <s v="Maisong Film &amp; TV Investment Co., Ltd"/>
    <n v="8.4"/>
  </r>
  <r>
    <n v="2019"/>
    <x v="0"/>
    <n v="12"/>
    <s v="May 3, 2019"/>
    <s v="May 3, 2019"/>
    <s v="Xia Yi Ren: Qian Ren"/>
    <x v="7"/>
    <x v="2"/>
    <n v="4500000"/>
    <s v="/"/>
    <n v="6119403"/>
    <n v="33178"/>
    <n v="4267156"/>
    <n v="18059701"/>
    <n v="18914072"/>
    <n v="19005956"/>
    <n v="91884"/>
    <x v="1"/>
    <x v="0"/>
    <x v="4"/>
    <x v="0"/>
    <s v="下一任 ：前任"/>
    <s v="Always Miss You"/>
    <s v="Amber Kuo"/>
    <m/>
    <m/>
    <s v="Hung-i Chen"/>
    <m/>
    <s v="Beijing Huahui Brothers Film Culture Media Co., Ltd"/>
    <n v="5.0999999999999996"/>
  </r>
  <r>
    <n v="2019"/>
    <x v="0"/>
    <n v="13"/>
    <s v="May 3, 2019"/>
    <s v="May 3, 2019"/>
    <s v="Jing Zhou"/>
    <x v="0"/>
    <x v="0"/>
    <n v="44500000"/>
    <m/>
    <m/>
    <n v="53"/>
    <n v="9650987"/>
    <m/>
    <n v="90941185"/>
    <n v="91462581"/>
    <n v="521396"/>
    <x v="1"/>
    <x v="0"/>
    <x v="0"/>
    <x v="0"/>
    <s v="影"/>
    <s v="Shadow"/>
    <s v="Chao Deng"/>
    <m/>
    <m/>
    <s v="Zhang Yimou"/>
    <m/>
    <s v="Perfect Village Entertainment"/>
    <n v="8.1"/>
  </r>
  <r>
    <n v="2019"/>
    <x v="0"/>
    <n v="14"/>
    <s v="Jun 4, 2019"/>
    <s v="Jun 4, 2019"/>
    <s v="Abduction"/>
    <x v="8"/>
    <x v="0"/>
    <n v="35000000"/>
    <m/>
    <m/>
    <s v="NA"/>
    <n v="10925253"/>
    <m/>
    <n v="54000000"/>
    <n v="90100000"/>
    <n v="36100000"/>
    <x v="1"/>
    <x v="0"/>
    <x v="1"/>
    <x v="0"/>
    <s v="决战异世界"/>
    <s v="Abduction"/>
    <s v="Scott Adkins"/>
    <s v="Andy On"/>
    <s v="Truong Ngoc Anh"/>
    <s v="Ernie Barbarash"/>
    <m/>
    <s v="Ace Films"/>
    <n v="6.5"/>
  </r>
  <r>
    <n v="2019"/>
    <x v="0"/>
    <n v="15"/>
    <s v="Jun 14, 2019"/>
    <s v="Jan 14, 2017"/>
    <s v="Boonie Bears: Entangled Worlds"/>
    <x v="9"/>
    <x v="1"/>
    <n v="7462686.5671641789"/>
    <n v="4477611.940298507"/>
    <n v="27462686.567164179"/>
    <n v="17372"/>
    <n v="59300000"/>
    <n v="72686567.164179102"/>
    <n v="77072065"/>
    <n v="77072065"/>
    <n v="0"/>
    <x v="1"/>
    <x v="2"/>
    <x v="2"/>
    <x v="1"/>
    <s v="熊出没·奇幻空间"/>
    <s v="Boonie Bears: Entangled Worlds"/>
    <s v="Joseph"/>
    <s v="Shang Wenjie"/>
    <m/>
    <s v="Ding Liang"/>
    <m/>
    <s v="Shenzhen Huaqiang Digital Animation Co., Ltd"/>
    <n v="9.1"/>
  </r>
  <r>
    <n v="2019"/>
    <x v="0"/>
    <n v="16"/>
    <s v="Jul 19, 2019"/>
    <s v="Jul 19, 2019"/>
    <s v="Yin He Bu Xi Ban"/>
    <x v="7"/>
    <x v="2"/>
    <n v="12000000"/>
    <m/>
    <m/>
    <n v="121643"/>
    <n v="5560000"/>
    <m/>
    <n v="127897924"/>
    <n v="127897924"/>
    <n v="0"/>
    <x v="1"/>
    <x v="0"/>
    <x v="0"/>
    <x v="0"/>
    <s v="银河补习班"/>
    <s v="Looking Up"/>
    <s v="Chao Deng"/>
    <s v="Yu Bai"/>
    <s v="Suxi Ren"/>
    <s v="Chao Deng"/>
    <s v="Yu Baimei"/>
    <s v="Tianjin Chengzi Yingxiang Media"/>
    <n v="9.4"/>
  </r>
  <r>
    <n v="2019"/>
    <x v="0"/>
    <n v="17"/>
    <s v="Aug 9, 2019"/>
    <s v="Aug 9, 2019"/>
    <s v="Lie huo ying xiong"/>
    <x v="10"/>
    <x v="2"/>
    <n v="56400000"/>
    <m/>
    <m/>
    <n v="150"/>
    <n v="98500000"/>
    <m/>
    <n v="244889313"/>
    <n v="245179530"/>
    <n v="290217"/>
    <x v="3"/>
    <x v="0"/>
    <x v="5"/>
    <x v="4"/>
    <s v="烈火英雄"/>
    <s v="The Bravest"/>
    <s v="Huang Xiaoming"/>
    <s v="Jiang Du"/>
    <s v="Zhuo Tan"/>
    <s v="Tony Chan"/>
    <m/>
    <s v="Bona Film Group"/>
    <n v="9.4"/>
  </r>
  <r>
    <n v="2019"/>
    <x v="0"/>
    <n v="18"/>
    <s v="Aug 9, 2019"/>
    <s v="Aug 9, 2019"/>
    <s v="Wo Bu Shi Yao Shen"/>
    <x v="7"/>
    <x v="2"/>
    <n v="10900000"/>
    <m/>
    <m/>
    <n v="2"/>
    <n v="296516000"/>
    <m/>
    <n v="451176640"/>
    <n v="451183392"/>
    <n v="6752"/>
    <x v="1"/>
    <x v="0"/>
    <x v="4"/>
    <x v="2"/>
    <s v="我不是药神"/>
    <s v="Dying to Survive"/>
    <s v="Zheng Xu"/>
    <s v="Yiwei Zhou"/>
    <s v="Chuan-jun Wang"/>
    <s v="Muye Wen"/>
    <m/>
    <s v="Beijing Culture"/>
    <n v="9.6"/>
  </r>
  <r>
    <n v="2019"/>
    <x v="0"/>
    <n v="19"/>
    <s v="Aug 20, 2019"/>
    <s v="Jun 19, 2019"/>
    <s v="Wei Ze Zhi Lu"/>
    <x v="11"/>
    <x v="2"/>
    <n v="1000000"/>
    <m/>
    <m/>
    <n v="25926"/>
    <n v="780400"/>
    <m/>
    <n v="1079373"/>
    <n v="1079373"/>
    <n v="0"/>
    <x v="1"/>
    <x v="0"/>
    <x v="4"/>
    <x v="0"/>
    <s v="未择之路"/>
    <s v="The Road Not Taken"/>
    <s v="Xuebing Wang"/>
    <s v="Gengyou Zhu"/>
    <m/>
    <s v="Gaopeng Tang"/>
    <m/>
    <s v="Fujian Hengye Film Co., Ltd"/>
    <n v="7.8"/>
  </r>
  <r>
    <n v="2019"/>
    <x v="0"/>
    <n v="20"/>
    <s v="Aug 29, 2019"/>
    <s v="Aug 29, 2019"/>
    <s v="Ne Zha Zhi Mo Tong Jiang Shi"/>
    <x v="0"/>
    <x v="1"/>
    <n v="20000000"/>
    <m/>
    <m/>
    <n v="135"/>
    <n v="1164810"/>
    <m/>
    <n v="738818536"/>
    <n v="742514069"/>
    <n v="3695533"/>
    <x v="1"/>
    <x v="2"/>
    <x v="0"/>
    <x v="0"/>
    <s v=" 哪吒之魔童降世"/>
    <s v="Ne Zha : I am the Destiny"/>
    <s v="Yanting Lü"/>
    <s v="Joseph"/>
    <s v="Mo Han"/>
    <s v="Yu Yang"/>
    <m/>
    <s v="Coco Cartoon"/>
    <n v="9.6"/>
  </r>
  <r>
    <n v="2019"/>
    <x v="0"/>
    <n v="21"/>
    <s v="Sep 13, 2019"/>
    <s v="Sep 13, 2019"/>
    <s v="Shang Hai Bao Lei"/>
    <x v="12"/>
    <x v="2"/>
    <n v="44500000"/>
    <m/>
    <m/>
    <n v="130842"/>
    <n v="15095649"/>
    <m/>
    <n v="16923672"/>
    <n v="16923672"/>
    <n v="0"/>
    <x v="1"/>
    <x v="3"/>
    <x v="1"/>
    <x v="0"/>
    <s v="上海堡垒"/>
    <s v="Shanghai Fortress"/>
    <s v="Shu Qi"/>
    <s v="Godfrey Gao"/>
    <s v="Lu Han"/>
    <s v="Hua-Tao Teng"/>
    <m/>
    <s v="HS Entertainment Group"/>
    <n v="5.8"/>
  </r>
  <r>
    <n v="2019"/>
    <x v="0"/>
    <n v="22"/>
    <s v="Sep 13, 2019"/>
    <s v="Sep 13, 2019"/>
    <s v="Hua Jiao Zhi Wei"/>
    <x v="7"/>
    <x v="2"/>
    <n v="4500000"/>
    <m/>
    <m/>
    <n v="13"/>
    <n v="182300"/>
    <m/>
    <n v="1222532"/>
    <n v="1265949"/>
    <n v="43417"/>
    <x v="1"/>
    <x v="0"/>
    <x v="4"/>
    <x v="0"/>
    <s v="花椒之味"/>
    <s v="Fagara"/>
    <s v="Sammi Cheng"/>
    <s v="Megan Lai"/>
    <s v="Li Xiaofeng"/>
    <s v="Heiward Mak"/>
    <m/>
    <s v="Media Asia Films"/>
    <n v="8.6"/>
  </r>
  <r>
    <n v="2019"/>
    <x v="0"/>
    <n v="23"/>
    <s v="Sep 17, 2019"/>
    <s v="Oct 19, 2018"/>
    <s v="Gong Fu Lian Meng"/>
    <x v="0"/>
    <x v="0"/>
    <n v="22000000"/>
    <m/>
    <m/>
    <n v="40704"/>
    <n v="1804810"/>
    <m/>
    <n v="2577213"/>
    <n v="2577213"/>
    <n v="0"/>
    <x v="1"/>
    <x v="0"/>
    <x v="4"/>
    <x v="0"/>
    <s v="功夫联盟"/>
    <s v="Kung Fu League"/>
    <s v="Ashin"/>
    <s v="Danny Kwok-Kwan Chan"/>
    <m/>
    <s v="Jeffrey Lau"/>
    <m/>
    <s v="United Entertainment Partners"/>
    <n v="7"/>
  </r>
  <r>
    <n v="2019"/>
    <x v="0"/>
    <n v="24"/>
    <s v="Sep 20, 2019"/>
    <s v="Sep 20, 2019"/>
    <s v="Sheng Ye Shi Tang"/>
    <x v="0"/>
    <x v="2"/>
    <n v="2200000"/>
    <m/>
    <m/>
    <n v="13"/>
    <n v="2633997"/>
    <m/>
    <n v="3440000"/>
    <n v="3458555"/>
    <n v="18555"/>
    <x v="1"/>
    <x v="0"/>
    <x v="4"/>
    <x v="0"/>
    <s v="深夜食堂"/>
    <s v="Midnight Diner"/>
    <s v="Tony Ka Fai Leung"/>
    <s v="Tony Yo-ning Yang"/>
    <s v="Tao Liu"/>
    <s v="Tony Ka Fai Leung"/>
    <m/>
    <s v="NA"/>
    <n v="7.5"/>
  </r>
  <r>
    <n v="2019"/>
    <x v="0"/>
    <n v="25"/>
    <s v="Sep 27, 2019"/>
    <s v="Sep 27, 2019"/>
    <s v="Abominable"/>
    <x v="13"/>
    <x v="1"/>
    <n v="75000000"/>
    <m/>
    <m/>
    <n v="4248"/>
    <n v="20612100"/>
    <m/>
    <n v="127170053"/>
    <n v="187886443"/>
    <n v="60716390"/>
    <x v="1"/>
    <x v="2"/>
    <x v="2"/>
    <x v="5"/>
    <s v="雪人奇缘"/>
    <s v="Abominable"/>
    <s v="Chloe Bennet"/>
    <s v="Albert Tsai"/>
    <m/>
    <s v="Jill Culton"/>
    <m/>
    <s v="DreamWorks Animation"/>
    <n v="9.3000000000000007"/>
  </r>
  <r>
    <n v="2019"/>
    <x v="0"/>
    <n v="26"/>
    <s v="Sep 30, 2019"/>
    <s v="Sep 30, 2019"/>
    <s v="Pan Deng Zhe"/>
    <x v="0"/>
    <x v="1"/>
    <n v="89000000"/>
    <m/>
    <m/>
    <n v="102"/>
    <n v="31120924"/>
    <m/>
    <n v="163172247"/>
    <n v="163659404"/>
    <n v="487157"/>
    <x v="3"/>
    <x v="0"/>
    <x v="5"/>
    <x v="0"/>
    <s v="攀登者"/>
    <s v="The Climbers"/>
    <s v="Jing Wu"/>
    <s v="Zhang Ziyi"/>
    <s v="Boran Jing"/>
    <s v="Daniel Lee"/>
    <m/>
    <s v="Shanghai Film Group"/>
    <n v="9.4"/>
  </r>
  <r>
    <n v="2019"/>
    <x v="0"/>
    <n v="27"/>
    <s v="Oct 1, 2019"/>
    <s v="Oct 1, 2019"/>
    <s v="Wo he wo de zu guo"/>
    <x v="1"/>
    <x v="2"/>
    <n v="18000000"/>
    <m/>
    <m/>
    <n v="83"/>
    <n v="101146119"/>
    <m/>
    <n v="463094610"/>
    <n v="465418019"/>
    <n v="2323409"/>
    <x v="3"/>
    <x v="0"/>
    <x v="6"/>
    <x v="0"/>
    <s v="我和我的祖国"/>
    <s v="My People, My Country"/>
    <s v="Bo Huang"/>
    <s v="Qianyuan Wang"/>
    <s v="Hao Ou"/>
    <s v="Chen Kaige"/>
    <m/>
    <s v="Alibaba Pictures"/>
    <n v="9.6999999999999993"/>
  </r>
  <r>
    <n v="2019"/>
    <x v="0"/>
    <n v="28"/>
    <s v="Oct 8, 2019"/>
    <s v="Oct 8, 2019"/>
    <s v="Wu Lin Guai Shou"/>
    <x v="1"/>
    <x v="0"/>
    <n v="27000000"/>
    <m/>
    <m/>
    <n v="62631"/>
    <n v="7563904"/>
    <m/>
    <n v="11573104"/>
    <n v="11573104"/>
    <n v="0"/>
    <x v="1"/>
    <x v="0"/>
    <x v="0"/>
    <x v="2"/>
    <s v="武林怪兽!!"/>
    <s v="Kung Fu Monster "/>
    <s v="Louis Koo"/>
    <s v="Cheney Chen"/>
    <s v="Bea Hayden Kuo"/>
    <s v="Andrew Lau"/>
    <m/>
    <s v="Bona Film Group"/>
    <n v="7.5"/>
  </r>
  <r>
    <n v="2019"/>
    <x v="0"/>
    <n v="29"/>
    <s v="Oct 18, 2019"/>
    <s v="Oct 18, 2019"/>
    <s v="Zhongguo jizhang"/>
    <x v="0"/>
    <x v="2"/>
    <n v="60000000"/>
    <m/>
    <m/>
    <n v="47"/>
    <n v="102353091"/>
    <m/>
    <n v="416947720"/>
    <n v="417654292"/>
    <n v="706572"/>
    <x v="3"/>
    <x v="0"/>
    <x v="3"/>
    <x v="0"/>
    <s v="中国机长"/>
    <s v="The Captain"/>
    <s v="Hanyu Zhang"/>
    <s v="Hao Ou"/>
    <s v="Jiang Du"/>
    <s v="Andrew Lau"/>
    <m/>
    <s v="Bona Film Group"/>
    <n v="9.4"/>
  </r>
  <r>
    <n v="2019"/>
    <x v="0"/>
    <n v="30"/>
    <s v="Oct 29, 2019"/>
    <s v="Dec 22, 2017"/>
    <s v="Yao Mao Zhuan"/>
    <x v="0"/>
    <x v="2"/>
    <n v="44776119"/>
    <n v="8955223"/>
    <n v="28208955"/>
    <n v="70359"/>
    <n v="39959722"/>
    <n v="74477611"/>
    <n v="97033612"/>
    <n v="97033612"/>
    <n v="0"/>
    <x v="0"/>
    <x v="0"/>
    <x v="0"/>
    <x v="0"/>
    <s v="妖猫传"/>
    <s v="Legend Of The Demon Cat"/>
    <s v="Huang Xuan"/>
    <s v="Sometani Shota"/>
    <m/>
    <s v="Chen Kaige"/>
    <m/>
    <s v="Huaxia Film Distribution Co., Ltd"/>
    <n v="7.5"/>
  </r>
  <r>
    <n v="2019"/>
    <x v="0"/>
    <n v="31"/>
    <s v="Nov 1, 2019"/>
    <s v="Nov 1, 2019"/>
    <s v="Arctic Dogs"/>
    <x v="14"/>
    <x v="1"/>
    <n v="50000000"/>
    <m/>
    <m/>
    <n v="2844"/>
    <n v="2901335"/>
    <m/>
    <n v="3890797"/>
    <n v="9692046"/>
    <n v="5801249"/>
    <x v="1"/>
    <x v="2"/>
    <x v="2"/>
    <x v="5"/>
    <s v="北极狗"/>
    <s v="Arctic Dogs"/>
    <s v="Jeremy Renner"/>
    <s v="Heidi Klum"/>
    <s v="James Franco"/>
    <s v="Aaron Woodley"/>
    <m/>
    <s v="AMBI Group"/>
    <s v="暂无"/>
  </r>
  <r>
    <n v="2019"/>
    <x v="0"/>
    <n v="32"/>
    <s v="Nov 5, 2019"/>
    <s v="Nov 5, 2019"/>
    <s v="Cinderella and The Secret Prince"/>
    <x v="15"/>
    <x v="1"/>
    <n v="20000000"/>
    <m/>
    <m/>
    <n v="13085"/>
    <n v="2687165"/>
    <m/>
    <n v="11687938"/>
    <n v="11687938"/>
    <n v="0"/>
    <x v="4"/>
    <x v="2"/>
    <x v="0"/>
    <x v="5"/>
    <s v="Cinderalla 3D"/>
    <s v="Cinderalla 3D"/>
    <s v="Cassandra Lee Morris"/>
    <m/>
    <m/>
    <s v="Lynne Southerland"/>
    <m/>
    <s v="Gold Valley Films"/>
    <n v="8.8000000000000007"/>
  </r>
  <r>
    <n v="2019"/>
    <x v="0"/>
    <n v="33"/>
    <s v="Nov 8, 2019"/>
    <s v="Nov 8, 2019"/>
    <s v="Shou Yi Ren"/>
    <x v="1"/>
    <x v="2"/>
    <n v="1120000"/>
    <m/>
    <m/>
    <n v="29"/>
    <n v="9838348"/>
    <m/>
    <n v="31098062"/>
    <n v="31188607"/>
    <n v="90545"/>
    <x v="1"/>
    <x v="0"/>
    <x v="4"/>
    <x v="0"/>
    <s v="受益人"/>
    <s v="My Dear Liar"/>
    <s v="Chengpeng Dong"/>
    <s v="Yan Liu"/>
    <s v="Zixian Zhang"/>
    <s v="Ao Shen"/>
    <m/>
    <s v="Clover Films"/>
    <n v="8.8000000000000007"/>
  </r>
  <r>
    <n v="2019"/>
    <x v="0"/>
    <n v="34"/>
    <s v="Nov 8, 2019"/>
    <s v="Nov 8, 2019"/>
    <s v="Shao Nian De Ni"/>
    <x v="0"/>
    <x v="2"/>
    <n v="18000000"/>
    <m/>
    <m/>
    <n v="88"/>
    <n v="82199097"/>
    <m/>
    <n v="228079374"/>
    <n v="230001031"/>
    <n v="1921657"/>
    <x v="0"/>
    <x v="0"/>
    <x v="4"/>
    <x v="0"/>
    <s v="少年的你"/>
    <s v="Better Days"/>
    <s v="Dongyu Zhuo"/>
    <s v="Jackson Yee"/>
    <s v="Fang Yin"/>
    <s v="Derek Tsang"/>
    <m/>
    <s v="Shooting Pictures"/>
    <n v="9.4"/>
  </r>
  <r>
    <n v="2019"/>
    <x v="0"/>
    <n v="35"/>
    <s v="Nov 15, 2019"/>
    <s v="Nov 15, 2019"/>
    <s v="Bai She: Yuan Qi"/>
    <x v="16"/>
    <x v="2"/>
    <n v="14000000"/>
    <s v="/"/>
    <n v="23134328"/>
    <n v="51754"/>
    <n v="5860000"/>
    <n v="66865672"/>
    <n v="68330000"/>
    <n v="68364730"/>
    <n v="34730"/>
    <x v="1"/>
    <x v="2"/>
    <x v="0"/>
    <x v="0"/>
    <s v="白蛇：缘起"/>
    <s v="White Snake"/>
    <s v="Zhang Zhe"/>
    <s v="Yang Tianxiang"/>
    <m/>
    <s v="Wong Amp"/>
    <m/>
    <s v="Warner Bros."/>
    <n v="9.3000000000000007"/>
  </r>
  <r>
    <n v="2019"/>
    <x v="0"/>
    <n v="36"/>
    <s v="Dec 20, 2019"/>
    <s v="Dec 20, 2019"/>
    <s v="Zhi You Yun Zhi Dao"/>
    <x v="7"/>
    <x v="2"/>
    <n v="100000000"/>
    <m/>
    <m/>
    <n v="75831"/>
    <n v="9490000"/>
    <m/>
    <n v="23417137"/>
    <n v="23417137"/>
    <n v="0"/>
    <x v="1"/>
    <x v="0"/>
    <x v="4"/>
    <x v="0"/>
    <s v="只有芸知道"/>
    <s v="Only Cloud Knows"/>
    <s v="Xuan Huang"/>
    <s v="Caiyu Yang"/>
    <s v="Lydia Peckham"/>
    <s v="Xiaogang Feng"/>
    <m/>
    <s v="Alibaba Pictures"/>
    <n v="8.5"/>
  </r>
  <r>
    <n v="2019"/>
    <x v="0"/>
    <n v="37"/>
    <s v="Dec 31, 2019"/>
    <s v="Jun, 21st, 2019"/>
    <s v="Die Xian"/>
    <x v="17"/>
    <x v="5"/>
    <n v="895522.38805970142"/>
    <s v="/"/>
    <n v="1791044.7761194028"/>
    <n v="13036"/>
    <n v="1170000"/>
    <n v="5522388.0597014921"/>
    <n v="7489619"/>
    <n v="7489619"/>
    <n v="0"/>
    <x v="1"/>
    <x v="0"/>
    <x v="4"/>
    <x v="2"/>
    <s v="碟仙"/>
    <s v="Mortal Ouija"/>
    <s v="Crystal"/>
    <s v="Caiyu Yang"/>
    <s v="Lydia Peckham"/>
    <s v="Lian Tao"/>
    <m/>
    <s v="Zhujiang Film Group Co., Ltd"/>
    <n v="7.9"/>
  </r>
  <r>
    <n v="2019"/>
    <x v="0"/>
    <n v="38"/>
    <s v="Dec 31, 2019"/>
    <s v="Dec 20, 2019"/>
    <s v="Wu Sha"/>
    <x v="18"/>
    <x v="2"/>
    <n v="250000000"/>
    <m/>
    <m/>
    <n v="108128"/>
    <s v="NA"/>
    <m/>
    <n v="198756793"/>
    <n v="198756793"/>
    <n v="0"/>
    <x v="1"/>
    <x v="0"/>
    <x v="4"/>
    <x v="2"/>
    <s v="误杀"/>
    <s v="Sheep Without A Shepherd"/>
    <s v="Yang Xiao"/>
    <s v="Zhuo Tan"/>
    <s v="Joan Chen"/>
    <s v="Sam Quah"/>
    <m/>
    <s v="815 Pictures"/>
    <n v="9.4"/>
  </r>
  <r>
    <n v="2019"/>
    <x v="0"/>
    <n v="39"/>
    <s v="Dec 31, 2019"/>
    <s v="Aug 18, 2019"/>
    <s v="Viy 2"/>
    <x v="18"/>
    <x v="1"/>
    <n v="350000000"/>
    <m/>
    <m/>
    <n v="26219"/>
    <n v="2130000"/>
    <m/>
    <n v="8307698"/>
    <n v="8307698"/>
    <n v="0"/>
    <x v="4"/>
    <x v="0"/>
    <x v="0"/>
    <x v="2"/>
    <s v="龙牌之谜"/>
    <s v="The Mystery of Dragon Seal "/>
    <s v="Jackie Chan"/>
    <m/>
    <m/>
    <s v="Oleg Stepchenko"/>
    <m/>
    <s v="China Film Co.,Ltd."/>
    <n v="6.9"/>
  </r>
  <r>
    <n v="2019"/>
    <x v="0"/>
    <n v="40"/>
    <s v="Dec 31, 2019"/>
    <s v="Dec 13, 2019"/>
    <s v="Bei Guang Zhua Zou De Ren"/>
    <x v="19"/>
    <x v="2"/>
    <n v="300000000"/>
    <m/>
    <m/>
    <n v="105653"/>
    <n v="8540000"/>
    <m/>
    <n v="10102949"/>
    <n v="10102949"/>
    <n v="0"/>
    <x v="1"/>
    <x v="0"/>
    <x v="0"/>
    <x v="2"/>
    <s v="被光抓走的人"/>
    <s v="Gone with the Light"/>
    <s v="Bo Huang"/>
    <s v="Luodan Wang"/>
    <m/>
    <s v="Runnian Dong"/>
    <m/>
    <s v="Jetsen Huashi Media US"/>
    <n v="7.8"/>
  </r>
  <r>
    <n v="2019"/>
    <x v="0"/>
    <n v="41"/>
    <s v="Dec 31, 2019"/>
    <s v="May 18, 2019"/>
    <s v="Shuang Sheng"/>
    <x v="20"/>
    <x v="2"/>
    <n v="5970149.253731343"/>
    <s v="/"/>
    <n v="895522.38805970142"/>
    <s v="NA"/>
    <n v="1929242"/>
    <n v="2537313.4328358206"/>
    <n v="2504008"/>
    <n v="2504008"/>
    <n v="0"/>
    <x v="1"/>
    <x v="0"/>
    <x v="4"/>
    <x v="2"/>
    <s v="双生"/>
    <s v="The Twins"/>
    <s v="Liu Haoran"/>
    <s v="Chen Duling"/>
    <m/>
    <s v="Jin Zhencheng"/>
    <m/>
    <s v="CHUNQIU TIME"/>
    <n v="6.8"/>
  </r>
  <r>
    <n v="2019"/>
    <x v="0"/>
    <n v="42"/>
    <s v="Dec 31, 2019"/>
    <s v="Jun 7, 2019"/>
    <s v="Wo Wei Xiong Di Kuang"/>
    <x v="1"/>
    <x v="2"/>
    <n v="7000000"/>
    <s v="/"/>
    <n v="20895522"/>
    <n v="75043"/>
    <n v="21695510"/>
    <n v="61044776"/>
    <n v="60006412"/>
    <n v="60006412"/>
    <n v="0"/>
    <x v="1"/>
    <x v="0"/>
    <x v="4"/>
    <x v="2"/>
    <s v="最好的我们"/>
    <s v="My Best Summer"/>
    <s v="Chen Feiyu"/>
    <s v="He Landou"/>
    <m/>
    <s v="Disha Zhang"/>
    <m/>
    <s v="China Film Co.,Ltd."/>
    <n v="8.6999999999999993"/>
  </r>
  <r>
    <n v="2019"/>
    <x v="0"/>
    <n v="43"/>
    <s v="Dec 31, 2019"/>
    <s v="Jun 21, 2019"/>
    <s v="Wo De Qing Chun Dou Shi Ni"/>
    <x v="21"/>
    <x v="6"/>
    <n v="2985074.6268656715"/>
    <s v="/"/>
    <n v="746268.65671641787"/>
    <n v="43445"/>
    <n v="1604943"/>
    <n v="2238805.9701492535"/>
    <n v="2709986"/>
    <n v="2709986"/>
    <n v="0"/>
    <x v="1"/>
    <x v="0"/>
    <x v="4"/>
    <x v="2"/>
    <s v="我的青春都是你"/>
    <s v="Love The Way You Are"/>
    <s v="Vivian Sung"/>
    <s v="Song Weilong"/>
    <s v="Stella"/>
    <s v="Zhou Tong"/>
    <s v="Dai Mengying"/>
    <s v="Beijing Zhonglian Huameng Cultural Media Investment Co., Ltd"/>
    <n v="7.5"/>
  </r>
  <r>
    <n v="2019"/>
    <x v="0"/>
    <n v="44"/>
    <s v="Dec 31, 2019"/>
    <s v="Apr 5, 2019"/>
    <s v="Wu Kong Qi Yu Ji"/>
    <x v="22"/>
    <x v="1"/>
    <n v="2985074.6268656715"/>
    <s v="/"/>
    <n v="895522.38805970142"/>
    <n v="12490"/>
    <n v="1020000"/>
    <n v="2835820.8955223882"/>
    <n v="3190549"/>
    <n v="3190549"/>
    <n v="0"/>
    <x v="4"/>
    <x v="2"/>
    <x v="0"/>
    <x v="2"/>
    <s v="悟空圣诞奇遇记"/>
    <s v="WuKong's Christmas Adventure"/>
    <s v="/"/>
    <m/>
    <m/>
    <s v="Yin Yuqi"/>
    <m/>
    <s v="DANCING CG STUDIO"/>
    <n v="7.4"/>
  </r>
  <r>
    <n v="2019"/>
    <x v="0"/>
    <n v="45"/>
    <s v="Dec 31, 2019"/>
    <s v="Dec 31, 2019"/>
    <s v="Happy Little Submarine: Space Pals"/>
    <x v="23"/>
    <x v="1"/>
    <n v="1492537.3134328357"/>
    <s v="/"/>
    <n v="1194029.8507462686"/>
    <n v="31708"/>
    <n v="2640832"/>
    <n v="3582089.5522388057"/>
    <n v="3939436"/>
    <n v="3939436"/>
    <n v="0"/>
    <x v="1"/>
    <x v="2"/>
    <x v="2"/>
    <x v="2"/>
    <s v="潜艇总动员：外星宝贝计划"/>
    <s v="Happy Little Submarine：Space Pals"/>
    <s v="/"/>
    <m/>
    <m/>
    <s v="Shen Yu"/>
    <s v="Zhang Chao"/>
    <s v="Shenzhen Global Digital Film and Television Culture Co., Ltd"/>
    <n v="8.6999999999999993"/>
  </r>
  <r>
    <n v="2019"/>
    <x v="0"/>
    <n v="46"/>
    <s v="Dec 31, 2019"/>
    <s v="Oct 12, 2019"/>
    <s v="Fan Zui Xian Chang"/>
    <x v="0"/>
    <x v="0"/>
    <n v="3582089.5522388099"/>
    <m/>
    <m/>
    <n v="68060"/>
    <n v="16321896"/>
    <m/>
    <n v="37092694"/>
    <n v="37092694"/>
    <n v="0"/>
    <x v="1"/>
    <x v="0"/>
    <x v="4"/>
    <x v="2"/>
    <s v="犯罪现场"/>
    <s v="A Witness out of the Blue"/>
    <s v="Louis Koo"/>
    <s v="Jessica Hester Hsuan"/>
    <m/>
    <s v="Chi-Keung Fung"/>
    <m/>
    <s v="Media Asia Films"/>
    <n v="8.9"/>
  </r>
  <r>
    <n v="2019"/>
    <x v="0"/>
    <n v="47"/>
    <s v="Dec 31, 2019"/>
    <s v="Sep 7, 2019"/>
    <s v="Luo Xiaohei zhan ji"/>
    <x v="24"/>
    <x v="1"/>
    <n v="1492537.3134328399"/>
    <m/>
    <m/>
    <n v="98464"/>
    <n v="12110000"/>
    <m/>
    <n v="44553752"/>
    <n v="44553752"/>
    <n v="0"/>
    <x v="4"/>
    <x v="2"/>
    <x v="0"/>
    <x v="2"/>
    <s v="罗小黑战记"/>
    <s v="The Legend of Hei"/>
    <s v="Youji Wang"/>
    <s v="Kei Gambit"/>
    <m/>
    <s v="Mtjj"/>
    <m/>
    <s v="MTJJ"/>
    <n v="9.3000000000000007"/>
  </r>
  <r>
    <n v="2019"/>
    <x v="0"/>
    <n v="48"/>
    <s v="Dec 31, 2019"/>
    <s v="Aug 2, 2019"/>
    <s v="Shu dan ying xiong"/>
    <x v="25"/>
    <x v="2"/>
    <n v="11940298.507462701"/>
    <m/>
    <m/>
    <n v="49408"/>
    <n v="8510000"/>
    <m/>
    <n v="13994187"/>
    <n v="13994187"/>
    <n v="0"/>
    <x v="1"/>
    <x v="0"/>
    <x v="4"/>
    <x v="2"/>
    <s v="鼠胆英雄"/>
    <s v="Coward Hero"/>
    <s v="Yunpeng Yue"/>
    <s v="Liya Tong"/>
    <s v="Yu Tian"/>
    <s v="Dan Shao"/>
    <s v="Huan Shu"/>
    <s v="NA"/>
    <n v="8.3000000000000007"/>
  </r>
  <r>
    <n v="2019"/>
    <x v="0"/>
    <n v="49"/>
    <s v="Dec 31, 2019"/>
    <s v="Dec 27, 2019"/>
    <s v="Te Jing Dui"/>
    <x v="26"/>
    <x v="3"/>
    <n v="14925373.134328401"/>
    <m/>
    <m/>
    <n v="93636"/>
    <n v="6470000"/>
    <m/>
    <n v="8230634"/>
    <n v="8230634"/>
    <n v="0"/>
    <x v="1"/>
    <x v="0"/>
    <x v="4"/>
    <x v="2"/>
    <s v="特警队"/>
    <s v="S.W.A.T"/>
    <s v="Xiao-su Ling"/>
    <s v="Nailiang Jia"/>
    <s v="Gina Chen Jin"/>
    <s v="Sheng Ding"/>
    <m/>
    <s v="Beijing Culture"/>
    <n v="8.6"/>
  </r>
  <r>
    <n v="2019"/>
    <x v="0"/>
    <n v="50"/>
    <s v="Dec 31, 2019"/>
    <s v="Dec 20, 2019"/>
    <s v="Ban Ge Xi Ju"/>
    <x v="27"/>
    <x v="6"/>
    <n v="2985074.6268656701"/>
    <m/>
    <m/>
    <n v="54753"/>
    <n v="6390000"/>
    <m/>
    <n v="27410000"/>
    <n v="27410000"/>
    <n v="0"/>
    <x v="1"/>
    <x v="0"/>
    <x v="4"/>
    <x v="2"/>
    <s v="半个喜剧"/>
    <s v="Almost a Comedy"/>
    <s v="Suxi Ren"/>
    <s v="Yuhan Wu"/>
    <s v="Xun Liu"/>
    <s v="Lu Liu"/>
    <s v="Shen Zhou"/>
    <s v="NA"/>
    <n v="8.9"/>
  </r>
  <r>
    <n v="2019"/>
    <x v="0"/>
    <n v="51"/>
    <s v="Dec 31, 2019"/>
    <s v="Sep 20, 2019"/>
    <s v="Jue Sheng Shi Ke"/>
    <x v="28"/>
    <x v="2"/>
    <n v="2985074.6268656701"/>
    <m/>
    <m/>
    <n v="56551"/>
    <n v="6240000"/>
    <m/>
    <n v="16841504"/>
    <n v="16841504"/>
    <n v="0"/>
    <x v="3"/>
    <x v="0"/>
    <x v="6"/>
    <x v="2"/>
    <s v="决胜时刻"/>
    <s v="Mao Zedong 1949"/>
    <s v="Tang Guoqiang"/>
    <s v="Jin Liu"/>
    <s v="Ted Duran"/>
    <s v="Jianxin Huang"/>
    <s v="Haiqiang Ning"/>
    <s v="Bona Film Group"/>
    <n v="9.1"/>
  </r>
  <r>
    <n v="2019"/>
    <x v="0"/>
    <n v="52"/>
    <s v="Dec 31, 2019"/>
    <s v="Apr 15, 2019"/>
    <s v="Su Ren te Gong"/>
    <x v="29"/>
    <x v="0"/>
    <n v="44776119.402985103"/>
    <m/>
    <m/>
    <n v="68172"/>
    <n v="2958191"/>
    <m/>
    <n v="3283238"/>
    <n v="3283238"/>
    <n v="0"/>
    <x v="1"/>
    <x v="0"/>
    <x v="4"/>
    <x v="2"/>
    <s v="素人特工"/>
    <s v="The Rookies"/>
    <s v="Talu Wang"/>
    <s v="Sandrine Pinna"/>
    <s v="Milla Jovovich"/>
    <s v="Alan Yuen"/>
    <m/>
    <s v="New Classics Media"/>
    <n v="7.4"/>
  </r>
  <r>
    <n v="2019"/>
    <x v="0"/>
    <n v="53"/>
    <s v="Dec 31, 2019"/>
    <s v="Jun 14, 2019"/>
    <s v="Qin Ming . Sheng Si Yu Zhe"/>
    <x v="30"/>
    <x v="2"/>
    <n v="7462686.5671641789"/>
    <s v="/"/>
    <n v="1492537.3134328357"/>
    <n v="37338"/>
    <n v="2950000"/>
    <n v="4477611.940298507"/>
    <n v="4303111"/>
    <n v="4303111"/>
    <n v="0"/>
    <x v="1"/>
    <x v="0"/>
    <x v="4"/>
    <x v="2"/>
    <s v="秦明·生死语者"/>
    <s v="Whisper of Silent Body"/>
    <s v="Kevin Yan"/>
    <s v="Daisy"/>
    <s v="Le Geng"/>
    <s v="Li Haishu"/>
    <s v="Huang Yanwei"/>
    <s v="Zhejiang Bodi Film &amp; TV Co., Ltd"/>
    <n v="7.5"/>
  </r>
  <r>
    <n v="2019"/>
    <x v="0"/>
    <n v="54"/>
    <s v="Dec 31, 2019"/>
    <s v="Sep 6, 2019"/>
    <s v="Dou ai xiong ren zhen"/>
    <x v="31"/>
    <x v="6"/>
    <n v="2985074.6268656701"/>
    <m/>
    <m/>
    <n v="34638"/>
    <n v="760000"/>
    <m/>
    <n v="810000"/>
    <n v="810000"/>
    <n v="0"/>
    <x v="1"/>
    <x v="0"/>
    <x v="4"/>
    <x v="2"/>
    <s v="逗爱熊仁镇"/>
    <s v="ATM"/>
    <s v="Sandrine Pinna"/>
    <s v="Yurong Zhang"/>
    <s v="Yawen Zhu"/>
    <s v="Muchun Zha"/>
    <m/>
    <s v="iQIYI Pictures"/>
    <n v="7.7"/>
  </r>
  <r>
    <n v="2019"/>
    <x v="0"/>
    <n v="55"/>
    <s v="Dec 31, 2019"/>
    <s v="Jun 21, 2019"/>
    <s v="Ba Zi"/>
    <x v="32"/>
    <x v="0"/>
    <n v="749625.18740629684"/>
    <s v="/"/>
    <n v="895522.38805970142"/>
    <n v="10660"/>
    <n v="399170"/>
    <n v="2537313.4328358206"/>
    <n v="2883905"/>
    <n v="2883905"/>
    <n v="0"/>
    <x v="3"/>
    <x v="0"/>
    <x v="6"/>
    <x v="2"/>
    <s v="八子"/>
    <s v="ADVANCE WAVE UPON WAVE"/>
    <s v="Liu Duanduan"/>
    <s v="Shao Bing"/>
    <m/>
    <s v="Gao XiXi"/>
    <m/>
    <s v="Ganzhou Tourism Investment Group Co., Ltd"/>
    <n v="8.4"/>
  </r>
  <r>
    <n v="2019"/>
    <x v="0"/>
    <n v="56"/>
    <s v="Dec 6, 2019"/>
    <s v="Dec 6, 2019"/>
    <s v="Chui Shao Ren"/>
    <x v="1"/>
    <x v="0"/>
    <n v="35820895.522388101"/>
    <m/>
    <m/>
    <n v="54139"/>
    <n v="150481"/>
    <m/>
    <n v="8568978"/>
    <n v="8719459"/>
    <n v="150481"/>
    <x v="1"/>
    <x v="0"/>
    <x v="4"/>
    <x v="0"/>
    <s v="吹哨人"/>
    <s v="The Whistleblower"/>
    <s v="Jiayin Lei"/>
    <s v="Tang Wei"/>
    <s v="Xi Qi"/>
    <s v="Xue Xiaolu"/>
    <m/>
    <s v="Edko Films"/>
    <n v="8.4"/>
  </r>
  <r>
    <n v="2019"/>
    <x v="0"/>
    <n v="57"/>
    <s v="Dec 31, 2019"/>
    <s v="May 5, 2019"/>
    <s v="Zhou Enlai"/>
    <x v="18"/>
    <x v="2"/>
    <n v="2985074.6268656715"/>
    <s v="/"/>
    <n v="1044776.1194029852"/>
    <s v="NA"/>
    <n v="125544"/>
    <n v="3134328.3582089553"/>
    <n v="3963494"/>
    <n v="3963494"/>
    <n v="0"/>
    <x v="3"/>
    <x v="0"/>
    <x v="5"/>
    <x v="2"/>
    <s v="周恩来回延安"/>
    <s v="Zhou Enlai Returned To Yanan"/>
    <s v="Liu Jing"/>
    <m/>
    <m/>
    <s v="Wu Weidong"/>
    <s v="Liu Jin"/>
    <s v="Art Market Magazine Co., Ltd"/>
    <s v="暂无"/>
  </r>
  <r>
    <n v="2019"/>
    <x v="0"/>
    <n v="58"/>
    <s v="Dec 31, 2019"/>
    <s v="Sep 21, 2019"/>
    <s v="Feng kuang meng huan cheng"/>
    <x v="33"/>
    <x v="1"/>
    <n v="100000000"/>
    <m/>
    <m/>
    <s v="NA"/>
    <n v="24397"/>
    <m/>
    <n v="713335"/>
    <n v="713335"/>
    <n v="0"/>
    <x v="1"/>
    <x v="2"/>
    <x v="2"/>
    <x v="2"/>
    <s v="疯狂梦幻城 "/>
    <s v="Crazy and Dream City"/>
    <s v="/"/>
    <m/>
    <m/>
    <s v="Hongsheng Luo"/>
    <m/>
    <s v="NA"/>
    <s v="暂无"/>
  </r>
  <r>
    <n v="2019"/>
    <x v="0"/>
    <n v="59"/>
    <s v="Dec 31, 2019"/>
    <s v="Dec 13, 2019"/>
    <s v="Cui mian · cai jue"/>
    <x v="34"/>
    <x v="0"/>
    <n v="22500000"/>
    <m/>
    <m/>
    <n v="61047"/>
    <n v="7240000"/>
    <m/>
    <n v="14917516"/>
    <n v="14917516"/>
    <n v="0"/>
    <x v="1"/>
    <x v="0"/>
    <x v="4"/>
    <x v="2"/>
    <s v="催眠 。 裁决"/>
    <s v="Guilt by Design"/>
    <s v="Nick Cheung"/>
    <s v="Hans Zhang"/>
    <m/>
    <s v="Siu Kwan Lai"/>
    <s v="Lau Wing Tai"/>
    <s v="Dahe Pictures Yangzhou"/>
    <n v="8.9"/>
  </r>
  <r>
    <n v="2019"/>
    <x v="1"/>
    <n v="60"/>
    <s v="Sep 20, 2019"/>
    <s v="Sep 20, 2019"/>
    <s v="Rambo: Last Blood"/>
    <x v="35"/>
    <x v="0"/>
    <n v="50000000"/>
    <m/>
    <m/>
    <n v="3618"/>
    <n v="18872919"/>
    <m/>
    <n v="46600000"/>
    <n v="91419352"/>
    <n v="44819352"/>
    <x v="0"/>
    <x v="0"/>
    <x v="4"/>
    <x v="3"/>
    <s v="第一滴血5 ：最后的血"/>
    <s v="Rambo: Last Blood"/>
    <s v="Slyvester Stallone"/>
    <s v="Pas Vega"/>
    <s v="Sergio Peris-Mencheta"/>
    <s v="Adrian Grunberg"/>
    <m/>
    <s v="Lionsgate"/>
    <n v="6.9"/>
  </r>
  <r>
    <n v="2019"/>
    <x v="1"/>
    <n v="61"/>
    <s v="Feb 8, 2019"/>
    <s v="Feb 8, 2019"/>
    <s v="The Prodigy"/>
    <x v="36"/>
    <x v="5"/>
    <n v="6000000"/>
    <m/>
    <m/>
    <n v="2530"/>
    <n v="5853061"/>
    <m/>
    <n v="4933421"/>
    <n v="19789712"/>
    <n v="14856291"/>
    <x v="1"/>
    <x v="0"/>
    <x v="4"/>
    <x v="3"/>
    <s v="神童"/>
    <s v="The Prodigy"/>
    <s v="Taylor Shilling"/>
    <s v="Jackson Robert Scott"/>
    <s v="Peter Mooney"/>
    <s v="Nicholas McCarthy"/>
    <m/>
    <s v="Orion Pictures"/>
    <n v="6.1"/>
  </r>
  <r>
    <n v="2019"/>
    <x v="1"/>
    <n v="62"/>
    <s v="Dec 25, 2019"/>
    <s v="Dec 25, 2019"/>
    <s v="Yip Man 4"/>
    <x v="0"/>
    <x v="0"/>
    <n v="52000000"/>
    <m/>
    <m/>
    <n v="125"/>
    <n v="1459523"/>
    <m/>
    <n v="188661860"/>
    <n v="192617891"/>
    <n v="3956031"/>
    <x v="3"/>
    <x v="3"/>
    <x v="6"/>
    <x v="0"/>
    <s v="叶问 4 : 完结篇"/>
    <s v="Ip Man 4: The Finale"/>
    <s v="Donnie Yen"/>
    <s v="Scott Adkins"/>
    <s v="Danny Kwok-Kwan Chan"/>
    <s v="Wilson Yip Wai Shun"/>
    <m/>
    <s v="Golden Harvest Company"/>
    <n v="9.4"/>
  </r>
  <r>
    <n v="2019"/>
    <x v="1"/>
    <n v="63"/>
    <s v="Jun 7, 2019"/>
    <s v="Jun 6, 2019"/>
    <s v="Zhui Long 2: Zhui Ji Da Fu Hao"/>
    <x v="0"/>
    <x v="0"/>
    <n v="19400000"/>
    <s v="/"/>
    <n v="15671642"/>
    <n v="82072"/>
    <n v="20422321"/>
    <n v="45671642"/>
    <n v="44388292"/>
    <n v="44584926"/>
    <n v="196634"/>
    <x v="3"/>
    <x v="0"/>
    <x v="5"/>
    <x v="0"/>
    <s v="追龙Ⅱ"/>
    <s v="Chasing the Dragon 2: Wild Wild Bunch"/>
    <s v="Jin Zhang"/>
    <s v="Dave Bautista"/>
    <s v="Michelle Yeoh"/>
    <s v="Wong Jing"/>
    <m/>
    <s v="Sil-Metropole Organisation Ltd"/>
    <n v="8"/>
  </r>
  <r>
    <n v="2019"/>
    <x v="1"/>
    <n v="64"/>
    <s v="Dec 6, 2019"/>
    <s v="Dec 6, 2019"/>
    <s v="Xiao Q"/>
    <x v="0"/>
    <x v="2"/>
    <n v="3750000"/>
    <m/>
    <m/>
    <n v="1"/>
    <n v="1652"/>
    <m/>
    <n v="16460000"/>
    <n v="16461652"/>
    <n v="1652"/>
    <x v="1"/>
    <x v="0"/>
    <x v="4"/>
    <x v="0"/>
    <s v="小Q"/>
    <s v="Little Q"/>
    <s v="Simon Yam"/>
    <s v="Gigi Leung"/>
    <s v="Him Law"/>
    <s v="Wing-Cheong Law"/>
    <m/>
    <s v="Filmko Entertainment Limited"/>
    <n v="9.1"/>
  </r>
  <r>
    <n v="2019"/>
    <x v="1"/>
    <n v="65"/>
    <s v="Aug 13, 2019"/>
    <s v="Nov 10, 2017"/>
    <s v="Kuang Shou"/>
    <x v="0"/>
    <x v="0"/>
    <n v="11940298.5"/>
    <n v="4477611.9400000004"/>
    <n v="3552089.55"/>
    <n v="61552"/>
    <n v="6830000"/>
    <n v="9498656.7200000007"/>
    <n v="10217493"/>
    <n v="10217493"/>
    <n v="0"/>
    <x v="1"/>
    <x v="0"/>
    <x v="4"/>
    <x v="0"/>
    <s v="狂兽"/>
    <s v="The Brink"/>
    <s v="Chang Hao-dong"/>
    <m/>
    <m/>
    <s v="Jonathan Li"/>
    <m/>
    <s v="Sil-Metropole Organisation"/>
    <n v="7.9"/>
  </r>
  <r>
    <n v="2019"/>
    <x v="1"/>
    <n v="66"/>
    <s v="Dec 31, 2019"/>
    <s v="Mar 10, 2020"/>
    <s v="Mai Luren"/>
    <x v="37"/>
    <x v="2"/>
    <n v="30000000"/>
    <m/>
    <m/>
    <n v="28181"/>
    <n v="1450000"/>
    <m/>
    <n v="2640000"/>
    <n v="2640000"/>
    <n v="0"/>
    <x v="1"/>
    <x v="0"/>
    <x v="4"/>
    <x v="2"/>
    <s v="麦路人"/>
    <s v="I'm Livin' It"/>
    <s v="Aaron Kwok"/>
    <s v="Miriam Chin Wah Yeung"/>
    <s v="Alex Man"/>
    <s v="Hing Fan Wong"/>
    <m/>
    <s v="Lajin Film"/>
    <n v="8.1"/>
  </r>
  <r>
    <n v="2019"/>
    <x v="1"/>
    <n v="67"/>
    <s v="Feb 8, 2019"/>
    <s v="Feb 8, 2019"/>
    <s v="Lian Zheng Feng Yun"/>
    <x v="38"/>
    <x v="3"/>
    <n v="41791044"/>
    <s v="/"/>
    <n v="5970149"/>
    <n v="37"/>
    <n v="1781952"/>
    <n v="17014925"/>
    <n v="17314737"/>
    <n v="17314737"/>
    <n v="0"/>
    <x v="1"/>
    <x v="0"/>
    <x v="4"/>
    <x v="0"/>
    <s v="廉政风云"/>
    <s v="Integrity"/>
    <s v="Sean Andy"/>
    <s v="Nick Cheung"/>
    <m/>
    <s v="Alan Mak"/>
    <m/>
    <s v="Beijing Herui film culture Co., Ltd"/>
    <n v="7.2"/>
  </r>
  <r>
    <n v="2019"/>
    <x v="1"/>
    <n v="68"/>
    <s v="Dec 31, 2019"/>
    <s v="Dec 31, 2019"/>
    <s v="Mie Dai Zong Shi"/>
    <x v="39"/>
    <x v="0"/>
    <n v="2340000"/>
    <m/>
    <m/>
    <s v="NA"/>
    <s v="NA"/>
    <m/>
    <n v="2300000"/>
    <n v="2300000"/>
    <n v="0"/>
    <x v="1"/>
    <x v="0"/>
    <x v="4"/>
    <x v="2"/>
    <s v="乜待宗师"/>
    <s v="/"/>
    <s v="/"/>
    <m/>
    <m/>
    <s v="Dayo Wong"/>
    <m/>
    <s v="NA"/>
    <n v="5"/>
  </r>
  <r>
    <n v="2019"/>
    <x v="2"/>
    <n v="69"/>
    <s v="Mar 15, 2019"/>
    <s v="Mar 15, 2019"/>
    <s v="Bi Bei Shang Geng Bei Shang De Gu Shi"/>
    <x v="7"/>
    <x v="2"/>
    <n v="4500000"/>
    <m/>
    <m/>
    <n v="40"/>
    <n v="185928"/>
    <m/>
    <n v="150333552"/>
    <n v="151056221"/>
    <n v="722669"/>
    <x v="1"/>
    <x v="0"/>
    <x v="4"/>
    <x v="0"/>
    <s v="比悲伤更悲伤的故事"/>
    <s v="More Than Blue"/>
    <s v="Ivy Chen"/>
    <s v="Jasper Liu"/>
    <s v="Bryan Chang Shu-Hao"/>
    <s v="Gavin Lin"/>
    <m/>
    <s v="MM2 Entertainment"/>
    <n v="8"/>
  </r>
  <r>
    <n v="2019"/>
    <x v="2"/>
    <n v="70"/>
    <s v="Dec 31, 2019"/>
    <s v="Mar 1, 2020"/>
    <s v="Fanxiao"/>
    <x v="40"/>
    <x v="5"/>
    <n v="3325000"/>
    <m/>
    <m/>
    <n v="128"/>
    <n v="283312"/>
    <m/>
    <n v="1692572"/>
    <n v="1692572"/>
    <n v="0"/>
    <x v="1"/>
    <x v="0"/>
    <x v="6"/>
    <x v="2"/>
    <s v="返校"/>
    <s v="Detention"/>
    <s v="Gingle Wang"/>
    <s v="Fu Meng-Po"/>
    <s v="Tseng Jing-Hua "/>
    <s v="John Hsu"/>
    <m/>
    <s v="1 Production Film"/>
    <s v="暂无"/>
  </r>
  <r>
    <n v="2019"/>
    <x v="2"/>
    <n v="71"/>
    <s v="Dec 31, 2019"/>
    <s v="Aug 23, 2019"/>
    <s v="Xia Ban Chang"/>
    <x v="40"/>
    <x v="2"/>
    <n v="2800000"/>
    <m/>
    <m/>
    <s v="NA"/>
    <n v="67571"/>
    <m/>
    <n v="140937"/>
    <n v="140937"/>
    <n v="0"/>
    <x v="1"/>
    <x v="0"/>
    <x v="4"/>
    <x v="2"/>
    <s v="下半场"/>
    <s v="We Are Champions"/>
    <s v="Fandy Fan"/>
    <s v="Yi-Ching Lu"/>
    <s v="Tsung-Hua Tou"/>
    <s v="Jung-chi Chang"/>
    <m/>
    <s v="We Are Champions Films"/>
    <n v="7.4"/>
  </r>
  <r>
    <n v="2018"/>
    <x v="0"/>
    <n v="72"/>
    <s v="Feb 16, 2018"/>
    <s v="Feb 16, 2018"/>
    <s v="Tang Ren Jie Tan An 2"/>
    <x v="40"/>
    <x v="0"/>
    <n v="59701492"/>
    <n v="22388059"/>
    <n v="186268656"/>
    <n v="115"/>
    <n v="704047"/>
    <n v="475970149"/>
    <n v="542084590"/>
    <n v="544068574"/>
    <n v="1983984"/>
    <x v="1"/>
    <x v="0"/>
    <x v="4"/>
    <x v="3"/>
    <s v="唐人街探案2"/>
    <s v="DETECTIVE CHINATOWN II"/>
    <s v="Wang Baoqiang"/>
    <s v="Liu Haoran"/>
    <m/>
    <s v="Chen Sicheng"/>
    <m/>
    <s v="Wanda Media"/>
    <n v="9"/>
  </r>
  <r>
    <n v="2018"/>
    <x v="0"/>
    <n v="73"/>
    <s v="Feb 23, 2018"/>
    <s v="Feb 23, 2018"/>
    <s v="Hong Hai Xing Dong"/>
    <x v="0"/>
    <x v="0"/>
    <n v="74626865.671641782"/>
    <n v="11940298.507462686"/>
    <n v="199850746.2686567"/>
    <n v="55"/>
    <n v="436059"/>
    <n v="510597014.92537314"/>
    <n v="532057988"/>
    <n v="533601535"/>
    <n v="1543547"/>
    <x v="1"/>
    <x v="0"/>
    <x v="4"/>
    <x v="0"/>
    <s v="红海行动"/>
    <s v="OPERATION RED SEA"/>
    <s v="Zhang Yi"/>
    <s v="Johnny"/>
    <m/>
    <s v="Dante Lam"/>
    <m/>
    <s v="Bona pictures"/>
    <n v="9.4"/>
  </r>
  <r>
    <n v="2018"/>
    <x v="0"/>
    <n v="74"/>
    <s v="May 25, 2018"/>
    <s v="May 25, 2018"/>
    <s v="How Long Will I Love U"/>
    <x v="0"/>
    <x v="6"/>
    <n v="5970149"/>
    <n v="3731343"/>
    <n v="47611940"/>
    <n v="32"/>
    <n v="204733"/>
    <n v="124179104"/>
    <n v="132903651"/>
    <n v="133650584"/>
    <n v="746933"/>
    <x v="5"/>
    <x v="0"/>
    <x v="0"/>
    <x v="0"/>
    <s v="超时空同居"/>
    <s v="How Long Will I Love U"/>
    <s v="Lei Jiayin"/>
    <s v="Tong Liya"/>
    <m/>
    <s v="Su Lun"/>
    <m/>
    <s v="Beijing Zhenledao Culture Communication Co., Ltd"/>
    <n v="8.6999999999999993"/>
  </r>
  <r>
    <n v="2018"/>
    <x v="0"/>
    <n v="75"/>
    <s v="Feb 16, 2018"/>
    <s v="Feb 16, 2018"/>
    <s v="Zhuo yao ji 2"/>
    <x v="35"/>
    <x v="1"/>
    <n v="89552238"/>
    <n v="22388059"/>
    <n v="123432835"/>
    <n v="69"/>
    <n v="341834"/>
    <n v="316567164"/>
    <n v="360977662"/>
    <n v="361683815"/>
    <n v="706153"/>
    <x v="1"/>
    <x v="1"/>
    <x v="1"/>
    <x v="0"/>
    <s v="捉妖记2"/>
    <s v="Monster Hunt 2"/>
    <s v="Bai Baihe"/>
    <s v="Jing Bo Ran"/>
    <m/>
    <s v="Raman Hui"/>
    <m/>
    <s v="Wuxi Film City Media Co., Ltd"/>
    <n v="8.1999999999999993"/>
  </r>
  <r>
    <n v="2018"/>
    <x v="0"/>
    <n v="76"/>
    <s v="Feb 16, 2018"/>
    <s v="Feb 16, 2018"/>
    <s v="Xi You Ji Nu Er Guo"/>
    <x v="0"/>
    <x v="0"/>
    <n v="59701492"/>
    <n v="8955223"/>
    <n v="38955223"/>
    <n v="34"/>
    <n v="95577"/>
    <n v="102537313"/>
    <n v="114902870"/>
    <n v="115089944"/>
    <n v="187074"/>
    <x v="0"/>
    <x v="0"/>
    <x v="0"/>
    <x v="0"/>
    <s v="西游记女儿国"/>
    <s v="The Monkey King 3"/>
    <s v="Aaron Kwok"/>
    <s v="William Feng"/>
    <m/>
    <s v="Pou-Soi Cheang"/>
    <m/>
    <s v="Xinghao Film Co., Ltd"/>
    <n v="7.9"/>
  </r>
  <r>
    <n v="2018"/>
    <x v="0"/>
    <n v="77"/>
    <s v="Jan 5, 2018"/>
    <s v="Jan 5, 2018"/>
    <s v="Yao Ling Ling"/>
    <x v="0"/>
    <x v="7"/>
    <n v="10447761"/>
    <n v="5970149"/>
    <n v="18955223"/>
    <n v="24"/>
    <n v="79180"/>
    <n v="50746268"/>
    <n v="57442237"/>
    <n v="57628372"/>
    <n v="186135"/>
    <x v="1"/>
    <x v="0"/>
    <x v="4"/>
    <x v="0"/>
    <s v="妖铃铃"/>
    <s v="Demon bell"/>
    <s v="Sandra Ng"/>
    <s v="Shen Teng"/>
    <m/>
    <s v="Sandra Ng"/>
    <m/>
    <s v="Jiamei Spring Pictures"/>
    <n v="6.9"/>
  </r>
  <r>
    <n v="2018"/>
    <x v="0"/>
    <n v="78"/>
    <s v="Feb 2, 2018"/>
    <s v="Feb 2, 2018"/>
    <s v="Nan Ji Jue Lian"/>
    <x v="7"/>
    <x v="1"/>
    <n v="11940298"/>
    <n v="2985074"/>
    <n v="11985074"/>
    <n v="27"/>
    <n v="57713"/>
    <n v="32238805"/>
    <n v="36895078"/>
    <n v="37013430"/>
    <n v="118352"/>
    <x v="1"/>
    <x v="0"/>
    <x v="4"/>
    <x v="0"/>
    <s v="南极之恋"/>
    <s v="Till The End Of The World"/>
    <s v="Mark Chao"/>
    <s v="Yang Zishan"/>
    <m/>
    <s v="Wu Youyin"/>
    <m/>
    <s v="Chen Ming Film (Shanghai) Co., Ltd"/>
    <n v="8.9"/>
  </r>
  <r>
    <n v="2018"/>
    <x v="0"/>
    <n v="79"/>
    <s v="Jun 22, 2018"/>
    <s v="Jun 22, 2018"/>
    <s v="Long Xia Xing Jing"/>
    <x v="7"/>
    <x v="0"/>
    <n v="8955223"/>
    <n v="3731343"/>
    <n v="3491044"/>
    <n v="12"/>
    <n v="35015"/>
    <n v="9485074"/>
    <n v="10295882"/>
    <n v="10381054"/>
    <n v="85172"/>
    <x v="1"/>
    <x v="0"/>
    <x v="4"/>
    <x v="0"/>
    <s v="龙虾刑警"/>
    <s v="Lobster cop"/>
    <s v="Wang Qianyuan"/>
    <s v="Mabel Yuan"/>
    <m/>
    <s v="Xinyun Li"/>
    <m/>
    <s v="Wanda Media"/>
    <n v="7.8"/>
  </r>
  <r>
    <n v="2018"/>
    <x v="0"/>
    <n v="80"/>
    <s v="Mar 9, 2018"/>
    <s v="Mar 9, 2018"/>
    <s v="Gui Mi 2"/>
    <x v="0"/>
    <x v="7"/>
    <n v="7462686"/>
    <n v="2238805"/>
    <n v="3332835"/>
    <n v="55966"/>
    <n v="7740000"/>
    <n v="9061194"/>
    <n v="10244720"/>
    <n v="10281835"/>
    <n v="37115"/>
    <x v="1"/>
    <x v="0"/>
    <x v="4"/>
    <x v="0"/>
    <s v="闺蜜2"/>
    <s v="Girls vs. Gangsters"/>
    <s v="Ivy Chen"/>
    <s v="Ning Chang"/>
    <m/>
    <s v="Barbara Wong"/>
    <m/>
    <s v="Beijing Perfect Star Media Co., Ltd"/>
    <n v="6.6"/>
  </r>
  <r>
    <n v="2018"/>
    <x v="0"/>
    <n v="81"/>
    <s v="Mar 23, 2018"/>
    <s v="Mar 23, 2018"/>
    <s v="Tyut pei ba ba"/>
    <x v="7"/>
    <x v="7"/>
    <n v="2985074.6268656715"/>
    <n v="746268.65671641787"/>
    <n v="410447.76119402982"/>
    <s v="NA"/>
    <n v="1012175"/>
    <n v="13331"/>
    <n v="1264734"/>
    <n v="1278065"/>
    <n v="13331"/>
    <x v="6"/>
    <x v="0"/>
    <x v="4"/>
    <x v="0"/>
    <s v="脱皮爸爸"/>
    <s v="Shed Skin Papa"/>
    <s v="Francis NG"/>
    <s v="Louis Koo"/>
    <m/>
    <s v="Roy Szeto"/>
    <m/>
    <s v="Beijing Ju Jiao Ying Hua culture media Co., Ltd"/>
    <n v="7"/>
  </r>
  <r>
    <n v="2018"/>
    <x v="0"/>
    <n v="82"/>
    <s v="Aug 14, 2018"/>
    <s v="Aug 14, 2018"/>
    <s v="Peace Breaker"/>
    <x v="41"/>
    <x v="0"/>
    <n v="746268.65671641787"/>
    <n v="298507.46268656716"/>
    <n v="3353283.5820895522"/>
    <n v="34254"/>
    <n v="4210000"/>
    <n v="9117611.940298507"/>
    <n v="9796094"/>
    <n v="9796094"/>
    <n v="0"/>
    <x v="1"/>
    <x v="0"/>
    <x v="4"/>
    <x v="2"/>
    <s v="破·局"/>
    <s v="Peace Breaker"/>
    <s v="Aaron Kwok"/>
    <s v="Wang Qianyuan"/>
    <s v="Tamia Liu"/>
    <s v="Lian Yiqi"/>
    <m/>
    <s v="Chen Ming Film (Shanghai) Co., Ltd"/>
    <n v="8.4"/>
  </r>
  <r>
    <n v="2018"/>
    <x v="0"/>
    <n v="83"/>
    <s v="Aug 31, 2018"/>
    <s v="Aug 31, 2018"/>
    <s v="Ji zhi zhui ji: Long Feng Jie"/>
    <x v="13"/>
    <x v="2"/>
    <n v="11940298"/>
    <n v="2985074"/>
    <n v="910447"/>
    <n v="23262"/>
    <n v="1519978"/>
    <n v="2483582"/>
    <n v="2669935"/>
    <n v="2669935"/>
    <n v="0"/>
    <x v="1"/>
    <x v="0"/>
    <x v="4"/>
    <x v="2"/>
    <s v="极致追击"/>
    <s v="S.M.A.R.T. Chase"/>
    <s v="Orlando Jonathan Blanchard Bloom"/>
    <m/>
    <m/>
    <s v="Charles Martin"/>
    <m/>
    <s v="Shanghai Xiyi culture media Co., Ltd"/>
    <n v="6.9"/>
  </r>
  <r>
    <n v="2018"/>
    <x v="0"/>
    <n v="84"/>
    <s v="Feb 6, 2018"/>
    <s v="Feb 6, 2018"/>
    <s v="Extraordinary Mission"/>
    <x v="42"/>
    <x v="0"/>
    <n v="14925373.134328358"/>
    <n v="4477611.940298507"/>
    <n v="8174029.8507462684"/>
    <n v="44310"/>
    <n v="179845"/>
    <n v="21940298.507462688"/>
    <n v="22682660"/>
    <n v="22682660"/>
    <n v="0"/>
    <x v="1"/>
    <x v="0"/>
    <x v="4"/>
    <x v="2"/>
    <s v="非凡任务"/>
    <s v="EXTRAORDINARY MISSION"/>
    <s v="Huang Xuan"/>
    <s v="Duan Long"/>
    <m/>
    <s v="Siu Fai Mak"/>
    <s v="Pan Yaoming"/>
    <s v="Beijing Perfect Star Media Co., Ltd"/>
    <n v="8.6999999999999993"/>
  </r>
  <r>
    <n v="2018"/>
    <x v="0"/>
    <n v="85"/>
    <s v="Mar 6, 2018"/>
    <s v="Jul 13, 2017"/>
    <s v="Wukong"/>
    <x v="43"/>
    <x v="0"/>
    <n v="29850746.268656716"/>
    <n v="8955223.880597014"/>
    <n v="37014925.37313433"/>
    <n v="106873"/>
    <n v="42160000"/>
    <n v="97313432.835820898"/>
    <n v="103651195"/>
    <n v="103651195"/>
    <n v="0"/>
    <x v="4"/>
    <x v="3"/>
    <x v="0"/>
    <x v="2"/>
    <s v="悟空传"/>
    <s v="Wukong "/>
    <s v="Eddie Peng Yuyan"/>
    <s v="NiNi"/>
    <m/>
    <s v="Derek Kwok"/>
    <m/>
    <s v="Xinli Media Co., Ltd"/>
    <n v="7.7"/>
  </r>
  <r>
    <n v="2018"/>
    <x v="0"/>
    <n v="86"/>
    <s v="Feb 23, 2018"/>
    <s v="Feb 23, 2018"/>
    <s v="7 Guardians of the Tomb"/>
    <x v="44"/>
    <x v="0"/>
    <n v="17910447"/>
    <n v="2985074"/>
    <n v="2579104"/>
    <n v="55600"/>
    <n v="6183665"/>
    <n v="7029850"/>
    <n v="7835554"/>
    <n v="7835554"/>
    <n v="0"/>
    <x v="1"/>
    <x v="0"/>
    <x v="1"/>
    <x v="2"/>
    <s v="谜巢"/>
    <s v="7 Guardians of the Tomb"/>
    <s v="Li Bingbing"/>
    <m/>
    <m/>
    <s v="Kimble Rendall"/>
    <m/>
    <s v="Gravitas Ventures"/>
    <n v="7"/>
  </r>
  <r>
    <n v="2018"/>
    <x v="0"/>
    <n v="87"/>
    <s v="Oct 26, 2018"/>
    <s v="Oct 26, 2018"/>
    <s v="Air Strike"/>
    <x v="35"/>
    <x v="0"/>
    <n v="65000000"/>
    <m/>
    <m/>
    <s v="NA"/>
    <s v="NA"/>
    <m/>
    <n v="516279"/>
    <n v="516279"/>
    <n v="0"/>
    <x v="1"/>
    <x v="0"/>
    <x v="6"/>
    <x v="3"/>
    <s v="Air Strike"/>
    <s v="Air Strike"/>
    <s v="Ye Liu"/>
    <s v="Bruce Willis"/>
    <s v="Seung-heon Song"/>
    <s v="Xiao Feng"/>
    <m/>
    <s v="Origin Films"/>
    <s v="暂无"/>
  </r>
  <r>
    <n v="2018"/>
    <x v="0"/>
    <n v="88"/>
    <s v="May 4, 2018"/>
    <s v="May 4, 2018"/>
    <s v="Jia Nian Hua"/>
    <x v="3"/>
    <x v="2"/>
    <n v="746268"/>
    <n v="447761"/>
    <n v="1123880"/>
    <n v="13309"/>
    <n v="1920000"/>
    <n v="3065671"/>
    <n v="3375245"/>
    <n v="3375245"/>
    <n v="0"/>
    <x v="1"/>
    <x v="0"/>
    <x v="4"/>
    <x v="2"/>
    <s v="嘉年华"/>
    <s v="Angels Wear White"/>
    <s v="Ye Liu"/>
    <s v="Zhou Meijun"/>
    <s v="Seung-heon Song"/>
    <s v="Vivian Qu"/>
    <m/>
    <s v="Beijing Perfect Star Media Co., Ltd"/>
    <n v="8"/>
  </r>
  <r>
    <n v="2018"/>
    <x v="0"/>
    <n v="89"/>
    <s v="May 8, 2018"/>
    <s v="Jul 17, 2017"/>
    <s v="Sha Po Lang: Tan Lang"/>
    <x v="0"/>
    <x v="0"/>
    <n v="14925373"/>
    <n v="7462686"/>
    <n v="27462686"/>
    <n v="73896"/>
    <n v="32200000"/>
    <n v="72537313"/>
    <n v="79214896"/>
    <n v="79214896"/>
    <n v="0"/>
    <x v="1"/>
    <x v="0"/>
    <x v="4"/>
    <x v="2"/>
    <s v="杀破狼·贪狼"/>
    <s v="Paradox"/>
    <s v="Louis Koo"/>
    <m/>
    <m/>
    <s v="Wilson Yip Wai Shun"/>
    <m/>
    <s v="Sil-Metropole Organisation Ltd"/>
    <n v="8.5"/>
  </r>
  <r>
    <n v="2018"/>
    <x v="0"/>
    <n v="90"/>
    <s v="Sep 11, 2018"/>
    <s v="Sep 11, 2018"/>
    <s v="Xin Li Zui Zhi Cheng Shi Zhi Guang"/>
    <x v="41"/>
    <x v="3"/>
    <n v="14925373"/>
    <n v="7462686"/>
    <n v="11764179"/>
    <n v="76993"/>
    <n v="21549210"/>
    <n v="31492537"/>
    <n v="35045171"/>
    <n v="35045171"/>
    <n v="0"/>
    <x v="0"/>
    <x v="0"/>
    <x v="4"/>
    <x v="2"/>
    <s v="心理罪之城市之光"/>
    <s v="The Liquidator"/>
    <s v="Deng Chao"/>
    <s v="Ethan Juan"/>
    <m/>
    <s v="Xu Jizhou"/>
    <m/>
    <s v="Shanghai Film Group Co., Ltd"/>
    <n v="8.6999999999999993"/>
  </r>
  <r>
    <n v="2018"/>
    <x v="0"/>
    <n v="91"/>
    <s v="Nov 20, 2018"/>
    <s v="Feb 2, 2018"/>
    <s v="Jin Gui Zi"/>
    <x v="45"/>
    <x v="1"/>
    <n v="2985074.6268656715"/>
    <n v="746268.65671641787"/>
    <n v="1417910.4477611941"/>
    <n v="772"/>
    <n v="192492"/>
    <n v="3865671.6417910447"/>
    <n v="4668484"/>
    <n v="4668484"/>
    <n v="0"/>
    <x v="1"/>
    <x v="2"/>
    <x v="2"/>
    <x v="5"/>
    <s v="金龟子"/>
    <s v="The Ladybug"/>
    <s v="Liu Chunyan"/>
    <s v="Zhang Lei"/>
    <s v="Liu Bo"/>
    <s v="Ding Shi"/>
    <m/>
    <s v="Beijing qixinran film and Television Culture Communication Co., Ltd"/>
    <n v="8.5"/>
  </r>
  <r>
    <n v="2018"/>
    <x v="0"/>
    <n v="92"/>
    <s v="Dec 31, 2018"/>
    <s v="Jan 18, 2019"/>
    <s v="Brave Rabbit 3: The Creazy Time Machine"/>
    <x v="46"/>
    <x v="1"/>
    <n v="1492537.3134328357"/>
    <s v="/"/>
    <n v="298507.46268656716"/>
    <n v="239"/>
    <n v="283674"/>
    <n v="746268.65671641787"/>
    <n v="754959"/>
    <n v="754959"/>
    <n v="0"/>
    <x v="1"/>
    <x v="2"/>
    <x v="2"/>
    <x v="2"/>
    <s v="闯堂兔3囧囧时光机"/>
    <s v="Brave Rabbit 3: The Crazy Time Machine"/>
    <s v="/"/>
    <m/>
    <s v=" "/>
    <s v="Zeng Xianlin"/>
    <m/>
    <s v="Wuhan Maya Animation Co., Ltd"/>
    <n v="8"/>
  </r>
  <r>
    <n v="2018"/>
    <x v="0"/>
    <n v="93"/>
    <s v="Dec 31, 2018"/>
    <s v="May 12, 2018"/>
    <s v="Princess and the Kingdom"/>
    <x v="47"/>
    <x v="1"/>
    <n v="1492537.3134328357"/>
    <n v="746268.65671641787"/>
    <n v="337313.43283582089"/>
    <s v="NA"/>
    <n v="101150"/>
    <n v="917910.44776119397"/>
    <n v="1021930"/>
    <n v="1021930"/>
    <n v="0"/>
    <x v="1"/>
    <x v="2"/>
    <x v="3"/>
    <x v="2"/>
    <s v="小公主艾薇拉与神秘王国"/>
    <s v="Princess and the Kingdom"/>
    <s v="/"/>
    <m/>
    <m/>
    <s v="Luo Yang"/>
    <m/>
    <s v="Anhui Yulian film culture Co., Ltd"/>
    <n v="6.8"/>
  </r>
  <r>
    <n v="2018"/>
    <x v="0"/>
    <n v="94"/>
    <s v="Dec 31, 2018"/>
    <s v="Jun 1, 2018"/>
    <s v="Magic Mirror 2"/>
    <x v="47"/>
    <x v="8"/>
    <n v="1492537.3134328357"/>
    <n v="746268.65671641787"/>
    <n v="1058208.9552238805"/>
    <n v="20274"/>
    <n v="2580000"/>
    <n v="2883582.0895522386"/>
    <n v="3161317"/>
    <n v="3161317"/>
    <n v="0"/>
    <x v="1"/>
    <x v="2"/>
    <x v="2"/>
    <x v="2"/>
    <s v="魔镜奇缘2"/>
    <s v="Magic Mirror 2"/>
    <s v="/"/>
    <m/>
    <m/>
    <s v="Zheng Chengfeng"/>
    <m/>
    <s v="Beijing film time and space culture media Co., Ltd"/>
    <n v="7.9"/>
  </r>
  <r>
    <n v="2019"/>
    <x v="0"/>
    <n v="95"/>
    <s v="Dec 31, 2018"/>
    <s v="May 1, 2019"/>
    <s v="Hong Kong-Zhuhai-Macao Bridge"/>
    <x v="17"/>
    <x v="9"/>
    <n v="1492537.3134328357"/>
    <s v="/"/>
    <n v="298507.46268656716"/>
    <s v="NA"/>
    <n v="67346"/>
    <n v="1044776.1194029852"/>
    <n v="1250000"/>
    <n v="1250000"/>
    <n v="0"/>
    <x v="1"/>
    <x v="0"/>
    <x v="3"/>
    <x v="2"/>
    <s v="港珠澳大桥"/>
    <s v="Hong Kong-Zhuhai-Macao Bridge"/>
    <s v="Lihong Li"/>
    <s v="Jia Xin"/>
    <m/>
    <s v="Yan Dong"/>
    <m/>
    <s v="China Media Group"/>
    <n v="9.1999999999999993"/>
  </r>
  <r>
    <n v="2018"/>
    <x v="0"/>
    <n v="96"/>
    <s v="Dec 31, 2018"/>
    <s v="Jun 16, 2018"/>
    <s v="Foodiverse"/>
    <x v="48"/>
    <x v="1"/>
    <n v="2985074.6268656715"/>
    <n v="1194029.8507462686"/>
    <n v="243283.58208955222"/>
    <n v="14704"/>
    <n v="470000"/>
    <n v="664179.10447761195"/>
    <n v="726371"/>
    <n v="726371"/>
    <n v="0"/>
    <x v="1"/>
    <x v="2"/>
    <x v="2"/>
    <x v="2"/>
    <s v="吃货宇宙"/>
    <s v="Foodiverse"/>
    <s v="Zhang Xuer"/>
    <s v="Liu Sitong"/>
    <s v="Sun Bo"/>
    <s v="Chen Liaoyu"/>
    <m/>
    <s v="Wuxi Tiangong Film Co., Ltd"/>
    <n v="8"/>
  </r>
  <r>
    <n v="2018"/>
    <x v="0"/>
    <n v="97"/>
    <s v="Dec 31, 2018"/>
    <s v="Apr 13, 2018"/>
    <s v="Love Trip"/>
    <x v="49"/>
    <x v="4"/>
    <n v="1492537.3134328357"/>
    <n v="1194029.8507462686"/>
    <n v="228358.20895522388"/>
    <n v="11527"/>
    <n v="500000"/>
    <n v="623880.59701492533"/>
    <n v="688869"/>
    <n v="688869"/>
    <n v="0"/>
    <x v="1"/>
    <x v="0"/>
    <x v="4"/>
    <x v="2"/>
    <s v="毕业作品"/>
    <s v="Love Trip"/>
    <s v="Zray"/>
    <s v="Ding Ding"/>
    <m/>
    <s v="Xu Bin"/>
    <m/>
    <s v="Hubei Changjiang Film Group Co., Ltd"/>
    <n v="7.6"/>
  </r>
  <r>
    <n v="2019"/>
    <x v="0"/>
    <n v="98"/>
    <s v="Dec 31, 2018"/>
    <s v="Feb 22, 2019"/>
    <s v="The Ghost in Well"/>
    <x v="50"/>
    <x v="5"/>
    <n v="746268.65671641787"/>
    <s v="/"/>
    <n v="298507.46268656716"/>
    <s v="NA"/>
    <n v="283109"/>
    <n v="746268.65671641787"/>
    <n v="787747"/>
    <n v="787747"/>
    <n v="0"/>
    <x v="1"/>
    <x v="3"/>
    <x v="4"/>
    <x v="2"/>
    <s v="古井凶灵"/>
    <s v="The ghost in well"/>
    <s v="Charies"/>
    <s v="Chen Meilin"/>
    <m/>
    <s v="Wang Chenliu"/>
    <m/>
    <s v="Chongqing original picture film Co., Ltd"/>
    <n v="4.7"/>
  </r>
  <r>
    <n v="2018"/>
    <x v="0"/>
    <n v="99"/>
    <s v="Dec 31, 2018"/>
    <s v="Apr 13, 2018"/>
    <s v="Seek Mc Cartny"/>
    <x v="51"/>
    <x v="2"/>
    <n v="4477611.940298507"/>
    <n v="2985074.6268656715"/>
    <n v="208955.22388059701"/>
    <s v="NA"/>
    <n v="475952"/>
    <n v="571641.7910447761"/>
    <n v="625975"/>
    <n v="625975"/>
    <n v="0"/>
    <x v="1"/>
    <x v="0"/>
    <x v="4"/>
    <x v="2"/>
    <s v="寻找罗麦"/>
    <s v="Looking for Rohmer"/>
    <s v="Han Geng"/>
    <m/>
    <m/>
    <s v="Wang Chao"/>
    <m/>
    <s v="Wuhan Legend Film and Television"/>
    <n v="7.1"/>
  </r>
  <r>
    <n v="2019"/>
    <x v="0"/>
    <n v="100"/>
    <s v="Dec 31, 2018"/>
    <s v="Apr 5, 2019"/>
    <s v="Frog Prince Adventures"/>
    <x v="52"/>
    <x v="1"/>
    <n v="1492537.3134328357"/>
    <s v="/"/>
    <n v="597014.92537313432"/>
    <n v="13290"/>
    <n v="1000000"/>
    <n v="1492537.3134328357"/>
    <n v="1456558"/>
    <n v="1456558"/>
    <n v="0"/>
    <x v="1"/>
    <x v="2"/>
    <x v="2"/>
    <x v="2"/>
    <s v="青蛙王子历险记"/>
    <s v="Frog Prince Adventures"/>
    <s v="Ding Runqi"/>
    <m/>
    <m/>
    <s v="Jiang Yefeng"/>
    <m/>
    <s v="Hefei Taishang Technology Co., Ltd"/>
    <n v="7.7"/>
  </r>
  <r>
    <n v="2019"/>
    <x v="0"/>
    <n v="101"/>
    <s v="Dec 31, 2018"/>
    <s v="Mar 29, 2019"/>
    <s v="Shi Dai Kuang Ren"/>
    <x v="20"/>
    <x v="7"/>
    <n v="15000000"/>
    <m/>
    <n v="3134328"/>
    <n v="113484"/>
    <n v="8370000"/>
    <n v="9402985"/>
    <n v="9345649"/>
    <n v="9345649"/>
    <n v="0"/>
    <x v="1"/>
    <x v="0"/>
    <x v="4"/>
    <x v="2"/>
    <s v="人间·喜剧"/>
    <s v="The Human Comedy"/>
    <s v="Peng Cao"/>
    <m/>
    <m/>
    <s v="Zhou Sun"/>
    <m/>
    <s v="Wanda Media"/>
    <n v="6.3"/>
  </r>
  <r>
    <n v="2018"/>
    <x v="0"/>
    <n v="102"/>
    <s v="Dec 31, 2018"/>
    <s v="Apr 12, 2019"/>
    <s v="Zai Hu Ni"/>
    <x v="53"/>
    <x v="2"/>
    <n v="4477611.940298507"/>
    <s v="/"/>
    <n v="298507.46268656716"/>
    <s v="NA"/>
    <n v="570216"/>
    <n v="746268.65671641787"/>
    <n v="738015"/>
    <n v="738015"/>
    <n v="0"/>
    <x v="1"/>
    <x v="0"/>
    <x v="4"/>
    <x v="2"/>
    <s v="在乎你"/>
    <s v="Wish You Were Here"/>
    <s v="Faye Yu"/>
    <s v="Osawa Takao"/>
    <s v="Maeda Gouki"/>
    <s v="Kenneth Bi"/>
    <m/>
    <s v="Boji studio"/>
    <n v="7.8"/>
  </r>
  <r>
    <n v="2019"/>
    <x v="0"/>
    <n v="103"/>
    <s v="Dec 31, 2018"/>
    <s v="Apr 19, 2019"/>
    <s v="Ru Ying Sui Xin"/>
    <x v="42"/>
    <x v="2"/>
    <n v="5970149.253731343"/>
    <s v="/"/>
    <n v="1194029.8507462686"/>
    <n v="73241"/>
    <n v="2920000"/>
    <n v="3432835.8208955224"/>
    <n v="3493631"/>
    <n v="3493631"/>
    <n v="0"/>
    <x v="1"/>
    <x v="0"/>
    <x v="4"/>
    <x v="2"/>
    <s v="如影随心"/>
    <s v="Lost In Love"/>
    <s v="Chen Xiao"/>
    <s v="Jennifer"/>
    <m/>
    <s v="Huo Jianqi"/>
    <m/>
    <s v="Wanda Media"/>
    <n v="7.7"/>
  </r>
  <r>
    <n v="2018"/>
    <x v="0"/>
    <n v="104"/>
    <s v="Dec 31, 2018"/>
    <s v="Jun 22, 2018"/>
    <s v="Hou Lai De Wo Men"/>
    <x v="54"/>
    <x v="6"/>
    <n v="11940298"/>
    <n v="8955223"/>
    <n v="73134328"/>
    <n v="163093"/>
    <n v="88210000"/>
    <n v="189104477"/>
    <n v="209221328"/>
    <n v="209221328"/>
    <n v="0"/>
    <x v="1"/>
    <x v="0"/>
    <x v="4"/>
    <x v="2"/>
    <s v="后来的我们"/>
    <s v="Us and Them"/>
    <s v="Jing Bo Ran"/>
    <s v="Zhou Dongyu"/>
    <m/>
    <s v="Rene Liu"/>
    <m/>
    <s v="Shanghai sanciyuan Film Co., Ltd"/>
    <n v="8.3000000000000007"/>
  </r>
  <r>
    <n v="2019"/>
    <x v="0"/>
    <n v="105"/>
    <s v="Dec 31, 2018"/>
    <s v="Feb 2, 2019"/>
    <s v="Xin xijù zhi wáng"/>
    <x v="55"/>
    <x v="7"/>
    <n v="4500000"/>
    <s v="/"/>
    <n v="32835821"/>
    <n v="2345"/>
    <n v="12836295"/>
    <n v="93134328"/>
    <n v="92796952"/>
    <n v="92796952"/>
    <n v="0"/>
    <x v="1"/>
    <x v="0"/>
    <x v="4"/>
    <x v="2"/>
    <s v="新喜剧之王"/>
    <s v="The New King of Comedy"/>
    <s v="Wang Baoqiang"/>
    <s v="Er Jingwen"/>
    <s v="Zhang Quandan"/>
    <s v="Stephen Chow "/>
    <m/>
    <s v="China Film Co.,Ltd."/>
    <n v="8"/>
  </r>
  <r>
    <n v="2018"/>
    <x v="0"/>
    <n v="106"/>
    <s v="Dec 31, 2018"/>
    <s v="Apr 19, 2019"/>
    <s v="Zhuan Xing Tan Huo"/>
    <x v="56"/>
    <x v="7"/>
    <n v="5970149.253731343"/>
    <s v="/"/>
    <n v="895522.38805970142"/>
    <n v="48798"/>
    <n v="2190000"/>
    <n v="2537313.4328358206"/>
    <n v="2415054"/>
    <n v="2415054"/>
    <n v="0"/>
    <x v="1"/>
    <x v="0"/>
    <x v="4"/>
    <x v="2"/>
    <s v="转型团伙"/>
    <s v="Change Of Gangster"/>
    <s v="Francis NG"/>
    <s v="Qiao Shan"/>
    <s v="feynman"/>
    <s v="Francis NG"/>
    <m/>
    <s v="Beijing Ningyi Tianxing Culture Communication Co., Ltd"/>
    <n v="6.2"/>
  </r>
  <r>
    <n v="2019"/>
    <x v="0"/>
    <n v="107"/>
    <s v="Dec 31, 2018"/>
    <s v="Jun 14, 2019"/>
    <s v="Ma Ge Shi Zuo Cheng"/>
    <x v="57"/>
    <x v="6"/>
    <n v="17910447.761194028"/>
    <s v="/"/>
    <n v="2537313.4328358206"/>
    <n v="46956"/>
    <n v="3960000"/>
    <n v="7462686"/>
    <n v="7322128"/>
    <n v="7322128"/>
    <n v="0"/>
    <x v="1"/>
    <x v="0"/>
    <x v="4"/>
    <x v="2"/>
    <s v="妈阁是座城"/>
    <s v="A City Called Macau"/>
    <s v="Bai Baihe"/>
    <s v="WU GANG"/>
    <m/>
    <s v="Li Shaohon"/>
    <m/>
    <s v="RongXinDa (Shanghai) Cultural Development Co., Ltd"/>
    <n v="8.4"/>
  </r>
  <r>
    <n v="2017"/>
    <x v="0"/>
    <n v="108"/>
    <s v="Dec 4, 2018"/>
    <s v="Nov 10, 2017"/>
    <s v="Ying Jiu Fei Hu Dui"/>
    <x v="58"/>
    <x v="2"/>
    <n v="11940298.507462686"/>
    <n v="4477611.940298507"/>
    <n v="1585074.6268656717"/>
    <n v="29752"/>
    <n v="1950000"/>
    <n v="4322388.0597014921"/>
    <n v="4447734"/>
    <n v="4447734"/>
    <n v="0"/>
    <x v="1"/>
    <x v="0"/>
    <x v="6"/>
    <x v="2"/>
    <s v="烽火芳菲"/>
    <s v="The Chinese Widow、In Harm's Way、The Hidden Soldier"/>
    <s v="Liu Yifei"/>
    <s v="Emile Hirsch"/>
    <m/>
    <s v="Bille August"/>
    <m/>
    <s v="Tianpeng Media Co., Ltd"/>
    <n v="8"/>
  </r>
  <r>
    <n v="2018"/>
    <x v="0"/>
    <n v="109"/>
    <s v="Dec 31, 2018"/>
    <s v="Apr 28, 2018"/>
    <s v="Di Ya Cao"/>
    <x v="57"/>
    <x v="3"/>
    <n v="19402985"/>
    <n v="2238805"/>
    <n v="1798507"/>
    <n v="37064"/>
    <n v="2817583"/>
    <n v="4902985"/>
    <n v="5483241"/>
    <n v="5483241"/>
    <n v="0"/>
    <x v="1"/>
    <x v="0"/>
    <x v="4"/>
    <x v="2"/>
    <s v="低压槽：欲望之城"/>
    <s v="The Trough"/>
    <s v="Nick Cheung"/>
    <s v="Xu Jinglei"/>
    <m/>
    <s v="Nick Cheung"/>
    <m/>
    <s v="Shanghai Bona culture media Co., Ltd"/>
    <n v="7.2"/>
  </r>
  <r>
    <n v="2018"/>
    <x v="0"/>
    <n v="110"/>
    <s v="Dec 31, 2018"/>
    <s v="Jun 8, 2018"/>
    <s v="Xing Fu Ma Shang Lai"/>
    <x v="59"/>
    <x v="7"/>
    <n v="4477611"/>
    <n v="1194029"/>
    <n v="3940298"/>
    <n v="53019"/>
    <n v="7070000"/>
    <n v="10680597"/>
    <n v="14798770"/>
    <n v="14798770"/>
    <n v="0"/>
    <x v="1"/>
    <x v="0"/>
    <x v="4"/>
    <x v="2"/>
    <s v="幸福马上来"/>
    <s v="Happiness Around the Corner"/>
    <s v="Feng Gong"/>
    <s v="Bai Kainan"/>
    <s v="Ling Jia"/>
    <s v="Cui Junjie"/>
    <m/>
    <s v="Chongqing Film Group"/>
    <n v="7.2"/>
  </r>
  <r>
    <n v="2019"/>
    <x v="0"/>
    <n v="111"/>
    <s v="Dec 31, 2018"/>
    <s v="Apr 12, 2019"/>
    <s v="Yu Nian You Xi"/>
    <x v="60"/>
    <x v="4"/>
    <n v="7462686.5671641789"/>
    <s v="/"/>
    <n v="447761.19402985071"/>
    <s v="NA"/>
    <n v="977147"/>
    <n v="1044776.1194029852"/>
    <n v="1106083"/>
    <n v="1106083"/>
    <n v="0"/>
    <x v="1"/>
    <x v="3"/>
    <x v="0"/>
    <x v="2"/>
    <s v="欲念游戏"/>
    <s v="Desire Game"/>
    <s v="Guo Tao"/>
    <s v="Zhang Zifeng"/>
    <m/>
    <s v="Guo Tao"/>
    <m/>
    <s v="Blooming Xingsheng film and TV"/>
    <n v="5.9"/>
  </r>
  <r>
    <n v="2019"/>
    <x v="0"/>
    <n v="112"/>
    <s v="Dec 31, 2018"/>
    <s v="Apr 20, 2019"/>
    <s v="Gou Yan Kan Ren Xin"/>
    <x v="61"/>
    <x v="7"/>
    <n v="4477611.940298507"/>
    <s v="/"/>
    <n v="895522.38805970142"/>
    <n v="36411"/>
    <n v="1800000"/>
    <n v="2686567.1641791044"/>
    <n v="2704326"/>
    <n v="2704326"/>
    <n v="0"/>
    <x v="1"/>
    <x v="0"/>
    <x v="4"/>
    <x v="2"/>
    <s v="狗眼看人心"/>
    <s v="Push and Shove"/>
    <s v="Huang Lei"/>
    <s v="NI YAN"/>
    <m/>
    <s v="Wu Nan"/>
    <m/>
    <s v="King (Beijing) film and television culture media Co., Ltd"/>
    <n v="8.1999999999999993"/>
  </r>
  <r>
    <n v="2018"/>
    <x v="0"/>
    <n v="113"/>
    <s v="Dec 31, 2018"/>
    <s v="Jan 5, 2019"/>
    <s v="Da Ren Wu"/>
    <x v="62"/>
    <x v="4"/>
    <n v="7500000"/>
    <s v="/"/>
    <n v="19552238"/>
    <n v="71757"/>
    <n v="860000"/>
    <n v="56567164"/>
    <n v="56040680"/>
    <n v="56040680"/>
    <n v="0"/>
    <x v="1"/>
    <x v="0"/>
    <x v="4"/>
    <x v="2"/>
    <s v="“大”人物"/>
    <s v=" The Big Shot (China)"/>
    <s v="Wang Qianyuan"/>
    <s v="Bao Beier"/>
    <m/>
    <s v="Wu Bai"/>
    <m/>
    <s v="Shanghai Xiyan culture"/>
    <n v="9.1"/>
  </r>
  <r>
    <n v="2019"/>
    <x v="0"/>
    <n v="114"/>
    <s v="Dec 31, 2018"/>
    <s v="Jan 14, 2019"/>
    <s v="Startups"/>
    <x v="63"/>
    <x v="9"/>
    <n v="1492537.3134328357"/>
    <s v="/"/>
    <n v="447761.19402985071"/>
    <s v="NA"/>
    <n v="283380"/>
    <n v="11940298.507462686"/>
    <n v="1196360"/>
    <n v="1196360"/>
    <n v="0"/>
    <x v="1"/>
    <x v="0"/>
    <x v="3"/>
    <x v="2"/>
    <s v="燃点"/>
    <s v="Startups"/>
    <s v="Luo Yuanhao"/>
    <m/>
    <m/>
    <s v="Guan Xiu"/>
    <s v="Xiao  Qinan"/>
    <s v="Beijing fine blue line Culture Communication Co., Ltd"/>
    <n v="8.6"/>
  </r>
  <r>
    <n v="2018"/>
    <x v="0"/>
    <n v="115"/>
    <s v="Dec 31, 2018"/>
    <s v="Apr 13, 2018"/>
    <s v="Xi Bei Feng Yun"/>
    <x v="64"/>
    <x v="2"/>
    <n v="5970149.253731343"/>
    <n v="1492537.3134328357"/>
    <n v="211940.29850746269"/>
    <s v="NA"/>
    <n v="458375"/>
    <n v="579104.47761194024"/>
    <n v="630896"/>
    <n v="630896"/>
    <n v="0"/>
    <x v="1"/>
    <x v="0"/>
    <x v="4"/>
    <x v="2"/>
    <s v="西北风云"/>
    <s v="Justice in Northwest"/>
    <s v="Yu Nan"/>
    <s v="Simon Yam"/>
    <s v="Jack Kao"/>
    <s v="Li Ke"/>
    <m/>
    <s v="Qianyi Media Co., Ltd"/>
    <n v="6.7"/>
  </r>
  <r>
    <n v="2018"/>
    <x v="0"/>
    <n v="116"/>
    <s v="Dec 31, 2018"/>
    <s v="Feb 5, 2019"/>
    <s v="Fei Chi Ren Sheng"/>
    <x v="57"/>
    <x v="7"/>
    <n v="53000000"/>
    <n v="12000000"/>
    <n v="92400000"/>
    <n v="17182"/>
    <n v="194917"/>
    <n v="256119403"/>
    <n v="255832826"/>
    <n v="255832826"/>
    <n v="0"/>
    <x v="1"/>
    <x v="0"/>
    <x v="4"/>
    <x v="2"/>
    <s v="飞驰人生"/>
    <s v="Pegasus"/>
    <s v="Shen Teng"/>
    <s v="Johnny"/>
    <s v="Yin Zheng"/>
    <s v="Han Han"/>
    <m/>
    <s v="Shanghai Tingdong Film Co., Ltd"/>
    <n v="8.8000000000000007"/>
  </r>
  <r>
    <n v="2018"/>
    <x v="0"/>
    <n v="117"/>
    <s v="Dec 31, 2018"/>
    <s v="May 29, 2018"/>
    <s v="Gei 19 Sui De Wo Zi Ji"/>
    <x v="65"/>
    <x v="6"/>
    <n v="1492537.3134328357"/>
    <n v="1194029.8507462686"/>
    <n v="228358.20895522388"/>
    <s v="NA"/>
    <n v="2743"/>
    <n v="623880.59701492533"/>
    <n v="678553"/>
    <n v="678553"/>
    <n v="0"/>
    <x v="3"/>
    <x v="0"/>
    <x v="3"/>
    <x v="2"/>
    <s v="给19岁的我自己"/>
    <s v="To my 19-year-old"/>
    <s v="Annie"/>
    <s v="Lin Bohong"/>
    <m/>
    <s v="Huang Zhaoliang"/>
    <m/>
    <s v="Qiangshi Media Co., Ltd"/>
    <n v="8.1"/>
  </r>
  <r>
    <n v="2019"/>
    <x v="0"/>
    <n v="118"/>
    <s v="Dec 31, 2018"/>
    <s v="Jan 25, 2019"/>
    <s v="Da Zhen Tan"/>
    <x v="66"/>
    <x v="3"/>
    <n v="13432835.820895523"/>
    <s v="/"/>
    <n v="447761.19402985071"/>
    <s v="NA"/>
    <n v="794007"/>
    <n v="1194029.8507462686"/>
    <n v="1162914"/>
    <n v="1162914"/>
    <n v="0"/>
    <x v="0"/>
    <x v="0"/>
    <x v="0"/>
    <x v="2"/>
    <s v="大侦探霍桑"/>
    <s v="The Great Detective"/>
    <s v="Han Geng"/>
    <s v="Yin Zheng"/>
    <m/>
    <s v="Roy Chow"/>
    <m/>
    <s v="Lions gate films"/>
    <n v="7"/>
  </r>
  <r>
    <n v="2018"/>
    <x v="0"/>
    <n v="119"/>
    <s v="Dec 31, 2018"/>
    <s v="Apr 20, 2018"/>
    <s v="Tuo Dan Gao Ji"/>
    <x v="67"/>
    <x v="6"/>
    <n v="4477611"/>
    <n v="2238805"/>
    <n v="1776119"/>
    <n v="53482"/>
    <n v="49372"/>
    <n v="4843283"/>
    <n v="5504562"/>
    <n v="5504562"/>
    <n v="0"/>
    <x v="1"/>
    <x v="0"/>
    <x v="4"/>
    <x v="2"/>
    <s v="脱单告急"/>
    <s v="Dude's Manual"/>
    <s v="Dong Zijian"/>
    <s v="Elaine Zhong"/>
    <s v="Jessia Li"/>
    <s v="Kevin Ko"/>
    <m/>
    <s v="Beijing Culture"/>
    <n v="8.4"/>
  </r>
  <r>
    <n v="2019"/>
    <x v="0"/>
    <n v="120"/>
    <s v="Dec 31, 2018"/>
    <s v="Feb 5, 2019"/>
    <s v="Feng Kuang De Wai Xing Ren"/>
    <x v="68"/>
    <x v="7"/>
    <n v="60000000"/>
    <n v="35000000"/>
    <n v="118000000"/>
    <n v="14545"/>
    <n v="77099702"/>
    <n v="328507643"/>
    <n v="326150303"/>
    <n v="326150303"/>
    <n v="0"/>
    <x v="1"/>
    <x v="3"/>
    <x v="7"/>
    <x v="2"/>
    <s v="疯狂的外星人"/>
    <s v="Crazy Alien (Australia)"/>
    <s v="Huang Bo"/>
    <s v="Shen Teng"/>
    <s v="Xu Zheng"/>
    <s v="Ning Hao "/>
    <m/>
    <s v="Huanxi Media Group Co., Ltd"/>
    <n v="8.5"/>
  </r>
  <r>
    <n v="2018"/>
    <x v="0"/>
    <n v="121"/>
    <s v="Dec 31, 2018"/>
    <s v="Jan 4, 2019"/>
    <s v="Fan Tan Feng Bao 4"/>
    <x v="69"/>
    <x v="0"/>
    <n v="15000000"/>
    <s v="/"/>
    <n v="41641791"/>
    <n v="109664"/>
    <n v="39881317"/>
    <n v="118656716"/>
    <n v="115687407"/>
    <n v="115687407"/>
    <n v="0"/>
    <x v="1"/>
    <x v="0"/>
    <x v="4"/>
    <x v="2"/>
    <s v="反贪风暴4"/>
    <s v="P Storm (Australia)"/>
    <s v="Louis Koo"/>
    <s v="Kevin Cheng"/>
    <s v="LAM Raymond"/>
    <s v="David Lam "/>
    <m/>
    <s v="Tianma Yinglian film and Television Culture (Beijing) Co., Ltd"/>
    <n v="9"/>
  </r>
  <r>
    <n v="2019"/>
    <x v="0"/>
    <n v="122"/>
    <s v="Dec 31, 2018"/>
    <s v="Apr 4, 2018"/>
    <s v="Four Springs"/>
    <x v="70"/>
    <x v="9"/>
    <n v="1492537.3134328357"/>
    <s v="/"/>
    <n v="597014.92537313432"/>
    <s v="NA"/>
    <n v="450693"/>
    <n v="1641791.0447761193"/>
    <n v="1561731"/>
    <n v="1561731"/>
    <n v="0"/>
    <x v="1"/>
    <x v="0"/>
    <x v="3"/>
    <x v="2"/>
    <s v="四个春天"/>
    <s v="Four Springs"/>
    <s v="Li Guixian"/>
    <s v="Lu Qingsong"/>
    <m/>
    <s v="Lu Qingyi"/>
    <m/>
    <s v="Baichuan film Wuxi Co., Ltd"/>
    <n v="9"/>
  </r>
  <r>
    <n v="2018"/>
    <x v="0"/>
    <n v="123"/>
    <s v="Dec 31, 2018"/>
    <s v="Apr 4th, 2018"/>
    <s v="Qi Pa Duo Duo"/>
    <x v="71"/>
    <x v="6"/>
    <n v="5970149"/>
    <n v="2238805"/>
    <n v="1595522"/>
    <n v="19115"/>
    <n v="1320000"/>
    <n v="4349253"/>
    <n v="4778869"/>
    <n v="4778869"/>
    <n v="0"/>
    <x v="1"/>
    <x v="0"/>
    <x v="4"/>
    <x v="2"/>
    <s v="奇葩朵朵"/>
    <s v="Nuts"/>
    <s v="Sandra Ng"/>
    <s v="Zhang Ruoyun"/>
    <m/>
    <s v="Li Xin"/>
    <s v="Li Yang"/>
    <s v="Horgos Film Co., Ltd"/>
    <n v="8"/>
  </r>
  <r>
    <n v="2018"/>
    <x v="0"/>
    <n v="124"/>
    <s v="Dec 31, 2018"/>
    <s v="Apr 29, 2018"/>
    <s v="Screaming Live"/>
    <x v="72"/>
    <x v="7"/>
    <n v="1194029.8507462686"/>
    <n v="746268.65671641787"/>
    <n v="168656.71641791044"/>
    <n v="918"/>
    <n v="110000"/>
    <n v="458208.95522388059"/>
    <n v="469140"/>
    <n v="469140"/>
    <n v="0"/>
    <x v="1"/>
    <x v="0"/>
    <x v="4"/>
    <x v="2"/>
    <s v="尖叫直播"/>
    <s v="Screaming live"/>
    <s v="Wen Song"/>
    <s v="Xiu Rui"/>
    <s v="Xia Zitong"/>
    <s v="Chen Chen"/>
    <s v="Zhou Yingnan"/>
    <s v="Chengdu Huacan Culture Communication Co., Ltd"/>
    <n v="7.5"/>
  </r>
  <r>
    <n v="2018"/>
    <x v="0"/>
    <n v="125"/>
    <s v="Dec 31, 2018"/>
    <s v="Jul 15, 2017"/>
    <s v="Meng Chong Guo Jiang"/>
    <x v="73"/>
    <x v="1"/>
    <n v="4477611"/>
    <n v="2238805"/>
    <n v="10250746"/>
    <n v="57471"/>
    <n v="10070000"/>
    <n v="2761194"/>
    <n v="30355804"/>
    <n v="30355804"/>
    <n v="0"/>
    <x v="1"/>
    <x v="2"/>
    <x v="0"/>
    <x v="2"/>
    <s v="猛虫过江"/>
    <s v="A strong insect crossing the river"/>
    <s v="Shen He"/>
    <s v="Pan Binlong"/>
    <m/>
    <s v="Shen He"/>
    <m/>
    <s v="Xinghao Film Co., Ltd"/>
    <n v="8.1"/>
  </r>
  <r>
    <n v="2019"/>
    <x v="0"/>
    <n v="126"/>
    <s v="Dec 31, 2018"/>
    <s v="Mar 15, 2019"/>
    <s v="Guo Chun Tian"/>
    <x v="20"/>
    <x v="2"/>
    <n v="1492537.3134328357"/>
    <s v="/"/>
    <n v="447761.19402985071"/>
    <n v="24672"/>
    <n v="8594"/>
    <n v="1492537.3134328357"/>
    <n v="1487745"/>
    <n v="1487745"/>
    <n v="0"/>
    <x v="1"/>
    <x v="0"/>
    <x v="4"/>
    <x v="2"/>
    <s v="过春天"/>
    <s v="The crossing"/>
    <s v="Huang Rao"/>
    <s v="Sunyang"/>
    <m/>
    <s v="Bai Xue"/>
    <m/>
    <s v="Wanda Media"/>
    <n v="8.1999999999999993"/>
  </r>
  <r>
    <n v="2019"/>
    <x v="0"/>
    <n v="127"/>
    <s v="Dec 31, 2018"/>
    <s v="Mar 22, 2019"/>
    <s v="Song of Youth"/>
    <x v="69"/>
    <x v="2"/>
    <n v="10500000"/>
    <s v="/"/>
    <n v="18208955"/>
    <n v="62074"/>
    <n v="11550000"/>
    <n v="48656716"/>
    <n v="50885008"/>
    <n v="50885008"/>
    <n v="0"/>
    <x v="1"/>
    <x v="0"/>
    <x v="4"/>
    <x v="2"/>
    <s v="老师·好"/>
    <s v="Song of Youth"/>
    <s v="Yu Qian"/>
    <m/>
    <m/>
    <s v="Luan Zhang"/>
    <m/>
    <s v="Puzhao Film Co., Ltd"/>
    <n v="9.3000000000000007"/>
  </r>
  <r>
    <n v="2019"/>
    <x v="0"/>
    <n v="128"/>
    <s v="Dec 31, 2018"/>
    <s v="Mar 22, 2019"/>
    <s v="Di jiu tian chang"/>
    <x v="74"/>
    <x v="9"/>
    <n v="8955223.880597014"/>
    <s v="/"/>
    <n v="2238805.9701492535"/>
    <n v="23080"/>
    <n v="3852893"/>
    <n v="6716417.9104477614"/>
    <n v="8091941"/>
    <n v="8091941"/>
    <n v="0"/>
    <x v="1"/>
    <x v="0"/>
    <x v="4"/>
    <x v="2"/>
    <s v="地久天长"/>
    <s v="So Long, My Son"/>
    <s v="Wang Jingchun"/>
    <s v="Yong Mei"/>
    <m/>
    <s v="Wang Xiaoshuai"/>
    <m/>
    <s v="Dongchun (Shanghai) Film Co., Ltd"/>
    <n v="8.8000000000000007"/>
  </r>
  <r>
    <n v="2018"/>
    <x v="0"/>
    <n v="129"/>
    <s v="Dec 4, 2018"/>
    <s v="Dec 4, 2018"/>
    <s v="Jing Cheng 81 Hao 2"/>
    <x v="75"/>
    <x v="5"/>
    <n v="11940298"/>
    <n v="4477611"/>
    <n v="11428358"/>
    <n v="61528"/>
    <n v="14718449"/>
    <n v="30597014"/>
    <n v="32449600"/>
    <n v="32449600"/>
    <n v="0"/>
    <x v="3"/>
    <x v="0"/>
    <x v="4"/>
    <x v="2"/>
    <s v="京城81号Ⅱ"/>
    <s v="The House That Never DiesⅡ"/>
    <s v="Julian Cheung"/>
    <s v="Mei Ting"/>
    <m/>
    <s v="Qian Renhao"/>
    <m/>
    <s v="Wanda Media"/>
    <n v="5.9"/>
  </r>
  <r>
    <n v="2019"/>
    <x v="0"/>
    <n v="130"/>
    <s v="Dec 31, 2018"/>
    <s v="Apr 4, 2019"/>
    <s v="Feng Zhong You Duo Yu Zuo De Yun"/>
    <x v="68"/>
    <x v="2"/>
    <n v="5970149"/>
    <s v="/"/>
    <n v="3283582"/>
    <n v="32822"/>
    <n v="5210000"/>
    <n v="9701492"/>
    <n v="9626679"/>
    <n v="9626679"/>
    <n v="0"/>
    <x v="1"/>
    <x v="0"/>
    <x v="4"/>
    <x v="2"/>
    <s v="风中有朵雨做的云"/>
    <s v="The Shadow Play"/>
    <s v="Jing Bo Ran"/>
    <m/>
    <m/>
    <s v="Ye Lou"/>
    <m/>
    <s v="Beijing Light Film Co., Ltd. [China]"/>
    <n v="7.2"/>
  </r>
  <r>
    <n v="2018"/>
    <x v="0"/>
    <n v="131"/>
    <s v="Dec 31, 2018"/>
    <s v="Jun 29, 2018"/>
    <s v="Dongwu shijie"/>
    <x v="76"/>
    <x v="1"/>
    <n v="29850746"/>
    <n v="5970149"/>
    <n v="26865671"/>
    <n v="109738"/>
    <n v="3241628"/>
    <n v="74626865"/>
    <n v="74842075"/>
    <n v="74842075"/>
    <n v="0"/>
    <x v="7"/>
    <x v="3"/>
    <x v="1"/>
    <x v="2"/>
    <s v="动物世界"/>
    <s v="ANIMAL WORLD"/>
    <s v="Yifeng Li"/>
    <m/>
    <m/>
    <s v="Han Yan"/>
    <m/>
    <s v="Shanghai Ruyi film and television production Co., Ltd"/>
    <n v="8.5"/>
  </r>
  <r>
    <n v="2018"/>
    <x v="0"/>
    <n v="132"/>
    <s v="Dec 31, 2018"/>
    <s v="Feb 14, 2019"/>
    <s v="Yi wen ding qing"/>
    <x v="54"/>
    <x v="6"/>
    <n v="6000000"/>
    <s v="/"/>
    <n v="8955224"/>
    <n v="2360"/>
    <n v="6737049"/>
    <n v="25820895"/>
    <n v="28792065"/>
    <n v="28792065"/>
    <n v="0"/>
    <x v="7"/>
    <x v="0"/>
    <x v="4"/>
    <x v="2"/>
    <s v="一吻定情"/>
    <s v="Fall in Love at First Kiss"/>
    <s v="Darren Wang"/>
    <s v="Jelly Lin"/>
    <m/>
    <s v="Chen Yushan"/>
    <m/>
    <s v="Xinli Media Co., Ltd"/>
    <n v="8.5"/>
  </r>
  <r>
    <n v="2019"/>
    <x v="1"/>
    <n v="133"/>
    <s v="Dec 31, 2018"/>
    <s v="Jan 18, 2019"/>
    <s v="Jia HeWan Shi Jing"/>
    <x v="77"/>
    <x v="7"/>
    <n v="3731343.2835820895"/>
    <s v="/"/>
    <n v="1791044.7761194028"/>
    <n v="37174"/>
    <n v="14387"/>
    <n v="4925373.1343283579"/>
    <n v="4815816"/>
    <n v="4815816"/>
    <n v="0"/>
    <x v="1"/>
    <x v="0"/>
    <x v="4"/>
    <x v="2"/>
    <s v="家和万事惊"/>
    <s v="A Home with a View"/>
    <s v="Francis NG"/>
    <s v="Louis Koo"/>
    <s v="Anita Yuen"/>
    <s v="Herman Yau Lai-To"/>
    <m/>
    <s v="Erdong film (Beijing) Co., Ltd"/>
    <n v="6"/>
  </r>
  <r>
    <n v="2017"/>
    <x v="0"/>
    <n v="134"/>
    <s v="Feb 17, 2017"/>
    <s v="Feb 17, 2017"/>
    <s v="The Great Wall"/>
    <x v="13"/>
    <x v="0"/>
    <n v="150000000"/>
    <m/>
    <m/>
    <n v="3328"/>
    <n v="18469620"/>
    <m/>
    <n v="289329747"/>
    <n v="334486852"/>
    <n v="45157105"/>
    <x v="1"/>
    <x v="0"/>
    <x v="6"/>
    <x v="4"/>
    <s v="长城"/>
    <s v="The Great Wall"/>
    <s v="Matt Damon"/>
    <s v="Tian Jing"/>
    <s v="Andu Lau"/>
    <s v="Zhang Yimou"/>
    <m/>
    <s v="Legendary East"/>
    <n v="8.4"/>
  </r>
  <r>
    <n v="2017"/>
    <x v="0"/>
    <n v="135"/>
    <s v="Oct 13, 2017"/>
    <s v="Sep 30, 2017"/>
    <s v="The Foreigner"/>
    <x v="2"/>
    <x v="0"/>
    <n v="29850746.268656716"/>
    <n v="8955223.880597014"/>
    <n v="28955223.880597014"/>
    <n v="2515"/>
    <n v="13113024"/>
    <n v="76567164.179104477"/>
    <n v="106389853"/>
    <n v="140783360"/>
    <n v="34393507"/>
    <x v="0"/>
    <x v="0"/>
    <x v="4"/>
    <x v="3"/>
    <s v="英伦对决"/>
    <s v="The Foreigner"/>
    <s v="Jackie Chan"/>
    <m/>
    <m/>
    <s v="Martin Campbell"/>
    <m/>
    <s v="Beijing yaolai film and television culture media Co., Ltd"/>
    <n v="8.4"/>
  </r>
  <r>
    <n v="2017"/>
    <x v="0"/>
    <n v="136"/>
    <s v="Feb 24, 2017"/>
    <s v="Feb 24, 2017"/>
    <s v="Rock Dog"/>
    <x v="35"/>
    <x v="1"/>
    <n v="60000000"/>
    <m/>
    <m/>
    <n v="2077"/>
    <n v="3704749"/>
    <m/>
    <n v="14727942"/>
    <n v="24148488"/>
    <n v="9420546"/>
    <x v="1"/>
    <x v="2"/>
    <x v="2"/>
    <x v="5"/>
    <s v="摇滚藏獒"/>
    <s v="Rock Dog"/>
    <s v="Luke Wilson"/>
    <s v="Eddie Izzard"/>
    <s v="J.K Simmons"/>
    <s v="Ash Brannon"/>
    <m/>
    <s v="Summit Premiere"/>
    <n v="8.6"/>
  </r>
  <r>
    <n v="2017"/>
    <x v="0"/>
    <n v="137"/>
    <s v="Jul 28, 2017"/>
    <s v="Jul 28, 2017"/>
    <s v="Zhan Lang 2"/>
    <x v="78"/>
    <x v="0"/>
    <n v="29850746.300000001"/>
    <n v="14925373.1"/>
    <n v="311044776"/>
    <n v="53"/>
    <n v="219022"/>
    <n v="792537313"/>
    <n v="832753071"/>
    <n v="835474171"/>
    <n v="2721100"/>
    <x v="1"/>
    <x v="0"/>
    <x v="4"/>
    <x v="0"/>
    <s v="战狼2"/>
    <s v="Wolf Warriors Ⅱ"/>
    <s v="Jason Wu"/>
    <m/>
    <m/>
    <s v="Jason Wu"/>
    <m/>
    <s v="Beijing Dengfeng International Culture Communication Co., Ltd"/>
    <n v="9.6999999999999993"/>
  </r>
  <r>
    <n v="2017"/>
    <x v="0"/>
    <n v="138"/>
    <s v="Feb 3, 2017"/>
    <s v="Feb 3, 2017"/>
    <s v="Xi You Fu Yao Pian"/>
    <x v="10"/>
    <x v="0"/>
    <n v="65671641"/>
    <n v="11940298"/>
    <n v="76865671"/>
    <n v="67"/>
    <n v="463883"/>
    <n v="233134328"/>
    <n v="247924803"/>
    <n v="248805149"/>
    <n v="880346"/>
    <x v="1"/>
    <x v="0"/>
    <x v="4"/>
    <x v="4"/>
    <s v="西游伏妖篇"/>
    <s v="Journey to the West: The Demons _x000a_Strike Back"/>
    <s v="Kris"/>
    <m/>
    <m/>
    <s v="Hark Tsui"/>
    <m/>
    <s v="Wanda Media"/>
    <n v="7.7"/>
  </r>
  <r>
    <n v="2017"/>
    <x v="0"/>
    <n v="139"/>
    <s v="Mar 31, 2017"/>
    <s v="Mar 31, 2017"/>
    <s v="The Devotion of Suspect X"/>
    <x v="7"/>
    <x v="3"/>
    <n v="5970149.253731343"/>
    <n v="11940298.507462686"/>
    <n v="21194029.850746267"/>
    <n v="46"/>
    <n v="323207"/>
    <n v="56417910.447761193"/>
    <n v="58576718"/>
    <n v="59263153"/>
    <n v="686435"/>
    <x v="0"/>
    <x v="0"/>
    <x v="4"/>
    <x v="0"/>
    <s v="嫌疑人X的献身"/>
    <s v="The Devotion of Suspect X"/>
    <s v="Wang Kai"/>
    <s v="Edward Zhang"/>
    <s v="Ruby Lin"/>
    <s v="Alec Su"/>
    <m/>
    <s v="Shenzhen Zhonghui film and Television Cultural Communication Co., Ltd"/>
    <n v="8.6"/>
  </r>
  <r>
    <n v="2017"/>
    <x v="0"/>
    <n v="140"/>
    <s v="Apr 28, 2017"/>
    <s v="Apr 28, 2017"/>
    <s v="Jìyì dàshi"/>
    <x v="7"/>
    <x v="3"/>
    <n v="20000000"/>
    <m/>
    <m/>
    <n v="42"/>
    <n v="224942"/>
    <m/>
    <n v="43301061"/>
    <n v="43888531"/>
    <n v="587470"/>
    <x v="1"/>
    <x v="0"/>
    <x v="4"/>
    <x v="0"/>
    <s v="记忆大师"/>
    <s v="Battle of Memories"/>
    <s v="Bo Huang"/>
    <s v="Yihong Duan"/>
    <s v="Jinglei Xu"/>
    <s v="Leste Chen"/>
    <m/>
    <s v="Golden Cicada Films"/>
    <n v="8.6"/>
  </r>
  <r>
    <n v="2017"/>
    <x v="0"/>
    <n v="141"/>
    <s v="Aug 11, 2017"/>
    <s v="Aug 3, 2017"/>
    <s v="Once Upon a Time"/>
    <x v="0"/>
    <x v="2"/>
    <n v="29850746.268656716"/>
    <n v="14925373.134328358"/>
    <n v="28208955.223880596"/>
    <n v="51"/>
    <n v="249933"/>
    <n v="74776119.402985066"/>
    <n v="82406221"/>
    <n v="82891949"/>
    <n v="485728"/>
    <x v="0"/>
    <x v="0"/>
    <x v="0"/>
    <x v="0"/>
    <s v="三生三世十里桃花"/>
    <s v="Once Upon a Time"/>
    <s v="Liu Yifei"/>
    <s v="Yang Yang"/>
    <m/>
    <s v="Zhao Xiaoding"/>
    <s v="Anthony LaMolinara"/>
    <s v="Alibaba Pictures,"/>
    <n v="7.1"/>
  </r>
  <r>
    <n v="2017"/>
    <x v="0"/>
    <n v="142"/>
    <s v="Feb 10, 2017"/>
    <s v="Feb 10, 2017"/>
    <s v="Cheng feng po lang"/>
    <x v="7"/>
    <x v="2"/>
    <n v="23880597"/>
    <n v="8955223"/>
    <n v="56119402"/>
    <n v="30"/>
    <n v="160739"/>
    <n v="145970149"/>
    <n v="152549032"/>
    <n v="153018738"/>
    <n v="469706"/>
    <x v="1"/>
    <x v="0"/>
    <x v="4"/>
    <x v="0"/>
    <s v="乘风破浪"/>
    <s v="Duckweed"/>
    <s v="Deng Chao"/>
    <s v="Eddie Peng Yuyan"/>
    <m/>
    <s v="Han Han"/>
    <m/>
    <s v="Shanghai Tingdong Film Co., Ltd"/>
    <n v="8.6999999999999993"/>
  </r>
  <r>
    <n v="2017"/>
    <x v="0"/>
    <n v="143"/>
    <s v="Jan 27, 2017"/>
    <s v="Jan 27, 2017"/>
    <s v="Gong fu yu jia"/>
    <x v="0"/>
    <x v="0"/>
    <n v="59701492"/>
    <n v="11940298"/>
    <n v="95373134"/>
    <n v="245373134"/>
    <n v="111979"/>
    <n v="245373134"/>
    <n v="255641470"/>
    <n v="256004127"/>
    <n v="362657"/>
    <x v="1"/>
    <x v="0"/>
    <x v="4"/>
    <x v="0"/>
    <s v="功夫瑜伽"/>
    <s v="Kung Fu Yoga"/>
    <s v="Jackie Chan"/>
    <m/>
    <m/>
    <s v="Stanley Tong"/>
    <m/>
    <s v="Shanghai Taihe Film"/>
    <n v="8.4"/>
  </r>
  <r>
    <n v="2017"/>
    <x v="0"/>
    <n v="144"/>
    <s v="May 5, 2017"/>
    <s v="May 5, 2017"/>
    <s v="This Is Not What I Expected"/>
    <x v="0"/>
    <x v="7"/>
    <n v="10447761.194029851"/>
    <n v="5970149.253731343"/>
    <n v="11035820.895522388"/>
    <n v="36"/>
    <n v="135252"/>
    <n v="29552238.805970147"/>
    <n v="30658944"/>
    <n v="30996614"/>
    <n v="337670"/>
    <x v="1"/>
    <x v="0"/>
    <x v="4"/>
    <x v="0"/>
    <s v="喜欢你"/>
    <s v="This Is Not What I Expected"/>
    <s v="Takeshi Kaneshiro"/>
    <s v="Zhou Dongyu"/>
    <m/>
    <s v="Derek Hui"/>
    <m/>
    <s v="Beijing Fengyi culture media"/>
    <n v="8.9"/>
  </r>
  <r>
    <n v="2017"/>
    <x v="0"/>
    <n v="145"/>
    <s v="Oct 6, 2017"/>
    <s v="Oct 6, 2017"/>
    <s v="Feng Ren Ji Yue Dui"/>
    <x v="0"/>
    <x v="10"/>
    <n v="10447761"/>
    <n v="7462686"/>
    <n v="24179104"/>
    <n v="43"/>
    <n v="115524"/>
    <n v="64328358"/>
    <n v="68409784"/>
    <n v="68722321"/>
    <n v="312537"/>
    <x v="1"/>
    <x v="0"/>
    <x v="4"/>
    <x v="0"/>
    <s v="缝纫机乐队"/>
    <s v="City of Rock"/>
    <s v="Da Peng"/>
    <s v="Qiao Shan"/>
    <m/>
    <s v="Da Peng"/>
    <m/>
    <s v="Shanghai Tacheng Film Co., Ltd"/>
    <n v="9.1999999999999993"/>
  </r>
  <r>
    <n v="2017"/>
    <x v="0"/>
    <n v="146"/>
    <s v="Jan 27, 2017"/>
    <s v="Jan 27, 2017"/>
    <s v="Buddies in India"/>
    <x v="7"/>
    <x v="0"/>
    <n v="17910447.761194028"/>
    <n v="8955223.880597014"/>
    <n v="40895522.388059698"/>
    <n v="55"/>
    <n v="181705"/>
    <n v="107164179.10447761"/>
    <n v="109911139"/>
    <n v="110203801"/>
    <n v="292662"/>
    <x v="1"/>
    <x v="0"/>
    <x v="4"/>
    <x v="0"/>
    <s v="大闹天竺"/>
    <s v="Buddies in India"/>
    <s v="Wang Baoqiang"/>
    <m/>
    <m/>
    <s v="Wang Baoqiang"/>
    <m/>
    <s v="Lekaihua Film &amp; TV media Wuxi Co., Ltd"/>
    <n v="7.4"/>
  </r>
  <r>
    <n v="2017"/>
    <x v="0"/>
    <n v="147"/>
    <s v="Aug 18, 2017"/>
    <s v="Aug 18, 2017"/>
    <s v="The Adventurers"/>
    <x v="0"/>
    <x v="3"/>
    <n v="11940298.507462686"/>
    <n v="2985074.6268656715"/>
    <n v="122141791.04477611"/>
    <n v="60692"/>
    <n v="22180000"/>
    <n v="32686567.164179105"/>
    <n v="36585148"/>
    <n v="36801704"/>
    <n v="216556"/>
    <x v="1"/>
    <x v="0"/>
    <x v="4"/>
    <x v="0"/>
    <s v="侠盗联盟"/>
    <s v="The Adventurers"/>
    <s v="Andy Lau "/>
    <s v="Hsu Chi"/>
    <m/>
    <s v="Stephen Fung"/>
    <m/>
    <s v="Gravity Film &amp; TV Investment Co., Ltd"/>
    <n v="8.1"/>
  </r>
  <r>
    <n v="2017"/>
    <x v="0"/>
    <n v="148"/>
    <s v="Nov 24, 2017"/>
    <s v="Nov 24, 2017"/>
    <s v="Yin Bao Zhe"/>
    <x v="7"/>
    <x v="0"/>
    <n v="7462686.5671641789"/>
    <n v="2985074.6268656715"/>
    <n v="2562089.5522388057"/>
    <n v="33"/>
    <n v="55307"/>
    <n v="6984776.1194029851"/>
    <n v="7618024"/>
    <n v="7736408"/>
    <n v="118384"/>
    <x v="1"/>
    <x v="0"/>
    <x v="4"/>
    <x v="0"/>
    <s v="引爆者"/>
    <s v="Explosion"/>
    <s v="Duan Long"/>
    <s v="Yu Nan"/>
    <s v="Wang Jingchun"/>
    <s v="Chang Zheng"/>
    <m/>
    <s v="Huayi Brothers Film Co., Ltd"/>
    <n v="8.1999999999999993"/>
  </r>
  <r>
    <n v="2017"/>
    <x v="0"/>
    <n v="149"/>
    <s v="Jun 30, 2017"/>
    <s v="Jun 30, 2017"/>
    <s v="Ni Shi Ying Jiu"/>
    <x v="0"/>
    <x v="0"/>
    <n v="11940298"/>
    <n v="4477611"/>
    <n v="10474626"/>
    <n v="20"/>
    <n v="54276"/>
    <n v="16119402"/>
    <n v="29836276"/>
    <n v="29945246"/>
    <n v="108970"/>
    <x v="1"/>
    <x v="0"/>
    <x v="1"/>
    <x v="0"/>
    <s v="逆时营救"/>
    <s v="RESET"/>
    <s v="Yang Mi"/>
    <s v="Wallace Huo"/>
    <m/>
    <s v="Yin Hongcheng"/>
    <m/>
    <s v="Horgos Jiaxing media"/>
    <n v="7.9"/>
  </r>
  <r>
    <n v="2017"/>
    <x v="0"/>
    <n v="150"/>
    <s v="Jun 2, 2017"/>
    <s v="Jun 2, 2017"/>
    <s v="God of War"/>
    <x v="0"/>
    <x v="0"/>
    <n v="14925373.134328358"/>
    <n v="2985074.6268656715"/>
    <n v="3342686.5671641789"/>
    <n v="27"/>
    <n v="23912"/>
    <n v="9089402.9850746263"/>
    <n v="9506524"/>
    <n v="9560020"/>
    <n v="53496"/>
    <x v="1"/>
    <x v="0"/>
    <x v="6"/>
    <x v="0"/>
    <s v="荡寇风云"/>
    <s v="God Of War"/>
    <s v="Chiu Man-Cheuk"/>
    <s v="Sammo Hung"/>
    <m/>
    <s v="Gordon Chan"/>
    <m/>
    <s v="Bona pictures"/>
    <n v="8.3000000000000007"/>
  </r>
  <r>
    <n v="2017"/>
    <x v="0"/>
    <n v="151"/>
    <s v="Jun 9, 2017"/>
    <s v="Jun 9, 2017"/>
    <s v="Mei Hao De Yi Wai"/>
    <x v="7"/>
    <x v="2"/>
    <n v="8955223"/>
    <n v="2238805"/>
    <n v="908955"/>
    <n v="6"/>
    <n v="5942"/>
    <n v="2480597"/>
    <n v="2580320"/>
    <n v="2632086"/>
    <n v="51766"/>
    <x v="1"/>
    <x v="0"/>
    <x v="4"/>
    <x v="0"/>
    <s v="美好的意外"/>
    <s v="Beautiful Accident"/>
    <s v="Kwai Lun Mei"/>
    <s v="Wang Jingchun"/>
    <m/>
    <s v="He Weiting"/>
    <m/>
    <s v="Huayi Brothers Film Co., Ltd"/>
    <n v="8.1999999999999993"/>
  </r>
  <r>
    <n v="2017"/>
    <x v="0"/>
    <n v="152"/>
    <s v="Sep 8, 2017"/>
    <s v="Sep 8, 2017"/>
    <s v="Twenty-Two"/>
    <x v="7"/>
    <x v="9"/>
    <n v="447761.19402985071"/>
    <n v="119402.98507462686"/>
    <n v="8679104.4776119404"/>
    <n v="11"/>
    <n v="22222"/>
    <n v="23283582.089552239"/>
    <n v="25711603"/>
    <n v="25733825"/>
    <n v="22222"/>
    <x v="3"/>
    <x v="0"/>
    <x v="3"/>
    <x v="0"/>
    <s v="二十二"/>
    <s v="Twenty-Two"/>
    <s v="/"/>
    <m/>
    <m/>
    <s v="Guo Ke"/>
    <m/>
    <s v="Sichuan Guangying deep cultural Communication Co., Ltd"/>
    <n v="9.1999999999999993"/>
  </r>
  <r>
    <n v="2017"/>
    <x v="0"/>
    <n v="153"/>
    <s v="Aug 25, 2017"/>
    <s v="Aug 25, 2017"/>
    <s v="Jiao Zhu Chuan"/>
    <x v="0"/>
    <x v="0"/>
    <n v="17910447"/>
    <n v="2985074"/>
    <n v="5985074"/>
    <n v="4"/>
    <n v="5122"/>
    <n v="16119402"/>
    <n v="17269548"/>
    <n v="17283136"/>
    <n v="13588"/>
    <x v="1"/>
    <x v="0"/>
    <x v="0"/>
    <x v="0"/>
    <s v="鲛珠传"/>
    <s v="Legend Of The Naga Pearls"/>
    <s v="Darren Wang"/>
    <s v="Crystal"/>
    <m/>
    <s v="Leon Yang"/>
    <m/>
    <s v="Shanghai Film Group Co., Ltd"/>
    <n v="7.9"/>
  </r>
  <r>
    <n v="2017"/>
    <x v="0"/>
    <n v="154"/>
    <s v="Dec 31, 2017"/>
    <s v="Jun 9, 2019"/>
    <s v="Love Without Words"/>
    <x v="79"/>
    <x v="2"/>
    <n v="447761.19402985071"/>
    <n v="298507.46268656716"/>
    <n v="1277611.9402985075"/>
    <n v="6214"/>
    <n v="280000"/>
    <n v="3483582.0895522386"/>
    <n v="3741863"/>
    <n v="3741863"/>
    <n v="0"/>
    <x v="1"/>
    <x v="0"/>
    <x v="2"/>
    <x v="2"/>
    <s v="忠爱无言"/>
    <s v="Love Without Words"/>
    <s v="Gao Qiang"/>
    <s v="Yu Yuexian"/>
    <m/>
    <s v="Tan Yizhi"/>
    <m/>
    <s v="Anhui 1895 film and television media Co., Ltd"/>
    <n v="9.1999999999999993"/>
  </r>
  <r>
    <n v="2017"/>
    <x v="0"/>
    <n v="155"/>
    <s v="Dec 31, 2017"/>
    <s v="Jan 18, 2018"/>
    <s v="Gang Tie Fei Long Zhi Zai Jian Ao Te Man"/>
    <x v="30"/>
    <x v="0"/>
    <n v="2985074.6268656715"/>
    <s v="/"/>
    <m/>
    <n v="11051"/>
    <n v="1410000"/>
    <m/>
    <n v="6120728"/>
    <n v="6120728"/>
    <n v="0"/>
    <x v="2"/>
    <x v="2"/>
    <x v="1"/>
    <x v="2"/>
    <s v="钢铁飞龙之再见奥特曼"/>
    <s v="Dragon Force: Rise of Ultraman"/>
    <s v="Hao Shao-wen"/>
    <s v="Hou Yong"/>
    <s v="Luo Yunxi"/>
    <s v="Wang Wei"/>
    <m/>
    <s v="LETV pictures "/>
    <n v="8"/>
  </r>
  <r>
    <n v="2018"/>
    <x v="0"/>
    <n v="156"/>
    <s v="Dec 31, 2017"/>
    <s v="Jun 1, 2018"/>
    <s v="Qian Ting Zong Dong Yuan: Hai Di Lian…"/>
    <x v="80"/>
    <x v="1"/>
    <n v="2985074"/>
    <n v="1194029"/>
    <n v="3714925"/>
    <n v="49354"/>
    <n v="153225"/>
    <n v="10079104"/>
    <n v="11264408"/>
    <n v="11264408"/>
    <n v="0"/>
    <x v="0"/>
    <x v="2"/>
    <x v="2"/>
    <x v="2"/>
    <s v="潜艇总动员：海底两万里"/>
    <s v="Happy Little Submarine 20000 Leagues under the Sea"/>
    <s v="Fan Churong"/>
    <s v="Hong Haitian"/>
    <m/>
    <s v="Shen Yu"/>
    <m/>
    <s v="Shenzhen Global Digital Film and Television Culture Co., Ltd"/>
    <n v="8.4"/>
  </r>
  <r>
    <n v="2017"/>
    <x v="0"/>
    <n v="157"/>
    <s v="Dec 31, 2017"/>
    <s v="Nov 15, 2019"/>
    <s v="T-Guardians"/>
    <x v="81"/>
    <x v="1"/>
    <n v="2985074.6268656715"/>
    <n v="1492537.3134328357"/>
    <n v="1671343.2835820895"/>
    <n v="8751"/>
    <n v="49286"/>
    <n v="4556716.4179104473"/>
    <n v="4884807"/>
    <n v="4884807"/>
    <n v="0"/>
    <x v="1"/>
    <x v="2"/>
    <x v="2"/>
    <x v="2"/>
    <s v="玩偶奇兵"/>
    <s v="T-GUARDIANS"/>
    <s v="Yan Lizhen"/>
    <s v="Li Ye"/>
    <s v="Wang  Heng"/>
    <s v="Huang Yan"/>
    <s v="Shen Yu"/>
    <s v="Shenzhen Global Digital Film and Television Culture Co., Ltd"/>
    <n v="8.6"/>
  </r>
  <r>
    <n v="2018"/>
    <x v="0"/>
    <n v="158"/>
    <s v="Dec 31, 2017"/>
    <s v="Jan 18, 2018"/>
    <s v="Ying Xiong Ben Se 2018"/>
    <x v="68"/>
    <x v="0"/>
    <n v="14925373"/>
    <n v="5522388"/>
    <n v="3305970"/>
    <n v="44945"/>
    <n v="6465642"/>
    <n v="8992537"/>
    <n v="10079961"/>
    <n v="10079961"/>
    <n v="0"/>
    <x v="1"/>
    <x v="0"/>
    <x v="4"/>
    <x v="2"/>
    <s v="英雄本色2018"/>
    <s v="A Better Tomorrow 2018"/>
    <s v="Wang Kai"/>
    <m/>
    <s v="Ray Ma"/>
    <s v="Ding Sheng"/>
    <m/>
    <s v="Beijing Jingxi Culture and Tourism Company"/>
    <n v="7.9"/>
  </r>
  <r>
    <n v="2018"/>
    <x v="0"/>
    <n v="159"/>
    <s v="Dec 31, 2017"/>
    <s v="Feb, 16, 2018"/>
    <s v="Zu Zong Shi Jiu Dai"/>
    <x v="82"/>
    <x v="7"/>
    <n v="4477611"/>
    <n v="2238805"/>
    <n v="8679104"/>
    <n v="12122"/>
    <n v="7460000"/>
    <n v="23432835"/>
    <n v="26796280"/>
    <n v="26796280"/>
    <n v="0"/>
    <x v="1"/>
    <x v="0"/>
    <x v="0"/>
    <x v="2"/>
    <s v="祖宗十九代"/>
    <s v="The Face of My Gene"/>
    <s v="Yue Yunpeng"/>
    <s v="Lin Chi-ling"/>
    <m/>
    <s v="Degang Guo"/>
    <m/>
    <s v="Beijing Yiyi culture media Co., Ltd"/>
    <n v="7.6"/>
  </r>
  <r>
    <n v="2018"/>
    <x v="0"/>
    <n v="160"/>
    <s v="Dec 31, 2017"/>
    <s v="Apr 20, 2018"/>
    <s v="21 Ke La"/>
    <x v="23"/>
    <x v="6"/>
    <n v="3731343"/>
    <n v="2238805"/>
    <n v="5592537"/>
    <n v="64645"/>
    <n v="9920000"/>
    <n v="15074626"/>
    <n v="17241380"/>
    <n v="17241380"/>
    <n v="0"/>
    <x v="1"/>
    <x v="0"/>
    <x v="4"/>
    <x v="2"/>
    <s v="21克拉"/>
    <s v="21 Karat"/>
    <s v="Guo Jingfei"/>
    <s v="Dilraba Dilmurat"/>
    <m/>
    <s v="He Nian"/>
    <m/>
    <s v="Shanghai Shangshi film"/>
    <n v="8.3000000000000007"/>
  </r>
  <r>
    <n v="2017"/>
    <x v="0"/>
    <n v="161"/>
    <s v="Dec 31, 2017"/>
    <s v="May 4, 2018"/>
    <s v="Xiang Gang Da Ying Jiu"/>
    <x v="83"/>
    <x v="2"/>
    <n v="8955223.880597014"/>
    <n v="1194029.8507462686"/>
    <n v="358208.95522388059"/>
    <n v="7655"/>
    <n v="8323"/>
    <n v="992537.31343283574"/>
    <n v="1034623"/>
    <n v="1034623"/>
    <n v="0"/>
    <x v="3"/>
    <x v="0"/>
    <x v="6"/>
    <x v="2"/>
    <s v="香港大营救"/>
    <s v="Hong Kong Rescue"/>
    <s v="Cheng Taishen"/>
    <s v="Yan Bingyan"/>
    <s v="Huo Qing"/>
    <s v="Liu Yijun"/>
    <m/>
    <s v="Hunan Tianshang film media Co., Ltd"/>
    <n v="7.6"/>
  </r>
  <r>
    <n v="2017"/>
    <x v="0"/>
    <n v="162"/>
    <s v="Dec 31, 2017"/>
    <s v="Jun 30, 2017"/>
    <s v="Xue Zhan Xiang Jiang"/>
    <x v="18"/>
    <x v="2"/>
    <n v="8955223.8800000008"/>
    <n v="2238805.9700000002"/>
    <n v="4051343.28"/>
    <n v="4272"/>
    <n v="1860000"/>
    <n v="10971343.300000001"/>
    <n v="11037772"/>
    <n v="11037772"/>
    <n v="0"/>
    <x v="3"/>
    <x v="0"/>
    <x v="5"/>
    <x v="2"/>
    <s v="血战湘江"/>
    <s v="Battle Of Xiangjiang River"/>
    <s v="Wang Ying"/>
    <s v="Jeff Bao"/>
    <s v="Xu Jian"/>
    <s v="Li Tianyin"/>
    <m/>
    <s v="Ba-Yi Film Studio"/>
    <n v="9.1"/>
  </r>
  <r>
    <n v="2017"/>
    <x v="0"/>
    <n v="163"/>
    <s v="Dec 31, 2017"/>
    <s v="Dec 31, 2017"/>
    <s v="The Floating Planet"/>
    <x v="84"/>
    <x v="1"/>
    <n v="4477611.940298507"/>
    <n v="1194029.8507462686"/>
    <n v="2664776.1194029851"/>
    <n v="4871"/>
    <n v="570000"/>
    <n v="7264776.1194029851"/>
    <n v="1110000"/>
    <n v="1110000"/>
    <n v="0"/>
    <x v="1"/>
    <x v="2"/>
    <x v="4"/>
    <x v="2"/>
    <s v="昆塔：反转星球"/>
    <s v="The Floating Planet"/>
    <s v="Guo Yifeng"/>
    <s v="Hong Haitian"/>
    <s v="Zhao Qianjing"/>
    <s v="Leo Lee"/>
    <m/>
    <s v="Zhejiang BOCAI Media Co., Ltd"/>
    <n v="8.5"/>
  </r>
  <r>
    <n v="2017"/>
    <x v="0"/>
    <n v="164"/>
    <s v="Dec 31, 2017"/>
    <s v="Nov 3, 2017"/>
    <s v="Qi Shi Qi Tian"/>
    <x v="48"/>
    <x v="1"/>
    <n v="1492537"/>
    <n v="2238805"/>
    <n v="5395522"/>
    <n v="14290"/>
    <n v="1690000"/>
    <n v="14552238"/>
    <n v="15988889"/>
    <n v="15988889"/>
    <n v="0"/>
    <x v="1"/>
    <x v="0"/>
    <x v="4"/>
    <x v="2"/>
    <s v="七十七天"/>
    <s v="Seventy-Seven Days"/>
    <s v="Zhao Hantang"/>
    <s v="Jiang Yiyan"/>
    <m/>
    <s v="Zhao Hantang"/>
    <m/>
    <s v="Defeng Film Co., Ltd"/>
    <n v="8.6"/>
  </r>
  <r>
    <n v="2017"/>
    <x v="0"/>
    <n v="165"/>
    <s v="Dec 31, 2017"/>
    <s v="Dec 8, 2017"/>
    <s v="Fan Zha Feng Bao"/>
    <x v="85"/>
    <x v="3"/>
    <n v="7462686.5671641789"/>
    <n v="2985074.6268656715"/>
    <n v="2834179.1044776118"/>
    <n v="48475"/>
    <n v="5690000"/>
    <n v="7680860.5341246286"/>
    <n v="8595808"/>
    <n v="8595808"/>
    <n v="0"/>
    <x v="1"/>
    <x v="0"/>
    <x v="4"/>
    <x v="2"/>
    <s v="巨额来电"/>
    <s v="The Big Call"/>
    <s v="Cheney Chen"/>
    <s v="Joseph"/>
    <s v="Kwai Lun Mei"/>
    <s v="oxide Pang Chun"/>
    <m/>
    <s v="Film Channel Program Center"/>
    <n v="8.4"/>
  </r>
  <r>
    <n v="2017"/>
    <x v="0"/>
    <n v="166"/>
    <s v="Dec 31, 2017"/>
    <s v="Feb 2, 2018"/>
    <s v="Huai Ba Ba"/>
    <x v="86"/>
    <x v="7"/>
    <n v="4477611.940298507"/>
    <n v="746268.65671641787"/>
    <n v="1337313.4328358208"/>
    <s v="NA"/>
    <n v="2292772"/>
    <n v="3644776.1194029851"/>
    <n v="3791880"/>
    <n v="3791880"/>
    <n v="0"/>
    <x v="1"/>
    <x v="0"/>
    <x v="2"/>
    <x v="2"/>
    <s v="坏爸爸"/>
    <s v="bad daddy"/>
    <s v="Shao Bing"/>
    <s v="Kong Lin"/>
    <s v="Sun Shaolong"/>
    <s v="Lan Chengxu"/>
    <m/>
    <s v="Shenzhen Oriental Star Valley film and Television Culture Communication Co., Ltd"/>
    <n v="8.4"/>
  </r>
  <r>
    <n v="2017"/>
    <x v="0"/>
    <n v="167"/>
    <s v="Dec 31, 2017"/>
    <s v="Apr 21, 2017"/>
    <s v="The Blood Hound"/>
    <x v="87"/>
    <x v="1"/>
    <n v="1044776.1194029851"/>
    <n v="447761.19402985071"/>
    <n v="1358208.9552238805"/>
    <n v="5959"/>
    <n v="1860000"/>
    <n v="3702985.0746268658"/>
    <n v="3660871"/>
    <n v="3660871"/>
    <n v="0"/>
    <x v="1"/>
    <x v="0"/>
    <x v="4"/>
    <x v="2"/>
    <s v="血狼犬"/>
    <s v="The Blood Hound"/>
    <s v="Huang Hong"/>
    <s v="Liu Xiangjing"/>
    <s v="Wang Haiyan"/>
    <s v="Liu Jianhua"/>
    <m/>
    <s v="Western Film Group Co., Ltd"/>
    <n v="8.4"/>
  </r>
  <r>
    <n v="2018"/>
    <x v="0"/>
    <n v="168"/>
    <s v="Dec 31, 2017"/>
    <s v="Apr 28, 2018"/>
    <s v="Mu Hou Wan Jia"/>
    <x v="48"/>
    <x v="2"/>
    <n v="11194029"/>
    <n v="4477611"/>
    <n v="18656716"/>
    <n v="67157"/>
    <n v="15041365"/>
    <n v="49850746"/>
    <n v="56235548"/>
    <n v="56235548"/>
    <n v="0"/>
    <x v="1"/>
    <x v="0"/>
    <x v="4"/>
    <x v="2"/>
    <s v="幕后玩家"/>
    <s v="A or B"/>
    <s v="Xu Zheng"/>
    <s v="Claudia"/>
    <m/>
    <s v="Ren Pengyuan"/>
    <m/>
    <s v="Beijing Hairun Film Co., Ltd"/>
    <n v="8.4"/>
  </r>
  <r>
    <n v="2017"/>
    <x v="0"/>
    <n v="169"/>
    <s v="Dec 31, 2017"/>
    <s v="Aug 20, 2017"/>
    <s v="Er Ci Chu Lian"/>
    <x v="88"/>
    <x v="6"/>
    <n v="4477611"/>
    <n v="1492537"/>
    <n v="1355223"/>
    <n v="10215"/>
    <n v="1420000"/>
    <n v="3697014"/>
    <n v="3957193"/>
    <n v="3957193"/>
    <n v="0"/>
    <x v="1"/>
    <x v="0"/>
    <x v="0"/>
    <x v="2"/>
    <s v="二次初恋"/>
    <s v="Once Again"/>
    <s v="Athena Chu"/>
    <s v="Calvin Tu"/>
    <m/>
    <s v="Dai Wei"/>
    <m/>
    <s v="Lehua Entertainment Co., Ltd"/>
    <n v="8.4"/>
  </r>
  <r>
    <n v="2018"/>
    <x v="0"/>
    <n v="170"/>
    <s v="Dec 31, 2017"/>
    <s v="Jan 12, 2019"/>
    <s v="Wo Di Ju Xing"/>
    <x v="69"/>
    <x v="0"/>
    <n v="8955223"/>
    <n v="1666666"/>
    <n v="2026865"/>
    <n v="46863"/>
    <n v="42352"/>
    <n v="5525373"/>
    <n v="6168544"/>
    <n v="6168544"/>
    <n v="0"/>
    <x v="1"/>
    <x v="0"/>
    <x v="4"/>
    <x v="2"/>
    <s v="卧底巨星"/>
    <s v="Keep Calm and Be a Superstar"/>
    <s v="Eason Chan"/>
    <s v="Ronghao Li"/>
    <m/>
    <s v="Vincent Kuk Tak Chiu"/>
    <m/>
    <s v="Sun Entertainment Limited"/>
    <n v="6.7"/>
  </r>
  <r>
    <n v="2017"/>
    <x v="0"/>
    <n v="171"/>
    <s v="Dec 31, 2017"/>
    <s v="Jan 27, 2018"/>
    <s v="Mai Bing Bing"/>
    <x v="89"/>
    <x v="1"/>
    <n v="7462686.5671641789"/>
    <n v="1194029.8507462686"/>
    <n v="316417.91044776118"/>
    <s v="NA"/>
    <n v="423431"/>
    <n v="862686.56716417905"/>
    <n v="933589"/>
    <n v="933589"/>
    <n v="0"/>
    <x v="1"/>
    <x v="2"/>
    <x v="2"/>
    <x v="2"/>
    <s v="麦兵兵之夺宝联“萌”"/>
    <s v="Piggy BingBing"/>
    <s v="Chang Chen"/>
    <s v="Li Jiao"/>
    <m/>
    <s v="Hu Heyi"/>
    <m/>
    <s v="Beijing Huangyu culture media Co., Ltd"/>
    <n v="7.4"/>
  </r>
  <r>
    <n v="2017"/>
    <x v="0"/>
    <n v="172"/>
    <s v="Dec 31, 2017"/>
    <s v="Feb 9, 2018"/>
    <s v="Pao Fu Xiao Jie"/>
    <x v="90"/>
    <x v="6"/>
    <n v="4477611.940298507"/>
    <n v="1194029.8507462686"/>
    <n v="986567.1641791045"/>
    <n v="50095"/>
    <n v="2080000"/>
    <n v="2689552.2388059702"/>
    <n v="3026917"/>
    <n v="3026917"/>
    <n v="0"/>
    <x v="1"/>
    <x v="0"/>
    <x v="4"/>
    <x v="2"/>
    <s v="泡芙小姐"/>
    <s v="Miss Puff"/>
    <s v="Zhang Xinyi"/>
    <m/>
    <m/>
    <s v="Zhang Xinyi"/>
    <m/>
    <s v="Cultural communication of Sichuan best friend"/>
    <n v="7.4"/>
  </r>
  <r>
    <n v="2017"/>
    <x v="0"/>
    <n v="173"/>
    <s v="Dec 31, 2017"/>
    <s v="Mar 30, 2018"/>
    <s v="Wo Shuo De Dou Shi Zhen De"/>
    <x v="91"/>
    <x v="7"/>
    <n v="4477611.940298507"/>
    <n v="1194029.8507462686"/>
    <n v="916417.91044776118"/>
    <n v="25545"/>
    <n v="1790000"/>
    <n v="2498507.4626865671"/>
    <n v="2814977"/>
    <n v="2814977"/>
    <n v="0"/>
    <x v="1"/>
    <x v="0"/>
    <x v="4"/>
    <x v="2"/>
    <s v="我说的都是真的"/>
    <s v="Really？"/>
    <s v="Shen He"/>
    <s v="Ivy Chen"/>
    <s v="Wu Yue"/>
    <s v="Liu Yiwei"/>
    <m/>
    <s v="Chinese image (Beijing) Film Co., Ltd"/>
    <n v="7.9"/>
  </r>
  <r>
    <n v="2017"/>
    <x v="0"/>
    <n v="174"/>
    <s v="Dec 31, 2017"/>
    <s v="Jun 9, 2017"/>
    <s v="How Are You"/>
    <x v="92"/>
    <x v="2"/>
    <n v="4477611.940298507"/>
    <n v="2238805.9701492535"/>
    <n v="2142985.0746268658"/>
    <n v="37431"/>
    <n v="4550000"/>
    <n v="5842537.313432836"/>
    <n v="5921481"/>
    <n v="5921481"/>
    <n v="0"/>
    <x v="1"/>
    <x v="0"/>
    <x v="2"/>
    <x v="2"/>
    <s v="李雷和韩梅梅"/>
    <s v="How Are You"/>
    <s v="Zhang Zifeng"/>
    <m/>
    <m/>
    <s v="Yang Yongchun"/>
    <m/>
    <s v="Chengdu Tianyin Qilin film media Co., Ltd"/>
    <n v="7.7"/>
  </r>
  <r>
    <n v="2017"/>
    <x v="0"/>
    <n v="175"/>
    <s v="Dec 31, 2017"/>
    <s v="Jul 28, 2017"/>
    <s v="Da Er Duo Tu Tu Zhi Mei Shi Ye Feng K…"/>
    <x v="93"/>
    <x v="1"/>
    <n v="1492537.3134328357"/>
    <n v="746268.65671641787"/>
    <n v="2224626.8656716417"/>
    <n v="6811"/>
    <n v="590000"/>
    <n v="6065074.626865671"/>
    <n v="6000000"/>
    <n v="6000000"/>
    <n v="0"/>
    <x v="1"/>
    <x v="2"/>
    <x v="2"/>
    <x v="2"/>
    <s v="大耳朵图图之美食狂想曲"/>
    <s v="/"/>
    <s v="Dou Dou"/>
    <s v="Fan Churong"/>
    <s v="Qian Hu"/>
    <s v="Su Da"/>
    <m/>
    <s v="Shanghai Minxin Film &amp; TV Entertainment Co., Ltd"/>
    <n v="8.8000000000000007"/>
  </r>
  <r>
    <n v="2017"/>
    <x v="0"/>
    <n v="176"/>
    <s v="Dec 31, 2017"/>
    <s v="Jan 26, 2018"/>
    <s v="S4 Xia Xiang Mo Ji"/>
    <x v="47"/>
    <x v="7"/>
    <n v="1492537.3134328357"/>
    <n v="746268.65671641787"/>
    <n v="188059.70149253731"/>
    <s v="NA"/>
    <n v="268002"/>
    <n v="514925.37313432834"/>
    <n v="544914"/>
    <n v="544914"/>
    <n v="0"/>
    <x v="1"/>
    <x v="0"/>
    <x v="4"/>
    <x v="2"/>
    <s v="S4侠降魔记"/>
    <s v="Super Four"/>
    <s v="Liu Xiaoguang"/>
    <s v="Wen Song"/>
    <m/>
    <s v="Li Kelong"/>
    <m/>
    <s v="Zhongtian Hongzhan Cultural Media Co., Ltd"/>
    <n v="7.9"/>
  </r>
  <r>
    <n v="2017"/>
    <x v="0"/>
    <n v="177"/>
    <s v="Dec 31, 2017"/>
    <s v="Nov 10, 2017"/>
    <s v="Tian Sheng Bu Dui"/>
    <x v="89"/>
    <x v="6"/>
    <n v="4477611"/>
    <n v="1492537"/>
    <n v="1240298"/>
    <n v="22756"/>
    <n v="2210000"/>
    <n v="3383582"/>
    <n v="3667477"/>
    <n v="3667477"/>
    <n v="0"/>
    <x v="1"/>
    <x v="0"/>
    <x v="4"/>
    <x v="2"/>
    <s v="天生不对"/>
    <s v="Two Wrongs Make a Right "/>
    <s v="Vic Zhou"/>
    <s v="Fiona Sit"/>
    <m/>
    <s v="Vincent Kuk Tak Chiu"/>
    <m/>
    <s v="Fujian Hengye Film Co., Ltd"/>
    <n v="8"/>
  </r>
  <r>
    <n v="2017"/>
    <x v="0"/>
    <n v="178"/>
    <s v="Dec 15, 2017"/>
    <s v="Dec 15, 2017"/>
    <s v="Fang Hua"/>
    <x v="7"/>
    <x v="2"/>
    <n v="14925373"/>
    <n v="11940298"/>
    <n v="76865671"/>
    <n v="35"/>
    <n v="338604"/>
    <n v="198507462"/>
    <n v="225197313"/>
    <n v="227089269"/>
    <n v="1891956"/>
    <x v="1"/>
    <x v="0"/>
    <x v="6"/>
    <x v="0"/>
    <s v="芳华"/>
    <s v="Youth"/>
    <s v="Huang Xuan"/>
    <s v="Vivi"/>
    <m/>
    <s v="Xiaogang Feng"/>
    <m/>
    <s v="Zhejiang Dongyang Meila Media Co., Ltd"/>
    <n v="9"/>
  </r>
  <r>
    <n v="2017"/>
    <x v="0"/>
    <n v="179"/>
    <s v="Dec 29, 2017"/>
    <s v="Dec 29, 2017"/>
    <s v="Qian Ren 3: Yan Zhi Da Zuo Zhan"/>
    <x v="7"/>
    <x v="7"/>
    <n v="4477611"/>
    <n v="7462686"/>
    <n v="104029850"/>
    <n v="24"/>
    <n v="180920"/>
    <n v="267611940"/>
    <n v="306710033"/>
    <n v="307547824"/>
    <n v="837791"/>
    <x v="1"/>
    <x v="0"/>
    <x v="4"/>
    <x v="0"/>
    <s v="前任3：再见前任"/>
    <s v="The Ex-file：The Return Of The Exes"/>
    <s v="Han Geng"/>
    <s v="Ryan"/>
    <m/>
    <s v="Tian Yusheng"/>
    <m/>
    <s v="Huayi Brothers Film Co., Ltd"/>
    <n v="9.1"/>
  </r>
  <r>
    <n v="2017"/>
    <x v="0"/>
    <n v="180"/>
    <s v="Dec 1, 2017"/>
    <s v="Dec 1, 2017"/>
    <s v="xiu chun dao II: xiu luo zhan chang"/>
    <x v="0"/>
    <x v="0"/>
    <n v="14925373"/>
    <n v="4477611"/>
    <n v="13728358"/>
    <n v="2"/>
    <n v="5296"/>
    <n v="36716417"/>
    <n v="39951588"/>
    <n v="39965792"/>
    <n v="14204"/>
    <x v="1"/>
    <x v="0"/>
    <x v="6"/>
    <x v="0"/>
    <s v="绣春刀Ⅱ：修罗战场"/>
    <s v="BROTHERHOOD OF BLADES"/>
    <s v="Chang Chen"/>
    <s v="Yang Mi"/>
    <m/>
    <s v="Lu Yang"/>
    <m/>
    <s v="Bad monkey"/>
    <n v="8.5"/>
  </r>
  <r>
    <n v="2017"/>
    <x v="0"/>
    <n v="181"/>
    <s v="Dec 31, 2017"/>
    <s v="Aug 18, 2017"/>
    <s v="Seer Movie 6: Invincible Puni"/>
    <x v="94"/>
    <x v="1"/>
    <n v="4477611.940298507"/>
    <n v="1492537.3134328357"/>
    <n v="5356716.4179104473"/>
    <n v="26748"/>
    <n v="760000"/>
    <n v="14449253.731343282"/>
    <n v="15874097"/>
    <n v="15874097"/>
    <n v="0"/>
    <x v="1"/>
    <x v="2"/>
    <x v="2"/>
    <x v="2"/>
    <s v="赛尔号大电影6：圣者无敌"/>
    <s v="Seer Movie 6：Invincible Puni"/>
    <s v="Luo Yuting"/>
    <m/>
    <m/>
    <s v="Zhang Jun Wang"/>
    <m/>
    <s v="Shanghai Taomi Network Technology Co., Ltd"/>
    <n v="8.9"/>
  </r>
  <r>
    <n v="2017"/>
    <x v="0"/>
    <n v="182"/>
    <s v="Dec 31, 2017"/>
    <s v="Sep 30, 2017"/>
    <s v="Never Say Die"/>
    <x v="95"/>
    <x v="7"/>
    <n v="11940298"/>
    <n v="8955223"/>
    <n v="12029850"/>
    <n v="110319"/>
    <n v="46732917"/>
    <n v="308507462"/>
    <n v="334536622"/>
    <n v="334536622"/>
    <n v="0"/>
    <x v="1"/>
    <x v="0"/>
    <x v="4"/>
    <x v="2"/>
    <s v="羞羞的铁拳"/>
    <s v="Never Say Die"/>
    <s v="Allen"/>
    <s v="Mary"/>
    <s v="Shen Teng"/>
    <s v="Song Yang"/>
    <s v="Zhang Chiyu"/>
    <s v="Happy Mahua film"/>
    <n v="9.1"/>
  </r>
  <r>
    <n v="2017"/>
    <x v="0"/>
    <n v="183"/>
    <s v="Dec 31, 2017"/>
    <s v="May 8, 2018"/>
    <s v="Zhui bu"/>
    <x v="96"/>
    <x v="0"/>
    <n v="29850746"/>
    <n v="7462686"/>
    <n v="5535820"/>
    <n v="87906"/>
    <n v="11150837"/>
    <n v="14925373"/>
    <n v="18339343"/>
    <n v="18339343"/>
    <n v="0"/>
    <x v="0"/>
    <x v="0"/>
    <x v="4"/>
    <x v="2"/>
    <s v="追捕"/>
    <s v="Manhunt"/>
    <s v="Zhang Hanyu"/>
    <s v="Fukuyama Masaharu"/>
    <m/>
    <s v="John Woo"/>
    <m/>
    <s v="Huanya Film Production Co., Ltd"/>
    <n v="7.7"/>
  </r>
  <r>
    <n v="2017"/>
    <x v="0"/>
    <n v="184"/>
    <s v="Dec 31, 2017"/>
    <s v="May 11, 2017"/>
    <s v="What a Wonderful Family!"/>
    <x v="54"/>
    <x v="7"/>
    <n v="5970149.253731343"/>
    <n v="1492537.3134328357"/>
    <n v="1679253.7313432836"/>
    <n v="27254"/>
    <n v="2741992"/>
    <n v="4578059.7014925368"/>
    <n v="4681992"/>
    <n v="4681992"/>
    <n v="0"/>
    <x v="5"/>
    <x v="0"/>
    <x v="4"/>
    <x v="2"/>
    <s v="麻烦家族"/>
    <s v="What a Wonderful Family!"/>
    <s v="Huang Lei"/>
    <m/>
    <m/>
    <s v="Huang Lei"/>
    <m/>
    <s v="Anle (Beijing) Film Distribution Co., Ltd"/>
    <n v="7.6"/>
  </r>
  <r>
    <n v="2018"/>
    <x v="0"/>
    <n v="185"/>
    <s v="Dec 31, 2017"/>
    <s v="Jan 12, 2019"/>
    <s v="Wu Wen Xi Dong"/>
    <x v="97"/>
    <x v="2"/>
    <n v="14925373"/>
    <n v="4477611"/>
    <n v="39552238"/>
    <n v="57349"/>
    <n v="37050000"/>
    <n v="104029850"/>
    <n v="119035160"/>
    <n v="119035160"/>
    <n v="0"/>
    <x v="0"/>
    <x v="0"/>
    <x v="6"/>
    <x v="2"/>
    <s v="无问西东"/>
    <s v="Forever Young"/>
    <s v="Zhang Ziyi"/>
    <s v="Huang Xiaoming"/>
    <m/>
    <s v="Li Fangfang"/>
    <m/>
    <s v="Shanghai Tencent Penguin film and Television Culture Communication Co., Ltd"/>
    <n v="8.6"/>
  </r>
  <r>
    <n v="2017"/>
    <x v="0"/>
    <n v="186"/>
    <s v="Dec 31, 2017"/>
    <s v="Mar 30, 2018"/>
    <s v="Ai De Pa Si Ka"/>
    <x v="98"/>
    <x v="2"/>
    <n v="1194029.8507462686"/>
    <n v="746268.65671641787"/>
    <n v="179104.4776119403"/>
    <s v="NA"/>
    <s v="NA"/>
    <n v="489552.23880597012"/>
    <n v="512000"/>
    <n v="512000"/>
    <n v="0"/>
    <x v="1"/>
    <x v="0"/>
    <x v="4"/>
    <x v="2"/>
    <s v="爱的帕斯卡"/>
    <s v="Love Pascal"/>
    <s v="XU Huanshan"/>
    <s v="Xi Meijuan"/>
    <s v="Yue"/>
    <s v="Liu Hai"/>
    <m/>
    <s v="Propaganda Department of the CPC Shaanxi Provincial Committee"/>
    <s v="暂无"/>
  </r>
  <r>
    <n v="2017"/>
    <x v="0"/>
    <n v="187"/>
    <s v="Dec 31, 2017"/>
    <s v="Jul 7, 2017"/>
    <s v="Jue Shi Gao Shou"/>
    <x v="54"/>
    <x v="7"/>
    <n v="13333333"/>
    <n v="7462686"/>
    <n v="5270149"/>
    <n v="46411"/>
    <n v="772788"/>
    <n v="14217910"/>
    <n v="14897163"/>
    <n v="14897163"/>
    <n v="0"/>
    <x v="1"/>
    <x v="0"/>
    <x v="4"/>
    <x v="2"/>
    <s v="绝世高手"/>
    <s v="The One"/>
    <s v="Zhengyu Lu"/>
    <s v="Amber Kuo"/>
    <m/>
    <s v="Zhengyu Lu"/>
    <m/>
    <s v="Chen Ming Film Co., Ltd"/>
    <n v="7.5"/>
  </r>
  <r>
    <n v="2017"/>
    <x v="0"/>
    <n v="188"/>
    <s v="Dec 31, 2017"/>
    <s v="Jul 13, 2017"/>
    <s v="Da Hu Fa"/>
    <x v="54"/>
    <x v="1"/>
    <n v="2238805.9700000002"/>
    <n v="1492537.31"/>
    <n v="4552388.0599999996"/>
    <n v="24230"/>
    <n v="3780000"/>
    <n v="12307164.199999999"/>
    <n v="13006233"/>
    <n v="13006233"/>
    <n v="0"/>
    <x v="1"/>
    <x v="2"/>
    <x v="2"/>
    <x v="2"/>
    <s v="大护法"/>
    <s v="The Guardian"/>
    <s v="Xiao Liansha"/>
    <s v="Tu Te Ha Meng"/>
    <s v="Jin Shijie"/>
    <s v="Bu Sifan"/>
    <m/>
    <s v="Beijing Light Film Co., Ltd"/>
    <n v="8.3000000000000007"/>
  </r>
  <r>
    <n v="2017"/>
    <x v="0"/>
    <n v="189"/>
    <s v="Dec 31, 2017"/>
    <s v="Jul 21, 2017"/>
    <s v="Fu zi xiong bing"/>
    <x v="20"/>
    <x v="6"/>
    <n v="11940298"/>
    <n v="2985074"/>
    <n v="6546268"/>
    <n v="64062"/>
    <n v="790000"/>
    <n v="26865671"/>
    <n v="18764048"/>
    <n v="18764048"/>
    <n v="0"/>
    <x v="1"/>
    <x v="0"/>
    <x v="4"/>
    <x v="2"/>
    <s v="父子雄兵"/>
    <s v="Father and Son"/>
    <s v="Da Peng"/>
    <s v="Fan Wei"/>
    <m/>
    <s v="Yuan Weidong"/>
    <m/>
    <s v="Wanda Media"/>
    <n v="8"/>
  </r>
  <r>
    <n v="2017"/>
    <x v="0"/>
    <n v="190"/>
    <s v="Dec 31, 2017"/>
    <s v="Aug 4, 2017"/>
    <s v="The War of Loong"/>
    <x v="99"/>
    <x v="0"/>
    <n v="7462686.5700000003"/>
    <n v="14992537.310000001"/>
    <n v="3583134.33"/>
    <n v="4316"/>
    <n v="1580000"/>
    <n v="9729104.4800000004"/>
    <n v="9782949"/>
    <n v="9782949"/>
    <n v="0"/>
    <x v="3"/>
    <x v="0"/>
    <x v="3"/>
    <x v="2"/>
    <s v="龙之战"/>
    <s v="The War of Loong"/>
    <s v="Liu Peiqi"/>
    <s v="Cao Yunjin"/>
    <s v="Xiu Qing"/>
    <s v="Gao Feng"/>
    <m/>
    <s v="Film Channel Program Center"/>
    <n v="8.6"/>
  </r>
  <r>
    <n v="2017"/>
    <x v="0"/>
    <n v="191"/>
    <s v="Dec 31, 2017"/>
    <s v="Oct 10, 2017"/>
    <s v="Shi Ba Dong Cun"/>
    <x v="85"/>
    <x v="2"/>
    <n v="1492537"/>
    <n v="746268"/>
    <n v="5928358"/>
    <n v="19177"/>
    <n v="5090000"/>
    <n v="15970149"/>
    <n v="16444489"/>
    <n v="16444489"/>
    <n v="0"/>
    <x v="1"/>
    <x v="0"/>
    <x v="4"/>
    <x v="2"/>
    <s v="十八洞村"/>
    <s v="Hold Your Hands"/>
    <s v="Wang Xueqi"/>
    <s v="Chen Jin"/>
    <m/>
    <s v="Miao Yue"/>
    <m/>
    <s v="Huaxia Film Distribution Co., Ltd"/>
    <n v="8.4"/>
  </r>
  <r>
    <n v="2017"/>
    <x v="0"/>
    <n v="192"/>
    <s v="Dec 31, 2017"/>
    <s v="Dec 17, 2017"/>
    <s v="Xin Yong Bu Xiao Shi De Dian Bo"/>
    <x v="100"/>
    <x v="2"/>
    <n v="11940298.5"/>
    <n v="295074.63"/>
    <n v="4094029.85"/>
    <n v="51459"/>
    <n v="7450000"/>
    <n v="11088059.699999999"/>
    <n v="11170000"/>
    <n v="11170000"/>
    <n v="0"/>
    <x v="1"/>
    <x v="0"/>
    <x v="6"/>
    <x v="2"/>
    <s v="密战"/>
    <s v="Eternal Wave"/>
    <s v="Aaron Kwok"/>
    <s v="Zhao Liying"/>
    <s v="Hans Zhang"/>
    <s v="Cao Duoran"/>
    <m/>
    <s v="Beijing Fengmang Culture Communication Co."/>
    <n v="8.1999999999999993"/>
  </r>
  <r>
    <n v="2017"/>
    <x v="0"/>
    <n v="193"/>
    <s v="Dec 31, 2017"/>
    <s v="Dec 1, 2017"/>
    <s v="Kill Me Please"/>
    <x v="101"/>
    <x v="7"/>
    <n v="5970149.253731343"/>
    <n v="1492537.3134328357"/>
    <n v="2813582.0895522386"/>
    <n v="23540"/>
    <n v="4380000"/>
    <n v="7670746.2686567158"/>
    <n v="8242805"/>
    <n v="8242805"/>
    <n v="0"/>
    <x v="1"/>
    <x v="0"/>
    <x v="4"/>
    <x v="2"/>
    <s v="这就是命"/>
    <s v="Kill Me Please"/>
    <s v="Wang Xun"/>
    <s v="Eric Tsang"/>
    <s v="Liang Chao"/>
    <s v="Wang Dan"/>
    <m/>
    <s v="Beijing Lehua Yuanyu Cultural Communication Co., Ltd"/>
    <n v="8.1"/>
  </r>
  <r>
    <n v="2017"/>
    <x v="0"/>
    <n v="194"/>
    <s v="Dec 31, 2017"/>
    <s v="Jun 16, 217"/>
    <s v="Return to the Wolves"/>
    <x v="54"/>
    <x v="9"/>
    <n v="1492537.3134328357"/>
    <n v="1492537.3134328357"/>
    <n v="1684029.8507462686"/>
    <n v="14710"/>
    <n v="62577"/>
    <n v="4591194.0298507465"/>
    <n v="4886088"/>
    <n v="4886088"/>
    <n v="0"/>
    <x v="3"/>
    <x v="0"/>
    <x v="3"/>
    <x v="2"/>
    <s v="重返·狼群"/>
    <s v="Return To The Wolves"/>
    <s v="Li Weiyi"/>
    <s v="Yi Feng"/>
    <m/>
    <s v="Yi Feng"/>
    <m/>
    <s v="Sichuan return wolf group culture media Co., Ltd"/>
    <n v="9.1999999999999993"/>
  </r>
  <r>
    <n v="2018"/>
    <x v="0"/>
    <n v="195"/>
    <s v="Dec 31, 2017"/>
    <s v="Mar 29, 2018"/>
    <s v="Yu jian ni zhen hao"/>
    <x v="102"/>
    <x v="2"/>
    <n v="11940298"/>
    <n v="2985074"/>
    <n v="2616417"/>
    <n v="25357"/>
    <n v="7372"/>
    <n v="7134328"/>
    <n v="8051388"/>
    <n v="8051388"/>
    <n v="0"/>
    <x v="1"/>
    <x v="0"/>
    <x v="4"/>
    <x v="2"/>
    <s v="遇见你真好"/>
    <s v="Nice To Meet You"/>
    <s v="Bai Ke"/>
    <s v="Lyric"/>
    <m/>
    <s v="Gu Changwei"/>
    <m/>
    <s v="Huayi Brothers Film Co., Ltd"/>
    <n v="8.1"/>
  </r>
  <r>
    <n v="2017"/>
    <x v="0"/>
    <n v="196"/>
    <s v="Dec 31, 2017"/>
    <s v="Jul 20, 2017"/>
    <s v="Shanguang Shaonu"/>
    <x v="103"/>
    <x v="2"/>
    <n v="4477611.9400000004"/>
    <n v="1492537.31"/>
    <n v="3301791.04"/>
    <n v="24815"/>
    <n v="980000"/>
    <n v="8980895.5199999996"/>
    <n v="9949926"/>
    <n v="9949926"/>
    <n v="0"/>
    <x v="1"/>
    <x v="0"/>
    <x v="4"/>
    <x v="2"/>
    <s v="闪光少女"/>
    <s v="Our Shining Days"/>
    <s v="LULU"/>
    <s v="Peng Yuchang"/>
    <s v="Liu Xongxi"/>
    <s v="Wang Ran"/>
    <m/>
    <s v="Beijing digital impression Culture Communication Co., Ltd"/>
    <n v="9.1999999999999993"/>
  </r>
  <r>
    <n v="2017"/>
    <x v="0"/>
    <n v="197"/>
    <s v="Dec 31, 2017"/>
    <s v="Jul 27, 2017"/>
    <s v="The Founding of an Army"/>
    <x v="104"/>
    <x v="0"/>
    <n v="14925373.134328358"/>
    <n v="7462686.5671641789"/>
    <n v="21492537.313432835"/>
    <n v="95005"/>
    <n v="24520000"/>
    <n v="57164179.104477607"/>
    <n v="60600360"/>
    <n v="60600360"/>
    <n v="0"/>
    <x v="1"/>
    <x v="0"/>
    <x v="6"/>
    <x v="2"/>
    <s v="建军大业"/>
    <s v="The Founding of An Army"/>
    <s v="Liu Ye"/>
    <s v="Zhu Yawen"/>
    <m/>
    <s v="Andrew Lau"/>
    <m/>
    <s v="August 1st Film Studio"/>
    <n v="9.1"/>
  </r>
  <r>
    <n v="2017"/>
    <x v="0"/>
    <n v="198"/>
    <s v="Dec 31, 2017"/>
    <s v="Aug 31, 2017"/>
    <s v="Hei Bai Mi Gong"/>
    <x v="105"/>
    <x v="0"/>
    <n v="4477611.940298507"/>
    <n v="1492537.3134328357"/>
    <n v="1691940.2985074627"/>
    <n v="33691"/>
    <n v="2820000"/>
    <n v="4612835.8208955219"/>
    <n v="5029820"/>
    <n v="5029820"/>
    <n v="0"/>
    <x v="1"/>
    <x v="0"/>
    <x v="4"/>
    <x v="2"/>
    <s v="黑白迷宫"/>
    <s v="Color of the Game"/>
    <s v="Simon Yam"/>
    <s v="Jordan chan"/>
    <s v=" Philip Wan Lung Ng"/>
    <s v="Kan Jiawei"/>
    <m/>
    <s v="Iqiyi film (Beijing) Co., Ltd., China"/>
    <n v="7.9"/>
  </r>
  <r>
    <n v="2017"/>
    <x v="0"/>
    <n v="199"/>
    <s v="Dec 31, 2017"/>
    <s v="Feb 20, 2018"/>
    <s v="Ren Pa Chu Ming Zhu Pa Zhuang"/>
    <x v="106"/>
    <x v="7"/>
    <n v="2985074.6268656715"/>
    <n v="1194029.8507462686"/>
    <n v="455223.88059701491"/>
    <s v="NA"/>
    <n v="195282"/>
    <n v="1241791.0447761193"/>
    <n v="1327225"/>
    <n v="1327225"/>
    <n v="0"/>
    <x v="1"/>
    <x v="0"/>
    <x v="4"/>
    <x v="2"/>
    <s v="人怕出名猪怕壮"/>
    <s v="Fat And Fame"/>
    <s v="Shen Fa"/>
    <s v="Yue Hong"/>
    <s v="Fang Qingping"/>
    <s v="Peng Jianwei"/>
    <m/>
    <s v="Leshan Cultural Industry Investment Development Co., Ltd"/>
    <n v="8"/>
  </r>
  <r>
    <n v="2017"/>
    <x v="0"/>
    <n v="200"/>
    <s v="Dec 31, 2017"/>
    <s v="Oct 6, 2017"/>
    <s v="Kong tian liè"/>
    <x v="85"/>
    <x v="0"/>
    <n v="29850746"/>
    <n v="8955223"/>
    <n v="17164179"/>
    <n v="45552"/>
    <n v="12995928"/>
    <n v="45970149"/>
    <n v="48069252"/>
    <n v="48069252"/>
    <n v="0"/>
    <x v="1"/>
    <x v="0"/>
    <x v="4"/>
    <x v="2"/>
    <s v="空天猎"/>
    <s v="Sky Hunter"/>
    <s v="Chen Li"/>
    <s v="Fan Bingbing"/>
    <s v="Wang Qianyuan"/>
    <s v="LiChen"/>
    <m/>
    <s v="Air administration Television Art Center"/>
    <n v="8.6"/>
  </r>
  <r>
    <n v="2017"/>
    <x v="0"/>
    <n v="201"/>
    <s v="Dec 31, 2017"/>
    <s v="Nov 17, 2017"/>
    <s v="Bao Xue Jiang Zhi"/>
    <x v="107"/>
    <x v="2"/>
    <n v="7462686.5671641789"/>
    <n v="1492537.3134328357"/>
    <n v="1391343.2835820895"/>
    <n v="32654"/>
    <n v="3308567"/>
    <n v="3793283.5820895522"/>
    <n v="4964366"/>
    <n v="4964366"/>
    <n v="0"/>
    <x v="1"/>
    <x v="0"/>
    <x v="4"/>
    <x v="2"/>
    <s v="暴雪将至"/>
    <s v="The Looming Storm"/>
    <s v="Duan Long"/>
    <s v="Jiang Yiyan"/>
    <s v="Du Yuan"/>
    <s v="Dong Yue"/>
    <m/>
    <s v="Century century film (Tianjin) Co., Ltd"/>
    <n v="7.2"/>
  </r>
  <r>
    <n v="2017"/>
    <x v="0"/>
    <n v="202"/>
    <s v="Dec 31, 2017"/>
    <s v="Apr 16, 2017"/>
    <s v="Ao Jiao &amp; Pian Jian"/>
    <x v="28"/>
    <x v="6"/>
    <n v="7462686.5671641789"/>
    <n v="7462686.5671641789"/>
    <n v="6322238.8059701491"/>
    <n v="35687"/>
    <n v="219973"/>
    <n v="17014925.373134326"/>
    <n v="18019652"/>
    <n v="18019652"/>
    <n v="0"/>
    <x v="0"/>
    <x v="0"/>
    <x v="4"/>
    <x v="2"/>
    <s v="傲娇与偏见"/>
    <s v="Mr. Pride vs. Miss Prejudice"/>
    <s v="Dilraba Dilmurat"/>
    <s v="Leon"/>
    <m/>
    <s v="Li Haishu"/>
    <s v="Huang Yanwei"/>
    <s v="Alibaba Pictures,"/>
    <n v="9"/>
  </r>
  <r>
    <n v="2018"/>
    <x v="0"/>
    <n v="203"/>
    <s v="Dec 31, 2017"/>
    <s v="Apr 4, 2019"/>
    <s v="Bao Lie Wu Sheng"/>
    <x v="97"/>
    <x v="4"/>
    <n v="2985074"/>
    <n v="2238805"/>
    <n v="3063333"/>
    <n v="24773"/>
    <n v="1610"/>
    <n v="7479104"/>
    <n v="8512220"/>
    <n v="8512220"/>
    <n v="0"/>
    <x v="1"/>
    <x v="0"/>
    <x v="4"/>
    <x v="2"/>
    <s v="暴裂无声"/>
    <s v="Wrath Of Silence"/>
    <s v="Song Yang"/>
    <s v="Jian Wu"/>
    <m/>
    <s v="Xin Yukun"/>
    <m/>
    <s v="Co star (Shanghai) Film Co., Ltd"/>
    <n v="8.1999999999999993"/>
  </r>
  <r>
    <n v="2017"/>
    <x v="0"/>
    <n v="204"/>
    <s v="Dec 31, 2017"/>
    <s v="Jun 30, 2017"/>
    <s v="Fan Zhuan Ren Sheng"/>
    <x v="103"/>
    <x v="7"/>
    <n v="7462686.5700000003"/>
    <n v="2238805.9700000002"/>
    <n v="3528507.46"/>
    <n v="36935"/>
    <n v="5430000"/>
    <n v="9583880.5999999996"/>
    <n v="10238078"/>
    <n v="10238078"/>
    <n v="0"/>
    <x v="1"/>
    <x v="3"/>
    <x v="0"/>
    <x v="2"/>
    <s v="反转人生"/>
    <s v="Wished"/>
    <s v="Xia Yu"/>
    <s v="NI YAN"/>
    <s v="Pan Binlong"/>
    <s v="Dayyan Eng"/>
    <m/>
    <s v="Daren culture"/>
    <n v="8.1"/>
  </r>
  <r>
    <n v="2018"/>
    <x v="0"/>
    <n v="205"/>
    <s v="Dec 31, 2017"/>
    <s v="May 11, 2018"/>
    <s v="Wo Shi Ni Ma"/>
    <x v="105"/>
    <x v="7"/>
    <n v="7462686"/>
    <n v="1492537"/>
    <n v="1880597"/>
    <n v="30895"/>
    <n v="82699"/>
    <n v="5125373"/>
    <n v="5748970"/>
    <n v="5748970"/>
    <n v="0"/>
    <x v="1"/>
    <x v="0"/>
    <x v="4"/>
    <x v="2"/>
    <s v="我是你妈"/>
    <s v="I Am Your Mom"/>
    <s v="NI YAN"/>
    <s v="Zhou Yuanqing"/>
    <m/>
    <s v="Zhang Xiao"/>
    <m/>
    <s v="Iqiyi film (Beijing) Co., Ltd., China"/>
    <n v="8.3000000000000007"/>
  </r>
  <r>
    <n v="2017"/>
    <x v="0"/>
    <n v="206"/>
    <s v="Dec 31, 2017"/>
    <s v="Jul 13, 2017"/>
    <s v="Fist &amp; Faith"/>
    <x v="108"/>
    <x v="0"/>
    <n v="7462686.5671641789"/>
    <n v="2238805.9701492535"/>
    <n v="1538208.9552238805"/>
    <n v="26127"/>
    <n v="1530000"/>
    <n v="4193731.343283582"/>
    <n v="4433919"/>
    <n v="4433919"/>
    <n v="0"/>
    <x v="1"/>
    <x v="0"/>
    <x v="6"/>
    <x v="2"/>
    <s v="青禾男高"/>
    <s v="Fist &amp; Faith"/>
    <s v="Jing Tian"/>
    <s v="Oho Ou"/>
    <m/>
    <s v="Jiang Zhuoyuan"/>
    <m/>
    <s v="Black ant film industry"/>
    <n v="7.8"/>
  </r>
  <r>
    <n v="2017"/>
    <x v="0"/>
    <n v="207"/>
    <s v="Dec 31, 2017"/>
    <s v="Aug 9, 2017"/>
    <s v="Xin Li Zui"/>
    <x v="109"/>
    <x v="0"/>
    <n v="14925373"/>
    <n v="4477611"/>
    <n v="16119402"/>
    <n v="63028"/>
    <n v="24270000"/>
    <n v="43134328"/>
    <n v="45698504"/>
    <n v="45698504"/>
    <n v="0"/>
    <x v="1"/>
    <x v="0"/>
    <x v="4"/>
    <x v="2"/>
    <s v="心理罪"/>
    <s v="Guilty of Mind"/>
    <s v="Yifeng Li"/>
    <s v="Liao Fan"/>
    <m/>
    <s v="Dong-shen Xie"/>
    <m/>
    <s v="Helichenguang international cultural media (Beijing) Co., Ltd"/>
    <n v="8.1999999999999993"/>
  </r>
  <r>
    <n v="2017"/>
    <x v="1"/>
    <n v="208"/>
    <s v="Dec 31, 2017"/>
    <s v="Jul 21, 2017"/>
    <s v="Meow"/>
    <x v="63"/>
    <x v="1"/>
    <n v="10447761.194029851"/>
    <n v="2238805.9701492535"/>
    <n v="2307462.686567164"/>
    <n v="33909"/>
    <n v="4580967"/>
    <n v="6290746.2686567167"/>
    <n v="6651494"/>
    <n v="6651494"/>
    <n v="0"/>
    <x v="1"/>
    <x v="3"/>
    <x v="2"/>
    <x v="2"/>
    <s v="喵星人"/>
    <s v="Meow"/>
    <s v="Louis Koo"/>
    <s v="Mary"/>
    <s v="Liu Chutian"/>
    <s v="Benny Chan"/>
    <m/>
    <s v="Gravity Film &amp; TV Investment Co., Ltd"/>
    <n v="8.4"/>
  </r>
  <r>
    <n v="2017"/>
    <x v="1"/>
    <n v="209"/>
    <s v="May 5, 2017"/>
    <s v="May 5, 2017"/>
    <s v="Chai dàn zhuanjia"/>
    <x v="110"/>
    <x v="0"/>
    <n v="14925373"/>
    <n v="7462686"/>
    <n v="20895522"/>
    <n v="58455"/>
    <n v="24538631"/>
    <n v="55522388"/>
    <n v="58807172"/>
    <n v="58807172"/>
    <n v="0"/>
    <x v="1"/>
    <x v="0"/>
    <x v="4"/>
    <x v="0"/>
    <s v="拆弹专家"/>
    <s v="Shock Wave"/>
    <s v="Andy Lau"/>
    <s v="Jiang Wu"/>
    <m/>
    <s v="Herman Yau Lai-To"/>
    <m/>
    <s v="Bona Film Group, Infinitus Entertainment"/>
    <n v="9"/>
  </r>
  <r>
    <n v="2017"/>
    <x v="2"/>
    <n v="210"/>
    <s v="Jun 2, 2017"/>
    <s v="May 27, 2017"/>
    <s v="DiDi's Dreams"/>
    <x v="111"/>
    <x v="2"/>
    <n v="5970149.253731343"/>
    <n v="2985074.6268656715"/>
    <n v="1386567.1641791044"/>
    <n v="23831"/>
    <n v="18228"/>
    <n v="3782089.5522388057"/>
    <n v="4013033"/>
    <n v="4013033"/>
    <n v="0"/>
    <x v="1"/>
    <x v="0"/>
    <x v="4"/>
    <x v="0"/>
    <s v="吃吃的爱"/>
    <s v="DIDI'S DREAMS"/>
    <s v="Elephant Dee"/>
    <s v="Lin Chi-ling"/>
    <s v="Jin Shijia"/>
    <s v="Kevin Tsai"/>
    <m/>
    <s v="LETV pictures"/>
    <n v="7.4"/>
  </r>
  <r>
    <n v="2019"/>
    <x v="0"/>
    <n v="211"/>
    <s v="Feb 5, 2019"/>
    <s v="Feb 5, 2019"/>
    <s v="Shéntàn púsōng líng "/>
    <x v="0"/>
    <x v="0"/>
    <n v="45000000"/>
    <s v="/"/>
    <n v="8059701"/>
    <s v="NA"/>
    <n v="2795657"/>
    <n v="22686567"/>
    <n v="22687180"/>
    <n v="22687180"/>
    <n v="0"/>
    <x v="4"/>
    <x v="3"/>
    <x v="0"/>
    <x v="0"/>
    <s v="神探蒲松龄"/>
    <s v="The Knight of Shadows"/>
    <s v="Jackie Chan"/>
    <m/>
    <m/>
    <s v="Yan Jia"/>
    <m/>
    <s v="Iqiyi film (Beijing) Co., Ltd., China"/>
    <n v="7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60D09-477F-4DA9-96C4-080040E525F4}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B15:C27" firstHeaderRow="1" firstDataRow="1" firstDataCol="1"/>
  <pivotFields count="30"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2">
        <item x="0"/>
        <item x="1"/>
        <item x="7"/>
        <item x="9"/>
        <item x="2"/>
        <item x="5"/>
        <item x="10"/>
        <item x="6"/>
        <item x="8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2">
    <i>
      <x v="4"/>
    </i>
    <i>
      <x/>
    </i>
    <i>
      <x v="1"/>
    </i>
    <i>
      <x v="2"/>
    </i>
    <i>
      <x v="7"/>
    </i>
    <i>
      <x v="10"/>
    </i>
    <i>
      <x v="3"/>
    </i>
    <i>
      <x v="9"/>
    </i>
    <i>
      <x v="5"/>
    </i>
    <i>
      <x v="8"/>
    </i>
    <i>
      <x v="6"/>
    </i>
    <i t="grand">
      <x/>
    </i>
  </rowItems>
  <colItems count="1">
    <i/>
  </colItems>
  <dataFields count="1">
    <dataField name="Count of Title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D82FA-F5BA-4D0C-BF1C-EEC41D4A58AA}" name="PivotTable1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B4:C8" firstHeaderRow="1" firstDataRow="1" firstDataCol="1"/>
  <pivotFields count="3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itle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F41B7-DFE3-4097-B164-16129DC1CB7B}" name="PivotTable6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H37:I46" firstHeaderRow="1" firstDataRow="1" firstDataCol="1"/>
  <pivotFields count="3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numFmtId="166" showAll="0"/>
    <pivotField showAll="0"/>
    <pivotField showAll="0"/>
    <pivotField axis="axisRow" showAll="0" sortType="descending">
      <items count="10">
        <item x="4"/>
        <item x="5"/>
        <item x="3"/>
        <item x="0"/>
        <item x="6"/>
        <item x="2"/>
        <item x="7"/>
        <item x="1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9">
    <i>
      <x/>
    </i>
    <i>
      <x v="3"/>
    </i>
    <i>
      <x v="5"/>
    </i>
    <i>
      <x v="4"/>
    </i>
    <i>
      <x v="2"/>
    </i>
    <i>
      <x v="7"/>
    </i>
    <i>
      <x v="1"/>
    </i>
    <i>
      <x v="6"/>
    </i>
    <i t="grand">
      <x/>
    </i>
  </rowItems>
  <colItems count="1">
    <i/>
  </colItems>
  <dataFields count="1">
    <dataField name="Count of Title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29076-5B11-48EB-8FBE-E0AF5BA5097D}" name="PivotTable7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H55:I62" firstHeaderRow="1" firstDataRow="1" firstDataCol="1"/>
  <pivotFields count="3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numFmtId="166" showAll="0"/>
    <pivotField showAll="0"/>
    <pivotField showAll="0"/>
    <pivotField showAll="0"/>
    <pivotField axis="axisRow" showAll="0" sortType="descending">
      <items count="7">
        <item x="1"/>
        <item x="0"/>
        <item x="5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7">
    <i>
      <x v="5"/>
    </i>
    <i>
      <x v="1"/>
    </i>
    <i>
      <x v="4"/>
    </i>
    <i>
      <x v="2"/>
    </i>
    <i>
      <x v="3"/>
    </i>
    <i>
      <x/>
    </i>
    <i t="grand">
      <x/>
    </i>
  </rowItems>
  <colItems count="1">
    <i/>
  </colItems>
  <dataFields count="1">
    <dataField name="Count of Title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DEB91-20D0-4E7F-99B2-180DDD4A27AE}" name="PivotTable5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H22:I27" firstHeaderRow="1" firstDataRow="1" firstDataCol="1"/>
  <pivotFields count="3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numFmtId="166" showAll="0"/>
    <pivotField showAll="0"/>
    <pivotField axis="axisRow" showAll="0" sortType="descending">
      <items count="6">
        <item x="1"/>
        <item x="2"/>
        <item x="0"/>
        <item x="3"/>
        <item m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Count of Title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4B816-8481-4FFB-9BCD-FD062EBB9AC7}" name="PivotTable3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B35:C148" firstHeaderRow="1" firstDataRow="1" firstDataCol="1"/>
  <pivotFields count="30"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19">
        <item x="99"/>
        <item x="28"/>
        <item x="79"/>
        <item x="103"/>
        <item x="38"/>
        <item x="51"/>
        <item x="81"/>
        <item x="17"/>
        <item x="59"/>
        <item x="26"/>
        <item x="47"/>
        <item m="1" x="117"/>
        <item x="97"/>
        <item x="24"/>
        <item x="48"/>
        <item x="101"/>
        <item x="76"/>
        <item x="23"/>
        <item x="102"/>
        <item x="53"/>
        <item x="87"/>
        <item x="32"/>
        <item x="82"/>
        <item x="21"/>
        <item x="31"/>
        <item x="29"/>
        <item x="75"/>
        <item x="77"/>
        <item x="45"/>
        <item x="111"/>
        <item x="72"/>
        <item x="106"/>
        <item x="18"/>
        <item x="104"/>
        <item x="7"/>
        <item x="41"/>
        <item x="5"/>
        <item x="37"/>
        <item x="1"/>
        <item m="1" x="116"/>
        <item x="4"/>
        <item x="110"/>
        <item x="25"/>
        <item x="92"/>
        <item x="49"/>
        <item x="14"/>
        <item x="69"/>
        <item x="94"/>
        <item x="70"/>
        <item x="89"/>
        <item x="39"/>
        <item x="16"/>
        <item x="15"/>
        <item x="67"/>
        <item x="44"/>
        <item x="95"/>
        <item x="33"/>
        <item x="52"/>
        <item x="109"/>
        <item x="11"/>
        <item x="73"/>
        <item x="88"/>
        <item x="71"/>
        <item x="80"/>
        <item x="68"/>
        <item x="42"/>
        <item x="96"/>
        <item x="64"/>
        <item x="85"/>
        <item x="105"/>
        <item x="19"/>
        <item m="1" x="114"/>
        <item x="3"/>
        <item x="61"/>
        <item x="6"/>
        <item x="30"/>
        <item x="55"/>
        <item x="107"/>
        <item x="35"/>
        <item x="91"/>
        <item x="34"/>
        <item x="12"/>
        <item x="36"/>
        <item x="100"/>
        <item x="98"/>
        <item x="108"/>
        <item x="57"/>
        <item x="93"/>
        <item x="43"/>
        <item x="46"/>
        <item x="63"/>
        <item x="22"/>
        <item x="86"/>
        <item x="8"/>
        <item x="10"/>
        <item x="2"/>
        <item x="78"/>
        <item x="62"/>
        <item x="74"/>
        <item x="54"/>
        <item x="66"/>
        <item x="84"/>
        <item x="13"/>
        <item x="56"/>
        <item x="9"/>
        <item x="40"/>
        <item x="0"/>
        <item m="1" x="113"/>
        <item m="1" x="112"/>
        <item m="1" x="115"/>
        <item x="20"/>
        <item x="83"/>
        <item x="60"/>
        <item x="90"/>
        <item x="58"/>
        <item x="27"/>
        <item x="65"/>
        <item x="50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Items count="1">
    <i/>
  </colItems>
  <dataFields count="1">
    <dataField name="Count of Title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9B2BC-54E1-431B-B672-2B15011AF8A7}" name="PivotTable4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H5:I14" firstHeaderRow="1" firstDataRow="1" firstDataCol="1"/>
  <pivotFields count="3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/>
    <pivotField numFmtId="166" showAll="0"/>
    <pivotField axis="axisRow" showAll="0" sortType="descending">
      <items count="9">
        <item x="7"/>
        <item x="0"/>
        <item x="4"/>
        <item x="6"/>
        <item x="3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9">
    <i>
      <x v="6"/>
    </i>
    <i>
      <x v="4"/>
    </i>
    <i>
      <x v="1"/>
    </i>
    <i>
      <x v="2"/>
    </i>
    <i>
      <x v="5"/>
    </i>
    <i>
      <x v="7"/>
    </i>
    <i>
      <x/>
    </i>
    <i>
      <x v="3"/>
    </i>
    <i t="grand">
      <x/>
    </i>
  </rowItems>
  <colItems count="1">
    <i/>
  </colItems>
  <dataFields count="1">
    <dataField name="Count of Title 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https://baike.baidu.com/item/%E5%91%A8%E8%8B%B1%E7%94%B7" TargetMode="External"/><Relationship Id="rId7" Type="http://schemas.openxmlformats.org/officeDocument/2006/relationships/hyperlink" Target="https://baike.baidu.com/item/%E6%AE%B5%E5%A5%95%E5%AE%8F/6910242" TargetMode="External"/><Relationship Id="rId2" Type="http://schemas.openxmlformats.org/officeDocument/2006/relationships/hyperlink" Target="https://baike.baidu.com/item/%E4%BA%95%E6%9F%8F%E7%84%B6/3974108" TargetMode="External"/><Relationship Id="rId1" Type="http://schemas.openxmlformats.org/officeDocument/2006/relationships/hyperlink" Target="https://baike.baidu.com/item/%E7%BD%97%E6%B4%8B" TargetMode="External"/><Relationship Id="rId6" Type="http://schemas.openxmlformats.org/officeDocument/2006/relationships/hyperlink" Target="https://baike.baidu.com/item/%E8%A2%81%E5%8D%AB%E4%B8%9C/6711412" TargetMode="External"/><Relationship Id="rId5" Type="http://schemas.openxmlformats.org/officeDocument/2006/relationships/hyperlink" Target="https://baike.baidu.com/item/%E5%BE%90%E5%B3%A5/2966629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baike.baidu.com/item/%E5%91%A8%E8%8B%B1%E7%94%B7" TargetMode="External"/><Relationship Id="rId9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baike.baidu.com/item/%E5%91%A8%E8%8B%B1%E7%94%B7" TargetMode="External"/><Relationship Id="rId2" Type="http://schemas.openxmlformats.org/officeDocument/2006/relationships/hyperlink" Target="https://baike.baidu.com/item/%E5%91%A8%E8%8B%B1%E7%94%B7" TargetMode="External"/><Relationship Id="rId1" Type="http://schemas.openxmlformats.org/officeDocument/2006/relationships/hyperlink" Target="https://baike.baidu.com/item/%E4%BA%95%E6%9F%8F%E7%84%B6/3974108" TargetMode="External"/><Relationship Id="rId6" Type="http://schemas.openxmlformats.org/officeDocument/2006/relationships/hyperlink" Target="https://baike.baidu.com/item/%E6%AE%B5%E5%A5%95%E5%AE%8F/6910242" TargetMode="External"/><Relationship Id="rId5" Type="http://schemas.openxmlformats.org/officeDocument/2006/relationships/hyperlink" Target="https://baike.baidu.com/item/%E8%A2%81%E5%8D%AB%E4%B8%9C/6711412" TargetMode="External"/><Relationship Id="rId4" Type="http://schemas.openxmlformats.org/officeDocument/2006/relationships/hyperlink" Target="https://baike.baidu.com/item/%E5%BE%90%E5%B3%A5/2966629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https://baike.baidu.com/item/%E5%91%A8%E8%8B%B1%E7%94%B7" TargetMode="External"/><Relationship Id="rId7" Type="http://schemas.openxmlformats.org/officeDocument/2006/relationships/hyperlink" Target="https://baike.baidu.com/item/%E8%A2%81%E5%8D%AB%E4%B8%9C/6711412" TargetMode="External"/><Relationship Id="rId2" Type="http://schemas.openxmlformats.org/officeDocument/2006/relationships/hyperlink" Target="https://baike.baidu.com/item/%E4%BA%95%E6%9F%8F%E7%84%B6/3974108" TargetMode="External"/><Relationship Id="rId1" Type="http://schemas.openxmlformats.org/officeDocument/2006/relationships/hyperlink" Target="https://baike.baidu.com/item/%E7%BD%97%E6%B4%8B" TargetMode="External"/><Relationship Id="rId6" Type="http://schemas.openxmlformats.org/officeDocument/2006/relationships/hyperlink" Target="https://baike.baidu.com/item/%E6%AE%B5%E5%A5%95%E5%AE%8F/6910242" TargetMode="External"/><Relationship Id="rId5" Type="http://schemas.openxmlformats.org/officeDocument/2006/relationships/hyperlink" Target="https://baike.baidu.com/item/%E5%BE%90%E5%B3%A5/2966629" TargetMode="External"/><Relationship Id="rId10" Type="http://schemas.openxmlformats.org/officeDocument/2006/relationships/comments" Target="../comments4.xml"/><Relationship Id="rId4" Type="http://schemas.openxmlformats.org/officeDocument/2006/relationships/hyperlink" Target="https://baike.baidu.com/item/%E5%91%A8%E8%8B%B1%E7%94%B7" TargetMode="External"/><Relationship Id="rId9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maoyan.com/" TargetMode="External"/><Relationship Id="rId13" Type="http://schemas.openxmlformats.org/officeDocument/2006/relationships/hyperlink" Target="https://pro.imdb.com/" TargetMode="External"/><Relationship Id="rId3" Type="http://schemas.openxmlformats.org/officeDocument/2006/relationships/hyperlink" Target="https://baike.baidu.com/item/%E4%BA%95%E6%9F%8F%E7%84%B6/3974108" TargetMode="External"/><Relationship Id="rId7" Type="http://schemas.openxmlformats.org/officeDocument/2006/relationships/hyperlink" Target="https://baike.baidu.com/item/%E5%91%A8%E8%8B%B1%E7%94%B7" TargetMode="External"/><Relationship Id="rId12" Type="http://schemas.openxmlformats.org/officeDocument/2006/relationships/hyperlink" Target="https://pro.imdb.com/" TargetMode="External"/><Relationship Id="rId2" Type="http://schemas.openxmlformats.org/officeDocument/2006/relationships/hyperlink" Target="https://baike.baidu.com/item/%E6%AE%B5%E5%A5%95%E5%AE%8F/6910242" TargetMode="External"/><Relationship Id="rId16" Type="http://schemas.openxmlformats.org/officeDocument/2006/relationships/hyperlink" Target="https://pro.imdb.com/" TargetMode="External"/><Relationship Id="rId1" Type="http://schemas.openxmlformats.org/officeDocument/2006/relationships/hyperlink" Target="https://baike.baidu.com/item/%E8%A2%81%E5%8D%AB%E4%B8%9C/6711412" TargetMode="External"/><Relationship Id="rId6" Type="http://schemas.openxmlformats.org/officeDocument/2006/relationships/hyperlink" Target="https://baike.baidu.com/item/%E5%91%A8%E8%8B%B1%E7%94%B7" TargetMode="External"/><Relationship Id="rId11" Type="http://schemas.openxmlformats.org/officeDocument/2006/relationships/hyperlink" Target="https://pro.imdb.com/" TargetMode="External"/><Relationship Id="rId5" Type="http://schemas.openxmlformats.org/officeDocument/2006/relationships/hyperlink" Target="https://baike.baidu.com/item/%E7%BD%97%E6%B4%8B" TargetMode="External"/><Relationship Id="rId15" Type="http://schemas.openxmlformats.org/officeDocument/2006/relationships/hyperlink" Target="https://maoyan.com/" TargetMode="External"/><Relationship Id="rId10" Type="http://schemas.openxmlformats.org/officeDocument/2006/relationships/hyperlink" Target="https://pro.imdb.com/" TargetMode="External"/><Relationship Id="rId4" Type="http://schemas.openxmlformats.org/officeDocument/2006/relationships/hyperlink" Target="https://baike.baidu.com/item/%E5%BE%90%E5%B3%A5/2966629" TargetMode="External"/><Relationship Id="rId9" Type="http://schemas.openxmlformats.org/officeDocument/2006/relationships/hyperlink" Target="https://pro.imdb.com/" TargetMode="External"/><Relationship Id="rId14" Type="http://schemas.openxmlformats.org/officeDocument/2006/relationships/hyperlink" Target="https://pro.imdb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baike.baidu.com/item/%E5%91%A8%E8%8B%B1%E7%94%B7" TargetMode="External"/><Relationship Id="rId7" Type="http://schemas.openxmlformats.org/officeDocument/2006/relationships/hyperlink" Target="https://baike.baidu.com/item/%E6%AE%B5%E5%A5%95%E5%AE%8F/6910242" TargetMode="External"/><Relationship Id="rId2" Type="http://schemas.openxmlformats.org/officeDocument/2006/relationships/hyperlink" Target="https://baike.baidu.com/item/%E4%BA%95%E6%9F%8F%E7%84%B6/3974108" TargetMode="External"/><Relationship Id="rId1" Type="http://schemas.openxmlformats.org/officeDocument/2006/relationships/hyperlink" Target="https://baike.baidu.com/item/%E7%BD%97%E6%B4%8B" TargetMode="External"/><Relationship Id="rId6" Type="http://schemas.openxmlformats.org/officeDocument/2006/relationships/hyperlink" Target="https://baike.baidu.com/item/%E8%A2%81%E5%8D%AB%E4%B8%9C/6711412" TargetMode="External"/><Relationship Id="rId5" Type="http://schemas.openxmlformats.org/officeDocument/2006/relationships/hyperlink" Target="https://baike.baidu.com/item/%E5%BE%90%E5%B3%A5/2966629" TargetMode="External"/><Relationship Id="rId4" Type="http://schemas.openxmlformats.org/officeDocument/2006/relationships/hyperlink" Target="https://baike.baidu.com/item/%E5%91%A8%E8%8B%B1%E7%94%B7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baike.baidu.com/item/%E5%91%A8%E8%8B%B1%E7%94%B7" TargetMode="External"/><Relationship Id="rId7" Type="http://schemas.openxmlformats.org/officeDocument/2006/relationships/hyperlink" Target="https://baike.baidu.com/item/%E6%AE%B5%E5%A5%95%E5%AE%8F/6910242" TargetMode="External"/><Relationship Id="rId2" Type="http://schemas.openxmlformats.org/officeDocument/2006/relationships/hyperlink" Target="https://baike.baidu.com/item/%E4%BA%95%E6%9F%8F%E7%84%B6/3974108" TargetMode="External"/><Relationship Id="rId1" Type="http://schemas.openxmlformats.org/officeDocument/2006/relationships/hyperlink" Target="https://baike.baidu.com/item/%E7%BD%97%E6%B4%8B" TargetMode="External"/><Relationship Id="rId6" Type="http://schemas.openxmlformats.org/officeDocument/2006/relationships/hyperlink" Target="https://baike.baidu.com/item/%E8%A2%81%E5%8D%AB%E4%B8%9C/6711412" TargetMode="External"/><Relationship Id="rId5" Type="http://schemas.openxmlformats.org/officeDocument/2006/relationships/hyperlink" Target="https://baike.baidu.com/item/%E5%BE%90%E5%B3%A5/2966629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baike.baidu.com/item/%E5%91%A8%E8%8B%B1%E7%94%B7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workbookViewId="0">
      <selection activeCell="E13" sqref="E13"/>
    </sheetView>
  </sheetViews>
  <sheetFormatPr defaultColWidth="9" defaultRowHeight="14.6"/>
  <cols>
    <col min="1" max="1" width="8.23046875" customWidth="1"/>
    <col min="2" max="2" width="19" customWidth="1"/>
    <col min="3" max="3" width="22.3828125" customWidth="1"/>
    <col min="4" max="4" width="14.3828125" customWidth="1"/>
    <col min="5" max="5" width="31.382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2020</v>
      </c>
      <c r="B2">
        <v>85</v>
      </c>
      <c r="C2" s="33">
        <v>1447624526</v>
      </c>
      <c r="D2" s="37">
        <v>0.28166999999999998</v>
      </c>
      <c r="E2" t="s">
        <v>5</v>
      </c>
    </row>
    <row r="3" spans="1:5">
      <c r="A3">
        <v>2019</v>
      </c>
      <c r="B3">
        <v>206</v>
      </c>
      <c r="C3" s="33">
        <v>5403933840</v>
      </c>
      <c r="D3" s="37">
        <v>0.14413999999999999</v>
      </c>
      <c r="E3" t="s">
        <v>6</v>
      </c>
    </row>
    <row r="4" spans="1:5">
      <c r="A4">
        <v>2018</v>
      </c>
      <c r="B4">
        <v>197</v>
      </c>
      <c r="C4" s="33">
        <v>4959693154</v>
      </c>
      <c r="D4" s="37">
        <v>0.12975999999999999</v>
      </c>
      <c r="E4" t="s">
        <v>7</v>
      </c>
    </row>
    <row r="5" spans="1:5">
      <c r="A5">
        <v>2017</v>
      </c>
      <c r="B5">
        <v>169</v>
      </c>
      <c r="C5" s="33">
        <v>4049224238</v>
      </c>
      <c r="D5" s="37">
        <v>0.10684</v>
      </c>
      <c r="E5" t="s">
        <v>8</v>
      </c>
    </row>
    <row r="6" spans="1:5">
      <c r="A6">
        <v>2016</v>
      </c>
      <c r="B6">
        <v>149</v>
      </c>
      <c r="C6" s="33">
        <v>3350230253</v>
      </c>
      <c r="D6" s="37">
        <v>9.0709999999999999E-2</v>
      </c>
      <c r="E6" t="s">
        <v>9</v>
      </c>
    </row>
    <row r="7" spans="1:5">
      <c r="A7">
        <v>2015</v>
      </c>
      <c r="B7">
        <v>177</v>
      </c>
      <c r="C7" s="33">
        <v>3861673282</v>
      </c>
      <c r="D7" s="37">
        <v>0.10721</v>
      </c>
      <c r="E7" t="s">
        <v>10</v>
      </c>
    </row>
    <row r="8" spans="1:5">
      <c r="A8">
        <v>2014</v>
      </c>
      <c r="B8">
        <v>45</v>
      </c>
      <c r="C8" s="33">
        <v>2054284818</v>
      </c>
      <c r="D8" s="37">
        <v>6.8559999999999996E-2</v>
      </c>
      <c r="E8" t="s">
        <v>11</v>
      </c>
    </row>
    <row r="9" spans="1:5">
      <c r="A9">
        <v>2013</v>
      </c>
      <c r="B9">
        <v>36</v>
      </c>
      <c r="C9" s="33">
        <v>1069568307</v>
      </c>
      <c r="D9" s="37">
        <v>3.5920000000000001E-2</v>
      </c>
      <c r="E9" t="s">
        <v>12</v>
      </c>
    </row>
    <row r="10" spans="1:5">
      <c r="A10">
        <v>2012</v>
      </c>
      <c r="B10">
        <v>43</v>
      </c>
      <c r="C10" s="33">
        <v>1344256230</v>
      </c>
      <c r="D10" s="37">
        <v>4.2410000000000003E-2</v>
      </c>
      <c r="E10" t="s">
        <v>13</v>
      </c>
    </row>
    <row r="11" spans="1:5">
      <c r="A11">
        <v>2011</v>
      </c>
      <c r="B11">
        <v>40</v>
      </c>
      <c r="C11" s="33">
        <v>479860310</v>
      </c>
      <c r="D11" s="37">
        <v>1.7520000000000001E-2</v>
      </c>
      <c r="E11" t="s">
        <v>14</v>
      </c>
    </row>
    <row r="12" spans="1:5">
      <c r="A12">
        <v>2010</v>
      </c>
      <c r="B12">
        <v>17</v>
      </c>
      <c r="C12" s="33">
        <v>153267001</v>
      </c>
      <c r="D12" s="37">
        <v>6.0600000000000003E-3</v>
      </c>
      <c r="E12" t="s">
        <v>15</v>
      </c>
    </row>
    <row r="13" spans="1:5">
      <c r="A13">
        <v>2009</v>
      </c>
      <c r="B13">
        <v>8</v>
      </c>
      <c r="C13" s="33">
        <v>147763698</v>
      </c>
      <c r="D13" s="37">
        <v>5.7000000000000002E-3</v>
      </c>
      <c r="E13" t="s">
        <v>16</v>
      </c>
    </row>
    <row r="14" spans="1:5">
      <c r="A14">
        <v>2008</v>
      </c>
      <c r="B14">
        <v>16</v>
      </c>
      <c r="C14" s="33">
        <v>1225223629</v>
      </c>
      <c r="D14" s="37">
        <v>5.058E-2</v>
      </c>
      <c r="E14" t="s">
        <v>17</v>
      </c>
    </row>
    <row r="15" spans="1:5">
      <c r="A15">
        <v>2007</v>
      </c>
      <c r="B15">
        <v>8</v>
      </c>
      <c r="C15" s="33">
        <v>101703661</v>
      </c>
      <c r="D15" s="37">
        <v>4.3699999999999998E-3</v>
      </c>
      <c r="E15" t="s">
        <v>18</v>
      </c>
    </row>
    <row r="16" spans="1:5">
      <c r="A16">
        <v>2005</v>
      </c>
      <c r="B16">
        <v>5</v>
      </c>
      <c r="C16" s="33">
        <v>20886833</v>
      </c>
      <c r="D16" s="37">
        <v>1.14E-3</v>
      </c>
      <c r="E16">
        <v>2046</v>
      </c>
    </row>
    <row r="17" spans="1:5">
      <c r="A17">
        <v>2004</v>
      </c>
      <c r="B17">
        <v>6</v>
      </c>
      <c r="C17" s="33">
        <v>473611266</v>
      </c>
      <c r="D17" s="37">
        <v>2.487E-2</v>
      </c>
      <c r="E17" t="s">
        <v>19</v>
      </c>
    </row>
    <row r="18" spans="1:5">
      <c r="A18">
        <v>2003</v>
      </c>
      <c r="B18">
        <v>6</v>
      </c>
      <c r="C18" s="33">
        <v>10439901</v>
      </c>
      <c r="D18" s="37">
        <v>5.9000000000000003E-4</v>
      </c>
      <c r="E18" t="s">
        <v>20</v>
      </c>
    </row>
    <row r="19" spans="1:5">
      <c r="A19">
        <v>2002</v>
      </c>
      <c r="B19">
        <v>2</v>
      </c>
      <c r="C19" s="33">
        <v>44872694</v>
      </c>
      <c r="D19" s="37">
        <v>2.6199999999999999E-3</v>
      </c>
      <c r="E19" t="s">
        <v>21</v>
      </c>
    </row>
    <row r="20" spans="1:5">
      <c r="A20">
        <v>2001</v>
      </c>
      <c r="B20">
        <v>1</v>
      </c>
      <c r="C20" t="s">
        <v>22</v>
      </c>
      <c r="D20" t="s">
        <v>22</v>
      </c>
      <c r="E20" t="s">
        <v>22</v>
      </c>
    </row>
    <row r="21" spans="1:5">
      <c r="A21">
        <v>2000</v>
      </c>
      <c r="B21">
        <v>3</v>
      </c>
      <c r="C21" s="33">
        <v>250279117</v>
      </c>
      <c r="D21" s="37">
        <v>1.882E-2</v>
      </c>
      <c r="E21" t="s">
        <v>23</v>
      </c>
    </row>
    <row r="22" spans="1:5">
      <c r="A22">
        <v>1999</v>
      </c>
      <c r="B22">
        <v>4</v>
      </c>
      <c r="C22" s="33">
        <v>20247143</v>
      </c>
      <c r="D22" s="37">
        <v>1.49E-3</v>
      </c>
      <c r="E22" t="s">
        <v>24</v>
      </c>
    </row>
    <row r="23" spans="1:5">
      <c r="A23">
        <v>1998</v>
      </c>
      <c r="B23">
        <v>2</v>
      </c>
      <c r="C23" s="33">
        <v>9275</v>
      </c>
      <c r="D23" s="37">
        <v>0</v>
      </c>
      <c r="E23" t="s">
        <v>25</v>
      </c>
    </row>
    <row r="24" spans="1:5">
      <c r="A24">
        <v>1997</v>
      </c>
      <c r="B24">
        <v>2</v>
      </c>
      <c r="C24" s="33">
        <v>137132578</v>
      </c>
      <c r="D24" s="37">
        <v>1.0749999999999999E-2</v>
      </c>
      <c r="E24" t="s">
        <v>26</v>
      </c>
    </row>
    <row r="25" spans="1:5">
      <c r="A25">
        <v>1996</v>
      </c>
      <c r="B25">
        <v>1</v>
      </c>
      <c r="C25" s="33">
        <v>215152</v>
      </c>
      <c r="D25" s="37">
        <v>2.0000000000000002E-5</v>
      </c>
      <c r="E25" t="s">
        <v>27</v>
      </c>
    </row>
    <row r="26" spans="1:5">
      <c r="A26">
        <v>1995</v>
      </c>
      <c r="B26">
        <v>2</v>
      </c>
      <c r="C26" s="33">
        <v>1903358</v>
      </c>
      <c r="D26" s="37">
        <v>1.9000000000000001E-4</v>
      </c>
      <c r="E26" t="s">
        <v>28</v>
      </c>
    </row>
    <row r="27" spans="1:5">
      <c r="A27">
        <v>1994</v>
      </c>
      <c r="B27">
        <v>1</v>
      </c>
      <c r="C27" s="33">
        <v>1825</v>
      </c>
      <c r="D27" s="37">
        <v>0</v>
      </c>
      <c r="E27" t="s">
        <v>29</v>
      </c>
    </row>
    <row r="28" spans="1:5">
      <c r="A28">
        <v>1993</v>
      </c>
      <c r="B28">
        <v>2</v>
      </c>
      <c r="C28" s="33">
        <v>5933746</v>
      </c>
      <c r="D28" s="37">
        <v>6.6E-4</v>
      </c>
      <c r="E28" t="s">
        <v>30</v>
      </c>
    </row>
    <row r="29" spans="1:5">
      <c r="A29">
        <v>1991</v>
      </c>
      <c r="B29">
        <v>1</v>
      </c>
      <c r="C29" s="33">
        <v>111673</v>
      </c>
      <c r="D29" s="37">
        <v>2.0000000000000002E-5</v>
      </c>
      <c r="E29" t="s">
        <v>31</v>
      </c>
    </row>
    <row r="30" spans="1:5">
      <c r="A30">
        <v>1990</v>
      </c>
      <c r="B30">
        <v>1</v>
      </c>
      <c r="C30" s="33">
        <v>3142660</v>
      </c>
      <c r="D30" s="37">
        <v>4.6999999999999999E-4</v>
      </c>
      <c r="E30" t="s">
        <v>32</v>
      </c>
    </row>
    <row r="31" spans="1:5">
      <c r="A31">
        <v>1989</v>
      </c>
      <c r="B31">
        <v>3</v>
      </c>
      <c r="C31" s="33">
        <v>345139</v>
      </c>
      <c r="D31" s="37">
        <v>6.0000000000000002E-5</v>
      </c>
      <c r="E31" t="s">
        <v>33</v>
      </c>
    </row>
    <row r="32" spans="1:5">
      <c r="A32">
        <v>1988</v>
      </c>
      <c r="B32">
        <v>1</v>
      </c>
      <c r="C32" t="s">
        <v>22</v>
      </c>
      <c r="D32" t="s">
        <v>22</v>
      </c>
      <c r="E32" t="s">
        <v>22</v>
      </c>
    </row>
    <row r="33" spans="1:5">
      <c r="A33">
        <v>1986</v>
      </c>
      <c r="B33">
        <v>3</v>
      </c>
      <c r="C33" s="33">
        <v>5024917</v>
      </c>
      <c r="D33" s="37">
        <v>1.4E-3</v>
      </c>
      <c r="E33" t="s">
        <v>34</v>
      </c>
    </row>
    <row r="34" spans="1:5">
      <c r="A34">
        <v>1985</v>
      </c>
      <c r="B34">
        <v>1</v>
      </c>
      <c r="C34" s="33">
        <v>44900</v>
      </c>
      <c r="D34" s="37">
        <v>1.0000000000000001E-5</v>
      </c>
      <c r="E34" t="s">
        <v>35</v>
      </c>
    </row>
    <row r="35" spans="1:5">
      <c r="A35">
        <v>1984</v>
      </c>
      <c r="B35">
        <v>1</v>
      </c>
      <c r="C35" s="33">
        <v>333080271</v>
      </c>
      <c r="D35" s="37">
        <v>8.5959999999999995E-2</v>
      </c>
      <c r="E35" t="s">
        <v>36</v>
      </c>
    </row>
    <row r="36" spans="1:5">
      <c r="A36">
        <v>1982</v>
      </c>
      <c r="B36">
        <v>1</v>
      </c>
      <c r="C36" t="s">
        <v>22</v>
      </c>
      <c r="D36" t="s">
        <v>22</v>
      </c>
      <c r="E36" t="s">
        <v>22</v>
      </c>
    </row>
    <row r="37" spans="1:5">
      <c r="A37">
        <v>1981</v>
      </c>
      <c r="B37">
        <v>1</v>
      </c>
      <c r="C37" s="33">
        <v>1834692</v>
      </c>
      <c r="D37" s="37">
        <v>6.4000000000000005E-4</v>
      </c>
      <c r="E37" t="s">
        <v>37</v>
      </c>
    </row>
    <row r="38" spans="1:5">
      <c r="A38">
        <v>1980</v>
      </c>
      <c r="B38">
        <v>2</v>
      </c>
      <c r="C38" t="s">
        <v>22</v>
      </c>
      <c r="D38" t="s">
        <v>22</v>
      </c>
      <c r="E38" t="s">
        <v>22</v>
      </c>
    </row>
    <row r="39" spans="1:5">
      <c r="A39">
        <v>1979</v>
      </c>
      <c r="B39">
        <v>2</v>
      </c>
      <c r="C39" s="33">
        <v>7639</v>
      </c>
      <c r="D39" s="37">
        <v>0</v>
      </c>
      <c r="E39" t="s">
        <v>38</v>
      </c>
    </row>
    <row r="40" spans="1:5">
      <c r="A40">
        <v>1976</v>
      </c>
      <c r="B40">
        <v>1</v>
      </c>
      <c r="C40" s="33">
        <v>20665</v>
      </c>
      <c r="D40" s="37">
        <v>2.0000000000000002E-5</v>
      </c>
      <c r="E40" t="s">
        <v>39</v>
      </c>
    </row>
    <row r="41" spans="1:5">
      <c r="A41">
        <v>1975</v>
      </c>
      <c r="B41">
        <v>1</v>
      </c>
      <c r="C41" t="s">
        <v>22</v>
      </c>
      <c r="D41" t="s">
        <v>22</v>
      </c>
      <c r="E41" t="s">
        <v>22</v>
      </c>
    </row>
    <row r="42" spans="1:5">
      <c r="A42">
        <v>1973</v>
      </c>
      <c r="B42">
        <v>1</v>
      </c>
      <c r="C42" s="33">
        <v>4295</v>
      </c>
      <c r="D42" s="37">
        <v>0</v>
      </c>
      <c r="E42" t="s">
        <v>40</v>
      </c>
    </row>
    <row r="43" spans="1:5">
      <c r="A43">
        <v>1972</v>
      </c>
      <c r="B43">
        <v>1</v>
      </c>
      <c r="C43" t="s">
        <v>22</v>
      </c>
      <c r="D43" t="s">
        <v>22</v>
      </c>
      <c r="E43" t="s">
        <v>22</v>
      </c>
    </row>
    <row r="44" spans="1:5">
      <c r="A44">
        <v>1971</v>
      </c>
      <c r="B44">
        <v>1</v>
      </c>
      <c r="C44" t="s">
        <v>22</v>
      </c>
      <c r="D44" t="s">
        <v>22</v>
      </c>
      <c r="E44" t="s">
        <v>22</v>
      </c>
    </row>
    <row r="45" spans="1:5">
      <c r="A45">
        <v>1967</v>
      </c>
      <c r="B45">
        <v>1</v>
      </c>
      <c r="C45" t="s">
        <v>22</v>
      </c>
      <c r="D45" t="s">
        <v>22</v>
      </c>
      <c r="E45" t="s">
        <v>22</v>
      </c>
    </row>
    <row r="46" spans="1:5">
      <c r="A46">
        <v>1966</v>
      </c>
      <c r="B46">
        <v>1</v>
      </c>
      <c r="C46" s="33">
        <v>30017647</v>
      </c>
      <c r="D46" s="37">
        <v>7.0889999999999995E-2</v>
      </c>
      <c r="E46" t="s">
        <v>41</v>
      </c>
    </row>
    <row r="47" spans="1:5">
      <c r="A47">
        <v>1958</v>
      </c>
      <c r="B47">
        <v>1</v>
      </c>
      <c r="C47" s="33">
        <v>9000000</v>
      </c>
      <c r="D47" s="37">
        <v>6.3009999999999997E-2</v>
      </c>
      <c r="E47" t="s">
        <v>42</v>
      </c>
    </row>
    <row r="48" spans="1:5">
      <c r="A48">
        <v>1947</v>
      </c>
      <c r="B48">
        <v>1</v>
      </c>
      <c r="C48" s="33">
        <v>6962</v>
      </c>
      <c r="D48" s="37">
        <v>8.0000000000000007E-5</v>
      </c>
      <c r="E48" t="s">
        <v>43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F416-DF49-46A0-B548-77B88E3CF21E}">
  <dimension ref="B2:G26"/>
  <sheetViews>
    <sheetView topLeftCell="A10" workbookViewId="0">
      <selection activeCell="G26" sqref="G26"/>
    </sheetView>
  </sheetViews>
  <sheetFormatPr defaultRowHeight="14.6"/>
  <cols>
    <col min="3" max="3" width="19.53515625" bestFit="1" customWidth="1"/>
    <col min="4" max="4" width="28.15234375" bestFit="1" customWidth="1"/>
  </cols>
  <sheetData>
    <row r="2" spans="2:7">
      <c r="B2" t="s">
        <v>2988</v>
      </c>
      <c r="C2" t="s">
        <v>2985</v>
      </c>
      <c r="D2" t="s">
        <v>2986</v>
      </c>
    </row>
    <row r="3" spans="2:7">
      <c r="B3" t="s">
        <v>2987</v>
      </c>
      <c r="C3" t="s">
        <v>2985</v>
      </c>
      <c r="D3" s="5" t="s">
        <v>2989</v>
      </c>
    </row>
    <row r="4" spans="2:7">
      <c r="B4" t="s">
        <v>2990</v>
      </c>
      <c r="C4" t="s">
        <v>2985</v>
      </c>
      <c r="D4" s="5" t="s">
        <v>2994</v>
      </c>
    </row>
    <row r="5" spans="2:7">
      <c r="B5" t="s">
        <v>2991</v>
      </c>
      <c r="C5" t="s">
        <v>2985</v>
      </c>
      <c r="D5" s="5" t="s">
        <v>2994</v>
      </c>
    </row>
    <row r="6" spans="2:7">
      <c r="B6" t="s">
        <v>2992</v>
      </c>
      <c r="C6" t="s">
        <v>2985</v>
      </c>
      <c r="D6" s="5" t="s">
        <v>2994</v>
      </c>
    </row>
    <row r="7" spans="2:7">
      <c r="B7" t="s">
        <v>2993</v>
      </c>
      <c r="C7" t="s">
        <v>2985</v>
      </c>
      <c r="D7" s="5" t="s">
        <v>2994</v>
      </c>
    </row>
    <row r="9" spans="2:7">
      <c r="B9" t="s">
        <v>3007</v>
      </c>
      <c r="C9" t="s">
        <v>2996</v>
      </c>
      <c r="D9" s="39" t="s">
        <v>2997</v>
      </c>
    </row>
    <row r="10" spans="2:7">
      <c r="B10" t="s">
        <v>3008</v>
      </c>
      <c r="C10" t="s">
        <v>2996</v>
      </c>
      <c r="D10" s="39" t="s">
        <v>1417</v>
      </c>
    </row>
    <row r="11" spans="2:7">
      <c r="B11" t="s">
        <v>2992</v>
      </c>
      <c r="C11" t="s">
        <v>2996</v>
      </c>
      <c r="D11" s="5" t="s">
        <v>1417</v>
      </c>
      <c r="F11" t="s">
        <v>1467</v>
      </c>
      <c r="G11" t="s">
        <v>1470</v>
      </c>
    </row>
    <row r="12" spans="2:7">
      <c r="B12" t="s">
        <v>3009</v>
      </c>
      <c r="C12" t="s">
        <v>2996</v>
      </c>
      <c r="D12" s="39" t="s">
        <v>2998</v>
      </c>
    </row>
    <row r="13" spans="2:7">
      <c r="B13" t="s">
        <v>3010</v>
      </c>
      <c r="C13" t="s">
        <v>2996</v>
      </c>
      <c r="D13" s="39" t="s">
        <v>2999</v>
      </c>
    </row>
    <row r="14" spans="2:7">
      <c r="B14" t="s">
        <v>3011</v>
      </c>
      <c r="C14" t="s">
        <v>2996</v>
      </c>
      <c r="D14" s="39" t="s">
        <v>1494</v>
      </c>
    </row>
    <row r="15" spans="2:7">
      <c r="B15" t="s">
        <v>3012</v>
      </c>
      <c r="C15" t="s">
        <v>2996</v>
      </c>
      <c r="D15" s="39" t="s">
        <v>3000</v>
      </c>
    </row>
    <row r="16" spans="2:7">
      <c r="B16" t="s">
        <v>3013</v>
      </c>
      <c r="C16" t="s">
        <v>2996</v>
      </c>
      <c r="D16" s="39" t="s">
        <v>3001</v>
      </c>
    </row>
    <row r="17" spans="2:4">
      <c r="B17" t="s">
        <v>3014</v>
      </c>
      <c r="C17" t="s">
        <v>2996</v>
      </c>
      <c r="D17" s="39" t="s">
        <v>3002</v>
      </c>
    </row>
    <row r="18" spans="2:4">
      <c r="B18" t="s">
        <v>3015</v>
      </c>
      <c r="C18" t="s">
        <v>2996</v>
      </c>
      <c r="D18" s="39" t="s">
        <v>3003</v>
      </c>
    </row>
    <row r="19" spans="2:4">
      <c r="B19" t="s">
        <v>3016</v>
      </c>
      <c r="C19" t="s">
        <v>2996</v>
      </c>
      <c r="D19" s="39" t="s">
        <v>3004</v>
      </c>
    </row>
    <row r="20" spans="2:4">
      <c r="B20" t="s">
        <v>3017</v>
      </c>
      <c r="C20" t="s">
        <v>2996</v>
      </c>
      <c r="D20" s="39" t="s">
        <v>3005</v>
      </c>
    </row>
    <row r="21" spans="2:4">
      <c r="B21" t="s">
        <v>3018</v>
      </c>
      <c r="C21" t="s">
        <v>2996</v>
      </c>
      <c r="D21" s="39" t="s">
        <v>3006</v>
      </c>
    </row>
    <row r="22" spans="2:4">
      <c r="B22" t="s">
        <v>3020</v>
      </c>
      <c r="C22" t="s">
        <v>2996</v>
      </c>
      <c r="D22" s="52" t="s">
        <v>3019</v>
      </c>
    </row>
    <row r="24" spans="2:4">
      <c r="B24" s="93" t="s">
        <v>3022</v>
      </c>
    </row>
    <row r="26" spans="2:4">
      <c r="B26" t="s">
        <v>3023</v>
      </c>
      <c r="C26" t="s">
        <v>1473</v>
      </c>
      <c r="D26">
        <v>6.9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I148"/>
  <sheetViews>
    <sheetView workbookViewId="0">
      <selection activeCell="H7" sqref="H7"/>
    </sheetView>
  </sheetViews>
  <sheetFormatPr defaultColWidth="9" defaultRowHeight="14.6"/>
  <cols>
    <col min="2" max="2" width="53.53515625" bestFit="1" customWidth="1"/>
    <col min="3" max="3" width="12.07421875" bestFit="1" customWidth="1"/>
    <col min="4" max="5" width="4.69140625" bestFit="1" customWidth="1"/>
    <col min="6" max="6" width="10.23046875" bestFit="1" customWidth="1"/>
    <col min="8" max="8" width="25.69140625" customWidth="1"/>
    <col min="9" max="9" width="12.07421875" bestFit="1" customWidth="1"/>
    <col min="10" max="11" width="4.69140625" bestFit="1" customWidth="1"/>
    <col min="12" max="12" width="10.23046875" bestFit="1" customWidth="1"/>
  </cols>
  <sheetData>
    <row r="4" spans="1:9">
      <c r="B4" s="51" t="s">
        <v>1400</v>
      </c>
      <c r="C4" t="s">
        <v>3025</v>
      </c>
      <c r="H4" s="30" t="s">
        <v>591</v>
      </c>
    </row>
    <row r="5" spans="1:9">
      <c r="B5" s="10" t="s">
        <v>44</v>
      </c>
      <c r="C5" s="31">
        <v>195</v>
      </c>
      <c r="H5" s="51" t="s">
        <v>1400</v>
      </c>
      <c r="I5" t="s">
        <v>3025</v>
      </c>
    </row>
    <row r="6" spans="1:9">
      <c r="B6" s="10" t="s">
        <v>45</v>
      </c>
      <c r="C6" s="31">
        <v>12</v>
      </c>
      <c r="G6">
        <v>1</v>
      </c>
      <c r="H6" s="10" t="s">
        <v>606</v>
      </c>
      <c r="I6" s="31">
        <v>168</v>
      </c>
    </row>
    <row r="7" spans="1:9">
      <c r="B7" s="10" t="s">
        <v>46</v>
      </c>
      <c r="C7" s="31">
        <v>4</v>
      </c>
      <c r="G7" s="31">
        <f>G6+1</f>
        <v>2</v>
      </c>
      <c r="H7" s="10" t="s">
        <v>597</v>
      </c>
      <c r="I7" s="31">
        <v>16</v>
      </c>
    </row>
    <row r="8" spans="1:9">
      <c r="B8" s="10" t="s">
        <v>1401</v>
      </c>
      <c r="C8" s="31">
        <v>211</v>
      </c>
      <c r="G8" s="31">
        <f t="shared" ref="G8:G13" si="0">G7+1</f>
        <v>3</v>
      </c>
      <c r="H8" s="10" t="s">
        <v>602</v>
      </c>
      <c r="I8" s="31">
        <v>14</v>
      </c>
    </row>
    <row r="9" spans="1:9">
      <c r="G9" s="31">
        <f t="shared" si="0"/>
        <v>4</v>
      </c>
      <c r="H9" s="10" t="s">
        <v>666</v>
      </c>
      <c r="I9" s="31">
        <v>6</v>
      </c>
    </row>
    <row r="10" spans="1:9">
      <c r="G10" s="31">
        <f t="shared" si="0"/>
        <v>5</v>
      </c>
      <c r="H10" s="10" t="s">
        <v>610</v>
      </c>
      <c r="I10" s="31">
        <v>2</v>
      </c>
    </row>
    <row r="11" spans="1:9">
      <c r="G11" s="31">
        <f t="shared" si="0"/>
        <v>6</v>
      </c>
      <c r="H11" s="10" t="s">
        <v>1398</v>
      </c>
      <c r="I11" s="31">
        <v>2</v>
      </c>
    </row>
    <row r="12" spans="1:9">
      <c r="G12" s="31">
        <f t="shared" si="0"/>
        <v>7</v>
      </c>
      <c r="H12" s="10" t="s">
        <v>1397</v>
      </c>
      <c r="I12" s="31">
        <v>2</v>
      </c>
    </row>
    <row r="13" spans="1:9">
      <c r="G13" s="31">
        <f t="shared" si="0"/>
        <v>8</v>
      </c>
      <c r="H13" s="10" t="s">
        <v>1399</v>
      </c>
      <c r="I13" s="31">
        <v>1</v>
      </c>
    </row>
    <row r="14" spans="1:9">
      <c r="B14" s="32" t="s">
        <v>123</v>
      </c>
      <c r="H14" s="10" t="s">
        <v>1401</v>
      </c>
      <c r="I14" s="31">
        <v>211</v>
      </c>
    </row>
    <row r="15" spans="1:9">
      <c r="B15" s="51" t="s">
        <v>1400</v>
      </c>
      <c r="C15" t="s">
        <v>3025</v>
      </c>
    </row>
    <row r="16" spans="1:9">
      <c r="A16">
        <v>1</v>
      </c>
      <c r="B16" s="10" t="s">
        <v>131</v>
      </c>
      <c r="C16" s="31">
        <v>58</v>
      </c>
    </row>
    <row r="17" spans="1:9">
      <c r="A17">
        <f>A16+1</f>
        <v>2</v>
      </c>
      <c r="B17" s="10" t="s">
        <v>129</v>
      </c>
      <c r="C17" s="31">
        <v>51</v>
      </c>
    </row>
    <row r="18" spans="1:9">
      <c r="A18">
        <f>A17+1</f>
        <v>3</v>
      </c>
      <c r="B18" s="10" t="s">
        <v>127</v>
      </c>
      <c r="C18" s="31">
        <v>33</v>
      </c>
    </row>
    <row r="19" spans="1:9">
      <c r="A19">
        <f t="shared" ref="A19:A26" si="1">A18+1</f>
        <v>4</v>
      </c>
      <c r="B19" s="10" t="s">
        <v>136</v>
      </c>
      <c r="C19" s="31">
        <v>25</v>
      </c>
    </row>
    <row r="20" spans="1:9">
      <c r="A20">
        <f t="shared" si="1"/>
        <v>5</v>
      </c>
      <c r="B20" s="10" t="s">
        <v>148</v>
      </c>
      <c r="C20" s="31">
        <v>16</v>
      </c>
    </row>
    <row r="21" spans="1:9">
      <c r="A21">
        <f t="shared" si="1"/>
        <v>6</v>
      </c>
      <c r="B21" s="10" t="s">
        <v>1404</v>
      </c>
      <c r="C21" s="31">
        <v>10</v>
      </c>
      <c r="H21" s="30" t="s">
        <v>592</v>
      </c>
    </row>
    <row r="22" spans="1:9">
      <c r="A22">
        <f t="shared" si="1"/>
        <v>7</v>
      </c>
      <c r="B22" s="10" t="s">
        <v>191</v>
      </c>
      <c r="C22" s="31">
        <v>6</v>
      </c>
      <c r="H22" s="51" t="s">
        <v>1400</v>
      </c>
      <c r="I22" t="s">
        <v>3025</v>
      </c>
    </row>
    <row r="23" spans="1:9">
      <c r="A23">
        <f t="shared" si="1"/>
        <v>8</v>
      </c>
      <c r="B23" s="10" t="s">
        <v>1403</v>
      </c>
      <c r="C23" s="31">
        <v>5</v>
      </c>
      <c r="G23">
        <v>1</v>
      </c>
      <c r="H23" s="10" t="s">
        <v>598</v>
      </c>
      <c r="I23" s="31">
        <v>173</v>
      </c>
    </row>
    <row r="24" spans="1:9">
      <c r="A24">
        <f t="shared" si="1"/>
        <v>9</v>
      </c>
      <c r="B24" s="10" t="s">
        <v>193</v>
      </c>
      <c r="C24" s="31">
        <v>5</v>
      </c>
      <c r="G24" s="31">
        <f>G23+1</f>
        <v>2</v>
      </c>
      <c r="H24" s="10" t="s">
        <v>631</v>
      </c>
      <c r="I24" s="31">
        <v>26</v>
      </c>
    </row>
    <row r="25" spans="1:9">
      <c r="A25">
        <f t="shared" si="1"/>
        <v>10</v>
      </c>
      <c r="B25" s="10" t="s">
        <v>1402</v>
      </c>
      <c r="C25" s="31">
        <v>1</v>
      </c>
      <c r="G25" s="31">
        <f t="shared" ref="G25:G26" si="2">G24+1</f>
        <v>3</v>
      </c>
      <c r="H25" s="10" t="s">
        <v>703</v>
      </c>
      <c r="I25" s="31">
        <v>10</v>
      </c>
    </row>
    <row r="26" spans="1:9">
      <c r="A26">
        <f t="shared" si="1"/>
        <v>11</v>
      </c>
      <c r="B26" s="10" t="s">
        <v>264</v>
      </c>
      <c r="C26" s="31">
        <v>1</v>
      </c>
      <c r="G26" s="31">
        <f t="shared" si="2"/>
        <v>4</v>
      </c>
      <c r="H26" s="10" t="s">
        <v>611</v>
      </c>
      <c r="I26" s="31">
        <v>2</v>
      </c>
    </row>
    <row r="27" spans="1:9">
      <c r="B27" s="10" t="s">
        <v>1401</v>
      </c>
      <c r="C27" s="31">
        <v>211</v>
      </c>
      <c r="G27" s="31"/>
      <c r="H27" s="10" t="s">
        <v>1401</v>
      </c>
      <c r="I27" s="31">
        <v>211</v>
      </c>
    </row>
    <row r="34" spans="1:9">
      <c r="B34" s="30" t="s">
        <v>576</v>
      </c>
    </row>
    <row r="35" spans="1:9">
      <c r="B35" s="51" t="s">
        <v>1400</v>
      </c>
      <c r="C35" t="s">
        <v>3025</v>
      </c>
    </row>
    <row r="36" spans="1:9">
      <c r="A36">
        <v>1</v>
      </c>
      <c r="B36" s="10" t="s">
        <v>2609</v>
      </c>
      <c r="C36" s="31">
        <v>1</v>
      </c>
      <c r="H36" s="30" t="s">
        <v>593</v>
      </c>
    </row>
    <row r="37" spans="1:9">
      <c r="A37">
        <f>A36+1</f>
        <v>2</v>
      </c>
      <c r="B37" s="10" t="s">
        <v>1494</v>
      </c>
      <c r="C37" s="31">
        <v>2</v>
      </c>
      <c r="H37" s="51" t="s">
        <v>1400</v>
      </c>
      <c r="I37" t="s">
        <v>3025</v>
      </c>
    </row>
    <row r="38" spans="1:9">
      <c r="A38">
        <f t="shared" ref="A38:A101" si="3">A37+1</f>
        <v>3</v>
      </c>
      <c r="B38" s="10" t="s">
        <v>2392</v>
      </c>
      <c r="C38" s="31">
        <v>1</v>
      </c>
      <c r="G38">
        <v>1</v>
      </c>
      <c r="H38" s="10" t="s">
        <v>616</v>
      </c>
      <c r="I38" s="31">
        <v>124</v>
      </c>
    </row>
    <row r="39" spans="1:9">
      <c r="A39">
        <f t="shared" si="3"/>
        <v>4</v>
      </c>
      <c r="B39" s="10" t="s">
        <v>2575</v>
      </c>
      <c r="C39" s="31">
        <v>2</v>
      </c>
      <c r="G39" s="31">
        <f>G38+1</f>
        <v>2</v>
      </c>
      <c r="H39" s="10" t="s">
        <v>603</v>
      </c>
      <c r="I39" s="31">
        <v>24</v>
      </c>
    </row>
    <row r="40" spans="1:9">
      <c r="A40">
        <f t="shared" si="3"/>
        <v>5</v>
      </c>
      <c r="B40" s="10" t="s">
        <v>782</v>
      </c>
      <c r="C40" s="31">
        <v>1</v>
      </c>
      <c r="G40" s="31">
        <f t="shared" ref="G40:G45" si="4">G39+1</f>
        <v>3</v>
      </c>
      <c r="H40" s="10" t="s">
        <v>612</v>
      </c>
      <c r="I40" s="31">
        <v>22</v>
      </c>
    </row>
    <row r="41" spans="1:9">
      <c r="A41">
        <f t="shared" si="3"/>
        <v>6</v>
      </c>
      <c r="B41" s="10" t="s">
        <v>1426</v>
      </c>
      <c r="C41" s="31">
        <v>1</v>
      </c>
      <c r="G41" s="31">
        <f t="shared" si="4"/>
        <v>4</v>
      </c>
      <c r="H41" s="10" t="s">
        <v>658</v>
      </c>
      <c r="I41" s="31">
        <v>16</v>
      </c>
    </row>
    <row r="42" spans="1:9">
      <c r="A42">
        <f t="shared" si="3"/>
        <v>7</v>
      </c>
      <c r="B42" s="10" t="s">
        <v>2410</v>
      </c>
      <c r="C42" s="31">
        <v>1</v>
      </c>
      <c r="G42" s="31">
        <f t="shared" si="4"/>
        <v>5</v>
      </c>
      <c r="H42" s="10" t="s">
        <v>599</v>
      </c>
      <c r="I42" s="31">
        <v>11</v>
      </c>
    </row>
    <row r="43" spans="1:9">
      <c r="A43">
        <f t="shared" si="3"/>
        <v>8</v>
      </c>
      <c r="B43" s="10" t="s">
        <v>1409</v>
      </c>
      <c r="C43" s="31">
        <v>2</v>
      </c>
      <c r="G43" s="31">
        <f t="shared" si="4"/>
        <v>6</v>
      </c>
      <c r="H43" s="10" t="s">
        <v>607</v>
      </c>
      <c r="I43" s="31">
        <v>8</v>
      </c>
    </row>
    <row r="44" spans="1:9">
      <c r="A44">
        <f t="shared" si="3"/>
        <v>9</v>
      </c>
      <c r="B44" s="10" t="s">
        <v>1434</v>
      </c>
      <c r="C44" s="31">
        <v>1</v>
      </c>
      <c r="G44" s="31">
        <f t="shared" si="4"/>
        <v>7</v>
      </c>
      <c r="H44" s="10" t="s">
        <v>707</v>
      </c>
      <c r="I44" s="31">
        <v>5</v>
      </c>
    </row>
    <row r="45" spans="1:9">
      <c r="A45">
        <f t="shared" si="3"/>
        <v>10</v>
      </c>
      <c r="B45" s="10" t="s">
        <v>1585</v>
      </c>
      <c r="C45" s="31">
        <v>1</v>
      </c>
      <c r="G45" s="31">
        <f t="shared" si="4"/>
        <v>8</v>
      </c>
      <c r="H45" s="10" t="s">
        <v>704</v>
      </c>
      <c r="I45" s="31">
        <v>1</v>
      </c>
    </row>
    <row r="46" spans="1:9">
      <c r="A46">
        <f t="shared" si="3"/>
        <v>11</v>
      </c>
      <c r="B46" s="10" t="s">
        <v>1422</v>
      </c>
      <c r="C46" s="31">
        <v>3</v>
      </c>
      <c r="G46" s="31"/>
      <c r="H46" s="10" t="s">
        <v>1401</v>
      </c>
      <c r="I46" s="31">
        <v>211</v>
      </c>
    </row>
    <row r="47" spans="1:9">
      <c r="A47">
        <f t="shared" si="3"/>
        <v>12</v>
      </c>
      <c r="B47" s="10" t="s">
        <v>1916</v>
      </c>
      <c r="C47" s="31">
        <v>2</v>
      </c>
    </row>
    <row r="48" spans="1:9">
      <c r="A48">
        <f t="shared" si="3"/>
        <v>13</v>
      </c>
      <c r="B48" s="10" t="s">
        <v>1755</v>
      </c>
      <c r="C48" s="31">
        <v>1</v>
      </c>
    </row>
    <row r="49" spans="1:9">
      <c r="A49">
        <f t="shared" si="3"/>
        <v>14</v>
      </c>
      <c r="B49" s="10" t="s">
        <v>1423</v>
      </c>
      <c r="C49" s="31">
        <v>3</v>
      </c>
    </row>
    <row r="50" spans="1:9">
      <c r="A50">
        <f t="shared" si="3"/>
        <v>15</v>
      </c>
      <c r="B50" s="10" t="s">
        <v>3019</v>
      </c>
      <c r="C50" s="31">
        <v>1</v>
      </c>
    </row>
    <row r="51" spans="1:9">
      <c r="A51">
        <f t="shared" si="3"/>
        <v>16</v>
      </c>
      <c r="B51" s="10" t="s">
        <v>1449</v>
      </c>
      <c r="C51" s="31">
        <v>1</v>
      </c>
    </row>
    <row r="52" spans="1:9">
      <c r="A52">
        <f t="shared" si="3"/>
        <v>17</v>
      </c>
      <c r="B52" s="10" t="s">
        <v>1414</v>
      </c>
      <c r="C52" s="31">
        <v>2</v>
      </c>
    </row>
    <row r="53" spans="1:9">
      <c r="A53">
        <f t="shared" si="3"/>
        <v>18</v>
      </c>
      <c r="B53" s="10" t="s">
        <v>2642</v>
      </c>
      <c r="C53" s="31">
        <v>1</v>
      </c>
    </row>
    <row r="54" spans="1:9">
      <c r="A54">
        <f t="shared" si="3"/>
        <v>19</v>
      </c>
      <c r="B54" s="10" t="s">
        <v>1427</v>
      </c>
      <c r="C54" s="31">
        <v>1</v>
      </c>
      <c r="H54" s="30" t="s">
        <v>1385</v>
      </c>
    </row>
    <row r="55" spans="1:9">
      <c r="A55">
        <f t="shared" si="3"/>
        <v>20</v>
      </c>
      <c r="B55" s="10" t="s">
        <v>2476</v>
      </c>
      <c r="C55" s="31">
        <v>1</v>
      </c>
      <c r="H55" s="51" t="s">
        <v>1400</v>
      </c>
      <c r="I55" t="s">
        <v>3025</v>
      </c>
    </row>
    <row r="56" spans="1:9">
      <c r="A56">
        <f t="shared" si="3"/>
        <v>21</v>
      </c>
      <c r="B56" s="10" t="s">
        <v>1416</v>
      </c>
      <c r="C56" s="31">
        <v>1</v>
      </c>
      <c r="H56" s="10" t="s">
        <v>1406</v>
      </c>
      <c r="I56" s="31">
        <v>132</v>
      </c>
    </row>
    <row r="57" spans="1:9">
      <c r="A57">
        <f t="shared" si="3"/>
        <v>22</v>
      </c>
      <c r="B57" s="10" t="s">
        <v>2422</v>
      </c>
      <c r="C57" s="31">
        <v>1</v>
      </c>
      <c r="G57" s="31"/>
      <c r="H57" s="10" t="s">
        <v>1390</v>
      </c>
      <c r="I57" s="31">
        <v>63</v>
      </c>
    </row>
    <row r="58" spans="1:9">
      <c r="A58">
        <f t="shared" si="3"/>
        <v>23</v>
      </c>
      <c r="B58" s="10" t="s">
        <v>1412</v>
      </c>
      <c r="C58" s="31">
        <v>1</v>
      </c>
      <c r="H58" s="10" t="s">
        <v>1394</v>
      </c>
      <c r="I58" s="31">
        <v>6</v>
      </c>
    </row>
    <row r="59" spans="1:9">
      <c r="A59">
        <f t="shared" si="3"/>
        <v>24</v>
      </c>
      <c r="B59" s="10" t="s">
        <v>1813</v>
      </c>
      <c r="C59" s="31">
        <v>1</v>
      </c>
      <c r="H59" s="10" t="s">
        <v>1392</v>
      </c>
      <c r="I59" s="31">
        <v>5</v>
      </c>
    </row>
    <row r="60" spans="1:9">
      <c r="A60">
        <f t="shared" si="3"/>
        <v>25</v>
      </c>
      <c r="B60" s="10" t="s">
        <v>1793</v>
      </c>
      <c r="C60" s="31">
        <v>1</v>
      </c>
      <c r="H60" s="10" t="s">
        <v>1393</v>
      </c>
      <c r="I60" s="31">
        <v>3</v>
      </c>
    </row>
    <row r="61" spans="1:9">
      <c r="A61">
        <f t="shared" si="3"/>
        <v>26</v>
      </c>
      <c r="B61" s="10" t="s">
        <v>1448</v>
      </c>
      <c r="C61" s="31">
        <v>1</v>
      </c>
      <c r="H61" s="10" t="s">
        <v>1386</v>
      </c>
      <c r="I61" s="31">
        <v>2</v>
      </c>
    </row>
    <row r="62" spans="1:9">
      <c r="A62">
        <f t="shared" si="3"/>
        <v>27</v>
      </c>
      <c r="B62" s="10" t="s">
        <v>1450</v>
      </c>
      <c r="C62" s="31">
        <v>1</v>
      </c>
      <c r="H62" s="10" t="s">
        <v>1401</v>
      </c>
      <c r="I62" s="31">
        <v>211</v>
      </c>
    </row>
    <row r="63" spans="1:9">
      <c r="A63">
        <f t="shared" si="3"/>
        <v>28</v>
      </c>
      <c r="B63" s="10" t="s">
        <v>1421</v>
      </c>
      <c r="C63" s="31">
        <v>1</v>
      </c>
    </row>
    <row r="64" spans="1:9">
      <c r="A64">
        <f t="shared" si="3"/>
        <v>29</v>
      </c>
      <c r="B64" s="10" t="s">
        <v>1377</v>
      </c>
      <c r="C64" s="31">
        <v>1</v>
      </c>
    </row>
    <row r="65" spans="1:3">
      <c r="A65">
        <f t="shared" si="3"/>
        <v>30</v>
      </c>
      <c r="B65" s="10" t="s">
        <v>1445</v>
      </c>
      <c r="C65" s="31">
        <v>1</v>
      </c>
    </row>
    <row r="66" spans="1:3">
      <c r="A66">
        <f t="shared" si="3"/>
        <v>31</v>
      </c>
      <c r="B66" s="10" t="s">
        <v>2525</v>
      </c>
      <c r="C66" s="31">
        <v>1</v>
      </c>
    </row>
    <row r="67" spans="1:3">
      <c r="A67">
        <f t="shared" si="3"/>
        <v>32</v>
      </c>
      <c r="B67" s="10" t="s">
        <v>1417</v>
      </c>
      <c r="C67" s="31">
        <v>4</v>
      </c>
    </row>
    <row r="68" spans="1:3">
      <c r="A68">
        <f t="shared" si="3"/>
        <v>33</v>
      </c>
      <c r="B68" s="10" t="s">
        <v>2657</v>
      </c>
      <c r="C68" s="31">
        <v>1</v>
      </c>
    </row>
    <row r="69" spans="1:3">
      <c r="A69">
        <f t="shared" si="3"/>
        <v>34</v>
      </c>
      <c r="B69" s="10" t="s">
        <v>626</v>
      </c>
      <c r="C69" s="31">
        <v>18</v>
      </c>
    </row>
    <row r="70" spans="1:3">
      <c r="A70">
        <f t="shared" si="3"/>
        <v>35</v>
      </c>
      <c r="B70" s="10" t="s">
        <v>1418</v>
      </c>
      <c r="C70" s="31">
        <v>2</v>
      </c>
    </row>
    <row r="71" spans="1:3">
      <c r="A71">
        <f t="shared" si="3"/>
        <v>36</v>
      </c>
      <c r="B71" s="10" t="s">
        <v>622</v>
      </c>
      <c r="C71" s="31">
        <v>1</v>
      </c>
    </row>
    <row r="72" spans="1:3">
      <c r="A72">
        <f t="shared" si="3"/>
        <v>37</v>
      </c>
      <c r="B72" s="10" t="s">
        <v>1676</v>
      </c>
      <c r="C72" s="31">
        <v>1</v>
      </c>
    </row>
    <row r="73" spans="1:3">
      <c r="A73">
        <f t="shared" si="3"/>
        <v>38</v>
      </c>
      <c r="B73" s="10" t="s">
        <v>605</v>
      </c>
      <c r="C73" s="31">
        <v>6</v>
      </c>
    </row>
    <row r="74" spans="1:3">
      <c r="A74">
        <f t="shared" si="3"/>
        <v>39</v>
      </c>
      <c r="B74" s="10" t="s">
        <v>618</v>
      </c>
      <c r="C74" s="31">
        <v>1</v>
      </c>
    </row>
    <row r="75" spans="1:3">
      <c r="A75">
        <f t="shared" si="3"/>
        <v>40</v>
      </c>
      <c r="B75" s="10" t="s">
        <v>1357</v>
      </c>
      <c r="C75" s="31">
        <v>1</v>
      </c>
    </row>
    <row r="76" spans="1:3">
      <c r="A76">
        <f t="shared" si="3"/>
        <v>41</v>
      </c>
      <c r="B76" s="10" t="s">
        <v>2998</v>
      </c>
      <c r="C76" s="31">
        <v>1</v>
      </c>
    </row>
    <row r="77" spans="1:3">
      <c r="A77">
        <f t="shared" si="3"/>
        <v>42</v>
      </c>
      <c r="B77" s="10" t="s">
        <v>2522</v>
      </c>
      <c r="C77" s="31">
        <v>1</v>
      </c>
    </row>
    <row r="78" spans="1:3">
      <c r="A78">
        <f t="shared" si="3"/>
        <v>43</v>
      </c>
      <c r="B78" s="10" t="s">
        <v>1424</v>
      </c>
      <c r="C78" s="31">
        <v>1</v>
      </c>
    </row>
    <row r="79" spans="1:3">
      <c r="A79">
        <f t="shared" si="3"/>
        <v>44</v>
      </c>
      <c r="B79" s="10" t="s">
        <v>664</v>
      </c>
      <c r="C79" s="31">
        <v>1</v>
      </c>
    </row>
    <row r="80" spans="1:3">
      <c r="A80">
        <f t="shared" si="3"/>
        <v>45</v>
      </c>
      <c r="B80" s="10" t="s">
        <v>1442</v>
      </c>
      <c r="C80" s="31">
        <v>3</v>
      </c>
    </row>
    <row r="81" spans="1:3">
      <c r="A81">
        <f t="shared" si="3"/>
        <v>46</v>
      </c>
      <c r="B81" s="10" t="s">
        <v>2554</v>
      </c>
      <c r="C81" s="31">
        <v>1</v>
      </c>
    </row>
    <row r="82" spans="1:3">
      <c r="A82">
        <f t="shared" si="3"/>
        <v>47</v>
      </c>
      <c r="B82" s="10" t="s">
        <v>1443</v>
      </c>
      <c r="C82" s="31">
        <v>1</v>
      </c>
    </row>
    <row r="83" spans="1:3">
      <c r="A83">
        <f t="shared" si="3"/>
        <v>48</v>
      </c>
      <c r="B83" s="10" t="s">
        <v>2504</v>
      </c>
      <c r="C83" s="31">
        <v>2</v>
      </c>
    </row>
    <row r="84" spans="1:3">
      <c r="A84">
        <f t="shared" si="3"/>
        <v>49</v>
      </c>
      <c r="B84" s="10" t="s">
        <v>3001</v>
      </c>
      <c r="C84" s="31">
        <v>1</v>
      </c>
    </row>
    <row r="85" spans="1:3">
      <c r="A85">
        <f t="shared" si="3"/>
        <v>50</v>
      </c>
      <c r="B85" s="10" t="s">
        <v>669</v>
      </c>
      <c r="C85" s="31">
        <v>1</v>
      </c>
    </row>
    <row r="86" spans="1:3">
      <c r="A86">
        <f t="shared" si="3"/>
        <v>51</v>
      </c>
      <c r="B86" s="10" t="s">
        <v>1666</v>
      </c>
      <c r="C86" s="31">
        <v>1</v>
      </c>
    </row>
    <row r="87" spans="1:3">
      <c r="A87">
        <f t="shared" si="3"/>
        <v>52</v>
      </c>
      <c r="B87" s="10" t="s">
        <v>2210</v>
      </c>
      <c r="C87" s="31">
        <v>1</v>
      </c>
    </row>
    <row r="88" spans="1:3">
      <c r="A88">
        <f t="shared" si="3"/>
        <v>53</v>
      </c>
      <c r="B88" s="10" t="s">
        <v>861</v>
      </c>
      <c r="C88" s="31">
        <v>1</v>
      </c>
    </row>
    <row r="89" spans="1:3">
      <c r="A89">
        <f t="shared" si="3"/>
        <v>54</v>
      </c>
      <c r="B89" s="10" t="s">
        <v>2560</v>
      </c>
      <c r="C89" s="31">
        <v>1</v>
      </c>
    </row>
    <row r="90" spans="1:3">
      <c r="A90">
        <f t="shared" si="3"/>
        <v>55</v>
      </c>
      <c r="B90" s="10" t="s">
        <v>3000</v>
      </c>
      <c r="C90" s="31">
        <v>1</v>
      </c>
    </row>
    <row r="91" spans="1:3">
      <c r="A91">
        <f t="shared" si="3"/>
        <v>56</v>
      </c>
      <c r="B91" s="10" t="s">
        <v>3003</v>
      </c>
      <c r="C91" s="31">
        <v>1</v>
      </c>
    </row>
    <row r="92" spans="1:3">
      <c r="A92">
        <f t="shared" si="3"/>
        <v>57</v>
      </c>
      <c r="B92" s="10" t="s">
        <v>2722</v>
      </c>
      <c r="C92" s="31">
        <v>1</v>
      </c>
    </row>
    <row r="93" spans="1:3">
      <c r="A93">
        <f t="shared" si="3"/>
        <v>58</v>
      </c>
      <c r="B93" s="10" t="s">
        <v>2997</v>
      </c>
      <c r="C93" s="31">
        <v>1</v>
      </c>
    </row>
    <row r="94" spans="1:3">
      <c r="A94">
        <f t="shared" si="3"/>
        <v>59</v>
      </c>
      <c r="B94" s="10" t="s">
        <v>1446</v>
      </c>
      <c r="C94" s="31">
        <v>1</v>
      </c>
    </row>
    <row r="95" spans="1:3">
      <c r="A95">
        <f t="shared" si="3"/>
        <v>60</v>
      </c>
      <c r="B95" s="10" t="s">
        <v>2489</v>
      </c>
      <c r="C95" s="31">
        <v>1</v>
      </c>
    </row>
    <row r="96" spans="1:3">
      <c r="A96">
        <f t="shared" si="3"/>
        <v>61</v>
      </c>
      <c r="B96" s="10" t="s">
        <v>1444</v>
      </c>
      <c r="C96" s="31">
        <v>1</v>
      </c>
    </row>
    <row r="97" spans="1:3">
      <c r="A97">
        <f t="shared" si="3"/>
        <v>62</v>
      </c>
      <c r="B97" s="10" t="s">
        <v>2405</v>
      </c>
      <c r="C97" s="31">
        <v>1</v>
      </c>
    </row>
    <row r="98" spans="1:3">
      <c r="A98">
        <f t="shared" si="3"/>
        <v>63</v>
      </c>
      <c r="B98" s="10" t="s">
        <v>2276</v>
      </c>
      <c r="C98" s="31">
        <v>3</v>
      </c>
    </row>
    <row r="99" spans="1:3">
      <c r="A99">
        <f t="shared" si="3"/>
        <v>64</v>
      </c>
      <c r="B99" s="10" t="s">
        <v>1419</v>
      </c>
      <c r="C99" s="31">
        <v>2</v>
      </c>
    </row>
    <row r="100" spans="1:3">
      <c r="A100">
        <f t="shared" si="3"/>
        <v>65</v>
      </c>
      <c r="B100" s="10" t="s">
        <v>2566</v>
      </c>
      <c r="C100" s="31">
        <v>1</v>
      </c>
    </row>
    <row r="101" spans="1:3">
      <c r="A101">
        <f t="shared" si="3"/>
        <v>66</v>
      </c>
      <c r="B101" s="10" t="s">
        <v>1438</v>
      </c>
      <c r="C101" s="31">
        <v>1</v>
      </c>
    </row>
    <row r="102" spans="1:3">
      <c r="A102">
        <f t="shared" ref="A102:A147" si="5">A101+1</f>
        <v>67</v>
      </c>
      <c r="B102" s="10" t="s">
        <v>1658</v>
      </c>
      <c r="C102" s="31">
        <v>3</v>
      </c>
    </row>
    <row r="103" spans="1:3">
      <c r="A103">
        <f t="shared" si="5"/>
        <v>68</v>
      </c>
      <c r="B103" s="10" t="s">
        <v>2664</v>
      </c>
      <c r="C103" s="31">
        <v>2</v>
      </c>
    </row>
    <row r="104" spans="1:3">
      <c r="A104">
        <f t="shared" si="5"/>
        <v>69</v>
      </c>
      <c r="B104" s="10" t="s">
        <v>1710</v>
      </c>
      <c r="C104" s="31">
        <v>1</v>
      </c>
    </row>
    <row r="105" spans="1:3">
      <c r="A105">
        <f t="shared" si="5"/>
        <v>70</v>
      </c>
      <c r="B105" s="10" t="s">
        <v>1500</v>
      </c>
      <c r="C105" s="31">
        <v>2</v>
      </c>
    </row>
    <row r="106" spans="1:3">
      <c r="A106">
        <f t="shared" si="5"/>
        <v>71</v>
      </c>
      <c r="B106" s="10" t="s">
        <v>1436</v>
      </c>
      <c r="C106" s="31">
        <v>1</v>
      </c>
    </row>
    <row r="107" spans="1:3">
      <c r="A107">
        <f t="shared" si="5"/>
        <v>72</v>
      </c>
      <c r="B107" s="10" t="s">
        <v>624</v>
      </c>
      <c r="C107" s="31">
        <v>1</v>
      </c>
    </row>
    <row r="108" spans="1:3">
      <c r="A108">
        <f t="shared" si="5"/>
        <v>73</v>
      </c>
      <c r="B108" s="10" t="s">
        <v>1415</v>
      </c>
      <c r="C108" s="31">
        <v>2</v>
      </c>
    </row>
    <row r="109" spans="1:3">
      <c r="A109">
        <f t="shared" si="5"/>
        <v>74</v>
      </c>
      <c r="B109" s="10" t="s">
        <v>1429</v>
      </c>
      <c r="C109" s="31">
        <v>1</v>
      </c>
    </row>
    <row r="110" spans="1:3">
      <c r="A110">
        <f t="shared" si="5"/>
        <v>75</v>
      </c>
      <c r="B110" s="10" t="s">
        <v>2686</v>
      </c>
      <c r="C110" s="31">
        <v>1</v>
      </c>
    </row>
    <row r="111" spans="1:3">
      <c r="A111">
        <f t="shared" si="5"/>
        <v>76</v>
      </c>
      <c r="B111" s="10" t="s">
        <v>764</v>
      </c>
      <c r="C111" s="31">
        <v>4</v>
      </c>
    </row>
    <row r="112" spans="1:3">
      <c r="A112">
        <f t="shared" si="5"/>
        <v>77</v>
      </c>
      <c r="B112" s="10" t="s">
        <v>2516</v>
      </c>
      <c r="C112" s="31">
        <v>1</v>
      </c>
    </row>
    <row r="113" spans="1:3">
      <c r="A113">
        <f t="shared" si="5"/>
        <v>78</v>
      </c>
      <c r="B113" s="10" t="s">
        <v>1857</v>
      </c>
      <c r="C113" s="31">
        <v>1</v>
      </c>
    </row>
    <row r="114" spans="1:3">
      <c r="A114">
        <f t="shared" si="5"/>
        <v>79</v>
      </c>
      <c r="B114" s="10" t="s">
        <v>1598</v>
      </c>
      <c r="C114" s="31">
        <v>1</v>
      </c>
    </row>
    <row r="115" spans="1:3">
      <c r="A115">
        <f t="shared" si="5"/>
        <v>80</v>
      </c>
      <c r="B115" s="10" t="s">
        <v>767</v>
      </c>
      <c r="C115" s="31">
        <v>1</v>
      </c>
    </row>
    <row r="116" spans="1:3">
      <c r="A116">
        <f t="shared" si="5"/>
        <v>81</v>
      </c>
      <c r="B116" s="10" t="s">
        <v>2622</v>
      </c>
      <c r="C116" s="31">
        <v>1</v>
      </c>
    </row>
    <row r="117" spans="1:3">
      <c r="A117">
        <f t="shared" si="5"/>
        <v>82</v>
      </c>
      <c r="B117" s="10" t="s">
        <v>3006</v>
      </c>
      <c r="C117" s="31">
        <v>1</v>
      </c>
    </row>
    <row r="118" spans="1:3">
      <c r="A118">
        <f t="shared" si="5"/>
        <v>83</v>
      </c>
      <c r="B118" s="10" t="s">
        <v>2715</v>
      </c>
      <c r="C118" s="31">
        <v>1</v>
      </c>
    </row>
    <row r="119" spans="1:3">
      <c r="A119">
        <f t="shared" si="5"/>
        <v>84</v>
      </c>
      <c r="B119" s="10" t="s">
        <v>1431</v>
      </c>
      <c r="C119" s="31">
        <v>3</v>
      </c>
    </row>
    <row r="120" spans="1:3">
      <c r="A120">
        <f t="shared" si="5"/>
        <v>85</v>
      </c>
      <c r="B120" s="10" t="s">
        <v>2526</v>
      </c>
      <c r="C120" s="31">
        <v>1</v>
      </c>
    </row>
    <row r="121" spans="1:3">
      <c r="A121">
        <f t="shared" si="5"/>
        <v>86</v>
      </c>
      <c r="B121" s="10" t="s">
        <v>1420</v>
      </c>
      <c r="C121" s="31">
        <v>1</v>
      </c>
    </row>
    <row r="122" spans="1:3">
      <c r="A122">
        <f t="shared" si="5"/>
        <v>87</v>
      </c>
      <c r="B122" s="10" t="s">
        <v>3002</v>
      </c>
      <c r="C122" s="31">
        <v>1</v>
      </c>
    </row>
    <row r="123" spans="1:3">
      <c r="A123">
        <f t="shared" si="5"/>
        <v>88</v>
      </c>
      <c r="B123" s="10" t="s">
        <v>1437</v>
      </c>
      <c r="C123" s="31">
        <v>2</v>
      </c>
    </row>
    <row r="124" spans="1:3">
      <c r="A124">
        <f t="shared" si="5"/>
        <v>89</v>
      </c>
      <c r="B124" s="10" t="s">
        <v>1413</v>
      </c>
      <c r="C124" s="31">
        <v>1</v>
      </c>
    </row>
    <row r="125" spans="1:3">
      <c r="A125">
        <f t="shared" si="5"/>
        <v>90</v>
      </c>
      <c r="B125" s="10" t="s">
        <v>3004</v>
      </c>
      <c r="C125" s="31">
        <v>1</v>
      </c>
    </row>
    <row r="126" spans="1:3">
      <c r="A126">
        <f t="shared" si="5"/>
        <v>91</v>
      </c>
      <c r="B126" s="10" t="s">
        <v>870</v>
      </c>
      <c r="C126" s="31">
        <v>1</v>
      </c>
    </row>
    <row r="127" spans="1:3">
      <c r="A127">
        <f t="shared" si="5"/>
        <v>92</v>
      </c>
      <c r="B127" s="10" t="s">
        <v>641</v>
      </c>
      <c r="C127" s="31">
        <v>2</v>
      </c>
    </row>
    <row r="128" spans="1:3">
      <c r="A128">
        <f t="shared" si="5"/>
        <v>93</v>
      </c>
      <c r="B128" s="10" t="s">
        <v>609</v>
      </c>
      <c r="C128" s="31">
        <v>2</v>
      </c>
    </row>
    <row r="129" spans="1:3">
      <c r="A129">
        <f t="shared" si="5"/>
        <v>94</v>
      </c>
      <c r="B129" s="10" t="s">
        <v>1067</v>
      </c>
      <c r="C129" s="31">
        <v>1</v>
      </c>
    </row>
    <row r="130" spans="1:3">
      <c r="A130">
        <f t="shared" si="5"/>
        <v>95</v>
      </c>
      <c r="B130" s="10" t="s">
        <v>2174</v>
      </c>
      <c r="C130" s="31">
        <v>1</v>
      </c>
    </row>
    <row r="131" spans="1:3">
      <c r="A131">
        <f t="shared" si="5"/>
        <v>96</v>
      </c>
      <c r="B131" s="10" t="s">
        <v>1447</v>
      </c>
      <c r="C131" s="31">
        <v>1</v>
      </c>
    </row>
    <row r="132" spans="1:3">
      <c r="A132">
        <f t="shared" si="5"/>
        <v>97</v>
      </c>
      <c r="B132" s="10" t="s">
        <v>1428</v>
      </c>
      <c r="C132" s="31">
        <v>6</v>
      </c>
    </row>
    <row r="133" spans="1:3">
      <c r="A133">
        <f t="shared" si="5"/>
        <v>98</v>
      </c>
      <c r="B133" s="10" t="s">
        <v>1440</v>
      </c>
      <c r="C133" s="31">
        <v>1</v>
      </c>
    </row>
    <row r="134" spans="1:3">
      <c r="A134">
        <f t="shared" si="5"/>
        <v>99</v>
      </c>
      <c r="B134" s="10" t="s">
        <v>2449</v>
      </c>
      <c r="C134" s="31">
        <v>1</v>
      </c>
    </row>
    <row r="135" spans="1:3">
      <c r="A135">
        <f t="shared" si="5"/>
        <v>100</v>
      </c>
      <c r="B135" s="10" t="s">
        <v>653</v>
      </c>
      <c r="C135" s="31">
        <v>3</v>
      </c>
    </row>
    <row r="136" spans="1:3">
      <c r="A136">
        <f t="shared" si="5"/>
        <v>101</v>
      </c>
      <c r="B136" s="10" t="s">
        <v>1430</v>
      </c>
      <c r="C136" s="31">
        <v>1</v>
      </c>
    </row>
    <row r="137" spans="1:3">
      <c r="A137">
        <f t="shared" si="5"/>
        <v>102</v>
      </c>
      <c r="B137" s="10" t="s">
        <v>634</v>
      </c>
      <c r="C137" s="31">
        <v>1</v>
      </c>
    </row>
    <row r="138" spans="1:3">
      <c r="A138">
        <f t="shared" si="5"/>
        <v>103</v>
      </c>
      <c r="B138" s="10" t="s">
        <v>812</v>
      </c>
      <c r="C138" s="31">
        <v>3</v>
      </c>
    </row>
    <row r="139" spans="1:3">
      <c r="A139">
        <f t="shared" si="5"/>
        <v>104</v>
      </c>
      <c r="B139" s="10" t="s">
        <v>601</v>
      </c>
      <c r="C139" s="31">
        <v>34</v>
      </c>
    </row>
    <row r="140" spans="1:3">
      <c r="A140">
        <f t="shared" si="5"/>
        <v>105</v>
      </c>
      <c r="B140" s="10" t="s">
        <v>1410</v>
      </c>
      <c r="C140" s="31">
        <v>4</v>
      </c>
    </row>
    <row r="141" spans="1:3">
      <c r="A141">
        <f t="shared" si="5"/>
        <v>106</v>
      </c>
      <c r="B141" s="10" t="s">
        <v>2434</v>
      </c>
      <c r="C141" s="31">
        <v>1</v>
      </c>
    </row>
    <row r="142" spans="1:3">
      <c r="A142">
        <f t="shared" si="5"/>
        <v>107</v>
      </c>
      <c r="B142" s="10" t="s">
        <v>1435</v>
      </c>
      <c r="C142" s="31">
        <v>1</v>
      </c>
    </row>
    <row r="143" spans="1:3">
      <c r="A143">
        <f t="shared" si="5"/>
        <v>108</v>
      </c>
      <c r="B143" s="10" t="s">
        <v>3005</v>
      </c>
      <c r="C143" s="31">
        <v>1</v>
      </c>
    </row>
    <row r="144" spans="1:3">
      <c r="A144">
        <f t="shared" si="5"/>
        <v>109</v>
      </c>
      <c r="B144" s="10" t="s">
        <v>1433</v>
      </c>
      <c r="C144" s="31">
        <v>1</v>
      </c>
    </row>
    <row r="145" spans="1:3">
      <c r="A145">
        <f t="shared" si="5"/>
        <v>110</v>
      </c>
      <c r="B145" s="10" t="s">
        <v>2999</v>
      </c>
      <c r="C145" s="31">
        <v>1</v>
      </c>
    </row>
    <row r="146" spans="1:3">
      <c r="A146">
        <f t="shared" si="5"/>
        <v>111</v>
      </c>
      <c r="B146" s="10" t="s">
        <v>1439</v>
      </c>
      <c r="C146" s="31">
        <v>1</v>
      </c>
    </row>
    <row r="147" spans="1:3">
      <c r="A147">
        <f t="shared" si="5"/>
        <v>112</v>
      </c>
      <c r="B147" s="10" t="s">
        <v>1425</v>
      </c>
      <c r="C147" s="31">
        <v>1</v>
      </c>
    </row>
    <row r="148" spans="1:3">
      <c r="B148" s="10" t="s">
        <v>1401</v>
      </c>
      <c r="C148" s="31">
        <v>211</v>
      </c>
    </row>
  </sheetData>
  <pageMargins left="0.7" right="0.7" top="0.75" bottom="0.75" header="0.3" footer="0.3"/>
  <pageSetup paperSize="9" orientation="portrait" r:id="rId8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CAD9-18B6-4CC1-AA72-AFA4D9BC375A}">
  <sheetPr filterMode="1">
    <tabColor rgb="FF00B0F0"/>
  </sheetPr>
  <dimension ref="A1:AE212"/>
  <sheetViews>
    <sheetView zoomScale="90" zoomScaleNormal="90" workbookViewId="0">
      <selection activeCell="L82" sqref="L82:L200"/>
    </sheetView>
  </sheetViews>
  <sheetFormatPr defaultRowHeight="14.6" outlineLevelCol="1"/>
  <cols>
    <col min="1" max="1" width="8.69140625" customWidth="1"/>
    <col min="2" max="2" width="11.84375" customWidth="1"/>
    <col min="3" max="3" width="5.3828125" customWidth="1"/>
    <col min="4" max="4" width="11.3828125" hidden="1" customWidth="1" outlineLevel="1"/>
    <col min="5" max="5" width="15" bestFit="1" customWidth="1" collapsed="1"/>
    <col min="6" max="6" width="33.53515625" bestFit="1" customWidth="1"/>
    <col min="7" max="7" width="45.15234375" customWidth="1"/>
    <col min="8" max="8" width="20.23046875" customWidth="1"/>
    <col min="9" max="9" width="11.53515625" bestFit="1" customWidth="1"/>
    <col min="10" max="10" width="10.53515625" bestFit="1" customWidth="1"/>
    <col min="11" max="11" width="15.3828125" hidden="1" customWidth="1" outlineLevel="1"/>
    <col min="12" max="12" width="10.53515625" bestFit="1" customWidth="1" collapsed="1"/>
    <col min="13" max="13" width="11.53515625" bestFit="1" customWidth="1"/>
    <col min="14" max="14" width="14.23046875" customWidth="1" outlineLevel="1"/>
    <col min="15" max="15" width="14.15234375" customWidth="1"/>
    <col min="16" max="17" width="12.84375" customWidth="1"/>
    <col min="18" max="18" width="29.3828125" bestFit="1" customWidth="1"/>
    <col min="19" max="19" width="28" hidden="1" customWidth="1" outlineLevel="1"/>
    <col min="20" max="20" width="46.53515625" hidden="1" customWidth="1" outlineLevel="1"/>
    <col min="21" max="21" width="28.84375" hidden="1" customWidth="1" outlineLevel="1"/>
    <col min="22" max="22" width="18.84375" customWidth="1" collapsed="1"/>
    <col min="23" max="23" width="20.53515625" customWidth="1"/>
    <col min="24" max="24" width="15.3828125" customWidth="1"/>
    <col min="25" max="26" width="15.3828125" hidden="1" customWidth="1" outlineLevel="1"/>
    <col min="27" max="27" width="15.3828125" customWidth="1" collapsed="1"/>
    <col min="28" max="28" width="15.3828125" hidden="1" customWidth="1" outlineLevel="1"/>
    <col min="29" max="29" width="35.3828125" customWidth="1" collapsed="1"/>
    <col min="30" max="30" width="12.69140625" bestFit="1" customWidth="1"/>
    <col min="31" max="31" width="32.07421875" bestFit="1" customWidth="1"/>
  </cols>
  <sheetData>
    <row r="1" spans="1:31" s="91" customFormat="1" ht="43.75">
      <c r="A1" s="82" t="s">
        <v>0</v>
      </c>
      <c r="B1" s="82" t="s">
        <v>1457</v>
      </c>
      <c r="C1" s="82" t="s">
        <v>1458</v>
      </c>
      <c r="D1" s="83" t="s">
        <v>573</v>
      </c>
      <c r="E1" s="84" t="s">
        <v>1459</v>
      </c>
      <c r="F1" s="85" t="s">
        <v>1460</v>
      </c>
      <c r="G1" s="84" t="s">
        <v>586</v>
      </c>
      <c r="H1" s="84" t="s">
        <v>123</v>
      </c>
      <c r="I1" s="86" t="s">
        <v>1461</v>
      </c>
      <c r="J1" s="86" t="s">
        <v>1462</v>
      </c>
      <c r="K1" s="83" t="s">
        <v>1463</v>
      </c>
      <c r="L1" s="87" t="s">
        <v>587</v>
      </c>
      <c r="M1" s="86" t="s">
        <v>588</v>
      </c>
      <c r="N1" s="85" t="s">
        <v>1464</v>
      </c>
      <c r="O1" s="85" t="s">
        <v>589</v>
      </c>
      <c r="P1" s="85" t="s">
        <v>590</v>
      </c>
      <c r="Q1" s="83" t="s">
        <v>3021</v>
      </c>
      <c r="R1" s="84" t="s">
        <v>591</v>
      </c>
      <c r="S1" s="88" t="s">
        <v>592</v>
      </c>
      <c r="T1" s="88" t="s">
        <v>593</v>
      </c>
      <c r="U1" s="88" t="s">
        <v>1385</v>
      </c>
      <c r="V1" s="88" t="s">
        <v>1465</v>
      </c>
      <c r="W1" s="89" t="s">
        <v>1466</v>
      </c>
      <c r="X1" s="90" t="s">
        <v>1467</v>
      </c>
      <c r="Y1" s="90" t="s">
        <v>1468</v>
      </c>
      <c r="Z1" s="90" t="s">
        <v>1469</v>
      </c>
      <c r="AA1" s="90" t="s">
        <v>1470</v>
      </c>
      <c r="AB1" s="89" t="s">
        <v>1471</v>
      </c>
      <c r="AC1" s="90" t="s">
        <v>1472</v>
      </c>
      <c r="AD1" s="85" t="s">
        <v>1473</v>
      </c>
      <c r="AE1" s="91" t="s">
        <v>3027</v>
      </c>
    </row>
    <row r="2" spans="1:31" hidden="1">
      <c r="A2" s="4">
        <v>2019</v>
      </c>
      <c r="B2" s="4" t="s">
        <v>44</v>
      </c>
      <c r="C2" s="3">
        <v>1</v>
      </c>
      <c r="D2" s="55" t="s">
        <v>600</v>
      </c>
      <c r="E2" s="3" t="s">
        <v>600</v>
      </c>
      <c r="F2" s="5" t="s">
        <v>390</v>
      </c>
      <c r="G2" s="5" t="s">
        <v>601</v>
      </c>
      <c r="H2" s="5" t="s">
        <v>129</v>
      </c>
      <c r="I2" s="7">
        <v>1600000</v>
      </c>
      <c r="J2" s="57"/>
      <c r="K2" s="7"/>
      <c r="L2" s="8">
        <v>17</v>
      </c>
      <c r="M2" s="7">
        <v>50583</v>
      </c>
      <c r="N2" s="7"/>
      <c r="O2" s="7">
        <v>22268448</v>
      </c>
      <c r="P2" s="7">
        <v>22369964</v>
      </c>
      <c r="Q2" s="92">
        <f>P2-O2</f>
        <v>101516</v>
      </c>
      <c r="R2" s="66" t="s">
        <v>602</v>
      </c>
      <c r="S2" s="5" t="s">
        <v>598</v>
      </c>
      <c r="T2" s="10" t="s">
        <v>603</v>
      </c>
      <c r="U2" s="10" t="s">
        <v>1390</v>
      </c>
      <c r="V2" s="6" t="s">
        <v>1479</v>
      </c>
      <c r="W2" s="5" t="s">
        <v>1480</v>
      </c>
      <c r="X2" s="5" t="s">
        <v>1481</v>
      </c>
      <c r="Y2" s="5"/>
      <c r="Z2" s="5"/>
      <c r="AA2" s="5" t="s">
        <v>1482</v>
      </c>
      <c r="AB2" s="5"/>
      <c r="AC2" s="39" t="s">
        <v>1483</v>
      </c>
      <c r="AD2" s="61">
        <v>5.6</v>
      </c>
      <c r="AE2" t="e">
        <f>VLOOKUP($F2,FromYabin!$C$2:$C$112,1,FALSE)</f>
        <v>#N/A</v>
      </c>
    </row>
    <row r="3" spans="1:31" hidden="1">
      <c r="A3" s="4">
        <v>2019</v>
      </c>
      <c r="B3" s="4" t="s">
        <v>44</v>
      </c>
      <c r="C3" s="3">
        <f>C2+1</f>
        <v>2</v>
      </c>
      <c r="D3" s="55" t="s">
        <v>604</v>
      </c>
      <c r="E3" s="3" t="s">
        <v>604</v>
      </c>
      <c r="F3" s="5" t="s">
        <v>128</v>
      </c>
      <c r="G3" s="5" t="s">
        <v>605</v>
      </c>
      <c r="H3" s="5" t="s">
        <v>129</v>
      </c>
      <c r="I3" s="7">
        <v>50000000</v>
      </c>
      <c r="J3" s="7">
        <v>3000000</v>
      </c>
      <c r="K3" s="7">
        <v>253000000</v>
      </c>
      <c r="L3" s="8">
        <v>129</v>
      </c>
      <c r="M3" s="7">
        <v>1685287</v>
      </c>
      <c r="N3" s="7">
        <v>694626865</v>
      </c>
      <c r="O3" s="7">
        <v>683059335</v>
      </c>
      <c r="P3" s="7">
        <v>688934822</v>
      </c>
      <c r="Q3" s="92">
        <f t="shared" ref="Q3:Q66" si="0">P3-O3</f>
        <v>5875487</v>
      </c>
      <c r="R3" s="5" t="s">
        <v>606</v>
      </c>
      <c r="S3" s="5" t="s">
        <v>598</v>
      </c>
      <c r="T3" s="5" t="s">
        <v>607</v>
      </c>
      <c r="U3" s="5" t="s">
        <v>1390</v>
      </c>
      <c r="V3" s="5" t="s">
        <v>1484</v>
      </c>
      <c r="W3" s="5" t="s">
        <v>1485</v>
      </c>
      <c r="X3" s="5" t="s">
        <v>1486</v>
      </c>
      <c r="Y3" s="5"/>
      <c r="Z3" s="5"/>
      <c r="AA3" s="5" t="s">
        <v>1487</v>
      </c>
      <c r="AB3" s="5"/>
      <c r="AC3" s="5" t="s">
        <v>1488</v>
      </c>
      <c r="AD3" s="62">
        <v>9.1999999999999993</v>
      </c>
      <c r="AE3" t="str">
        <f>VLOOKUP($F3,FromYabin!$C$2:$C$112,1,FALSE)</f>
        <v>Liu Lang Di Qiu</v>
      </c>
    </row>
    <row r="4" spans="1:31" hidden="1">
      <c r="A4" s="4">
        <v>2019</v>
      </c>
      <c r="B4" s="4" t="s">
        <v>44</v>
      </c>
      <c r="C4" s="3">
        <f t="shared" ref="C4:C67" si="1">C3+1</f>
        <v>3</v>
      </c>
      <c r="D4" s="55" t="s">
        <v>608</v>
      </c>
      <c r="E4" s="3" t="s">
        <v>608</v>
      </c>
      <c r="F4" s="5" t="s">
        <v>173</v>
      </c>
      <c r="G4" s="5" t="s">
        <v>609</v>
      </c>
      <c r="H4" s="5" t="s">
        <v>127</v>
      </c>
      <c r="I4" s="7">
        <v>7462686</v>
      </c>
      <c r="J4" s="57" t="s">
        <v>1411</v>
      </c>
      <c r="K4" s="7">
        <v>6417910</v>
      </c>
      <c r="L4" s="8">
        <v>67</v>
      </c>
      <c r="M4" s="7">
        <v>2733367</v>
      </c>
      <c r="N4" s="7">
        <v>18507462</v>
      </c>
      <c r="O4" s="7">
        <v>18521816</v>
      </c>
      <c r="P4" s="7">
        <v>18653041</v>
      </c>
      <c r="Q4" s="92">
        <f t="shared" si="0"/>
        <v>131225</v>
      </c>
      <c r="R4" s="5" t="s">
        <v>610</v>
      </c>
      <c r="S4" s="5" t="s">
        <v>611</v>
      </c>
      <c r="T4" s="5" t="s">
        <v>612</v>
      </c>
      <c r="U4" s="5" t="s">
        <v>1386</v>
      </c>
      <c r="V4" s="5" t="s">
        <v>1490</v>
      </c>
      <c r="W4" s="5" t="s">
        <v>1491</v>
      </c>
      <c r="X4" s="5" t="s">
        <v>1492</v>
      </c>
      <c r="Y4" s="5"/>
      <c r="Z4" s="5"/>
      <c r="AA4" s="5" t="s">
        <v>1493</v>
      </c>
      <c r="AB4" s="5"/>
      <c r="AC4" s="5" t="s">
        <v>1494</v>
      </c>
      <c r="AD4" s="62">
        <v>6</v>
      </c>
      <c r="AE4" t="e">
        <f>VLOOKUP($F4,FromYabin!$C$2:$C$112,1,FALSE)</f>
        <v>#N/A</v>
      </c>
    </row>
    <row r="5" spans="1:31" hidden="1">
      <c r="A5" s="4">
        <v>2019</v>
      </c>
      <c r="B5" s="4" t="s">
        <v>44</v>
      </c>
      <c r="C5" s="3">
        <f t="shared" si="1"/>
        <v>4</v>
      </c>
      <c r="D5" s="55" t="s">
        <v>613</v>
      </c>
      <c r="E5" s="3" t="s">
        <v>613</v>
      </c>
      <c r="F5" s="5" t="s">
        <v>614</v>
      </c>
      <c r="G5" s="39" t="s">
        <v>601</v>
      </c>
      <c r="H5" s="5" t="s">
        <v>127</v>
      </c>
      <c r="I5" s="7">
        <v>25800000</v>
      </c>
      <c r="J5" s="57"/>
      <c r="K5" s="7"/>
      <c r="L5" s="8">
        <v>60570</v>
      </c>
      <c r="M5" s="7">
        <v>3880000</v>
      </c>
      <c r="N5" s="7"/>
      <c r="O5" s="7">
        <v>4957041</v>
      </c>
      <c r="P5" s="7">
        <v>4957041</v>
      </c>
      <c r="Q5" s="7">
        <f t="shared" si="0"/>
        <v>0</v>
      </c>
      <c r="R5" s="39" t="s">
        <v>606</v>
      </c>
      <c r="S5" s="5" t="s">
        <v>598</v>
      </c>
      <c r="T5" s="5" t="s">
        <v>599</v>
      </c>
      <c r="U5" s="5" t="s">
        <v>1406</v>
      </c>
      <c r="V5" s="5" t="s">
        <v>1495</v>
      </c>
      <c r="W5" s="5" t="s">
        <v>1496</v>
      </c>
      <c r="X5" s="5" t="s">
        <v>1497</v>
      </c>
      <c r="Y5" s="5"/>
      <c r="Z5" s="5"/>
      <c r="AA5" s="5" t="s">
        <v>1498</v>
      </c>
      <c r="AB5" s="5"/>
      <c r="AC5" s="39" t="s">
        <v>1499</v>
      </c>
      <c r="AD5" s="59">
        <v>4.4000000000000004</v>
      </c>
      <c r="AE5" t="e">
        <f>VLOOKUP($F5,FromYabin!$C$2:$C$112,1,FALSE)</f>
        <v>#N/A</v>
      </c>
    </row>
    <row r="6" spans="1:31" hidden="1">
      <c r="A6" s="4">
        <v>2019</v>
      </c>
      <c r="B6" s="4" t="s">
        <v>44</v>
      </c>
      <c r="C6" s="3">
        <f t="shared" si="1"/>
        <v>5</v>
      </c>
      <c r="D6" s="55" t="s">
        <v>615</v>
      </c>
      <c r="E6" s="3" t="s">
        <v>615</v>
      </c>
      <c r="F6" s="5" t="s">
        <v>539</v>
      </c>
      <c r="G6" s="5" t="s">
        <v>1500</v>
      </c>
      <c r="H6" s="5" t="s">
        <v>131</v>
      </c>
      <c r="I6" s="7">
        <v>134000</v>
      </c>
      <c r="J6" s="57"/>
      <c r="K6" s="7"/>
      <c r="L6" s="41" t="s">
        <v>1501</v>
      </c>
      <c r="M6" s="7">
        <v>45000</v>
      </c>
      <c r="N6" s="7"/>
      <c r="O6" s="7">
        <v>250000</v>
      </c>
      <c r="P6" s="7">
        <v>250000</v>
      </c>
      <c r="Q6" s="7">
        <f t="shared" si="0"/>
        <v>0</v>
      </c>
      <c r="R6" s="5" t="s">
        <v>606</v>
      </c>
      <c r="S6" s="5" t="s">
        <v>598</v>
      </c>
      <c r="T6" s="5" t="s">
        <v>616</v>
      </c>
      <c r="U6" s="5" t="s">
        <v>1406</v>
      </c>
      <c r="V6" s="5" t="s">
        <v>1502</v>
      </c>
      <c r="W6" s="5" t="s">
        <v>1503</v>
      </c>
      <c r="X6" s="5" t="s">
        <v>1504</v>
      </c>
      <c r="Y6" s="5"/>
      <c r="Z6" s="5"/>
      <c r="AA6" s="5" t="s">
        <v>1505</v>
      </c>
      <c r="AB6" s="5"/>
      <c r="AC6" s="5" t="s">
        <v>1506</v>
      </c>
      <c r="AD6" s="59">
        <v>7.9</v>
      </c>
      <c r="AE6" t="e">
        <f>VLOOKUP($F6,FromYabin!$C$2:$C$112,1,FALSE)</f>
        <v>#N/A</v>
      </c>
    </row>
    <row r="7" spans="1:31" hidden="1">
      <c r="A7" s="4">
        <v>2019</v>
      </c>
      <c r="B7" s="4" t="s">
        <v>44</v>
      </c>
      <c r="C7" s="3">
        <f t="shared" si="1"/>
        <v>6</v>
      </c>
      <c r="D7" s="55" t="s">
        <v>617</v>
      </c>
      <c r="E7" s="3" t="s">
        <v>617</v>
      </c>
      <c r="F7" s="5" t="s">
        <v>399</v>
      </c>
      <c r="G7" s="5" t="s">
        <v>618</v>
      </c>
      <c r="H7" s="5" t="s">
        <v>131</v>
      </c>
      <c r="I7" s="7">
        <v>12000000</v>
      </c>
      <c r="J7" s="57"/>
      <c r="K7" s="7"/>
      <c r="L7" s="8">
        <v>47</v>
      </c>
      <c r="M7" s="7">
        <v>2000000</v>
      </c>
      <c r="N7" s="7"/>
      <c r="O7" s="7">
        <v>11552069</v>
      </c>
      <c r="P7" s="7">
        <v>11966647</v>
      </c>
      <c r="Q7" s="92">
        <f t="shared" si="0"/>
        <v>414578</v>
      </c>
      <c r="R7" s="5" t="s">
        <v>606</v>
      </c>
      <c r="S7" s="5" t="s">
        <v>598</v>
      </c>
      <c r="T7" s="5" t="s">
        <v>616</v>
      </c>
      <c r="U7" s="5" t="s">
        <v>1390</v>
      </c>
      <c r="V7" s="5" t="s">
        <v>1507</v>
      </c>
      <c r="W7" s="5" t="s">
        <v>1508</v>
      </c>
      <c r="X7" s="5" t="s">
        <v>1509</v>
      </c>
      <c r="Y7" s="5"/>
      <c r="Z7" s="5"/>
      <c r="AA7" s="5" t="s">
        <v>1510</v>
      </c>
      <c r="AB7" s="5"/>
      <c r="AC7" s="39" t="s">
        <v>1511</v>
      </c>
      <c r="AD7" s="59">
        <v>7.6</v>
      </c>
      <c r="AE7" t="e">
        <f>VLOOKUP($F7,FromYabin!$C$2:$C$112,1,FALSE)</f>
        <v>#N/A</v>
      </c>
    </row>
    <row r="8" spans="1:31" hidden="1">
      <c r="A8" s="4">
        <v>2019</v>
      </c>
      <c r="B8" s="4" t="s">
        <v>44</v>
      </c>
      <c r="C8" s="3">
        <f t="shared" si="1"/>
        <v>7</v>
      </c>
      <c r="D8" s="55" t="s">
        <v>619</v>
      </c>
      <c r="E8" s="3" t="s">
        <v>619</v>
      </c>
      <c r="F8" s="5" t="s">
        <v>620</v>
      </c>
      <c r="G8" s="5" t="s">
        <v>601</v>
      </c>
      <c r="H8" s="5" t="s">
        <v>1404</v>
      </c>
      <c r="I8" s="7">
        <v>12000000</v>
      </c>
      <c r="J8" s="57"/>
      <c r="K8" s="7"/>
      <c r="L8" s="8">
        <v>12</v>
      </c>
      <c r="M8" s="7">
        <v>168740</v>
      </c>
      <c r="N8" s="7"/>
      <c r="O8" s="7">
        <v>269611</v>
      </c>
      <c r="P8" s="7">
        <v>345900</v>
      </c>
      <c r="Q8" s="92">
        <f t="shared" si="0"/>
        <v>76289</v>
      </c>
      <c r="R8" s="5" t="s">
        <v>606</v>
      </c>
      <c r="S8" s="5" t="s">
        <v>598</v>
      </c>
      <c r="T8" s="5" t="s">
        <v>616</v>
      </c>
      <c r="U8" s="5" t="s">
        <v>1394</v>
      </c>
      <c r="V8" s="5" t="s">
        <v>1512</v>
      </c>
      <c r="W8" s="5" t="s">
        <v>620</v>
      </c>
      <c r="X8" s="5" t="s">
        <v>1513</v>
      </c>
      <c r="Y8" s="5"/>
      <c r="Z8" s="5"/>
      <c r="AA8" s="5" t="s">
        <v>1514</v>
      </c>
      <c r="AB8" s="5"/>
      <c r="AC8" s="39" t="s">
        <v>1515</v>
      </c>
      <c r="AD8" s="59">
        <v>8</v>
      </c>
      <c r="AE8" t="e">
        <f>VLOOKUP($F8,FromYabin!$C$2:$C$112,1,FALSE)</f>
        <v>#N/A</v>
      </c>
    </row>
    <row r="9" spans="1:31" hidden="1">
      <c r="A9" s="4">
        <v>2019</v>
      </c>
      <c r="B9" s="4" t="s">
        <v>44</v>
      </c>
      <c r="C9" s="3">
        <f t="shared" si="1"/>
        <v>8</v>
      </c>
      <c r="D9" s="55" t="s">
        <v>621</v>
      </c>
      <c r="E9" s="3" t="s">
        <v>621</v>
      </c>
      <c r="F9" s="5" t="s">
        <v>343</v>
      </c>
      <c r="G9" s="5" t="s">
        <v>622</v>
      </c>
      <c r="H9" s="5" t="s">
        <v>131</v>
      </c>
      <c r="I9" s="7">
        <v>1200000</v>
      </c>
      <c r="J9" s="57"/>
      <c r="K9" s="7"/>
      <c r="L9" s="8">
        <v>3</v>
      </c>
      <c r="M9" s="7">
        <v>3207</v>
      </c>
      <c r="N9" s="7"/>
      <c r="O9" s="7">
        <v>0</v>
      </c>
      <c r="P9" s="7">
        <v>10364</v>
      </c>
      <c r="Q9" s="92">
        <f t="shared" si="0"/>
        <v>10364</v>
      </c>
      <c r="R9" s="5" t="s">
        <v>606</v>
      </c>
      <c r="S9" s="5" t="s">
        <v>598</v>
      </c>
      <c r="T9" s="5" t="s">
        <v>616</v>
      </c>
      <c r="U9" s="5" t="s">
        <v>1390</v>
      </c>
      <c r="V9" s="5" t="s">
        <v>1516</v>
      </c>
      <c r="W9" s="5" t="s">
        <v>1517</v>
      </c>
      <c r="X9" s="5" t="s">
        <v>1518</v>
      </c>
      <c r="Y9" s="5"/>
      <c r="Z9" s="5"/>
      <c r="AA9" s="5" t="s">
        <v>1519</v>
      </c>
      <c r="AB9" s="5"/>
      <c r="AC9" s="39" t="s">
        <v>1520</v>
      </c>
      <c r="AD9" s="63" t="s">
        <v>1521</v>
      </c>
      <c r="AE9" t="e">
        <f>VLOOKUP($F9,FromYabin!$C$2:$C$112,1,FALSE)</f>
        <v>#N/A</v>
      </c>
    </row>
    <row r="10" spans="1:31" ht="15" hidden="1">
      <c r="A10" s="4">
        <v>2019</v>
      </c>
      <c r="B10" s="4" t="s">
        <v>44</v>
      </c>
      <c r="C10" s="3">
        <f t="shared" si="1"/>
        <v>9</v>
      </c>
      <c r="D10" s="55" t="s">
        <v>623</v>
      </c>
      <c r="E10" s="3" t="s">
        <v>623</v>
      </c>
      <c r="F10" s="5" t="s">
        <v>392</v>
      </c>
      <c r="G10" s="5" t="s">
        <v>601</v>
      </c>
      <c r="H10" s="5" t="s">
        <v>129</v>
      </c>
      <c r="I10" s="7">
        <v>28000000</v>
      </c>
      <c r="J10" s="57"/>
      <c r="K10" s="7"/>
      <c r="L10" s="8">
        <v>61</v>
      </c>
      <c r="M10" s="7">
        <v>92663</v>
      </c>
      <c r="N10" s="7"/>
      <c r="O10" s="7">
        <v>19572493</v>
      </c>
      <c r="P10" s="7">
        <v>19781947</v>
      </c>
      <c r="Q10" s="92">
        <f t="shared" si="0"/>
        <v>209454</v>
      </c>
      <c r="R10" s="5" t="s">
        <v>606</v>
      </c>
      <c r="S10" s="5" t="s">
        <v>598</v>
      </c>
      <c r="T10" s="39" t="s">
        <v>599</v>
      </c>
      <c r="U10" s="5" t="s">
        <v>1390</v>
      </c>
      <c r="V10" s="5" t="s">
        <v>1522</v>
      </c>
      <c r="W10" s="5" t="s">
        <v>1523</v>
      </c>
      <c r="X10" s="5" t="s">
        <v>1524</v>
      </c>
      <c r="Y10" s="5"/>
      <c r="Z10" s="5"/>
      <c r="AA10" s="5" t="s">
        <v>1525</v>
      </c>
      <c r="AB10" s="5"/>
      <c r="AC10" s="39" t="s">
        <v>1483</v>
      </c>
      <c r="AD10" s="63">
        <v>9</v>
      </c>
      <c r="AE10" t="e">
        <f>VLOOKUP($F10,FromYabin!$C$2:$C$112,1,FALSE)</f>
        <v>#N/A</v>
      </c>
    </row>
    <row r="11" spans="1:31" hidden="1">
      <c r="A11" s="4">
        <v>2019</v>
      </c>
      <c r="B11" s="4" t="s">
        <v>44</v>
      </c>
      <c r="C11" s="3">
        <f t="shared" si="1"/>
        <v>10</v>
      </c>
      <c r="D11" s="55" t="s">
        <v>623</v>
      </c>
      <c r="E11" s="3" t="s">
        <v>623</v>
      </c>
      <c r="F11" s="5" t="s">
        <v>382</v>
      </c>
      <c r="G11" s="5" t="s">
        <v>624</v>
      </c>
      <c r="H11" s="5" t="s">
        <v>131</v>
      </c>
      <c r="I11" s="7">
        <v>7500000</v>
      </c>
      <c r="J11" s="57"/>
      <c r="K11" s="7"/>
      <c r="L11" s="8">
        <v>24</v>
      </c>
      <c r="M11" s="7">
        <v>26746</v>
      </c>
      <c r="N11" s="7"/>
      <c r="O11" s="7">
        <v>41619365</v>
      </c>
      <c r="P11" s="7">
        <v>42140730</v>
      </c>
      <c r="Q11" s="92">
        <f t="shared" si="0"/>
        <v>521365</v>
      </c>
      <c r="R11" s="5" t="s">
        <v>606</v>
      </c>
      <c r="S11" s="5" t="s">
        <v>598</v>
      </c>
      <c r="T11" s="5" t="s">
        <v>616</v>
      </c>
      <c r="U11" s="5" t="s">
        <v>1390</v>
      </c>
      <c r="V11" s="5" t="s">
        <v>1526</v>
      </c>
      <c r="W11" s="5" t="s">
        <v>1527</v>
      </c>
      <c r="X11" s="5" t="s">
        <v>1528</v>
      </c>
      <c r="Y11" s="5" t="s">
        <v>1529</v>
      </c>
      <c r="Z11" s="5" t="s">
        <v>1530</v>
      </c>
      <c r="AA11" s="5" t="s">
        <v>1531</v>
      </c>
      <c r="AB11" s="5"/>
      <c r="AC11" s="39" t="s">
        <v>1532</v>
      </c>
      <c r="AD11" s="59">
        <v>2.6</v>
      </c>
      <c r="AE11" t="e">
        <f>VLOOKUP($F11,FromYabin!$C$2:$C$112,1,FALSE)</f>
        <v>#N/A</v>
      </c>
    </row>
    <row r="12" spans="1:31" hidden="1">
      <c r="A12" s="4">
        <v>2019</v>
      </c>
      <c r="B12" s="4" t="s">
        <v>44</v>
      </c>
      <c r="C12" s="3">
        <f t="shared" si="1"/>
        <v>11</v>
      </c>
      <c r="D12" s="55" t="s">
        <v>625</v>
      </c>
      <c r="E12" s="3" t="s">
        <v>1533</v>
      </c>
      <c r="F12" s="5" t="s">
        <v>209</v>
      </c>
      <c r="G12" s="5" t="s">
        <v>601</v>
      </c>
      <c r="H12" s="5" t="s">
        <v>1403</v>
      </c>
      <c r="I12" s="7">
        <v>14925373.134328358</v>
      </c>
      <c r="J12" s="57" t="s">
        <v>1411</v>
      </c>
      <c r="K12" s="7">
        <v>1492537.3134328357</v>
      </c>
      <c r="L12" s="8">
        <v>19</v>
      </c>
      <c r="M12" s="7">
        <v>36590</v>
      </c>
      <c r="N12" s="7">
        <v>4179104.4776119408</v>
      </c>
      <c r="O12" s="7">
        <v>4066011</v>
      </c>
      <c r="P12" s="7">
        <v>4140502</v>
      </c>
      <c r="Q12" s="92">
        <f t="shared" si="0"/>
        <v>74491</v>
      </c>
      <c r="R12" s="5" t="s">
        <v>606</v>
      </c>
      <c r="S12" s="5" t="s">
        <v>598</v>
      </c>
      <c r="T12" s="5" t="s">
        <v>616</v>
      </c>
      <c r="U12" s="5" t="s">
        <v>1390</v>
      </c>
      <c r="V12" s="5" t="s">
        <v>1534</v>
      </c>
      <c r="W12" s="5" t="s">
        <v>1535</v>
      </c>
      <c r="X12" s="5" t="s">
        <v>1536</v>
      </c>
      <c r="Y12" s="5"/>
      <c r="Z12" s="5"/>
      <c r="AA12" s="5" t="s">
        <v>1537</v>
      </c>
      <c r="AB12" s="5"/>
      <c r="AC12" s="5" t="s">
        <v>1538</v>
      </c>
      <c r="AD12" s="62">
        <v>8.4</v>
      </c>
      <c r="AE12" t="e">
        <f>VLOOKUP($F12,FromYabin!$C$2:$C$112,1,FALSE)</f>
        <v>#N/A</v>
      </c>
    </row>
    <row r="13" spans="1:31" ht="15" hidden="1">
      <c r="A13" s="4">
        <v>2019</v>
      </c>
      <c r="B13" s="4" t="s">
        <v>44</v>
      </c>
      <c r="C13" s="3">
        <f t="shared" si="1"/>
        <v>12</v>
      </c>
      <c r="D13" s="55" t="s">
        <v>625</v>
      </c>
      <c r="E13" s="3" t="s">
        <v>625</v>
      </c>
      <c r="F13" s="5" t="s">
        <v>172</v>
      </c>
      <c r="G13" s="5" t="s">
        <v>626</v>
      </c>
      <c r="H13" s="5" t="s">
        <v>131</v>
      </c>
      <c r="I13" s="7">
        <v>4500000</v>
      </c>
      <c r="J13" s="57" t="s">
        <v>1411</v>
      </c>
      <c r="K13" s="7">
        <v>6119403</v>
      </c>
      <c r="L13" s="8">
        <v>33178</v>
      </c>
      <c r="M13" s="7">
        <v>4267156</v>
      </c>
      <c r="N13" s="7">
        <v>18059701</v>
      </c>
      <c r="O13" s="7">
        <v>18914072</v>
      </c>
      <c r="P13" s="7">
        <v>19005956</v>
      </c>
      <c r="Q13" s="92">
        <f t="shared" si="0"/>
        <v>91884</v>
      </c>
      <c r="R13" s="5" t="s">
        <v>606</v>
      </c>
      <c r="S13" s="5" t="s">
        <v>598</v>
      </c>
      <c r="T13" s="5" t="s">
        <v>616</v>
      </c>
      <c r="U13" s="5" t="s">
        <v>1390</v>
      </c>
      <c r="V13" s="5" t="s">
        <v>1539</v>
      </c>
      <c r="W13" s="5" t="s">
        <v>1540</v>
      </c>
      <c r="X13" s="5" t="s">
        <v>1541</v>
      </c>
      <c r="Y13" s="5"/>
      <c r="Z13" s="5"/>
      <c r="AA13" s="5" t="s">
        <v>1542</v>
      </c>
      <c r="AB13" s="5"/>
      <c r="AC13" s="5" t="s">
        <v>1543</v>
      </c>
      <c r="AD13" s="62">
        <v>5.0999999999999996</v>
      </c>
      <c r="AE13" t="e">
        <f>VLOOKUP($F13,FromYabin!$C$2:$C$112,1,FALSE)</f>
        <v>#N/A</v>
      </c>
    </row>
    <row r="14" spans="1:31" hidden="1">
      <c r="A14" s="4">
        <v>2019</v>
      </c>
      <c r="B14" s="4" t="s">
        <v>44</v>
      </c>
      <c r="C14" s="3">
        <f t="shared" si="1"/>
        <v>13</v>
      </c>
      <c r="D14" s="55" t="s">
        <v>625</v>
      </c>
      <c r="E14" s="3" t="s">
        <v>625</v>
      </c>
      <c r="F14" s="5" t="s">
        <v>371</v>
      </c>
      <c r="G14" s="5" t="s">
        <v>601</v>
      </c>
      <c r="H14" s="5" t="s">
        <v>129</v>
      </c>
      <c r="I14" s="7">
        <v>44500000</v>
      </c>
      <c r="J14" s="57"/>
      <c r="K14" s="7"/>
      <c r="L14" s="8">
        <v>53</v>
      </c>
      <c r="M14" s="7">
        <v>9650987</v>
      </c>
      <c r="N14" s="7"/>
      <c r="O14" s="7">
        <v>90941185</v>
      </c>
      <c r="P14" s="7">
        <v>91462581</v>
      </c>
      <c r="Q14" s="92">
        <f t="shared" si="0"/>
        <v>521396</v>
      </c>
      <c r="R14" s="5" t="s">
        <v>606</v>
      </c>
      <c r="S14" s="5" t="s">
        <v>598</v>
      </c>
      <c r="T14" s="5" t="s">
        <v>603</v>
      </c>
      <c r="U14" s="5" t="s">
        <v>1390</v>
      </c>
      <c r="V14" s="5" t="s">
        <v>1544</v>
      </c>
      <c r="W14" s="5" t="s">
        <v>1545</v>
      </c>
      <c r="X14" s="5" t="s">
        <v>1546</v>
      </c>
      <c r="Y14" s="5"/>
      <c r="Z14" s="5"/>
      <c r="AA14" s="5" t="s">
        <v>1547</v>
      </c>
      <c r="AB14" s="5"/>
      <c r="AC14" s="39" t="s">
        <v>1548</v>
      </c>
      <c r="AD14" s="59">
        <v>8.1</v>
      </c>
      <c r="AE14" t="e">
        <f>VLOOKUP($F14,FromYabin!$C$2:$C$112,1,FALSE)</f>
        <v>#N/A</v>
      </c>
    </row>
    <row r="15" spans="1:31" hidden="1">
      <c r="A15" s="4">
        <v>2019</v>
      </c>
      <c r="B15" s="4" t="s">
        <v>44</v>
      </c>
      <c r="C15" s="3">
        <f t="shared" si="1"/>
        <v>14</v>
      </c>
      <c r="D15" s="55" t="s">
        <v>628</v>
      </c>
      <c r="E15" s="3" t="s">
        <v>628</v>
      </c>
      <c r="F15" s="5" t="s">
        <v>351</v>
      </c>
      <c r="G15" s="39" t="s">
        <v>870</v>
      </c>
      <c r="H15" s="5" t="s">
        <v>129</v>
      </c>
      <c r="I15" s="7">
        <v>35000000</v>
      </c>
      <c r="J15" s="57"/>
      <c r="K15" s="7"/>
      <c r="L15" s="41" t="s">
        <v>1501</v>
      </c>
      <c r="M15" s="7">
        <v>10925253</v>
      </c>
      <c r="N15" s="7"/>
      <c r="O15" s="7">
        <v>54000000</v>
      </c>
      <c r="P15" s="7">
        <v>90100000</v>
      </c>
      <c r="Q15" s="92">
        <f t="shared" si="0"/>
        <v>36100000</v>
      </c>
      <c r="R15" s="5" t="s">
        <v>606</v>
      </c>
      <c r="S15" s="5" t="s">
        <v>598</v>
      </c>
      <c r="T15" s="5" t="s">
        <v>607</v>
      </c>
      <c r="U15" s="5" t="s">
        <v>1390</v>
      </c>
      <c r="V15" s="39" t="s">
        <v>1553</v>
      </c>
      <c r="W15" s="39" t="s">
        <v>351</v>
      </c>
      <c r="X15" s="80" t="s">
        <v>1554</v>
      </c>
      <c r="Y15" s="80" t="s">
        <v>1555</v>
      </c>
      <c r="Z15" s="80" t="s">
        <v>1556</v>
      </c>
      <c r="AA15" s="39" t="s">
        <v>1557</v>
      </c>
      <c r="AB15" s="5"/>
      <c r="AC15" s="39" t="s">
        <v>1558</v>
      </c>
      <c r="AD15" s="59">
        <v>6.5</v>
      </c>
      <c r="AE15" t="e">
        <f>VLOOKUP($F15,FromYabin!$C$2:$C$112,1,FALSE)</f>
        <v>#N/A</v>
      </c>
    </row>
    <row r="16" spans="1:31" ht="15" hidden="1">
      <c r="A16" s="4">
        <v>2019</v>
      </c>
      <c r="B16" s="4" t="s">
        <v>44</v>
      </c>
      <c r="C16" s="3">
        <f t="shared" si="1"/>
        <v>15</v>
      </c>
      <c r="D16" s="55" t="s">
        <v>632</v>
      </c>
      <c r="E16" s="3" t="s">
        <v>1559</v>
      </c>
      <c r="F16" s="5" t="s">
        <v>633</v>
      </c>
      <c r="G16" s="5" t="s">
        <v>634</v>
      </c>
      <c r="H16" s="5" t="s">
        <v>127</v>
      </c>
      <c r="I16" s="7">
        <v>7462686.5671641789</v>
      </c>
      <c r="J16" s="7">
        <v>4477611.940298507</v>
      </c>
      <c r="K16" s="7">
        <v>27462686.567164179</v>
      </c>
      <c r="L16" s="41">
        <v>17372</v>
      </c>
      <c r="M16" s="7">
        <v>59300000</v>
      </c>
      <c r="N16" s="7">
        <v>72686567.164179102</v>
      </c>
      <c r="O16" s="7">
        <v>77072065</v>
      </c>
      <c r="P16" s="7">
        <v>77072065</v>
      </c>
      <c r="Q16" s="7">
        <f t="shared" si="0"/>
        <v>0</v>
      </c>
      <c r="R16" s="5" t="s">
        <v>606</v>
      </c>
      <c r="S16" s="5" t="s">
        <v>631</v>
      </c>
      <c r="T16" s="5" t="s">
        <v>612</v>
      </c>
      <c r="U16" s="5" t="s">
        <v>1386</v>
      </c>
      <c r="V16" s="45" t="s">
        <v>1560</v>
      </c>
      <c r="W16" s="5" t="s">
        <v>633</v>
      </c>
      <c r="X16" s="5" t="s">
        <v>1561</v>
      </c>
      <c r="Y16" s="5" t="s">
        <v>1562</v>
      </c>
      <c r="Z16" s="10"/>
      <c r="AA16" s="5" t="s">
        <v>1563</v>
      </c>
      <c r="AB16" s="5"/>
      <c r="AC16" s="5" t="s">
        <v>1564</v>
      </c>
      <c r="AD16" s="62">
        <v>9.1</v>
      </c>
      <c r="AE16" t="str">
        <f>VLOOKUP($F16,FromYabin!$C$2:$C$112,1,FALSE)</f>
        <v>Boonie Bears: Entangled Worlds</v>
      </c>
    </row>
    <row r="17" spans="1:31" hidden="1">
      <c r="A17" s="4">
        <v>2019</v>
      </c>
      <c r="B17" s="4" t="s">
        <v>44</v>
      </c>
      <c r="C17" s="3">
        <f t="shared" si="1"/>
        <v>16</v>
      </c>
      <c r="D17" s="55" t="s">
        <v>639</v>
      </c>
      <c r="E17" s="3" t="s">
        <v>639</v>
      </c>
      <c r="F17" s="5" t="s">
        <v>142</v>
      </c>
      <c r="G17" s="5" t="s">
        <v>626</v>
      </c>
      <c r="H17" s="5" t="s">
        <v>131</v>
      </c>
      <c r="I17" s="7">
        <v>12000000</v>
      </c>
      <c r="J17" s="57"/>
      <c r="K17" s="7"/>
      <c r="L17" s="41">
        <v>121643</v>
      </c>
      <c r="M17" s="42">
        <v>5560000</v>
      </c>
      <c r="N17" s="7"/>
      <c r="O17" s="7">
        <v>127897924</v>
      </c>
      <c r="P17" s="7">
        <v>127897924</v>
      </c>
      <c r="Q17" s="7">
        <f t="shared" si="0"/>
        <v>0</v>
      </c>
      <c r="R17" s="5" t="s">
        <v>606</v>
      </c>
      <c r="S17" s="5" t="s">
        <v>598</v>
      </c>
      <c r="T17" s="5" t="s">
        <v>603</v>
      </c>
      <c r="U17" s="5" t="s">
        <v>1390</v>
      </c>
      <c r="V17" s="39" t="s">
        <v>1565</v>
      </c>
      <c r="W17" s="39" t="s">
        <v>1566</v>
      </c>
      <c r="X17" s="80" t="s">
        <v>1546</v>
      </c>
      <c r="Y17" s="80" t="s">
        <v>1567</v>
      </c>
      <c r="Z17" s="80" t="s">
        <v>1568</v>
      </c>
      <c r="AA17" s="80" t="s">
        <v>1546</v>
      </c>
      <c r="AB17" s="39" t="s">
        <v>1569</v>
      </c>
      <c r="AC17" s="50" t="s">
        <v>1570</v>
      </c>
      <c r="AD17" s="59">
        <v>9.4</v>
      </c>
      <c r="AE17" t="e">
        <f>VLOOKUP($F17,FromYabin!$C$2:$C$112,1,FALSE)</f>
        <v>#N/A</v>
      </c>
    </row>
    <row r="18" spans="1:31" hidden="1">
      <c r="A18" s="4">
        <v>2019</v>
      </c>
      <c r="B18" s="4" t="s">
        <v>44</v>
      </c>
      <c r="C18" s="3">
        <f t="shared" si="1"/>
        <v>17</v>
      </c>
      <c r="D18" s="55" t="s">
        <v>640</v>
      </c>
      <c r="E18" s="3" t="s">
        <v>640</v>
      </c>
      <c r="F18" s="5" t="s">
        <v>138</v>
      </c>
      <c r="G18" s="5" t="s">
        <v>641</v>
      </c>
      <c r="H18" s="5" t="s">
        <v>131</v>
      </c>
      <c r="I18" s="7">
        <v>56400000</v>
      </c>
      <c r="J18" s="57"/>
      <c r="K18" s="7"/>
      <c r="L18" s="8">
        <v>150</v>
      </c>
      <c r="M18" s="7">
        <v>98500000</v>
      </c>
      <c r="N18" s="7"/>
      <c r="O18" s="7">
        <v>244889313</v>
      </c>
      <c r="P18" s="7">
        <v>245179530</v>
      </c>
      <c r="Q18" s="92">
        <f t="shared" si="0"/>
        <v>290217</v>
      </c>
      <c r="R18" s="54" t="s">
        <v>597</v>
      </c>
      <c r="S18" s="5" t="s">
        <v>598</v>
      </c>
      <c r="T18" s="5" t="s">
        <v>707</v>
      </c>
      <c r="U18" s="5" t="s">
        <v>1393</v>
      </c>
      <c r="V18" s="39" t="s">
        <v>1571</v>
      </c>
      <c r="W18" s="39" t="s">
        <v>1572</v>
      </c>
      <c r="X18" s="80" t="s">
        <v>1573</v>
      </c>
      <c r="Y18" s="80" t="s">
        <v>1574</v>
      </c>
      <c r="Z18" s="80" t="s">
        <v>1575</v>
      </c>
      <c r="AA18" s="39" t="s">
        <v>1576</v>
      </c>
      <c r="AB18" s="5"/>
      <c r="AC18" s="50" t="s">
        <v>1577</v>
      </c>
      <c r="AD18" s="59">
        <v>9.4</v>
      </c>
      <c r="AE18" t="e">
        <f>VLOOKUP($F18,FromYabin!$C$2:$C$112,1,FALSE)</f>
        <v>#N/A</v>
      </c>
    </row>
    <row r="19" spans="1:31" hidden="1">
      <c r="A19" s="4">
        <v>2019</v>
      </c>
      <c r="B19" s="4" t="s">
        <v>44</v>
      </c>
      <c r="C19" s="3">
        <f t="shared" si="1"/>
        <v>18</v>
      </c>
      <c r="D19" s="55" t="s">
        <v>640</v>
      </c>
      <c r="E19" s="3" t="s">
        <v>640</v>
      </c>
      <c r="F19" s="5" t="s">
        <v>1578</v>
      </c>
      <c r="G19" s="5" t="s">
        <v>626</v>
      </c>
      <c r="H19" s="5" t="s">
        <v>131</v>
      </c>
      <c r="I19" s="7">
        <v>10900000</v>
      </c>
      <c r="J19" s="57"/>
      <c r="K19" s="7"/>
      <c r="L19" s="8">
        <v>2</v>
      </c>
      <c r="M19" s="7">
        <v>296516000</v>
      </c>
      <c r="N19" s="7"/>
      <c r="O19" s="7">
        <v>451176640</v>
      </c>
      <c r="P19" s="7">
        <v>451183392</v>
      </c>
      <c r="Q19" s="92">
        <f t="shared" si="0"/>
        <v>6752</v>
      </c>
      <c r="R19" s="5" t="s">
        <v>606</v>
      </c>
      <c r="S19" s="5" t="s">
        <v>598</v>
      </c>
      <c r="T19" s="5" t="s">
        <v>616</v>
      </c>
      <c r="U19" s="5" t="s">
        <v>1406</v>
      </c>
      <c r="V19" s="5" t="s">
        <v>1579</v>
      </c>
      <c r="W19" s="39" t="s">
        <v>1580</v>
      </c>
      <c r="X19" s="50" t="s">
        <v>1581</v>
      </c>
      <c r="Y19" s="50" t="s">
        <v>1582</v>
      </c>
      <c r="Z19" s="50" t="s">
        <v>1583</v>
      </c>
      <c r="AA19" s="39" t="s">
        <v>1584</v>
      </c>
      <c r="AB19" s="5"/>
      <c r="AC19" s="50" t="s">
        <v>1585</v>
      </c>
      <c r="AD19" s="59">
        <v>9.6</v>
      </c>
      <c r="AE19" t="e">
        <f>VLOOKUP($F19,FromYabin!$C$2:$C$112,1,FALSE)</f>
        <v>#N/A</v>
      </c>
    </row>
    <row r="20" spans="1:31" hidden="1">
      <c r="A20" s="4">
        <v>2019</v>
      </c>
      <c r="B20" s="4" t="s">
        <v>44</v>
      </c>
      <c r="C20" s="3">
        <f t="shared" si="1"/>
        <v>19</v>
      </c>
      <c r="D20" s="3" t="s">
        <v>645</v>
      </c>
      <c r="E20" s="22" t="s">
        <v>1586</v>
      </c>
      <c r="F20" s="5" t="s">
        <v>445</v>
      </c>
      <c r="G20" s="39" t="s">
        <v>2997</v>
      </c>
      <c r="H20" s="5" t="s">
        <v>131</v>
      </c>
      <c r="I20" s="7">
        <v>1000000</v>
      </c>
      <c r="J20" s="57"/>
      <c r="K20" s="7"/>
      <c r="L20" s="41">
        <v>25926</v>
      </c>
      <c r="M20" s="7">
        <v>780400</v>
      </c>
      <c r="N20" s="7"/>
      <c r="O20" s="7">
        <v>1079373</v>
      </c>
      <c r="P20" s="7">
        <v>1079373</v>
      </c>
      <c r="Q20" s="7">
        <f t="shared" si="0"/>
        <v>0</v>
      </c>
      <c r="R20" s="39" t="s">
        <v>606</v>
      </c>
      <c r="S20" s="5" t="s">
        <v>598</v>
      </c>
      <c r="T20" s="39" t="s">
        <v>616</v>
      </c>
      <c r="U20" s="5" t="s">
        <v>1390</v>
      </c>
      <c r="V20" s="39" t="s">
        <v>1587</v>
      </c>
      <c r="W20" s="39" t="s">
        <v>1588</v>
      </c>
      <c r="X20" s="50" t="s">
        <v>1589</v>
      </c>
      <c r="Y20" s="50" t="s">
        <v>1590</v>
      </c>
      <c r="Z20" s="10"/>
      <c r="AA20" s="39" t="s">
        <v>1591</v>
      </c>
      <c r="AB20" s="5"/>
      <c r="AC20" s="99" t="s">
        <v>2504</v>
      </c>
      <c r="AD20" s="59">
        <v>7.8</v>
      </c>
      <c r="AE20" t="e">
        <f>VLOOKUP($F20,FromYabin!$C$2:$C$112,1,FALSE)</f>
        <v>#N/A</v>
      </c>
    </row>
    <row r="21" spans="1:31" ht="15" hidden="1">
      <c r="A21" s="4">
        <v>2019</v>
      </c>
      <c r="B21" s="4" t="s">
        <v>44</v>
      </c>
      <c r="C21" s="3">
        <f t="shared" si="1"/>
        <v>20</v>
      </c>
      <c r="D21" s="55" t="s">
        <v>646</v>
      </c>
      <c r="E21" s="3" t="s">
        <v>646</v>
      </c>
      <c r="F21" s="5" t="s">
        <v>6</v>
      </c>
      <c r="G21" s="5" t="s">
        <v>601</v>
      </c>
      <c r="H21" s="5" t="s">
        <v>127</v>
      </c>
      <c r="I21" s="7">
        <v>20000000</v>
      </c>
      <c r="J21" s="57"/>
      <c r="K21" s="7"/>
      <c r="L21" s="8">
        <v>135</v>
      </c>
      <c r="M21" s="7">
        <v>1164810</v>
      </c>
      <c r="N21" s="7"/>
      <c r="O21" s="7">
        <v>738818536</v>
      </c>
      <c r="P21" s="7">
        <v>742514069</v>
      </c>
      <c r="Q21" s="92">
        <f t="shared" si="0"/>
        <v>3695533</v>
      </c>
      <c r="R21" s="5" t="s">
        <v>606</v>
      </c>
      <c r="S21" s="5" t="s">
        <v>631</v>
      </c>
      <c r="T21" s="5" t="s">
        <v>603</v>
      </c>
      <c r="U21" s="5" t="s">
        <v>1390</v>
      </c>
      <c r="V21" s="5" t="s">
        <v>1592</v>
      </c>
      <c r="W21" s="39" t="s">
        <v>1593</v>
      </c>
      <c r="X21" s="39" t="s">
        <v>1594</v>
      </c>
      <c r="Y21" s="39" t="s">
        <v>1561</v>
      </c>
      <c r="Z21" s="39" t="s">
        <v>1595</v>
      </c>
      <c r="AA21" s="39" t="s">
        <v>1596</v>
      </c>
      <c r="AB21" s="5"/>
      <c r="AC21" s="50" t="s">
        <v>1597</v>
      </c>
      <c r="AD21" s="59">
        <v>9.6</v>
      </c>
      <c r="AE21" t="e">
        <f>VLOOKUP($F21,FromYabin!$C$2:$C$112,1,FALSE)</f>
        <v>#N/A</v>
      </c>
    </row>
    <row r="22" spans="1:31" hidden="1">
      <c r="A22" s="4">
        <v>2019</v>
      </c>
      <c r="B22" s="4" t="s">
        <v>44</v>
      </c>
      <c r="C22" s="3">
        <f t="shared" si="1"/>
        <v>21</v>
      </c>
      <c r="D22" s="55" t="s">
        <v>647</v>
      </c>
      <c r="E22" s="3" t="s">
        <v>647</v>
      </c>
      <c r="F22" s="5" t="s">
        <v>174</v>
      </c>
      <c r="G22" s="39" t="s">
        <v>1598</v>
      </c>
      <c r="H22" s="5" t="s">
        <v>131</v>
      </c>
      <c r="I22" s="7">
        <v>44500000</v>
      </c>
      <c r="J22" s="57"/>
      <c r="K22" s="7"/>
      <c r="L22" s="41">
        <v>130842</v>
      </c>
      <c r="M22" s="7">
        <v>15095649</v>
      </c>
      <c r="N22" s="7"/>
      <c r="O22" s="7">
        <v>16923672</v>
      </c>
      <c r="P22" s="7">
        <v>16923672</v>
      </c>
      <c r="Q22" s="7">
        <f t="shared" si="0"/>
        <v>0</v>
      </c>
      <c r="R22" s="5" t="s">
        <v>606</v>
      </c>
      <c r="S22" s="5" t="s">
        <v>703</v>
      </c>
      <c r="T22" s="5" t="s">
        <v>607</v>
      </c>
      <c r="U22" s="5" t="s">
        <v>1390</v>
      </c>
      <c r="V22" s="39" t="s">
        <v>1599</v>
      </c>
      <c r="W22" s="39" t="s">
        <v>1600</v>
      </c>
      <c r="X22" s="80" t="s">
        <v>1601</v>
      </c>
      <c r="Y22" s="80" t="s">
        <v>1602</v>
      </c>
      <c r="Z22" s="80" t="s">
        <v>1603</v>
      </c>
      <c r="AA22" s="39" t="s">
        <v>1604</v>
      </c>
      <c r="AB22" s="5"/>
      <c r="AC22" s="50" t="s">
        <v>1605</v>
      </c>
      <c r="AD22" s="59">
        <v>5.8</v>
      </c>
      <c r="AE22" t="e">
        <f>VLOOKUP($F22,FromYabin!$C$2:$C$112,1,FALSE)</f>
        <v>#N/A</v>
      </c>
    </row>
    <row r="23" spans="1:31" hidden="1">
      <c r="A23" s="4">
        <v>2019</v>
      </c>
      <c r="B23" s="4" t="s">
        <v>44</v>
      </c>
      <c r="C23" s="3">
        <f t="shared" si="1"/>
        <v>22</v>
      </c>
      <c r="D23" s="55" t="s">
        <v>647</v>
      </c>
      <c r="E23" s="3" t="s">
        <v>647</v>
      </c>
      <c r="F23" s="5" t="s">
        <v>648</v>
      </c>
      <c r="G23" s="5" t="s">
        <v>626</v>
      </c>
      <c r="H23" s="5" t="s">
        <v>131</v>
      </c>
      <c r="I23" s="7">
        <v>4500000</v>
      </c>
      <c r="J23" s="57"/>
      <c r="K23" s="7"/>
      <c r="L23" s="8">
        <v>13</v>
      </c>
      <c r="M23" s="7">
        <v>182300</v>
      </c>
      <c r="N23" s="7"/>
      <c r="O23" s="7">
        <v>1222532</v>
      </c>
      <c r="P23" s="7">
        <v>1265949</v>
      </c>
      <c r="Q23" s="92">
        <f t="shared" si="0"/>
        <v>43417</v>
      </c>
      <c r="R23" s="5" t="s">
        <v>606</v>
      </c>
      <c r="S23" s="5" t="s">
        <v>598</v>
      </c>
      <c r="T23" s="5" t="s">
        <v>616</v>
      </c>
      <c r="U23" s="5" t="s">
        <v>1390</v>
      </c>
      <c r="V23" s="39" t="s">
        <v>1606</v>
      </c>
      <c r="W23" s="39" t="s">
        <v>1607</v>
      </c>
      <c r="X23" s="50" t="s">
        <v>1608</v>
      </c>
      <c r="Y23" s="80" t="s">
        <v>1609</v>
      </c>
      <c r="Z23" s="80" t="s">
        <v>1610</v>
      </c>
      <c r="AA23" s="39" t="s">
        <v>1611</v>
      </c>
      <c r="AB23" s="5"/>
      <c r="AC23" s="50" t="s">
        <v>1612</v>
      </c>
      <c r="AD23" s="59">
        <v>8.6</v>
      </c>
      <c r="AE23" t="e">
        <f>VLOOKUP($F23,FromYabin!$C$2:$C$112,1,FALSE)</f>
        <v>#N/A</v>
      </c>
    </row>
    <row r="24" spans="1:31" hidden="1">
      <c r="A24" s="4">
        <v>2019</v>
      </c>
      <c r="B24" s="4" t="s">
        <v>44</v>
      </c>
      <c r="C24" s="3">
        <f t="shared" si="1"/>
        <v>23</v>
      </c>
      <c r="D24" s="55" t="s">
        <v>649</v>
      </c>
      <c r="E24" s="22" t="s">
        <v>1050</v>
      </c>
      <c r="F24" s="5" t="s">
        <v>432</v>
      </c>
      <c r="G24" s="39" t="s">
        <v>601</v>
      </c>
      <c r="H24" s="5" t="s">
        <v>129</v>
      </c>
      <c r="I24" s="7">
        <v>22000000</v>
      </c>
      <c r="J24" s="57"/>
      <c r="K24" s="7"/>
      <c r="L24" s="41">
        <v>40704</v>
      </c>
      <c r="M24" s="7">
        <v>1804810</v>
      </c>
      <c r="N24" s="7"/>
      <c r="O24" s="7">
        <v>2577213</v>
      </c>
      <c r="P24" s="7">
        <v>2577213</v>
      </c>
      <c r="Q24" s="7">
        <f t="shared" si="0"/>
        <v>0</v>
      </c>
      <c r="R24" s="39" t="s">
        <v>606</v>
      </c>
      <c r="S24" s="5" t="s">
        <v>598</v>
      </c>
      <c r="T24" s="5" t="s">
        <v>616</v>
      </c>
      <c r="U24" s="5" t="s">
        <v>1390</v>
      </c>
      <c r="V24" s="39" t="s">
        <v>1614</v>
      </c>
      <c r="W24" s="39" t="s">
        <v>1615</v>
      </c>
      <c r="X24" s="80" t="s">
        <v>1616</v>
      </c>
      <c r="Y24" s="80" t="s">
        <v>1617</v>
      </c>
      <c r="Z24" s="10"/>
      <c r="AA24" s="39" t="s">
        <v>1618</v>
      </c>
      <c r="AB24" s="5"/>
      <c r="AC24" s="50" t="s">
        <v>1619</v>
      </c>
      <c r="AD24" s="59">
        <v>7</v>
      </c>
      <c r="AE24" t="e">
        <f>VLOOKUP($F24,FromYabin!$C$2:$C$112,1,FALSE)</f>
        <v>#N/A</v>
      </c>
    </row>
    <row r="25" spans="1:31" hidden="1">
      <c r="A25" s="4">
        <v>2019</v>
      </c>
      <c r="B25" s="4" t="s">
        <v>44</v>
      </c>
      <c r="C25" s="3">
        <f t="shared" si="1"/>
        <v>24</v>
      </c>
      <c r="D25" s="55" t="s">
        <v>650</v>
      </c>
      <c r="E25" s="3" t="s">
        <v>650</v>
      </c>
      <c r="F25" s="5" t="s">
        <v>216</v>
      </c>
      <c r="G25" s="5" t="s">
        <v>601</v>
      </c>
      <c r="H25" s="5" t="s">
        <v>131</v>
      </c>
      <c r="I25" s="7">
        <v>2200000</v>
      </c>
      <c r="J25" s="57"/>
      <c r="K25" s="7"/>
      <c r="L25" s="8">
        <v>13</v>
      </c>
      <c r="M25" s="7">
        <v>2633997</v>
      </c>
      <c r="N25" s="7"/>
      <c r="O25" s="7">
        <v>3440000</v>
      </c>
      <c r="P25" s="7">
        <v>3458555</v>
      </c>
      <c r="Q25" s="92">
        <f t="shared" si="0"/>
        <v>18555</v>
      </c>
      <c r="R25" s="5" t="s">
        <v>606</v>
      </c>
      <c r="S25" s="5" t="s">
        <v>598</v>
      </c>
      <c r="T25" s="5" t="s">
        <v>616</v>
      </c>
      <c r="U25" s="5" t="s">
        <v>1390</v>
      </c>
      <c r="V25" s="39" t="s">
        <v>1620</v>
      </c>
      <c r="W25" s="39" t="s">
        <v>1621</v>
      </c>
      <c r="X25" s="50" t="s">
        <v>1622</v>
      </c>
      <c r="Y25" s="50" t="s">
        <v>1623</v>
      </c>
      <c r="Z25" s="80" t="s">
        <v>1624</v>
      </c>
      <c r="AA25" s="39" t="s">
        <v>1622</v>
      </c>
      <c r="AB25" s="5"/>
      <c r="AC25" s="80" t="s">
        <v>1501</v>
      </c>
      <c r="AD25" s="59">
        <v>7.5</v>
      </c>
      <c r="AE25" t="e">
        <f>VLOOKUP($F25,FromYabin!$C$2:$C$112,1,FALSE)</f>
        <v>#N/A</v>
      </c>
    </row>
    <row r="26" spans="1:31" hidden="1">
      <c r="A26" s="4">
        <v>2019</v>
      </c>
      <c r="B26" s="4" t="s">
        <v>44</v>
      </c>
      <c r="C26" s="3">
        <f t="shared" si="1"/>
        <v>25</v>
      </c>
      <c r="D26" s="55" t="s">
        <v>651</v>
      </c>
      <c r="E26" s="3" t="s">
        <v>651</v>
      </c>
      <c r="F26" s="5" t="s">
        <v>652</v>
      </c>
      <c r="G26" s="5" t="s">
        <v>653</v>
      </c>
      <c r="H26" s="5" t="s">
        <v>127</v>
      </c>
      <c r="I26" s="7">
        <v>75000000</v>
      </c>
      <c r="J26" s="57"/>
      <c r="K26" s="7"/>
      <c r="L26" s="8">
        <v>4248</v>
      </c>
      <c r="M26" s="7">
        <v>20612100</v>
      </c>
      <c r="N26" s="7"/>
      <c r="O26" s="7">
        <v>127170053</v>
      </c>
      <c r="P26" s="7">
        <v>187886443</v>
      </c>
      <c r="Q26" s="92">
        <f t="shared" si="0"/>
        <v>60716390</v>
      </c>
      <c r="R26" s="5" t="s">
        <v>606</v>
      </c>
      <c r="S26" s="5" t="s">
        <v>631</v>
      </c>
      <c r="T26" s="5" t="s">
        <v>612</v>
      </c>
      <c r="U26" s="5" t="s">
        <v>1392</v>
      </c>
      <c r="V26" s="39" t="s">
        <v>1625</v>
      </c>
      <c r="W26" s="39" t="s">
        <v>652</v>
      </c>
      <c r="X26" s="50" t="s">
        <v>1626</v>
      </c>
      <c r="Y26" s="50" t="s">
        <v>1627</v>
      </c>
      <c r="Z26" s="10"/>
      <c r="AA26" s="39" t="s">
        <v>1628</v>
      </c>
      <c r="AB26" s="5"/>
      <c r="AC26" s="50" t="s">
        <v>1629</v>
      </c>
      <c r="AD26" s="59">
        <v>9.3000000000000007</v>
      </c>
      <c r="AE26" t="e">
        <f>VLOOKUP($F26,FromYabin!$C$2:$C$112,1,FALSE)</f>
        <v>#N/A</v>
      </c>
    </row>
    <row r="27" spans="1:31" hidden="1">
      <c r="A27" s="4">
        <v>2019</v>
      </c>
      <c r="B27" s="4" t="s">
        <v>44</v>
      </c>
      <c r="C27" s="3">
        <f t="shared" si="1"/>
        <v>26</v>
      </c>
      <c r="D27" s="55" t="s">
        <v>654</v>
      </c>
      <c r="E27" s="3" t="s">
        <v>654</v>
      </c>
      <c r="F27" s="5" t="s">
        <v>141</v>
      </c>
      <c r="G27" s="5" t="s">
        <v>601</v>
      </c>
      <c r="H27" s="5" t="s">
        <v>127</v>
      </c>
      <c r="I27" s="7">
        <v>89000000</v>
      </c>
      <c r="J27" s="57"/>
      <c r="K27" s="7"/>
      <c r="L27" s="8">
        <v>102</v>
      </c>
      <c r="M27" s="7">
        <v>31120924</v>
      </c>
      <c r="N27" s="7"/>
      <c r="O27" s="7">
        <v>163172247</v>
      </c>
      <c r="P27" s="7">
        <v>163659404</v>
      </c>
      <c r="Q27" s="92">
        <f t="shared" si="0"/>
        <v>487157</v>
      </c>
      <c r="R27" s="5" t="s">
        <v>597</v>
      </c>
      <c r="S27" s="5" t="s">
        <v>598</v>
      </c>
      <c r="T27" s="5" t="s">
        <v>707</v>
      </c>
      <c r="U27" s="5" t="s">
        <v>1390</v>
      </c>
      <c r="V27" s="39" t="s">
        <v>1630</v>
      </c>
      <c r="W27" s="39" t="s">
        <v>1631</v>
      </c>
      <c r="X27" s="80" t="s">
        <v>1632</v>
      </c>
      <c r="Y27" s="80" t="s">
        <v>1633</v>
      </c>
      <c r="Z27" s="80" t="s">
        <v>1634</v>
      </c>
      <c r="AA27" s="39" t="s">
        <v>1635</v>
      </c>
      <c r="AB27" s="5"/>
      <c r="AC27" s="50" t="s">
        <v>1636</v>
      </c>
      <c r="AD27" s="59">
        <v>9.4</v>
      </c>
      <c r="AE27" t="e">
        <f>VLOOKUP($F27,FromYabin!$C$2:$C$112,1,FALSE)</f>
        <v>#N/A</v>
      </c>
    </row>
    <row r="28" spans="1:31" hidden="1">
      <c r="A28" s="4">
        <v>2019</v>
      </c>
      <c r="B28" s="4" t="s">
        <v>44</v>
      </c>
      <c r="C28" s="3">
        <f t="shared" si="1"/>
        <v>27</v>
      </c>
      <c r="D28" s="55" t="s">
        <v>657</v>
      </c>
      <c r="E28" s="3" t="s">
        <v>657</v>
      </c>
      <c r="F28" s="5" t="s">
        <v>130</v>
      </c>
      <c r="G28" s="5" t="s">
        <v>605</v>
      </c>
      <c r="H28" s="5" t="s">
        <v>131</v>
      </c>
      <c r="I28" s="7">
        <v>18000000</v>
      </c>
      <c r="J28" s="57"/>
      <c r="K28" s="7"/>
      <c r="L28" s="8">
        <v>83</v>
      </c>
      <c r="M28" s="7">
        <v>101146119</v>
      </c>
      <c r="N28" s="7"/>
      <c r="O28" s="7">
        <v>463094610</v>
      </c>
      <c r="P28" s="7">
        <v>465418019</v>
      </c>
      <c r="Q28" s="92">
        <f t="shared" si="0"/>
        <v>2323409</v>
      </c>
      <c r="R28" s="5" t="s">
        <v>597</v>
      </c>
      <c r="S28" s="5" t="s">
        <v>598</v>
      </c>
      <c r="T28" s="5" t="s">
        <v>658</v>
      </c>
      <c r="U28" s="5" t="s">
        <v>1390</v>
      </c>
      <c r="V28" s="39" t="s">
        <v>1637</v>
      </c>
      <c r="W28" s="39" t="s">
        <v>1638</v>
      </c>
      <c r="X28" s="80" t="s">
        <v>1639</v>
      </c>
      <c r="Y28" s="50" t="s">
        <v>1640</v>
      </c>
      <c r="Z28" s="80" t="s">
        <v>1641</v>
      </c>
      <c r="AA28" s="39" t="s">
        <v>1642</v>
      </c>
      <c r="AB28" s="5"/>
      <c r="AC28" s="50" t="s">
        <v>1494</v>
      </c>
      <c r="AD28" s="59">
        <v>9.6999999999999993</v>
      </c>
      <c r="AE28" t="e">
        <f>VLOOKUP($F28,FromYabin!$C$2:$C$112,1,FALSE)</f>
        <v>#N/A</v>
      </c>
    </row>
    <row r="29" spans="1:31" hidden="1">
      <c r="A29" s="4">
        <v>2019</v>
      </c>
      <c r="B29" s="4" t="s">
        <v>44</v>
      </c>
      <c r="C29" s="3">
        <f t="shared" si="1"/>
        <v>28</v>
      </c>
      <c r="D29" s="55" t="s">
        <v>659</v>
      </c>
      <c r="E29" s="3" t="s">
        <v>659</v>
      </c>
      <c r="F29" s="5" t="s">
        <v>402</v>
      </c>
      <c r="G29" s="39" t="s">
        <v>605</v>
      </c>
      <c r="H29" s="5" t="s">
        <v>129</v>
      </c>
      <c r="I29" s="7">
        <v>27000000</v>
      </c>
      <c r="J29" s="57"/>
      <c r="K29" s="7"/>
      <c r="L29" s="41">
        <v>62631</v>
      </c>
      <c r="M29" s="7">
        <v>7563904</v>
      </c>
      <c r="N29" s="7"/>
      <c r="O29" s="7">
        <v>11573104</v>
      </c>
      <c r="P29" s="7">
        <v>11573104</v>
      </c>
      <c r="Q29" s="7">
        <f t="shared" si="0"/>
        <v>0</v>
      </c>
      <c r="R29" s="5" t="s">
        <v>606</v>
      </c>
      <c r="S29" s="5" t="s">
        <v>598</v>
      </c>
      <c r="T29" s="5" t="s">
        <v>603</v>
      </c>
      <c r="U29" s="5" t="s">
        <v>1406</v>
      </c>
      <c r="V29" s="39" t="s">
        <v>1644</v>
      </c>
      <c r="W29" s="39" t="s">
        <v>1645</v>
      </c>
      <c r="X29" s="80" t="s">
        <v>1646</v>
      </c>
      <c r="Y29" s="80" t="s">
        <v>1647</v>
      </c>
      <c r="Z29" s="50" t="s">
        <v>1648</v>
      </c>
      <c r="AA29" s="39" t="s">
        <v>1649</v>
      </c>
      <c r="AB29" s="5"/>
      <c r="AC29" s="50" t="s">
        <v>1577</v>
      </c>
      <c r="AD29" s="59">
        <v>7.5</v>
      </c>
      <c r="AE29" t="e">
        <f>VLOOKUP($F29,FromYabin!$C$2:$C$112,1,FALSE)</f>
        <v>#N/A</v>
      </c>
    </row>
    <row r="30" spans="1:31" hidden="1">
      <c r="A30" s="4">
        <v>2019</v>
      </c>
      <c r="B30" s="4" t="s">
        <v>44</v>
      </c>
      <c r="C30" s="3">
        <f t="shared" si="1"/>
        <v>29</v>
      </c>
      <c r="D30" s="55" t="s">
        <v>660</v>
      </c>
      <c r="E30" s="3" t="s">
        <v>660</v>
      </c>
      <c r="F30" s="5" t="s">
        <v>132</v>
      </c>
      <c r="G30" s="5" t="s">
        <v>601</v>
      </c>
      <c r="H30" s="5" t="s">
        <v>131</v>
      </c>
      <c r="I30" s="7">
        <v>60000000</v>
      </c>
      <c r="J30" s="57"/>
      <c r="K30" s="7"/>
      <c r="L30" s="8">
        <v>47</v>
      </c>
      <c r="M30" s="7">
        <v>102353091</v>
      </c>
      <c r="N30" s="7"/>
      <c r="O30" s="7">
        <v>416947720</v>
      </c>
      <c r="P30" s="7">
        <v>417654292</v>
      </c>
      <c r="Q30" s="92">
        <f t="shared" si="0"/>
        <v>706572</v>
      </c>
      <c r="R30" s="5" t="s">
        <v>597</v>
      </c>
      <c r="S30" s="5" t="s">
        <v>598</v>
      </c>
      <c r="T30" s="5" t="s">
        <v>599</v>
      </c>
      <c r="U30" s="5" t="s">
        <v>1390</v>
      </c>
      <c r="V30" s="39" t="s">
        <v>1650</v>
      </c>
      <c r="W30" s="39" t="s">
        <v>1651</v>
      </c>
      <c r="X30" s="50" t="s">
        <v>1652</v>
      </c>
      <c r="Y30" s="80" t="s">
        <v>1641</v>
      </c>
      <c r="Z30" s="80" t="s">
        <v>1574</v>
      </c>
      <c r="AA30" s="39" t="s">
        <v>1649</v>
      </c>
      <c r="AB30" s="5"/>
      <c r="AC30" s="50" t="s">
        <v>1577</v>
      </c>
      <c r="AD30" s="59">
        <v>9.4</v>
      </c>
      <c r="AE30" t="e">
        <f>VLOOKUP($F30,FromYabin!$C$2:$C$112,1,FALSE)</f>
        <v>#N/A</v>
      </c>
    </row>
    <row r="31" spans="1:31" hidden="1">
      <c r="A31" s="4">
        <v>2019</v>
      </c>
      <c r="B31" s="4" t="s">
        <v>44</v>
      </c>
      <c r="C31" s="3">
        <f t="shared" si="1"/>
        <v>30</v>
      </c>
      <c r="D31" s="55" t="s">
        <v>661</v>
      </c>
      <c r="E31" s="3" t="s">
        <v>1653</v>
      </c>
      <c r="F31" s="5" t="s">
        <v>57</v>
      </c>
      <c r="G31" s="5" t="s">
        <v>601</v>
      </c>
      <c r="H31" s="5" t="s">
        <v>131</v>
      </c>
      <c r="I31" s="7">
        <v>44776119</v>
      </c>
      <c r="J31" s="7">
        <v>8955223</v>
      </c>
      <c r="K31" s="7">
        <v>28208955</v>
      </c>
      <c r="L31" s="8">
        <v>70359</v>
      </c>
      <c r="M31" s="7">
        <v>39959722</v>
      </c>
      <c r="N31" s="7">
        <v>74477611</v>
      </c>
      <c r="O31" s="7">
        <v>97033612</v>
      </c>
      <c r="P31" s="7">
        <v>97033612</v>
      </c>
      <c r="Q31" s="7">
        <f>P31-O31</f>
        <v>0</v>
      </c>
      <c r="R31" s="5" t="s">
        <v>602</v>
      </c>
      <c r="S31" s="5" t="s">
        <v>598</v>
      </c>
      <c r="T31" s="5" t="s">
        <v>603</v>
      </c>
      <c r="U31" s="5" t="s">
        <v>1390</v>
      </c>
      <c r="V31" s="5" t="s">
        <v>1654</v>
      </c>
      <c r="W31" s="5" t="s">
        <v>1655</v>
      </c>
      <c r="X31" s="5" t="s">
        <v>1656</v>
      </c>
      <c r="Y31" s="5" t="s">
        <v>1657</v>
      </c>
      <c r="Z31" s="5"/>
      <c r="AA31" s="5" t="s">
        <v>1642</v>
      </c>
      <c r="AB31" s="5"/>
      <c r="AC31" s="5" t="s">
        <v>1658</v>
      </c>
      <c r="AD31" s="62">
        <v>7.5</v>
      </c>
      <c r="AE31" t="str">
        <f>VLOOKUP($F31,FromYabin!$C$2:$C$112,1,FALSE)</f>
        <v>Yao Mao Zhuan</v>
      </c>
    </row>
    <row r="32" spans="1:31" hidden="1">
      <c r="A32" s="4">
        <v>2019</v>
      </c>
      <c r="B32" s="4" t="s">
        <v>44</v>
      </c>
      <c r="C32" s="3">
        <f t="shared" si="1"/>
        <v>31</v>
      </c>
      <c r="D32" s="55" t="s">
        <v>662</v>
      </c>
      <c r="E32" s="3" t="s">
        <v>662</v>
      </c>
      <c r="F32" s="5" t="s">
        <v>663</v>
      </c>
      <c r="G32" s="5" t="s">
        <v>664</v>
      </c>
      <c r="H32" s="5" t="s">
        <v>127</v>
      </c>
      <c r="I32" s="7">
        <v>50000000</v>
      </c>
      <c r="J32" s="57"/>
      <c r="K32" s="7"/>
      <c r="L32" s="8">
        <v>2844</v>
      </c>
      <c r="M32" s="7">
        <v>2901335</v>
      </c>
      <c r="N32" s="7"/>
      <c r="O32" s="7">
        <v>3890797</v>
      </c>
      <c r="P32" s="7">
        <v>9692046</v>
      </c>
      <c r="Q32" s="92">
        <f t="shared" si="0"/>
        <v>5801249</v>
      </c>
      <c r="R32" s="5" t="s">
        <v>606</v>
      </c>
      <c r="S32" s="5" t="s">
        <v>631</v>
      </c>
      <c r="T32" s="5" t="s">
        <v>612</v>
      </c>
      <c r="U32" s="5" t="s">
        <v>1392</v>
      </c>
      <c r="V32" s="39" t="s">
        <v>1659</v>
      </c>
      <c r="W32" s="39" t="s">
        <v>663</v>
      </c>
      <c r="X32" s="39" t="s">
        <v>1660</v>
      </c>
      <c r="Y32" s="39" t="s">
        <v>1661</v>
      </c>
      <c r="Z32" s="39" t="s">
        <v>1662</v>
      </c>
      <c r="AA32" s="39" t="s">
        <v>1663</v>
      </c>
      <c r="AB32" s="5"/>
      <c r="AC32" s="39" t="s">
        <v>1664</v>
      </c>
      <c r="AD32" s="63" t="s">
        <v>1665</v>
      </c>
      <c r="AE32" t="e">
        <f>VLOOKUP($F32,FromYabin!$C$2:$C$112,1,FALSE)</f>
        <v>#N/A</v>
      </c>
    </row>
    <row r="33" spans="1:31" hidden="1">
      <c r="A33" s="4">
        <v>2019</v>
      </c>
      <c r="B33" s="4" t="s">
        <v>44</v>
      </c>
      <c r="C33" s="3">
        <f t="shared" si="1"/>
        <v>32</v>
      </c>
      <c r="D33" s="55" t="s">
        <v>665</v>
      </c>
      <c r="E33" s="3" t="s">
        <v>665</v>
      </c>
      <c r="F33" s="5" t="s">
        <v>401</v>
      </c>
      <c r="G33" s="39" t="s">
        <v>1666</v>
      </c>
      <c r="H33" s="5" t="s">
        <v>127</v>
      </c>
      <c r="I33" s="7">
        <v>20000000</v>
      </c>
      <c r="J33" s="57"/>
      <c r="K33" s="7"/>
      <c r="L33" s="41">
        <v>13085</v>
      </c>
      <c r="M33" s="7">
        <v>2687165</v>
      </c>
      <c r="N33" s="7"/>
      <c r="O33" s="7">
        <v>11687938</v>
      </c>
      <c r="P33" s="7">
        <v>11687938</v>
      </c>
      <c r="Q33" s="7">
        <f t="shared" si="0"/>
        <v>0</v>
      </c>
      <c r="R33" s="5" t="s">
        <v>666</v>
      </c>
      <c r="S33" s="5" t="s">
        <v>631</v>
      </c>
      <c r="T33" s="5" t="s">
        <v>603</v>
      </c>
      <c r="U33" s="5" t="s">
        <v>1392</v>
      </c>
      <c r="V33" s="39" t="s">
        <v>1667</v>
      </c>
      <c r="W33" s="39" t="s">
        <v>1667</v>
      </c>
      <c r="X33" s="39" t="s">
        <v>1668</v>
      </c>
      <c r="Y33" s="5"/>
      <c r="Z33" s="5"/>
      <c r="AA33" s="39" t="s">
        <v>1669</v>
      </c>
      <c r="AB33" s="5"/>
      <c r="AC33" s="39" t="s">
        <v>1666</v>
      </c>
      <c r="AD33" s="59">
        <v>8.8000000000000007</v>
      </c>
      <c r="AE33" t="e">
        <f>VLOOKUP($F33,FromYabin!$C$2:$C$112,1,FALSE)</f>
        <v>#N/A</v>
      </c>
    </row>
    <row r="34" spans="1:31" hidden="1">
      <c r="A34" s="4">
        <v>2019</v>
      </c>
      <c r="B34" s="4" t="s">
        <v>44</v>
      </c>
      <c r="C34" s="3">
        <f t="shared" si="1"/>
        <v>33</v>
      </c>
      <c r="D34" s="55" t="s">
        <v>667</v>
      </c>
      <c r="E34" s="3" t="s">
        <v>667</v>
      </c>
      <c r="F34" s="5" t="s">
        <v>162</v>
      </c>
      <c r="G34" s="5" t="s">
        <v>605</v>
      </c>
      <c r="H34" s="5" t="s">
        <v>131</v>
      </c>
      <c r="I34" s="7">
        <v>1120000</v>
      </c>
      <c r="J34" s="57"/>
      <c r="K34" s="7"/>
      <c r="L34" s="8">
        <v>29</v>
      </c>
      <c r="M34" s="7">
        <v>9838348</v>
      </c>
      <c r="N34" s="7"/>
      <c r="O34" s="7">
        <v>31098062</v>
      </c>
      <c r="P34" s="7">
        <v>31188607</v>
      </c>
      <c r="Q34" s="92">
        <f t="shared" si="0"/>
        <v>90545</v>
      </c>
      <c r="R34" s="5" t="s">
        <v>606</v>
      </c>
      <c r="S34" s="5" t="s">
        <v>598</v>
      </c>
      <c r="T34" s="5" t="s">
        <v>616</v>
      </c>
      <c r="U34" s="5" t="s">
        <v>1390</v>
      </c>
      <c r="V34" s="39" t="s">
        <v>1670</v>
      </c>
      <c r="W34" s="39" t="s">
        <v>1671</v>
      </c>
      <c r="X34" s="39" t="s">
        <v>1672</v>
      </c>
      <c r="Y34" s="39" t="s">
        <v>1673</v>
      </c>
      <c r="Z34" s="39" t="s">
        <v>1674</v>
      </c>
      <c r="AA34" s="39" t="s">
        <v>1675</v>
      </c>
      <c r="AB34" s="5"/>
      <c r="AC34" s="39" t="s">
        <v>1676</v>
      </c>
      <c r="AD34" s="59">
        <v>8.8000000000000007</v>
      </c>
      <c r="AE34" t="e">
        <f>VLOOKUP($F34,FromYabin!$C$2:$C$112,1,FALSE)</f>
        <v>#N/A</v>
      </c>
    </row>
    <row r="35" spans="1:31" hidden="1">
      <c r="A35" s="4">
        <v>2019</v>
      </c>
      <c r="B35" s="4" t="s">
        <v>44</v>
      </c>
      <c r="C35" s="3">
        <f t="shared" si="1"/>
        <v>34</v>
      </c>
      <c r="D35" s="55" t="s">
        <v>667</v>
      </c>
      <c r="E35" s="3" t="s">
        <v>667</v>
      </c>
      <c r="F35" s="5" t="s">
        <v>139</v>
      </c>
      <c r="G35" s="5" t="s">
        <v>601</v>
      </c>
      <c r="H35" s="5" t="s">
        <v>131</v>
      </c>
      <c r="I35" s="7">
        <v>18000000</v>
      </c>
      <c r="J35" s="57"/>
      <c r="K35" s="7"/>
      <c r="L35" s="8">
        <v>88</v>
      </c>
      <c r="M35" s="7">
        <v>82199097</v>
      </c>
      <c r="N35" s="7"/>
      <c r="O35" s="7">
        <v>228079374</v>
      </c>
      <c r="P35" s="7">
        <v>230001031</v>
      </c>
      <c r="Q35" s="92">
        <f t="shared" si="0"/>
        <v>1921657</v>
      </c>
      <c r="R35" s="5" t="s">
        <v>602</v>
      </c>
      <c r="S35" s="5" t="s">
        <v>598</v>
      </c>
      <c r="T35" s="5" t="s">
        <v>616</v>
      </c>
      <c r="U35" s="5" t="s">
        <v>1390</v>
      </c>
      <c r="V35" s="39" t="s">
        <v>1677</v>
      </c>
      <c r="W35" s="39" t="s">
        <v>1678</v>
      </c>
      <c r="X35" s="39" t="s">
        <v>1679</v>
      </c>
      <c r="Y35" s="39" t="s">
        <v>1680</v>
      </c>
      <c r="Z35" s="39" t="s">
        <v>1681</v>
      </c>
      <c r="AA35" s="39" t="s">
        <v>1682</v>
      </c>
      <c r="AB35" s="5"/>
      <c r="AC35" s="39" t="s">
        <v>1683</v>
      </c>
      <c r="AD35" s="59">
        <v>9.4</v>
      </c>
      <c r="AE35" t="e">
        <f>VLOOKUP($F35,FromYabin!$C$2:$C$112,1,FALSE)</f>
        <v>#N/A</v>
      </c>
    </row>
    <row r="36" spans="1:31" hidden="1">
      <c r="A36" s="4">
        <v>2019</v>
      </c>
      <c r="B36" s="4" t="s">
        <v>44</v>
      </c>
      <c r="C36" s="3">
        <f t="shared" si="1"/>
        <v>35</v>
      </c>
      <c r="D36" s="55" t="s">
        <v>668</v>
      </c>
      <c r="E36" s="3" t="s">
        <v>668</v>
      </c>
      <c r="F36" s="5" t="s">
        <v>150</v>
      </c>
      <c r="G36" s="5" t="s">
        <v>669</v>
      </c>
      <c r="H36" s="5" t="s">
        <v>131</v>
      </c>
      <c r="I36" s="7">
        <v>14000000</v>
      </c>
      <c r="J36" s="57" t="s">
        <v>1411</v>
      </c>
      <c r="K36" s="7">
        <v>23134328</v>
      </c>
      <c r="L36" s="8">
        <v>51754</v>
      </c>
      <c r="M36" s="7">
        <v>5860000</v>
      </c>
      <c r="N36" s="7">
        <v>66865672</v>
      </c>
      <c r="O36" s="7">
        <v>68330000</v>
      </c>
      <c r="P36" s="7">
        <v>68364730</v>
      </c>
      <c r="Q36" s="92">
        <f t="shared" si="0"/>
        <v>34730</v>
      </c>
      <c r="R36" s="5" t="s">
        <v>606</v>
      </c>
      <c r="S36" s="5" t="s">
        <v>631</v>
      </c>
      <c r="T36" s="5" t="s">
        <v>603</v>
      </c>
      <c r="U36" s="5" t="s">
        <v>1390</v>
      </c>
      <c r="V36" s="5" t="s">
        <v>1685</v>
      </c>
      <c r="W36" s="5" t="s">
        <v>1686</v>
      </c>
      <c r="X36" s="5" t="s">
        <v>1687</v>
      </c>
      <c r="Y36" s="5" t="s">
        <v>1688</v>
      </c>
      <c r="Z36" s="5"/>
      <c r="AA36" s="5" t="s">
        <v>1689</v>
      </c>
      <c r="AB36" s="5"/>
      <c r="AC36" s="5" t="s">
        <v>812</v>
      </c>
      <c r="AD36" s="62">
        <v>9.3000000000000007</v>
      </c>
      <c r="AE36" t="e">
        <f>VLOOKUP($F36,FromYabin!$C$2:$C$112,1,FALSE)</f>
        <v>#N/A</v>
      </c>
    </row>
    <row r="37" spans="1:31" hidden="1">
      <c r="A37" s="4">
        <v>2019</v>
      </c>
      <c r="B37" s="4" t="s">
        <v>44</v>
      </c>
      <c r="C37" s="3">
        <f t="shared" si="1"/>
        <v>36</v>
      </c>
      <c r="D37" s="55" t="s">
        <v>675</v>
      </c>
      <c r="E37" s="3" t="s">
        <v>675</v>
      </c>
      <c r="F37" s="5" t="s">
        <v>167</v>
      </c>
      <c r="G37" s="5" t="s">
        <v>626</v>
      </c>
      <c r="H37" s="5" t="s">
        <v>131</v>
      </c>
      <c r="I37" s="7">
        <v>100000000</v>
      </c>
      <c r="J37" s="57"/>
      <c r="K37" s="7"/>
      <c r="L37" s="41">
        <v>75831</v>
      </c>
      <c r="M37" s="42">
        <v>9490000</v>
      </c>
      <c r="N37" s="7"/>
      <c r="O37" s="7">
        <v>23417137</v>
      </c>
      <c r="P37" s="7">
        <v>23417137</v>
      </c>
      <c r="Q37" s="7">
        <f t="shared" si="0"/>
        <v>0</v>
      </c>
      <c r="R37" s="5" t="s">
        <v>606</v>
      </c>
      <c r="S37" s="5" t="s">
        <v>598</v>
      </c>
      <c r="T37" s="5" t="s">
        <v>616</v>
      </c>
      <c r="U37" s="5" t="s">
        <v>1390</v>
      </c>
      <c r="V37" s="39" t="s">
        <v>1690</v>
      </c>
      <c r="W37" s="39" t="s">
        <v>1691</v>
      </c>
      <c r="X37" s="39" t="s">
        <v>1692</v>
      </c>
      <c r="Y37" s="39" t="s">
        <v>1693</v>
      </c>
      <c r="Z37" s="39" t="s">
        <v>1694</v>
      </c>
      <c r="AA37" s="39" t="s">
        <v>1695</v>
      </c>
      <c r="AB37" s="5"/>
      <c r="AC37" s="39" t="s">
        <v>1494</v>
      </c>
      <c r="AD37" s="59">
        <v>8.5</v>
      </c>
      <c r="AE37" t="e">
        <f>VLOOKUP($F37,FromYabin!$C$2:$C$112,1,FALSE)</f>
        <v>#N/A</v>
      </c>
    </row>
    <row r="38" spans="1:31" hidden="1">
      <c r="A38" s="4">
        <v>2019</v>
      </c>
      <c r="B38" s="4" t="s">
        <v>44</v>
      </c>
      <c r="C38" s="3">
        <f t="shared" si="1"/>
        <v>37</v>
      </c>
      <c r="D38" s="3" t="s">
        <v>676</v>
      </c>
      <c r="E38" s="3" t="s">
        <v>1696</v>
      </c>
      <c r="F38" s="5" t="s">
        <v>192</v>
      </c>
      <c r="G38" s="5" t="s">
        <v>1409</v>
      </c>
      <c r="H38" s="5" t="s">
        <v>193</v>
      </c>
      <c r="I38" s="7">
        <v>895522.38805970142</v>
      </c>
      <c r="J38" s="57" t="s">
        <v>1411</v>
      </c>
      <c r="K38" s="7">
        <v>1791044.7761194028</v>
      </c>
      <c r="L38" s="8">
        <v>13036</v>
      </c>
      <c r="M38" s="7">
        <v>1170000</v>
      </c>
      <c r="N38" s="7">
        <v>5522388.0597014921</v>
      </c>
      <c r="O38" s="7">
        <v>7489619</v>
      </c>
      <c r="P38" s="7">
        <v>7489619</v>
      </c>
      <c r="Q38" s="7">
        <f t="shared" si="0"/>
        <v>0</v>
      </c>
      <c r="R38" s="5" t="s">
        <v>606</v>
      </c>
      <c r="S38" s="5" t="s">
        <v>598</v>
      </c>
      <c r="T38" s="5" t="s">
        <v>616</v>
      </c>
      <c r="U38" s="5" t="s">
        <v>1406</v>
      </c>
      <c r="V38" s="5" t="s">
        <v>1697</v>
      </c>
      <c r="W38" s="5" t="s">
        <v>1698</v>
      </c>
      <c r="X38" s="5" t="s">
        <v>1699</v>
      </c>
      <c r="Y38" s="5" t="s">
        <v>1693</v>
      </c>
      <c r="Z38" s="5" t="s">
        <v>1694</v>
      </c>
      <c r="AA38" s="5" t="s">
        <v>1700</v>
      </c>
      <c r="AB38" s="5"/>
      <c r="AC38" s="5" t="s">
        <v>1701</v>
      </c>
      <c r="AD38" s="62">
        <v>7.9</v>
      </c>
      <c r="AE38" t="e">
        <f>VLOOKUP($F38,FromYabin!$C$2:$C$112,1,FALSE)</f>
        <v>#N/A</v>
      </c>
    </row>
    <row r="39" spans="1:31" hidden="1">
      <c r="A39" s="4">
        <v>2019</v>
      </c>
      <c r="B39" s="4" t="s">
        <v>44</v>
      </c>
      <c r="C39" s="3">
        <f t="shared" si="1"/>
        <v>38</v>
      </c>
      <c r="D39" s="55" t="s">
        <v>676</v>
      </c>
      <c r="E39" s="56" t="s">
        <v>675</v>
      </c>
      <c r="F39" s="5" t="s">
        <v>140</v>
      </c>
      <c r="G39" s="39" t="s">
        <v>1417</v>
      </c>
      <c r="H39" s="5" t="s">
        <v>131</v>
      </c>
      <c r="I39" s="7">
        <v>250000000</v>
      </c>
      <c r="J39" s="57"/>
      <c r="K39" s="7"/>
      <c r="L39" s="41">
        <v>108128</v>
      </c>
      <c r="M39" s="41" t="s">
        <v>1501</v>
      </c>
      <c r="N39" s="7"/>
      <c r="O39" s="7">
        <v>198756793</v>
      </c>
      <c r="P39" s="7">
        <v>198756793</v>
      </c>
      <c r="Q39" s="7">
        <f t="shared" si="0"/>
        <v>0</v>
      </c>
      <c r="R39" s="5" t="s">
        <v>606</v>
      </c>
      <c r="S39" s="5" t="s">
        <v>598</v>
      </c>
      <c r="T39" s="5" t="s">
        <v>616</v>
      </c>
      <c r="U39" s="5" t="s">
        <v>1406</v>
      </c>
      <c r="V39" s="5" t="s">
        <v>1702</v>
      </c>
      <c r="W39" s="5" t="s">
        <v>1703</v>
      </c>
      <c r="X39" s="39" t="s">
        <v>1704</v>
      </c>
      <c r="Y39" s="39" t="s">
        <v>1575</v>
      </c>
      <c r="Z39" s="80" t="s">
        <v>1705</v>
      </c>
      <c r="AA39" s="39" t="s">
        <v>1706</v>
      </c>
      <c r="AB39" s="5"/>
      <c r="AC39" s="39" t="s">
        <v>1707</v>
      </c>
      <c r="AD39" s="59">
        <v>9.4</v>
      </c>
      <c r="AE39" t="e">
        <f>VLOOKUP($F39,FromYabin!$C$2:$C$112,1,FALSE)</f>
        <v>#N/A</v>
      </c>
    </row>
    <row r="40" spans="1:31" hidden="1">
      <c r="A40" s="4">
        <v>2019</v>
      </c>
      <c r="B40" s="4" t="s">
        <v>44</v>
      </c>
      <c r="C40" s="3">
        <f t="shared" si="1"/>
        <v>39</v>
      </c>
      <c r="D40" s="55" t="s">
        <v>676</v>
      </c>
      <c r="E40" s="22" t="s">
        <v>1708</v>
      </c>
      <c r="F40" s="5" t="s">
        <v>187</v>
      </c>
      <c r="G40" s="39" t="s">
        <v>1417</v>
      </c>
      <c r="H40" s="5" t="s">
        <v>127</v>
      </c>
      <c r="I40" s="7">
        <v>350000000</v>
      </c>
      <c r="J40" s="57"/>
      <c r="K40" s="7"/>
      <c r="L40" s="41">
        <v>26219</v>
      </c>
      <c r="M40" s="42">
        <v>2130000</v>
      </c>
      <c r="N40" s="7"/>
      <c r="O40" s="7">
        <v>8307698</v>
      </c>
      <c r="P40" s="7">
        <v>8307698</v>
      </c>
      <c r="Q40" s="7">
        <f t="shared" si="0"/>
        <v>0</v>
      </c>
      <c r="R40" s="5" t="s">
        <v>666</v>
      </c>
      <c r="S40" s="5" t="s">
        <v>598</v>
      </c>
      <c r="T40" s="5" t="s">
        <v>603</v>
      </c>
      <c r="U40" s="5" t="s">
        <v>1406</v>
      </c>
      <c r="V40" s="58" t="s">
        <v>2995</v>
      </c>
      <c r="W40" s="5" t="s">
        <v>1709</v>
      </c>
      <c r="X40" s="95" t="s">
        <v>2008</v>
      </c>
      <c r="Y40" s="5"/>
      <c r="Z40" s="10"/>
      <c r="AA40" s="58" t="s">
        <v>3024</v>
      </c>
      <c r="AB40" s="5"/>
      <c r="AC40" s="58" t="s">
        <v>1417</v>
      </c>
      <c r="AD40" s="94">
        <v>6.9</v>
      </c>
      <c r="AE40" t="e">
        <f>VLOOKUP($F40,FromYabin!$C$2:$C$112,1,FALSE)</f>
        <v>#N/A</v>
      </c>
    </row>
    <row r="41" spans="1:31" hidden="1">
      <c r="A41" s="4">
        <v>2019</v>
      </c>
      <c r="B41" s="4" t="s">
        <v>44</v>
      </c>
      <c r="C41" s="3">
        <f t="shared" si="1"/>
        <v>40</v>
      </c>
      <c r="D41" s="55" t="s">
        <v>676</v>
      </c>
      <c r="E41" s="56" t="s">
        <v>673</v>
      </c>
      <c r="F41" s="5" t="s">
        <v>179</v>
      </c>
      <c r="G41" s="39" t="s">
        <v>1710</v>
      </c>
      <c r="H41" s="5" t="s">
        <v>131</v>
      </c>
      <c r="I41" s="7">
        <v>300000000</v>
      </c>
      <c r="J41" s="57"/>
      <c r="K41" s="7"/>
      <c r="L41" s="41">
        <v>105653</v>
      </c>
      <c r="M41" s="42">
        <v>8540000</v>
      </c>
      <c r="N41" s="7"/>
      <c r="O41" s="7">
        <v>10102949</v>
      </c>
      <c r="P41" s="7">
        <v>10102949</v>
      </c>
      <c r="Q41" s="7">
        <f t="shared" si="0"/>
        <v>0</v>
      </c>
      <c r="R41" s="5" t="s">
        <v>606</v>
      </c>
      <c r="S41" s="5" t="s">
        <v>598</v>
      </c>
      <c r="T41" s="5" t="s">
        <v>603</v>
      </c>
      <c r="U41" s="5" t="s">
        <v>1406</v>
      </c>
      <c r="V41" s="39" t="s">
        <v>1711</v>
      </c>
      <c r="W41" s="39" t="s">
        <v>1712</v>
      </c>
      <c r="X41" s="39" t="s">
        <v>1639</v>
      </c>
      <c r="Y41" s="39" t="s">
        <v>1713</v>
      </c>
      <c r="Z41" s="10"/>
      <c r="AA41" s="39" t="s">
        <v>1714</v>
      </c>
      <c r="AB41" s="5"/>
      <c r="AC41" s="39" t="s">
        <v>1710</v>
      </c>
      <c r="AD41" s="59">
        <v>7.8</v>
      </c>
      <c r="AE41" t="e">
        <f>VLOOKUP($F41,FromYabin!$C$2:$C$112,1,FALSE)</f>
        <v>#N/A</v>
      </c>
    </row>
    <row r="42" spans="1:31" hidden="1">
      <c r="A42" s="4">
        <v>2019</v>
      </c>
      <c r="B42" s="4" t="s">
        <v>44</v>
      </c>
      <c r="C42" s="3">
        <f t="shared" si="1"/>
        <v>41</v>
      </c>
      <c r="D42" s="55" t="s">
        <v>676</v>
      </c>
      <c r="E42" s="3" t="s">
        <v>1715</v>
      </c>
      <c r="F42" s="5" t="s">
        <v>231</v>
      </c>
      <c r="G42" s="5" t="s">
        <v>1410</v>
      </c>
      <c r="H42" s="5" t="s">
        <v>131</v>
      </c>
      <c r="I42" s="7">
        <v>5970149.253731343</v>
      </c>
      <c r="J42" s="57" t="s">
        <v>1411</v>
      </c>
      <c r="K42" s="7">
        <v>895522.38805970142</v>
      </c>
      <c r="L42" s="41" t="s">
        <v>1501</v>
      </c>
      <c r="M42" s="7">
        <v>1929242</v>
      </c>
      <c r="N42" s="7">
        <v>2537313.4328358206</v>
      </c>
      <c r="O42" s="7">
        <v>2504008</v>
      </c>
      <c r="P42" s="7">
        <v>2504008</v>
      </c>
      <c r="Q42" s="7">
        <f t="shared" si="0"/>
        <v>0</v>
      </c>
      <c r="R42" s="5" t="s">
        <v>606</v>
      </c>
      <c r="S42" s="5" t="s">
        <v>598</v>
      </c>
      <c r="T42" s="5" t="s">
        <v>616</v>
      </c>
      <c r="U42" s="5" t="s">
        <v>1406</v>
      </c>
      <c r="V42" s="5" t="s">
        <v>1716</v>
      </c>
      <c r="W42" s="5" t="s">
        <v>1717</v>
      </c>
      <c r="X42" s="5" t="s">
        <v>1718</v>
      </c>
      <c r="Y42" s="5" t="s">
        <v>1719</v>
      </c>
      <c r="Z42" s="5"/>
      <c r="AA42" s="5" t="s">
        <v>1720</v>
      </c>
      <c r="AB42" s="5"/>
      <c r="AC42" s="5" t="s">
        <v>1721</v>
      </c>
      <c r="AD42" s="62">
        <v>6.8</v>
      </c>
      <c r="AE42" t="e">
        <f>VLOOKUP($F42,FromYabin!$C$2:$C$112,1,FALSE)</f>
        <v>#N/A</v>
      </c>
    </row>
    <row r="43" spans="1:31" hidden="1">
      <c r="A43" s="4">
        <v>2019</v>
      </c>
      <c r="B43" s="4" t="s">
        <v>44</v>
      </c>
      <c r="C43" s="3">
        <f t="shared" si="1"/>
        <v>42</v>
      </c>
      <c r="D43" s="55" t="s">
        <v>676</v>
      </c>
      <c r="E43" s="56" t="s">
        <v>769</v>
      </c>
      <c r="F43" s="5" t="s">
        <v>151</v>
      </c>
      <c r="G43" s="39" t="s">
        <v>605</v>
      </c>
      <c r="H43" s="5" t="s">
        <v>131</v>
      </c>
      <c r="I43" s="7">
        <v>7000000</v>
      </c>
      <c r="J43" s="57" t="s">
        <v>1411</v>
      </c>
      <c r="K43" s="7">
        <v>20895522</v>
      </c>
      <c r="L43" s="8">
        <v>75043</v>
      </c>
      <c r="M43" s="7">
        <v>21695510</v>
      </c>
      <c r="N43" s="7">
        <v>61044776</v>
      </c>
      <c r="O43" s="7">
        <v>60006412</v>
      </c>
      <c r="P43" s="7">
        <v>60006412</v>
      </c>
      <c r="Q43" s="7">
        <f t="shared" si="0"/>
        <v>0</v>
      </c>
      <c r="R43" s="5" t="s">
        <v>606</v>
      </c>
      <c r="S43" s="5" t="s">
        <v>598</v>
      </c>
      <c r="T43" s="5" t="s">
        <v>616</v>
      </c>
      <c r="U43" s="5" t="s">
        <v>1406</v>
      </c>
      <c r="V43" s="5" t="s">
        <v>1722</v>
      </c>
      <c r="W43" s="5" t="s">
        <v>1723</v>
      </c>
      <c r="X43" s="5" t="s">
        <v>1724</v>
      </c>
      <c r="Y43" s="5" t="s">
        <v>1725</v>
      </c>
      <c r="Z43" s="5"/>
      <c r="AA43" s="5" t="s">
        <v>1726</v>
      </c>
      <c r="AB43" s="5"/>
      <c r="AC43" s="5" t="s">
        <v>1417</v>
      </c>
      <c r="AD43" s="62">
        <v>8.6999999999999993</v>
      </c>
      <c r="AE43" t="e">
        <f>VLOOKUP($F43,FromYabin!$C$2:$C$112,1,FALSE)</f>
        <v>#N/A</v>
      </c>
    </row>
    <row r="44" spans="1:31" hidden="1">
      <c r="A44" s="4">
        <v>2019</v>
      </c>
      <c r="B44" s="4" t="s">
        <v>44</v>
      </c>
      <c r="C44" s="3">
        <f t="shared" si="1"/>
        <v>43</v>
      </c>
      <c r="D44" s="55" t="s">
        <v>676</v>
      </c>
      <c r="E44" s="3" t="s">
        <v>807</v>
      </c>
      <c r="F44" s="5" t="s">
        <v>227</v>
      </c>
      <c r="G44" s="5" t="s">
        <v>1412</v>
      </c>
      <c r="H44" s="5" t="s">
        <v>148</v>
      </c>
      <c r="I44" s="7">
        <v>2985074.6268656715</v>
      </c>
      <c r="J44" s="57" t="s">
        <v>1411</v>
      </c>
      <c r="K44" s="7">
        <v>746268.65671641787</v>
      </c>
      <c r="L44" s="8">
        <v>43445</v>
      </c>
      <c r="M44" s="7">
        <v>1604943</v>
      </c>
      <c r="N44" s="7">
        <v>2238805.9701492535</v>
      </c>
      <c r="O44" s="7">
        <v>2709986</v>
      </c>
      <c r="P44" s="7">
        <v>2709986</v>
      </c>
      <c r="Q44" s="7">
        <f t="shared" si="0"/>
        <v>0</v>
      </c>
      <c r="R44" s="5" t="s">
        <v>606</v>
      </c>
      <c r="S44" s="5" t="s">
        <v>598</v>
      </c>
      <c r="T44" s="5" t="s">
        <v>616</v>
      </c>
      <c r="U44" s="5" t="s">
        <v>1406</v>
      </c>
      <c r="V44" s="5" t="s">
        <v>1729</v>
      </c>
      <c r="W44" s="5" t="s">
        <v>1730</v>
      </c>
      <c r="X44" s="5" t="s">
        <v>1731</v>
      </c>
      <c r="Y44" s="5" t="s">
        <v>1732</v>
      </c>
      <c r="Z44" s="5" t="s">
        <v>1733</v>
      </c>
      <c r="AA44" s="5" t="s">
        <v>1734</v>
      </c>
      <c r="AB44" s="5" t="s">
        <v>1735</v>
      </c>
      <c r="AC44" s="5" t="s">
        <v>1412</v>
      </c>
      <c r="AD44" s="62">
        <v>7.5</v>
      </c>
      <c r="AE44" t="e">
        <f>VLOOKUP($F44,FromYabin!$C$2:$C$112,1,FALSE)</f>
        <v>#N/A</v>
      </c>
    </row>
    <row r="45" spans="1:31" hidden="1">
      <c r="A45" s="4">
        <v>2019</v>
      </c>
      <c r="B45" s="4" t="s">
        <v>44</v>
      </c>
      <c r="C45" s="3">
        <f t="shared" si="1"/>
        <v>44</v>
      </c>
      <c r="D45" s="55" t="s">
        <v>676</v>
      </c>
      <c r="E45" s="3" t="s">
        <v>621</v>
      </c>
      <c r="F45" s="5" t="s">
        <v>219</v>
      </c>
      <c r="G45" s="5" t="s">
        <v>1413</v>
      </c>
      <c r="H45" s="5" t="s">
        <v>127</v>
      </c>
      <c r="I45" s="7">
        <v>2985074.6268656715</v>
      </c>
      <c r="J45" s="57" t="s">
        <v>1411</v>
      </c>
      <c r="K45" s="7">
        <v>895522.38805970142</v>
      </c>
      <c r="L45" s="8">
        <v>12490</v>
      </c>
      <c r="M45" s="7">
        <v>1020000</v>
      </c>
      <c r="N45" s="7">
        <v>2835820.8955223882</v>
      </c>
      <c r="O45" s="7">
        <v>3190549</v>
      </c>
      <c r="P45" s="7">
        <v>3190549</v>
      </c>
      <c r="Q45" s="7">
        <f t="shared" si="0"/>
        <v>0</v>
      </c>
      <c r="R45" s="5" t="s">
        <v>666</v>
      </c>
      <c r="S45" s="5" t="s">
        <v>631</v>
      </c>
      <c r="T45" s="5" t="s">
        <v>603</v>
      </c>
      <c r="U45" s="5" t="s">
        <v>1406</v>
      </c>
      <c r="V45" s="5" t="s">
        <v>1738</v>
      </c>
      <c r="W45" s="5" t="s">
        <v>1739</v>
      </c>
      <c r="X45" s="39" t="s">
        <v>1411</v>
      </c>
      <c r="Y45" s="5"/>
      <c r="Z45" s="5"/>
      <c r="AA45" s="5" t="s">
        <v>1740</v>
      </c>
      <c r="AB45" s="5"/>
      <c r="AC45" s="5" t="s">
        <v>1741</v>
      </c>
      <c r="AD45" s="62">
        <v>7.4</v>
      </c>
      <c r="AE45" t="e">
        <f>VLOOKUP($F45,FromYabin!$C$2:$C$112,1,FALSE)</f>
        <v>#N/A</v>
      </c>
    </row>
    <row r="46" spans="1:31" hidden="1">
      <c r="A46" s="4">
        <v>2019</v>
      </c>
      <c r="B46" s="4" t="s">
        <v>44</v>
      </c>
      <c r="C46" s="3">
        <f t="shared" si="1"/>
        <v>45</v>
      </c>
      <c r="D46" s="55" t="s">
        <v>676</v>
      </c>
      <c r="E46" s="3" t="s">
        <v>676</v>
      </c>
      <c r="F46" s="5" t="s">
        <v>212</v>
      </c>
      <c r="G46" s="5" t="s">
        <v>1414</v>
      </c>
      <c r="H46" s="5" t="s">
        <v>127</v>
      </c>
      <c r="I46" s="7">
        <v>1492537.3134328357</v>
      </c>
      <c r="J46" s="57" t="s">
        <v>1411</v>
      </c>
      <c r="K46" s="7">
        <v>1194029.8507462686</v>
      </c>
      <c r="L46" s="8">
        <v>31708</v>
      </c>
      <c r="M46" s="7">
        <v>2640832</v>
      </c>
      <c r="N46" s="7">
        <v>3582089.5522388057</v>
      </c>
      <c r="O46" s="7">
        <v>3939436</v>
      </c>
      <c r="P46" s="7">
        <v>3939436</v>
      </c>
      <c r="Q46" s="7">
        <f t="shared" si="0"/>
        <v>0</v>
      </c>
      <c r="R46" s="5" t="s">
        <v>606</v>
      </c>
      <c r="S46" s="5" t="s">
        <v>631</v>
      </c>
      <c r="T46" s="5" t="s">
        <v>612</v>
      </c>
      <c r="U46" s="5" t="s">
        <v>1406</v>
      </c>
      <c r="V46" s="5" t="s">
        <v>1742</v>
      </c>
      <c r="W46" s="5" t="s">
        <v>1743</v>
      </c>
      <c r="X46" s="6" t="s">
        <v>1411</v>
      </c>
      <c r="Y46" s="5"/>
      <c r="Z46" s="5"/>
      <c r="AA46" s="5" t="s">
        <v>1744</v>
      </c>
      <c r="AB46" s="5" t="s">
        <v>1745</v>
      </c>
      <c r="AC46" s="5" t="s">
        <v>1746</v>
      </c>
      <c r="AD46" s="62">
        <v>8.6999999999999993</v>
      </c>
      <c r="AE46" t="e">
        <f>VLOOKUP($F46,FromYabin!$C$2:$C$112,1,FALSE)</f>
        <v>#N/A</v>
      </c>
    </row>
    <row r="47" spans="1:31" hidden="1">
      <c r="A47" s="4">
        <v>2019</v>
      </c>
      <c r="B47" s="4" t="s">
        <v>44</v>
      </c>
      <c r="C47" s="3">
        <f t="shared" si="1"/>
        <v>46</v>
      </c>
      <c r="D47" s="55" t="s">
        <v>676</v>
      </c>
      <c r="E47" s="22" t="s">
        <v>1749</v>
      </c>
      <c r="F47" s="5" t="s">
        <v>758</v>
      </c>
      <c r="G47" s="39" t="s">
        <v>601</v>
      </c>
      <c r="H47" s="5" t="s">
        <v>129</v>
      </c>
      <c r="I47" s="7">
        <v>3582089.5522388099</v>
      </c>
      <c r="J47" s="57"/>
      <c r="K47" s="7"/>
      <c r="L47" s="8">
        <v>68060</v>
      </c>
      <c r="M47" s="7">
        <v>16321896</v>
      </c>
      <c r="N47" s="7"/>
      <c r="O47" s="7">
        <v>37092694</v>
      </c>
      <c r="P47" s="7">
        <v>37092694</v>
      </c>
      <c r="Q47" s="7">
        <f t="shared" si="0"/>
        <v>0</v>
      </c>
      <c r="R47" s="39" t="s">
        <v>606</v>
      </c>
      <c r="S47" s="5" t="s">
        <v>598</v>
      </c>
      <c r="T47" s="39" t="s">
        <v>616</v>
      </c>
      <c r="U47" s="5" t="s">
        <v>1406</v>
      </c>
      <c r="V47" s="5" t="s">
        <v>1750</v>
      </c>
      <c r="W47" s="39" t="s">
        <v>1751</v>
      </c>
      <c r="X47" s="39" t="s">
        <v>1646</v>
      </c>
      <c r="Y47" s="39" t="s">
        <v>1752</v>
      </c>
      <c r="Z47" s="10"/>
      <c r="AA47" s="39" t="s">
        <v>1753</v>
      </c>
      <c r="AB47" s="5"/>
      <c r="AC47" s="39" t="s">
        <v>1612</v>
      </c>
      <c r="AD47" s="59">
        <v>8.9</v>
      </c>
      <c r="AE47" t="e">
        <f>VLOOKUP($F47,FromYabin!$C$2:$C$112,1,FALSE)</f>
        <v>#N/A</v>
      </c>
    </row>
    <row r="48" spans="1:31" hidden="1">
      <c r="A48" s="4">
        <v>2019</v>
      </c>
      <c r="B48" s="4" t="s">
        <v>44</v>
      </c>
      <c r="C48" s="3">
        <f t="shared" si="1"/>
        <v>47</v>
      </c>
      <c r="D48" s="55" t="s">
        <v>676</v>
      </c>
      <c r="E48" s="22" t="s">
        <v>1754</v>
      </c>
      <c r="F48" s="5" t="s">
        <v>156</v>
      </c>
      <c r="G48" s="39" t="s">
        <v>1755</v>
      </c>
      <c r="H48" s="5" t="s">
        <v>127</v>
      </c>
      <c r="I48" s="7">
        <v>1492537.3134328399</v>
      </c>
      <c r="J48" s="57"/>
      <c r="K48" s="7"/>
      <c r="L48" s="8">
        <v>98464</v>
      </c>
      <c r="M48" s="7">
        <v>12110000</v>
      </c>
      <c r="N48" s="7"/>
      <c r="O48" s="7">
        <v>44553752</v>
      </c>
      <c r="P48" s="7">
        <v>44553752</v>
      </c>
      <c r="Q48" s="7">
        <f t="shared" si="0"/>
        <v>0</v>
      </c>
      <c r="R48" s="5" t="s">
        <v>666</v>
      </c>
      <c r="S48" s="5" t="s">
        <v>631</v>
      </c>
      <c r="T48" s="5" t="s">
        <v>603</v>
      </c>
      <c r="U48" s="5" t="s">
        <v>1406</v>
      </c>
      <c r="V48" s="5" t="s">
        <v>1756</v>
      </c>
      <c r="W48" s="39" t="s">
        <v>1757</v>
      </c>
      <c r="X48" s="39" t="s">
        <v>1758</v>
      </c>
      <c r="Y48" s="39" t="s">
        <v>1759</v>
      </c>
      <c r="Z48" s="10"/>
      <c r="AA48" s="39" t="s">
        <v>1760</v>
      </c>
      <c r="AB48" s="5"/>
      <c r="AC48" s="39" t="s">
        <v>1761</v>
      </c>
      <c r="AD48" s="59">
        <v>9.3000000000000007</v>
      </c>
      <c r="AE48" t="e">
        <f>VLOOKUP($F48,FromYabin!$C$2:$C$112,1,FALSE)</f>
        <v>#N/A</v>
      </c>
    </row>
    <row r="49" spans="1:31" hidden="1">
      <c r="A49" s="4">
        <v>2019</v>
      </c>
      <c r="B49" s="4" t="s">
        <v>44</v>
      </c>
      <c r="C49" s="3">
        <f t="shared" si="1"/>
        <v>48</v>
      </c>
      <c r="D49" s="55" t="s">
        <v>676</v>
      </c>
      <c r="E49" s="22" t="s">
        <v>1762</v>
      </c>
      <c r="F49" s="5" t="s">
        <v>177</v>
      </c>
      <c r="G49" s="39" t="s">
        <v>2998</v>
      </c>
      <c r="H49" s="5" t="s">
        <v>131</v>
      </c>
      <c r="I49" s="7">
        <v>11940298.507462701</v>
      </c>
      <c r="J49" s="57"/>
      <c r="K49" s="7"/>
      <c r="L49" s="8">
        <v>49408</v>
      </c>
      <c r="M49" s="7">
        <v>8510000</v>
      </c>
      <c r="N49" s="7"/>
      <c r="O49" s="7">
        <v>13994187</v>
      </c>
      <c r="P49" s="7">
        <v>13994187</v>
      </c>
      <c r="Q49" s="7">
        <f t="shared" si="0"/>
        <v>0</v>
      </c>
      <c r="R49" s="39" t="s">
        <v>606</v>
      </c>
      <c r="S49" s="5" t="s">
        <v>598</v>
      </c>
      <c r="T49" s="5" t="s">
        <v>616</v>
      </c>
      <c r="U49" s="5" t="s">
        <v>1406</v>
      </c>
      <c r="V49" s="5" t="s">
        <v>1763</v>
      </c>
      <c r="W49" s="39" t="s">
        <v>1764</v>
      </c>
      <c r="X49" s="39" t="s">
        <v>1765</v>
      </c>
      <c r="Y49" s="39" t="s">
        <v>1766</v>
      </c>
      <c r="Z49" s="80" t="s">
        <v>1767</v>
      </c>
      <c r="AA49" s="39" t="s">
        <v>1768</v>
      </c>
      <c r="AB49" s="39" t="s">
        <v>1769</v>
      </c>
      <c r="AC49" s="39" t="s">
        <v>1501</v>
      </c>
      <c r="AD49" s="59">
        <v>8.3000000000000007</v>
      </c>
      <c r="AE49" t="e">
        <f>VLOOKUP($F49,FromYabin!$C$2:$C$112,1,FALSE)</f>
        <v>#N/A</v>
      </c>
    </row>
    <row r="50" spans="1:31" hidden="1">
      <c r="A50" s="4">
        <v>2019</v>
      </c>
      <c r="B50" s="4" t="s">
        <v>44</v>
      </c>
      <c r="C50" s="3">
        <f t="shared" si="1"/>
        <v>49</v>
      </c>
      <c r="D50" s="55" t="s">
        <v>676</v>
      </c>
      <c r="E50" s="22" t="s">
        <v>1770</v>
      </c>
      <c r="F50" s="5" t="s">
        <v>189</v>
      </c>
      <c r="G50" s="39" t="s">
        <v>1585</v>
      </c>
      <c r="H50" s="39" t="s">
        <v>1404</v>
      </c>
      <c r="I50" s="7">
        <v>14925373.134328401</v>
      </c>
      <c r="J50" s="57"/>
      <c r="K50" s="7"/>
      <c r="L50" s="8">
        <v>93636</v>
      </c>
      <c r="M50" s="7">
        <v>6470000</v>
      </c>
      <c r="N50" s="7"/>
      <c r="O50" s="7">
        <v>8230634</v>
      </c>
      <c r="P50" s="7">
        <v>8230634</v>
      </c>
      <c r="Q50" s="7">
        <f t="shared" si="0"/>
        <v>0</v>
      </c>
      <c r="R50" s="5" t="s">
        <v>606</v>
      </c>
      <c r="S50" s="5" t="s">
        <v>598</v>
      </c>
      <c r="T50" s="5" t="s">
        <v>616</v>
      </c>
      <c r="U50" s="5" t="s">
        <v>1406</v>
      </c>
      <c r="V50" s="5" t="s">
        <v>1771</v>
      </c>
      <c r="W50" s="39" t="s">
        <v>1772</v>
      </c>
      <c r="X50" s="39" t="s">
        <v>1773</v>
      </c>
      <c r="Y50" s="39" t="s">
        <v>1774</v>
      </c>
      <c r="Z50" s="80" t="s">
        <v>1775</v>
      </c>
      <c r="AA50" s="39" t="s">
        <v>1776</v>
      </c>
      <c r="AB50" s="10"/>
      <c r="AC50" s="39" t="s">
        <v>1585</v>
      </c>
      <c r="AD50" s="59">
        <v>8.6</v>
      </c>
      <c r="AE50" t="e">
        <f>VLOOKUP($F50,FromYabin!$C$2:$C$112,1,FALSE)</f>
        <v>#N/A</v>
      </c>
    </row>
    <row r="51" spans="1:31" hidden="1">
      <c r="A51" s="4">
        <v>2019</v>
      </c>
      <c r="B51" s="4" t="s">
        <v>44</v>
      </c>
      <c r="C51" s="3">
        <f t="shared" si="1"/>
        <v>50</v>
      </c>
      <c r="D51" s="55" t="s">
        <v>676</v>
      </c>
      <c r="E51" s="22" t="s">
        <v>675</v>
      </c>
      <c r="F51" s="5" t="s">
        <v>164</v>
      </c>
      <c r="G51" s="39" t="s">
        <v>2999</v>
      </c>
      <c r="H51" s="5" t="s">
        <v>148</v>
      </c>
      <c r="I51" s="7">
        <v>2985074.6268656701</v>
      </c>
      <c r="J51" s="57"/>
      <c r="K51" s="7"/>
      <c r="L51" s="8">
        <v>54753</v>
      </c>
      <c r="M51" s="7">
        <v>6390000</v>
      </c>
      <c r="N51" s="7"/>
      <c r="O51" s="7">
        <v>27410000</v>
      </c>
      <c r="P51" s="7">
        <v>27410000</v>
      </c>
      <c r="Q51" s="7">
        <f t="shared" si="0"/>
        <v>0</v>
      </c>
      <c r="R51" s="5" t="s">
        <v>606</v>
      </c>
      <c r="S51" s="5" t="s">
        <v>598</v>
      </c>
      <c r="T51" s="5" t="s">
        <v>616</v>
      </c>
      <c r="U51" s="5" t="s">
        <v>1406</v>
      </c>
      <c r="V51" s="5" t="s">
        <v>1777</v>
      </c>
      <c r="W51" s="39" t="s">
        <v>1778</v>
      </c>
      <c r="X51" s="39" t="s">
        <v>1568</v>
      </c>
      <c r="Y51" s="39" t="s">
        <v>1779</v>
      </c>
      <c r="Z51" s="80" t="s">
        <v>1780</v>
      </c>
      <c r="AA51" s="39" t="s">
        <v>1781</v>
      </c>
      <c r="AB51" s="39" t="s">
        <v>1782</v>
      </c>
      <c r="AC51" s="39" t="s">
        <v>1501</v>
      </c>
      <c r="AD51" s="59">
        <v>8.9</v>
      </c>
      <c r="AE51" t="e">
        <f>VLOOKUP($F51,FromYabin!$C$2:$C$112,1,FALSE)</f>
        <v>#N/A</v>
      </c>
    </row>
    <row r="52" spans="1:31" hidden="1">
      <c r="A52" s="4">
        <v>2019</v>
      </c>
      <c r="B52" s="4" t="s">
        <v>44</v>
      </c>
      <c r="C52" s="3">
        <f t="shared" si="1"/>
        <v>51</v>
      </c>
      <c r="D52" s="55" t="s">
        <v>676</v>
      </c>
      <c r="E52" s="22" t="s">
        <v>650</v>
      </c>
      <c r="F52" s="5" t="s">
        <v>175</v>
      </c>
      <c r="G52" s="39" t="s">
        <v>1494</v>
      </c>
      <c r="H52" s="5" t="s">
        <v>131</v>
      </c>
      <c r="I52" s="7">
        <v>2985074.6268656701</v>
      </c>
      <c r="J52" s="57"/>
      <c r="K52" s="7"/>
      <c r="L52" s="8">
        <v>56551</v>
      </c>
      <c r="M52" s="7">
        <v>6240000</v>
      </c>
      <c r="N52" s="7"/>
      <c r="O52" s="7">
        <v>16841504</v>
      </c>
      <c r="P52" s="7">
        <v>16841504</v>
      </c>
      <c r="Q52" s="7">
        <f t="shared" si="0"/>
        <v>0</v>
      </c>
      <c r="R52" s="5" t="s">
        <v>597</v>
      </c>
      <c r="S52" s="5" t="s">
        <v>598</v>
      </c>
      <c r="T52" s="5" t="s">
        <v>658</v>
      </c>
      <c r="U52" s="5" t="s">
        <v>1406</v>
      </c>
      <c r="V52" s="5" t="s">
        <v>1783</v>
      </c>
      <c r="W52" s="39" t="s">
        <v>1784</v>
      </c>
      <c r="X52" s="39" t="s">
        <v>1785</v>
      </c>
      <c r="Y52" s="39" t="s">
        <v>1786</v>
      </c>
      <c r="Z52" s="80" t="s">
        <v>1787</v>
      </c>
      <c r="AA52" s="39" t="s">
        <v>1788</v>
      </c>
      <c r="AB52" s="39" t="s">
        <v>1789</v>
      </c>
      <c r="AC52" s="39" t="s">
        <v>1577</v>
      </c>
      <c r="AD52" s="59">
        <v>9.1</v>
      </c>
      <c r="AE52" t="e">
        <f>VLOOKUP($F52,FromYabin!$C$2:$C$112,1,FALSE)</f>
        <v>#N/A</v>
      </c>
    </row>
    <row r="53" spans="1:31" hidden="1">
      <c r="A53" s="4">
        <v>2019</v>
      </c>
      <c r="B53" s="4" t="s">
        <v>44</v>
      </c>
      <c r="C53" s="3">
        <f t="shared" si="1"/>
        <v>52</v>
      </c>
      <c r="D53" s="55" t="s">
        <v>676</v>
      </c>
      <c r="E53" s="22" t="s">
        <v>1792</v>
      </c>
      <c r="F53" s="5" t="s">
        <v>217</v>
      </c>
      <c r="G53" s="39" t="s">
        <v>1793</v>
      </c>
      <c r="H53" s="5" t="s">
        <v>129</v>
      </c>
      <c r="I53" s="7">
        <v>44776119.402985103</v>
      </c>
      <c r="J53" s="57"/>
      <c r="K53" s="7"/>
      <c r="L53" s="8">
        <v>68172</v>
      </c>
      <c r="M53" s="7">
        <v>2958191</v>
      </c>
      <c r="N53" s="7"/>
      <c r="O53" s="7">
        <v>3283238</v>
      </c>
      <c r="P53" s="7">
        <v>3283238</v>
      </c>
      <c r="Q53" s="7">
        <f t="shared" si="0"/>
        <v>0</v>
      </c>
      <c r="R53" s="5" t="s">
        <v>606</v>
      </c>
      <c r="S53" s="5" t="s">
        <v>598</v>
      </c>
      <c r="T53" s="5" t="s">
        <v>616</v>
      </c>
      <c r="U53" s="5" t="s">
        <v>1406</v>
      </c>
      <c r="V53" s="5" t="s">
        <v>1794</v>
      </c>
      <c r="W53" s="39" t="s">
        <v>1795</v>
      </c>
      <c r="X53" s="39" t="s">
        <v>1796</v>
      </c>
      <c r="Y53" s="39" t="s">
        <v>1797</v>
      </c>
      <c r="Z53" s="80" t="s">
        <v>1798</v>
      </c>
      <c r="AA53" s="39" t="s">
        <v>1799</v>
      </c>
      <c r="AB53" s="5"/>
      <c r="AC53" s="39" t="s">
        <v>1800</v>
      </c>
      <c r="AD53" s="59">
        <v>7.4</v>
      </c>
      <c r="AE53" t="e">
        <f>VLOOKUP($F53,FromYabin!$C$2:$C$112,1,FALSE)</f>
        <v>#N/A</v>
      </c>
    </row>
    <row r="54" spans="1:31" ht="15" hidden="1">
      <c r="A54" s="4">
        <v>2019</v>
      </c>
      <c r="B54" s="4" t="s">
        <v>44</v>
      </c>
      <c r="C54" s="3">
        <f t="shared" si="1"/>
        <v>53</v>
      </c>
      <c r="D54" s="55" t="s">
        <v>676</v>
      </c>
      <c r="E54" s="3" t="s">
        <v>632</v>
      </c>
      <c r="F54" s="5" t="s">
        <v>207</v>
      </c>
      <c r="G54" s="5" t="s">
        <v>1415</v>
      </c>
      <c r="H54" s="5" t="s">
        <v>131</v>
      </c>
      <c r="I54" s="7">
        <v>7462686.5671641789</v>
      </c>
      <c r="J54" s="57" t="s">
        <v>1411</v>
      </c>
      <c r="K54" s="7">
        <v>1492537.3134328357</v>
      </c>
      <c r="L54" s="8">
        <v>37338</v>
      </c>
      <c r="M54" s="7">
        <v>2950000</v>
      </c>
      <c r="N54" s="7">
        <v>4477611.940298507</v>
      </c>
      <c r="O54" s="7">
        <v>4303111</v>
      </c>
      <c r="P54" s="7">
        <v>4303111</v>
      </c>
      <c r="Q54" s="7">
        <f t="shared" si="0"/>
        <v>0</v>
      </c>
      <c r="R54" s="5" t="s">
        <v>606</v>
      </c>
      <c r="S54" s="5" t="s">
        <v>598</v>
      </c>
      <c r="T54" s="5" t="s">
        <v>616</v>
      </c>
      <c r="U54" s="5" t="s">
        <v>1406</v>
      </c>
      <c r="V54" s="5" t="s">
        <v>1801</v>
      </c>
      <c r="W54" s="5" t="s">
        <v>1802</v>
      </c>
      <c r="X54" s="5" t="s">
        <v>1803</v>
      </c>
      <c r="Y54" s="5" t="s">
        <v>1804</v>
      </c>
      <c r="Z54" s="5" t="s">
        <v>1805</v>
      </c>
      <c r="AA54" s="5" t="s">
        <v>1806</v>
      </c>
      <c r="AB54" s="5" t="s">
        <v>1807</v>
      </c>
      <c r="AC54" s="5" t="s">
        <v>1808</v>
      </c>
      <c r="AD54" s="62">
        <v>7.5</v>
      </c>
      <c r="AE54" t="e">
        <f>VLOOKUP($F54,FromYabin!$C$2:$C$112,1,FALSE)</f>
        <v>#N/A</v>
      </c>
    </row>
    <row r="55" spans="1:31" hidden="1">
      <c r="A55" s="4">
        <v>2019</v>
      </c>
      <c r="B55" s="4" t="s">
        <v>44</v>
      </c>
      <c r="C55" s="3">
        <f t="shared" si="1"/>
        <v>54</v>
      </c>
      <c r="D55" s="55" t="s">
        <v>676</v>
      </c>
      <c r="E55" s="22" t="s">
        <v>1812</v>
      </c>
      <c r="F55" s="5" t="s">
        <v>256</v>
      </c>
      <c r="G55" s="39" t="s">
        <v>1813</v>
      </c>
      <c r="H55" s="5" t="s">
        <v>148</v>
      </c>
      <c r="I55" s="7">
        <v>2985074.6268656701</v>
      </c>
      <c r="J55" s="57"/>
      <c r="K55" s="7"/>
      <c r="L55" s="8">
        <v>34638</v>
      </c>
      <c r="M55" s="7">
        <v>760000</v>
      </c>
      <c r="N55" s="7"/>
      <c r="O55" s="7">
        <v>810000</v>
      </c>
      <c r="P55" s="7">
        <v>810000</v>
      </c>
      <c r="Q55" s="7">
        <f t="shared" si="0"/>
        <v>0</v>
      </c>
      <c r="R55" s="5" t="s">
        <v>606</v>
      </c>
      <c r="S55" s="5" t="s">
        <v>598</v>
      </c>
      <c r="T55" s="5" t="s">
        <v>616</v>
      </c>
      <c r="U55" s="5" t="s">
        <v>1406</v>
      </c>
      <c r="V55" s="5" t="s">
        <v>1814</v>
      </c>
      <c r="W55" s="39" t="s">
        <v>1815</v>
      </c>
      <c r="X55" s="39" t="s">
        <v>1797</v>
      </c>
      <c r="Y55" s="39" t="s">
        <v>1816</v>
      </c>
      <c r="Z55" s="80" t="s">
        <v>1817</v>
      </c>
      <c r="AA55" s="39" t="s">
        <v>1818</v>
      </c>
      <c r="AB55" s="5"/>
      <c r="AC55" s="39" t="s">
        <v>1819</v>
      </c>
      <c r="AD55" s="59">
        <v>7.7</v>
      </c>
      <c r="AE55" t="e">
        <f>VLOOKUP($F55,FromYabin!$C$2:$C$112,1,FALSE)</f>
        <v>#N/A</v>
      </c>
    </row>
    <row r="56" spans="1:31" hidden="1">
      <c r="A56" s="4">
        <v>2019</v>
      </c>
      <c r="B56" s="4" t="s">
        <v>44</v>
      </c>
      <c r="C56" s="3">
        <f t="shared" si="1"/>
        <v>55</v>
      </c>
      <c r="D56" s="55" t="s">
        <v>676</v>
      </c>
      <c r="E56" s="3" t="s">
        <v>807</v>
      </c>
      <c r="F56" s="5" t="s">
        <v>225</v>
      </c>
      <c r="G56" s="5" t="s">
        <v>1416</v>
      </c>
      <c r="H56" s="5" t="s">
        <v>129</v>
      </c>
      <c r="I56" s="7">
        <v>749625.18740629684</v>
      </c>
      <c r="J56" s="57" t="s">
        <v>1411</v>
      </c>
      <c r="K56" s="7">
        <v>895522.38805970142</v>
      </c>
      <c r="L56" s="8">
        <v>10660</v>
      </c>
      <c r="M56" s="7">
        <v>399170</v>
      </c>
      <c r="N56" s="7">
        <v>2537313.4328358206</v>
      </c>
      <c r="O56" s="7">
        <v>2883905</v>
      </c>
      <c r="P56" s="7">
        <v>2883905</v>
      </c>
      <c r="Q56" s="7">
        <f t="shared" si="0"/>
        <v>0</v>
      </c>
      <c r="R56" s="5" t="s">
        <v>597</v>
      </c>
      <c r="S56" s="5" t="s">
        <v>598</v>
      </c>
      <c r="T56" s="5" t="s">
        <v>658</v>
      </c>
      <c r="U56" s="5" t="s">
        <v>1406</v>
      </c>
      <c r="V56" s="5" t="s">
        <v>1821</v>
      </c>
      <c r="W56" s="5" t="s">
        <v>1822</v>
      </c>
      <c r="X56" s="5" t="s">
        <v>1823</v>
      </c>
      <c r="Y56" s="5" t="s">
        <v>1824</v>
      </c>
      <c r="Z56" s="10"/>
      <c r="AA56" s="5" t="s">
        <v>1825</v>
      </c>
      <c r="AB56" s="5"/>
      <c r="AC56" s="5" t="s">
        <v>1826</v>
      </c>
      <c r="AD56" s="62">
        <v>8.4</v>
      </c>
      <c r="AE56" t="e">
        <f>VLOOKUP($F56,FromYabin!$C$2:$C$112,1,FALSE)</f>
        <v>#N/A</v>
      </c>
    </row>
    <row r="57" spans="1:31" hidden="1">
      <c r="A57" s="4">
        <v>2019</v>
      </c>
      <c r="B57" s="4" t="s">
        <v>44</v>
      </c>
      <c r="C57" s="3">
        <f t="shared" si="1"/>
        <v>56</v>
      </c>
      <c r="D57" s="55" t="s">
        <v>747</v>
      </c>
      <c r="E57" s="3" t="s">
        <v>747</v>
      </c>
      <c r="F57" s="5" t="s">
        <v>186</v>
      </c>
      <c r="G57" s="5" t="s">
        <v>605</v>
      </c>
      <c r="H57" s="5" t="s">
        <v>129</v>
      </c>
      <c r="I57" s="7">
        <v>35820895.522388101</v>
      </c>
      <c r="J57" s="57"/>
      <c r="K57" s="7"/>
      <c r="L57" s="8">
        <v>54139</v>
      </c>
      <c r="M57" s="7">
        <v>150481</v>
      </c>
      <c r="N57" s="7"/>
      <c r="O57" s="7">
        <v>8568978</v>
      </c>
      <c r="P57" s="7">
        <v>8719459</v>
      </c>
      <c r="Q57" s="92">
        <f t="shared" si="0"/>
        <v>150481</v>
      </c>
      <c r="R57" s="5" t="s">
        <v>606</v>
      </c>
      <c r="S57" s="5" t="s">
        <v>598</v>
      </c>
      <c r="T57" s="5" t="s">
        <v>616</v>
      </c>
      <c r="U57" s="5" t="s">
        <v>1390</v>
      </c>
      <c r="V57" s="5" t="s">
        <v>1829</v>
      </c>
      <c r="W57" s="39" t="s">
        <v>1830</v>
      </c>
      <c r="X57" s="39" t="s">
        <v>1831</v>
      </c>
      <c r="Y57" s="39" t="s">
        <v>1528</v>
      </c>
      <c r="Z57" s="80" t="s">
        <v>1832</v>
      </c>
      <c r="AA57" s="39" t="s">
        <v>1833</v>
      </c>
      <c r="AB57" s="5"/>
      <c r="AC57" s="39" t="s">
        <v>1834</v>
      </c>
      <c r="AD57" s="59">
        <v>8.4</v>
      </c>
      <c r="AE57" t="e">
        <f>VLOOKUP($F57,FromYabin!$C$2:$C$112,1,FALSE)</f>
        <v>#N/A</v>
      </c>
    </row>
    <row r="58" spans="1:31" hidden="1">
      <c r="A58" s="4">
        <v>2019</v>
      </c>
      <c r="B58" s="4" t="s">
        <v>44</v>
      </c>
      <c r="C58" s="3">
        <f t="shared" si="1"/>
        <v>57</v>
      </c>
      <c r="D58" s="55" t="s">
        <v>676</v>
      </c>
      <c r="E58" s="3" t="s">
        <v>1837</v>
      </c>
      <c r="F58" s="5" t="s">
        <v>211</v>
      </c>
      <c r="G58" s="5" t="s">
        <v>1417</v>
      </c>
      <c r="H58" s="5" t="s">
        <v>131</v>
      </c>
      <c r="I58" s="7">
        <v>2985074.6268656715</v>
      </c>
      <c r="J58" s="57" t="s">
        <v>1411</v>
      </c>
      <c r="K58" s="7">
        <v>1044776.1194029852</v>
      </c>
      <c r="L58" s="41" t="s">
        <v>1501</v>
      </c>
      <c r="M58" s="7">
        <v>125544</v>
      </c>
      <c r="N58" s="7">
        <v>3134328.3582089553</v>
      </c>
      <c r="O58" s="7">
        <v>3963494</v>
      </c>
      <c r="P58" s="7">
        <v>3963494</v>
      </c>
      <c r="Q58" s="7">
        <f t="shared" si="0"/>
        <v>0</v>
      </c>
      <c r="R58" s="5" t="s">
        <v>597</v>
      </c>
      <c r="S58" s="5" t="s">
        <v>598</v>
      </c>
      <c r="T58" s="5" t="s">
        <v>707</v>
      </c>
      <c r="U58" s="5" t="s">
        <v>1406</v>
      </c>
      <c r="V58" s="5" t="s">
        <v>1838</v>
      </c>
      <c r="W58" s="5" t="s">
        <v>1839</v>
      </c>
      <c r="X58" s="5" t="s">
        <v>1840</v>
      </c>
      <c r="Y58" s="5"/>
      <c r="Z58" s="10"/>
      <c r="AA58" s="5" t="s">
        <v>1841</v>
      </c>
      <c r="AB58" s="5" t="s">
        <v>1842</v>
      </c>
      <c r="AC58" s="5" t="s">
        <v>1843</v>
      </c>
      <c r="AD58" s="63" t="s">
        <v>1665</v>
      </c>
      <c r="AE58" t="e">
        <f>VLOOKUP($F58,FromYabin!$C$2:$C$112,1,FALSE)</f>
        <v>#N/A</v>
      </c>
    </row>
    <row r="59" spans="1:31" hidden="1">
      <c r="A59" s="4">
        <v>2019</v>
      </c>
      <c r="B59" s="4" t="s">
        <v>44</v>
      </c>
      <c r="C59" s="3">
        <f t="shared" si="1"/>
        <v>58</v>
      </c>
      <c r="D59" s="55" t="s">
        <v>676</v>
      </c>
      <c r="E59" s="46" t="s">
        <v>1845</v>
      </c>
      <c r="F59" s="5" t="s">
        <v>261</v>
      </c>
      <c r="G59" s="39" t="s">
        <v>3000</v>
      </c>
      <c r="H59" s="5" t="s">
        <v>127</v>
      </c>
      <c r="I59" s="7">
        <v>100000000</v>
      </c>
      <c r="J59" s="57"/>
      <c r="K59" s="7"/>
      <c r="L59" s="41" t="s">
        <v>1501</v>
      </c>
      <c r="M59" s="7">
        <v>24397</v>
      </c>
      <c r="N59" s="7"/>
      <c r="O59" s="7">
        <v>713335</v>
      </c>
      <c r="P59" s="7">
        <v>713335</v>
      </c>
      <c r="Q59" s="7">
        <f t="shared" si="0"/>
        <v>0</v>
      </c>
      <c r="R59" s="5" t="s">
        <v>606</v>
      </c>
      <c r="S59" s="5" t="s">
        <v>631</v>
      </c>
      <c r="T59" s="5" t="s">
        <v>612</v>
      </c>
      <c r="U59" s="5" t="s">
        <v>1406</v>
      </c>
      <c r="V59" s="5" t="s">
        <v>1846</v>
      </c>
      <c r="W59" s="39" t="s">
        <v>1847</v>
      </c>
      <c r="X59" s="39" t="s">
        <v>1411</v>
      </c>
      <c r="Y59" s="5"/>
      <c r="Z59" s="10"/>
      <c r="AA59" s="39" t="s">
        <v>1848</v>
      </c>
      <c r="AB59" s="5"/>
      <c r="AC59" s="39" t="s">
        <v>1501</v>
      </c>
      <c r="AD59" s="63" t="s">
        <v>1665</v>
      </c>
      <c r="AE59" t="e">
        <f>VLOOKUP($F59,FromYabin!$C$2:$C$112,1,FALSE)</f>
        <v>#N/A</v>
      </c>
    </row>
    <row r="60" spans="1:31" hidden="1">
      <c r="A60" s="4">
        <v>2019</v>
      </c>
      <c r="B60" s="4" t="s">
        <v>44</v>
      </c>
      <c r="C60" s="3">
        <f t="shared" si="1"/>
        <v>59</v>
      </c>
      <c r="D60" s="55" t="s">
        <v>676</v>
      </c>
      <c r="E60" s="46" t="s">
        <v>673</v>
      </c>
      <c r="F60" s="5" t="s">
        <v>176</v>
      </c>
      <c r="G60" s="39" t="s">
        <v>1857</v>
      </c>
      <c r="H60" s="5" t="s">
        <v>129</v>
      </c>
      <c r="I60" s="7">
        <v>22500000</v>
      </c>
      <c r="J60" s="57"/>
      <c r="K60" s="7"/>
      <c r="L60" s="41">
        <v>61047</v>
      </c>
      <c r="M60" s="42">
        <v>7240000</v>
      </c>
      <c r="N60" s="7"/>
      <c r="O60" s="7">
        <v>14917516</v>
      </c>
      <c r="P60" s="7">
        <v>14917516</v>
      </c>
      <c r="Q60" s="7">
        <f t="shared" si="0"/>
        <v>0</v>
      </c>
      <c r="R60" s="5" t="s">
        <v>606</v>
      </c>
      <c r="S60" s="5" t="s">
        <v>598</v>
      </c>
      <c r="T60" s="5" t="s">
        <v>616</v>
      </c>
      <c r="U60" s="5" t="s">
        <v>1406</v>
      </c>
      <c r="V60" s="39" t="s">
        <v>1858</v>
      </c>
      <c r="W60" s="39" t="s">
        <v>1859</v>
      </c>
      <c r="X60" s="39" t="s">
        <v>1860</v>
      </c>
      <c r="Y60" s="39" t="s">
        <v>1861</v>
      </c>
      <c r="Z60" s="10"/>
      <c r="AA60" s="39" t="s">
        <v>1862</v>
      </c>
      <c r="AB60" s="39" t="s">
        <v>1863</v>
      </c>
      <c r="AC60" s="39" t="s">
        <v>1864</v>
      </c>
      <c r="AD60" s="59">
        <v>8.9</v>
      </c>
      <c r="AE60" t="e">
        <f>VLOOKUP($F60,FromYabin!$C$2:$C$112,1,FALSE)</f>
        <v>#N/A</v>
      </c>
    </row>
    <row r="61" spans="1:31" hidden="1">
      <c r="A61" s="4">
        <v>2019</v>
      </c>
      <c r="B61" s="4" t="s">
        <v>45</v>
      </c>
      <c r="C61" s="3">
        <f t="shared" si="1"/>
        <v>60</v>
      </c>
      <c r="D61" s="55" t="s">
        <v>650</v>
      </c>
      <c r="E61" s="3" t="s">
        <v>650</v>
      </c>
      <c r="F61" s="5" t="s">
        <v>763</v>
      </c>
      <c r="G61" s="5" t="s">
        <v>764</v>
      </c>
      <c r="H61" s="5" t="s">
        <v>129</v>
      </c>
      <c r="I61" s="7">
        <v>50000000</v>
      </c>
      <c r="J61" s="57"/>
      <c r="K61" s="7"/>
      <c r="L61" s="8">
        <v>3618</v>
      </c>
      <c r="M61" s="7">
        <v>18872919</v>
      </c>
      <c r="N61" s="7"/>
      <c r="O61" s="7">
        <v>46600000</v>
      </c>
      <c r="P61" s="7">
        <v>91419352</v>
      </c>
      <c r="Q61" s="92">
        <f t="shared" si="0"/>
        <v>44819352</v>
      </c>
      <c r="R61" s="5" t="s">
        <v>602</v>
      </c>
      <c r="S61" s="5" t="s">
        <v>598</v>
      </c>
      <c r="T61" s="5" t="s">
        <v>616</v>
      </c>
      <c r="U61" s="5" t="s">
        <v>1394</v>
      </c>
      <c r="V61" s="39" t="s">
        <v>1867</v>
      </c>
      <c r="W61" s="39" t="s">
        <v>763</v>
      </c>
      <c r="X61" s="39" t="s">
        <v>1868</v>
      </c>
      <c r="Y61" s="39" t="s">
        <v>1869</v>
      </c>
      <c r="Z61" s="50" t="s">
        <v>1870</v>
      </c>
      <c r="AA61" s="39" t="s">
        <v>1871</v>
      </c>
      <c r="AB61" s="5"/>
      <c r="AC61" s="39" t="s">
        <v>764</v>
      </c>
      <c r="AD61" s="59">
        <v>6.9</v>
      </c>
      <c r="AE61" t="e">
        <f>VLOOKUP($F61,FromYabin!$C$2:$C$112,1,FALSE)</f>
        <v>#N/A</v>
      </c>
    </row>
    <row r="62" spans="1:31" hidden="1">
      <c r="A62" s="4">
        <v>2019</v>
      </c>
      <c r="B62" s="4" t="s">
        <v>45</v>
      </c>
      <c r="C62" s="3">
        <f t="shared" si="1"/>
        <v>61</v>
      </c>
      <c r="D62" s="55" t="s">
        <v>765</v>
      </c>
      <c r="E62" s="3" t="s">
        <v>765</v>
      </c>
      <c r="F62" s="5" t="s">
        <v>766</v>
      </c>
      <c r="G62" s="5" t="s">
        <v>767</v>
      </c>
      <c r="H62" s="5" t="s">
        <v>193</v>
      </c>
      <c r="I62" s="7">
        <v>6000000</v>
      </c>
      <c r="J62" s="57"/>
      <c r="K62" s="7"/>
      <c r="L62" s="8">
        <v>2530</v>
      </c>
      <c r="M62" s="7">
        <v>5853061</v>
      </c>
      <c r="N62" s="7"/>
      <c r="O62" s="7">
        <v>4933421</v>
      </c>
      <c r="P62" s="7">
        <v>19789712</v>
      </c>
      <c r="Q62" s="92">
        <f t="shared" si="0"/>
        <v>14856291</v>
      </c>
      <c r="R62" s="5" t="s">
        <v>606</v>
      </c>
      <c r="S62" s="5" t="s">
        <v>598</v>
      </c>
      <c r="T62" s="5" t="s">
        <v>616</v>
      </c>
      <c r="U62" s="5" t="s">
        <v>1394</v>
      </c>
      <c r="V62" s="39" t="s">
        <v>1872</v>
      </c>
      <c r="W62" s="39" t="s">
        <v>766</v>
      </c>
      <c r="X62" s="39" t="s">
        <v>1873</v>
      </c>
      <c r="Y62" s="39" t="s">
        <v>1874</v>
      </c>
      <c r="Z62" s="80" t="s">
        <v>1875</v>
      </c>
      <c r="AA62" s="39" t="s">
        <v>1876</v>
      </c>
      <c r="AB62" s="5"/>
      <c r="AC62" s="39" t="s">
        <v>767</v>
      </c>
      <c r="AD62" s="59">
        <v>6.1</v>
      </c>
      <c r="AE62" t="e">
        <f>VLOOKUP($F62,FromYabin!$C$2:$C$112,1,FALSE)</f>
        <v>#N/A</v>
      </c>
    </row>
    <row r="63" spans="1:31" hidden="1">
      <c r="A63" s="4">
        <v>2019</v>
      </c>
      <c r="B63" s="4" t="s">
        <v>45</v>
      </c>
      <c r="C63" s="3">
        <f t="shared" si="1"/>
        <v>62</v>
      </c>
      <c r="D63" s="55" t="s">
        <v>768</v>
      </c>
      <c r="E63" s="3" t="s">
        <v>768</v>
      </c>
      <c r="F63" s="5" t="s">
        <v>52</v>
      </c>
      <c r="G63" s="5" t="s">
        <v>601</v>
      </c>
      <c r="H63" s="5" t="s">
        <v>129</v>
      </c>
      <c r="I63" s="7">
        <v>52000000</v>
      </c>
      <c r="J63" s="57"/>
      <c r="K63" s="7"/>
      <c r="L63" s="8">
        <v>125</v>
      </c>
      <c r="M63" s="7">
        <v>1459523</v>
      </c>
      <c r="N63" s="7"/>
      <c r="O63" s="7">
        <v>188661860</v>
      </c>
      <c r="P63" s="7">
        <v>192617891</v>
      </c>
      <c r="Q63" s="92">
        <f t="shared" si="0"/>
        <v>3956031</v>
      </c>
      <c r="R63" s="5" t="s">
        <v>597</v>
      </c>
      <c r="S63" s="5" t="s">
        <v>703</v>
      </c>
      <c r="T63" s="5" t="s">
        <v>658</v>
      </c>
      <c r="U63" s="5" t="s">
        <v>1390</v>
      </c>
      <c r="V63" s="39" t="s">
        <v>1877</v>
      </c>
      <c r="W63" s="39" t="s">
        <v>1878</v>
      </c>
      <c r="X63" s="39" t="s">
        <v>1497</v>
      </c>
      <c r="Y63" s="39" t="s">
        <v>1554</v>
      </c>
      <c r="Z63" s="50" t="s">
        <v>1617</v>
      </c>
      <c r="AA63" s="39" t="s">
        <v>1879</v>
      </c>
      <c r="AB63" s="5"/>
      <c r="AC63" s="39" t="s">
        <v>1483</v>
      </c>
      <c r="AD63" s="59">
        <v>9.4</v>
      </c>
      <c r="AE63" t="e">
        <f>VLOOKUP($F63,FromYabin!$C$2:$C$112,1,FALSE)</f>
        <v>#N/A</v>
      </c>
    </row>
    <row r="64" spans="1:31" hidden="1">
      <c r="A64" s="4">
        <v>2019</v>
      </c>
      <c r="B64" s="4" t="s">
        <v>45</v>
      </c>
      <c r="C64" s="3">
        <f t="shared" si="1"/>
        <v>63</v>
      </c>
      <c r="D64" s="55" t="s">
        <v>769</v>
      </c>
      <c r="E64" s="3" t="s">
        <v>1884</v>
      </c>
      <c r="F64" s="5" t="s">
        <v>770</v>
      </c>
      <c r="G64" s="5" t="s">
        <v>601</v>
      </c>
      <c r="H64" s="5" t="s">
        <v>129</v>
      </c>
      <c r="I64" s="7">
        <v>19400000</v>
      </c>
      <c r="J64" s="57" t="s">
        <v>1411</v>
      </c>
      <c r="K64" s="7">
        <v>15671642</v>
      </c>
      <c r="L64" s="8">
        <v>82072</v>
      </c>
      <c r="M64" s="7">
        <v>20422321</v>
      </c>
      <c r="N64" s="7">
        <v>45671642</v>
      </c>
      <c r="O64" s="7">
        <v>44388292</v>
      </c>
      <c r="P64" s="7">
        <v>44584926</v>
      </c>
      <c r="Q64" s="92">
        <f t="shared" si="0"/>
        <v>196634</v>
      </c>
      <c r="R64" s="5" t="s">
        <v>597</v>
      </c>
      <c r="S64" s="5" t="s">
        <v>598</v>
      </c>
      <c r="T64" s="5" t="s">
        <v>707</v>
      </c>
      <c r="U64" s="5" t="s">
        <v>1390</v>
      </c>
      <c r="V64" s="5" t="s">
        <v>1885</v>
      </c>
      <c r="W64" s="5" t="s">
        <v>1886</v>
      </c>
      <c r="X64" s="5" t="s">
        <v>1524</v>
      </c>
      <c r="Y64" s="5" t="s">
        <v>1880</v>
      </c>
      <c r="Z64" s="5" t="s">
        <v>1881</v>
      </c>
      <c r="AA64" s="5" t="s">
        <v>1887</v>
      </c>
      <c r="AB64" s="5"/>
      <c r="AC64" s="5" t="s">
        <v>1888</v>
      </c>
      <c r="AD64" s="62">
        <v>8</v>
      </c>
      <c r="AE64" t="e">
        <f>VLOOKUP($F64,FromYabin!$C$2:$C$112,1,FALSE)</f>
        <v>#N/A</v>
      </c>
    </row>
    <row r="65" spans="1:31" hidden="1">
      <c r="A65" s="4">
        <v>2019</v>
      </c>
      <c r="B65" s="4" t="s">
        <v>45</v>
      </c>
      <c r="C65" s="3">
        <f t="shared" si="1"/>
        <v>64</v>
      </c>
      <c r="D65" s="55" t="s">
        <v>747</v>
      </c>
      <c r="E65" s="3" t="s">
        <v>747</v>
      </c>
      <c r="F65" s="5" t="s">
        <v>775</v>
      </c>
      <c r="G65" s="5" t="s">
        <v>601</v>
      </c>
      <c r="H65" s="5" t="s">
        <v>131</v>
      </c>
      <c r="I65" s="7">
        <v>3750000</v>
      </c>
      <c r="J65" s="57"/>
      <c r="K65" s="7"/>
      <c r="L65" s="8">
        <v>1</v>
      </c>
      <c r="M65" s="7">
        <v>1652</v>
      </c>
      <c r="N65" s="7"/>
      <c r="O65" s="7">
        <v>16460000</v>
      </c>
      <c r="P65" s="7">
        <v>16461652</v>
      </c>
      <c r="Q65" s="92">
        <f t="shared" si="0"/>
        <v>1652</v>
      </c>
      <c r="R65" s="5" t="s">
        <v>606</v>
      </c>
      <c r="S65" s="5" t="s">
        <v>598</v>
      </c>
      <c r="T65" s="5" t="s">
        <v>616</v>
      </c>
      <c r="U65" s="5" t="s">
        <v>1390</v>
      </c>
      <c r="V65" s="39" t="s">
        <v>1889</v>
      </c>
      <c r="W65" s="39" t="s">
        <v>1890</v>
      </c>
      <c r="X65" s="39" t="s">
        <v>1891</v>
      </c>
      <c r="Y65" s="39" t="s">
        <v>1892</v>
      </c>
      <c r="Z65" s="39" t="s">
        <v>1893</v>
      </c>
      <c r="AA65" s="39" t="s">
        <v>1894</v>
      </c>
      <c r="AB65" s="5"/>
      <c r="AC65" s="39" t="s">
        <v>1895</v>
      </c>
      <c r="AD65" s="59">
        <v>9.1</v>
      </c>
      <c r="AE65" t="e">
        <f>VLOOKUP($F65,FromYabin!$C$2:$C$112,1,FALSE)</f>
        <v>#N/A</v>
      </c>
    </row>
    <row r="66" spans="1:31" hidden="1">
      <c r="A66" s="4">
        <v>2019</v>
      </c>
      <c r="B66" s="4" t="s">
        <v>45</v>
      </c>
      <c r="C66" s="3">
        <f t="shared" si="1"/>
        <v>65</v>
      </c>
      <c r="D66" s="55" t="s">
        <v>642</v>
      </c>
      <c r="E66" s="3" t="s">
        <v>1896</v>
      </c>
      <c r="F66" s="5" t="s">
        <v>776</v>
      </c>
      <c r="G66" s="39" t="s">
        <v>601</v>
      </c>
      <c r="H66" s="5" t="s">
        <v>129</v>
      </c>
      <c r="I66" s="7">
        <v>11940298.5</v>
      </c>
      <c r="J66" s="7">
        <v>4477611.9400000004</v>
      </c>
      <c r="K66" s="7">
        <v>3552089.55</v>
      </c>
      <c r="L66" s="41">
        <v>61552</v>
      </c>
      <c r="M66" s="42">
        <v>6830000</v>
      </c>
      <c r="N66" s="7">
        <v>9498656.7200000007</v>
      </c>
      <c r="O66" s="7">
        <v>10217493</v>
      </c>
      <c r="P66" s="7">
        <v>10217493</v>
      </c>
      <c r="Q66" s="7">
        <f t="shared" si="0"/>
        <v>0</v>
      </c>
      <c r="R66" s="5" t="s">
        <v>606</v>
      </c>
      <c r="S66" s="5" t="s">
        <v>598</v>
      </c>
      <c r="T66" s="5" t="s">
        <v>616</v>
      </c>
      <c r="U66" s="5" t="s">
        <v>1390</v>
      </c>
      <c r="V66" s="39" t="s">
        <v>1897</v>
      </c>
      <c r="W66" s="39" t="s">
        <v>1898</v>
      </c>
      <c r="X66" s="39" t="s">
        <v>1899</v>
      </c>
      <c r="Y66" s="5"/>
      <c r="Z66" s="5"/>
      <c r="AA66" s="39" t="s">
        <v>1900</v>
      </c>
      <c r="AB66" s="5"/>
      <c r="AC66" s="5" t="s">
        <v>1901</v>
      </c>
      <c r="AD66" s="59">
        <v>7.9</v>
      </c>
      <c r="AE66" t="str">
        <f>VLOOKUP($F66,FromYabin!$C$2:$C$112,1,FALSE)</f>
        <v>Kuang Shou</v>
      </c>
    </row>
    <row r="67" spans="1:31" hidden="1">
      <c r="A67" s="4">
        <v>2019</v>
      </c>
      <c r="B67" s="4" t="s">
        <v>45</v>
      </c>
      <c r="C67" s="3">
        <f t="shared" si="1"/>
        <v>66</v>
      </c>
      <c r="D67" s="55" t="s">
        <v>676</v>
      </c>
      <c r="E67" s="56" t="s">
        <v>1902</v>
      </c>
      <c r="F67" s="5" t="s">
        <v>49</v>
      </c>
      <c r="G67" s="39" t="s">
        <v>1676</v>
      </c>
      <c r="H67" s="5" t="s">
        <v>131</v>
      </c>
      <c r="I67" s="7">
        <v>30000000</v>
      </c>
      <c r="J67" s="57"/>
      <c r="K67" s="7"/>
      <c r="L67" s="41">
        <v>28181</v>
      </c>
      <c r="M67" s="42">
        <v>1450000</v>
      </c>
      <c r="N67" s="7"/>
      <c r="O67" s="7">
        <v>2640000</v>
      </c>
      <c r="P67" s="7">
        <v>2640000</v>
      </c>
      <c r="Q67" s="7">
        <f t="shared" ref="Q67:Q130" si="2">P67-O67</f>
        <v>0</v>
      </c>
      <c r="R67" s="5" t="s">
        <v>606</v>
      </c>
      <c r="S67" s="5" t="s">
        <v>598</v>
      </c>
      <c r="T67" s="5" t="s">
        <v>616</v>
      </c>
      <c r="U67" s="5" t="s">
        <v>1406</v>
      </c>
      <c r="V67" s="39" t="s">
        <v>1903</v>
      </c>
      <c r="W67" s="39" t="s">
        <v>1904</v>
      </c>
      <c r="X67" s="39" t="s">
        <v>1905</v>
      </c>
      <c r="Y67" s="39" t="s">
        <v>1906</v>
      </c>
      <c r="Z67" s="39" t="s">
        <v>1907</v>
      </c>
      <c r="AA67" s="39" t="s">
        <v>1908</v>
      </c>
      <c r="AB67" s="5"/>
      <c r="AC67" s="39" t="s">
        <v>1909</v>
      </c>
      <c r="AD67" s="59">
        <v>8.1</v>
      </c>
      <c r="AE67" t="e">
        <f>VLOOKUP($F67,FromYabin!$C$2:$C$112,1,FALSE)</f>
        <v>#N/A</v>
      </c>
    </row>
    <row r="68" spans="1:31" hidden="1">
      <c r="A68" s="4">
        <v>2019</v>
      </c>
      <c r="B68" s="4" t="s">
        <v>45</v>
      </c>
      <c r="C68" s="3">
        <f t="shared" ref="C68:C131" si="3">C67+1</f>
        <v>67</v>
      </c>
      <c r="D68" s="55" t="s">
        <v>765</v>
      </c>
      <c r="E68" s="3" t="s">
        <v>765</v>
      </c>
      <c r="F68" s="5" t="s">
        <v>781</v>
      </c>
      <c r="G68" s="5" t="s">
        <v>782</v>
      </c>
      <c r="H68" s="5" t="s">
        <v>1404</v>
      </c>
      <c r="I68" s="7">
        <v>41791044</v>
      </c>
      <c r="J68" s="57" t="s">
        <v>1411</v>
      </c>
      <c r="K68" s="7">
        <v>5970149</v>
      </c>
      <c r="L68" s="8">
        <v>37</v>
      </c>
      <c r="M68" s="7">
        <v>1781952</v>
      </c>
      <c r="N68" s="7">
        <v>17014925</v>
      </c>
      <c r="O68" s="7">
        <v>17314737</v>
      </c>
      <c r="P68" s="7">
        <v>17314737</v>
      </c>
      <c r="Q68" s="7">
        <f t="shared" si="2"/>
        <v>0</v>
      </c>
      <c r="R68" s="39" t="s">
        <v>606</v>
      </c>
      <c r="S68" s="5" t="s">
        <v>598</v>
      </c>
      <c r="T68" s="39" t="s">
        <v>616</v>
      </c>
      <c r="U68" s="5" t="s">
        <v>1390</v>
      </c>
      <c r="V68" s="5" t="s">
        <v>1912</v>
      </c>
      <c r="W68" s="5" t="s">
        <v>1913</v>
      </c>
      <c r="X68" s="5" t="s">
        <v>1914</v>
      </c>
      <c r="Y68" s="5" t="s">
        <v>1860</v>
      </c>
      <c r="Z68" s="5"/>
      <c r="AA68" s="5" t="s">
        <v>1915</v>
      </c>
      <c r="AB68" s="5"/>
      <c r="AC68" s="5" t="s">
        <v>1916</v>
      </c>
      <c r="AD68" s="62">
        <v>7.2</v>
      </c>
      <c r="AE68" t="e">
        <f>VLOOKUP($F68,FromYabin!$C$2:$C$112,1,FALSE)</f>
        <v>#N/A</v>
      </c>
    </row>
    <row r="69" spans="1:31" hidden="1">
      <c r="A69" s="4">
        <v>2019</v>
      </c>
      <c r="B69" s="4" t="s">
        <v>45</v>
      </c>
      <c r="C69" s="3">
        <f t="shared" si="3"/>
        <v>68</v>
      </c>
      <c r="D69" s="55" t="s">
        <v>676</v>
      </c>
      <c r="E69" s="3" t="s">
        <v>676</v>
      </c>
      <c r="F69" s="5" t="s">
        <v>790</v>
      </c>
      <c r="G69" s="39" t="s">
        <v>3001</v>
      </c>
      <c r="H69" s="5" t="s">
        <v>129</v>
      </c>
      <c r="I69" s="7">
        <v>2340000</v>
      </c>
      <c r="J69" s="57"/>
      <c r="K69" s="7"/>
      <c r="L69" s="41" t="s">
        <v>1501</v>
      </c>
      <c r="M69" s="41" t="s">
        <v>1501</v>
      </c>
      <c r="N69" s="7"/>
      <c r="O69" s="7">
        <v>2300000</v>
      </c>
      <c r="P69" s="7">
        <v>2300000</v>
      </c>
      <c r="Q69" s="7">
        <f t="shared" si="2"/>
        <v>0</v>
      </c>
      <c r="R69" s="5" t="s">
        <v>606</v>
      </c>
      <c r="S69" s="5" t="s">
        <v>598</v>
      </c>
      <c r="T69" s="5" t="s">
        <v>616</v>
      </c>
      <c r="U69" s="5" t="s">
        <v>1406</v>
      </c>
      <c r="V69" s="39" t="s">
        <v>1917</v>
      </c>
      <c r="W69" s="39" t="s">
        <v>1411</v>
      </c>
      <c r="X69" s="39" t="s">
        <v>1411</v>
      </c>
      <c r="Y69" s="5"/>
      <c r="Z69" s="5"/>
      <c r="AA69" s="39" t="s">
        <v>1918</v>
      </c>
      <c r="AB69" s="5"/>
      <c r="AC69" s="39" t="s">
        <v>1501</v>
      </c>
      <c r="AD69" s="59">
        <v>5</v>
      </c>
      <c r="AE69" t="e">
        <f>VLOOKUP($F69,FromYabin!$C$2:$C$112,1,FALSE)</f>
        <v>#N/A</v>
      </c>
    </row>
    <row r="70" spans="1:31" hidden="1">
      <c r="A70" s="4">
        <v>2019</v>
      </c>
      <c r="B70" s="4" t="s">
        <v>46</v>
      </c>
      <c r="C70" s="3">
        <f t="shared" si="3"/>
        <v>69</v>
      </c>
      <c r="D70" s="55" t="s">
        <v>617</v>
      </c>
      <c r="E70" s="3" t="s">
        <v>617</v>
      </c>
      <c r="F70" s="5" t="s">
        <v>55</v>
      </c>
      <c r="G70" s="5" t="s">
        <v>626</v>
      </c>
      <c r="H70" s="5" t="s">
        <v>131</v>
      </c>
      <c r="I70" s="7">
        <v>4500000</v>
      </c>
      <c r="J70" s="57"/>
      <c r="K70" s="7"/>
      <c r="L70" s="8">
        <v>40</v>
      </c>
      <c r="M70" s="7">
        <v>185928</v>
      </c>
      <c r="N70" s="7"/>
      <c r="O70" s="7">
        <v>150333552</v>
      </c>
      <c r="P70" s="7">
        <v>151056221</v>
      </c>
      <c r="Q70" s="92">
        <f t="shared" si="2"/>
        <v>722669</v>
      </c>
      <c r="R70" s="5" t="s">
        <v>606</v>
      </c>
      <c r="S70" s="5" t="s">
        <v>598</v>
      </c>
      <c r="T70" s="5" t="s">
        <v>616</v>
      </c>
      <c r="U70" s="5" t="s">
        <v>1390</v>
      </c>
      <c r="V70" s="39" t="s">
        <v>1919</v>
      </c>
      <c r="W70" s="39" t="s">
        <v>1920</v>
      </c>
      <c r="X70" s="39" t="s">
        <v>1921</v>
      </c>
      <c r="Y70" s="39" t="s">
        <v>1922</v>
      </c>
      <c r="Z70" s="39" t="s">
        <v>1923</v>
      </c>
      <c r="AA70" s="39" t="s">
        <v>1924</v>
      </c>
      <c r="AB70" s="5"/>
      <c r="AC70" s="50" t="s">
        <v>1925</v>
      </c>
      <c r="AD70" s="59">
        <v>8</v>
      </c>
      <c r="AE70" t="e">
        <f>VLOOKUP($F70,FromYabin!$C$2:$C$112,1,FALSE)</f>
        <v>#N/A</v>
      </c>
    </row>
    <row r="71" spans="1:31" hidden="1">
      <c r="A71" s="4">
        <v>2019</v>
      </c>
      <c r="B71" s="4" t="s">
        <v>46</v>
      </c>
      <c r="C71" s="3">
        <f t="shared" si="3"/>
        <v>70</v>
      </c>
      <c r="D71" s="55" t="s">
        <v>676</v>
      </c>
      <c r="E71" s="46" t="s">
        <v>1926</v>
      </c>
      <c r="F71" s="5" t="s">
        <v>238</v>
      </c>
      <c r="G71" s="39" t="s">
        <v>812</v>
      </c>
      <c r="H71" s="5" t="s">
        <v>193</v>
      </c>
      <c r="I71" s="7">
        <v>3325000</v>
      </c>
      <c r="J71" s="57"/>
      <c r="K71" s="7"/>
      <c r="L71" s="41">
        <v>128</v>
      </c>
      <c r="M71" s="42">
        <v>283312</v>
      </c>
      <c r="N71" s="7"/>
      <c r="O71" s="7">
        <v>1692572</v>
      </c>
      <c r="P71" s="7">
        <v>1692572</v>
      </c>
      <c r="Q71" s="7">
        <f t="shared" si="2"/>
        <v>0</v>
      </c>
      <c r="R71" s="5" t="s">
        <v>606</v>
      </c>
      <c r="S71" s="5" t="s">
        <v>598</v>
      </c>
      <c r="T71" s="5" t="s">
        <v>658</v>
      </c>
      <c r="U71" s="5" t="s">
        <v>1406</v>
      </c>
      <c r="V71" s="39" t="s">
        <v>1927</v>
      </c>
      <c r="W71" s="39" t="s">
        <v>1928</v>
      </c>
      <c r="X71" s="39" t="s">
        <v>1929</v>
      </c>
      <c r="Y71" s="39" t="s">
        <v>1930</v>
      </c>
      <c r="Z71" s="39" t="s">
        <v>1931</v>
      </c>
      <c r="AA71" s="39" t="s">
        <v>1932</v>
      </c>
      <c r="AB71" s="5"/>
      <c r="AC71" s="50" t="s">
        <v>1933</v>
      </c>
      <c r="AD71" s="63" t="s">
        <v>1665</v>
      </c>
      <c r="AE71" t="e">
        <f>VLOOKUP($F71,FromYabin!$C$2:$C$112,1,FALSE)</f>
        <v>#N/A</v>
      </c>
    </row>
    <row r="72" spans="1:31" hidden="1">
      <c r="A72" s="4">
        <v>2019</v>
      </c>
      <c r="B72" s="4" t="s">
        <v>46</v>
      </c>
      <c r="C72" s="3">
        <f t="shared" si="3"/>
        <v>71</v>
      </c>
      <c r="D72" s="55" t="s">
        <v>676</v>
      </c>
      <c r="E72" s="22" t="s">
        <v>1936</v>
      </c>
      <c r="F72" s="5" t="s">
        <v>50</v>
      </c>
      <c r="G72" s="39" t="s">
        <v>812</v>
      </c>
      <c r="H72" s="5" t="s">
        <v>131</v>
      </c>
      <c r="I72" s="7">
        <v>2800000</v>
      </c>
      <c r="J72" s="57"/>
      <c r="K72" s="7"/>
      <c r="L72" s="41" t="s">
        <v>1501</v>
      </c>
      <c r="M72" s="42">
        <v>67571</v>
      </c>
      <c r="N72" s="7"/>
      <c r="O72" s="7">
        <v>140937</v>
      </c>
      <c r="P72" s="7">
        <v>140937</v>
      </c>
      <c r="Q72" s="7">
        <f t="shared" si="2"/>
        <v>0</v>
      </c>
      <c r="R72" s="5" t="s">
        <v>606</v>
      </c>
      <c r="S72" s="5" t="s">
        <v>598</v>
      </c>
      <c r="T72" s="5" t="s">
        <v>616</v>
      </c>
      <c r="U72" s="5" t="s">
        <v>1406</v>
      </c>
      <c r="V72" s="39" t="s">
        <v>1937</v>
      </c>
      <c r="W72" s="39" t="s">
        <v>1938</v>
      </c>
      <c r="X72" s="39" t="s">
        <v>1939</v>
      </c>
      <c r="Y72" s="39" t="s">
        <v>1940</v>
      </c>
      <c r="Z72" s="39" t="s">
        <v>1941</v>
      </c>
      <c r="AA72" s="39" t="s">
        <v>1942</v>
      </c>
      <c r="AB72" s="5"/>
      <c r="AC72" s="50" t="s">
        <v>1943</v>
      </c>
      <c r="AD72" s="59">
        <v>7.4</v>
      </c>
      <c r="AE72" t="e">
        <f>VLOOKUP($F72,FromYabin!$C$2:$C$112,1,FALSE)</f>
        <v>#N/A</v>
      </c>
    </row>
    <row r="73" spans="1:31" hidden="1">
      <c r="A73" s="4">
        <v>2018</v>
      </c>
      <c r="B73" s="4" t="s">
        <v>44</v>
      </c>
      <c r="C73" s="3">
        <f t="shared" si="3"/>
        <v>72</v>
      </c>
      <c r="D73" s="55" t="s">
        <v>811</v>
      </c>
      <c r="E73" s="3" t="s">
        <v>811</v>
      </c>
      <c r="F73" s="5" t="s">
        <v>7</v>
      </c>
      <c r="G73" s="5" t="s">
        <v>812</v>
      </c>
      <c r="H73" s="5" t="s">
        <v>129</v>
      </c>
      <c r="I73" s="7">
        <v>59701492</v>
      </c>
      <c r="J73" s="7">
        <v>22388059</v>
      </c>
      <c r="K73" s="7">
        <v>186268656</v>
      </c>
      <c r="L73" s="8">
        <v>115</v>
      </c>
      <c r="M73" s="7">
        <v>704047</v>
      </c>
      <c r="N73" s="7">
        <v>475970149</v>
      </c>
      <c r="O73" s="7">
        <v>542084590</v>
      </c>
      <c r="P73" s="7">
        <v>544068574</v>
      </c>
      <c r="Q73" s="92">
        <f t="shared" si="2"/>
        <v>1983984</v>
      </c>
      <c r="R73" s="5" t="s">
        <v>606</v>
      </c>
      <c r="S73" s="5" t="s">
        <v>598</v>
      </c>
      <c r="T73" s="5" t="s">
        <v>616</v>
      </c>
      <c r="U73" s="5" t="s">
        <v>1394</v>
      </c>
      <c r="V73" s="5" t="s">
        <v>1944</v>
      </c>
      <c r="W73" s="5" t="s">
        <v>1945</v>
      </c>
      <c r="X73" s="5" t="s">
        <v>1946</v>
      </c>
      <c r="Y73" s="5" t="s">
        <v>1718</v>
      </c>
      <c r="Z73" s="5"/>
      <c r="AA73" s="5" t="s">
        <v>1947</v>
      </c>
      <c r="AB73" s="5"/>
      <c r="AC73" s="5" t="s">
        <v>1948</v>
      </c>
      <c r="AD73" s="62">
        <v>9</v>
      </c>
      <c r="AE73" t="str">
        <f>VLOOKUP($F73,FromYabin!$C$2:$C$112,1,FALSE)</f>
        <v>Tang Ren Jie Tan An 2</v>
      </c>
    </row>
    <row r="74" spans="1:31" hidden="1">
      <c r="A74" s="4">
        <v>2018</v>
      </c>
      <c r="B74" s="4" t="s">
        <v>44</v>
      </c>
      <c r="C74" s="3">
        <f t="shared" si="3"/>
        <v>73</v>
      </c>
      <c r="D74" s="55" t="s">
        <v>813</v>
      </c>
      <c r="E74" s="3" t="s">
        <v>813</v>
      </c>
      <c r="F74" s="5" t="s">
        <v>359</v>
      </c>
      <c r="G74" s="5" t="s">
        <v>601</v>
      </c>
      <c r="H74" s="5" t="s">
        <v>129</v>
      </c>
      <c r="I74" s="7">
        <v>74626865.671641782</v>
      </c>
      <c r="J74" s="7">
        <v>11940298.507462686</v>
      </c>
      <c r="K74" s="7">
        <v>199850746.2686567</v>
      </c>
      <c r="L74" s="8">
        <v>55</v>
      </c>
      <c r="M74" s="7">
        <v>436059</v>
      </c>
      <c r="N74" s="7">
        <v>510597014.92537314</v>
      </c>
      <c r="O74" s="7">
        <v>532057988</v>
      </c>
      <c r="P74" s="7">
        <v>533601535</v>
      </c>
      <c r="Q74" s="92">
        <f t="shared" si="2"/>
        <v>1543547</v>
      </c>
      <c r="R74" s="5" t="s">
        <v>606</v>
      </c>
      <c r="S74" s="5" t="s">
        <v>598</v>
      </c>
      <c r="T74" s="5" t="s">
        <v>616</v>
      </c>
      <c r="U74" s="5" t="s">
        <v>1390</v>
      </c>
      <c r="V74" s="5" t="s">
        <v>1949</v>
      </c>
      <c r="W74" s="5" t="s">
        <v>1950</v>
      </c>
      <c r="X74" s="5" t="s">
        <v>1951</v>
      </c>
      <c r="Y74" s="5" t="s">
        <v>1952</v>
      </c>
      <c r="Z74" s="10"/>
      <c r="AA74" s="5" t="s">
        <v>1953</v>
      </c>
      <c r="AB74" s="5"/>
      <c r="AC74" s="5" t="s">
        <v>1954</v>
      </c>
      <c r="AD74" s="62">
        <v>9.4</v>
      </c>
      <c r="AE74" t="str">
        <f>VLOOKUP($F74,FromYabin!$C$2:$C$112,1,FALSE)</f>
        <v>Hong Hai Xing Dong</v>
      </c>
    </row>
    <row r="75" spans="1:31" hidden="1">
      <c r="A75" s="4">
        <v>2018</v>
      </c>
      <c r="B75" s="4" t="s">
        <v>44</v>
      </c>
      <c r="C75" s="3">
        <f t="shared" si="3"/>
        <v>74</v>
      </c>
      <c r="D75" s="55" t="s">
        <v>814</v>
      </c>
      <c r="E75" s="3" t="s">
        <v>814</v>
      </c>
      <c r="F75" s="5" t="s">
        <v>365</v>
      </c>
      <c r="G75" s="5" t="s">
        <v>601</v>
      </c>
      <c r="H75" s="5" t="s">
        <v>148</v>
      </c>
      <c r="I75" s="7">
        <v>5970149</v>
      </c>
      <c r="J75" s="7">
        <v>3731343</v>
      </c>
      <c r="K75" s="7">
        <v>47611940</v>
      </c>
      <c r="L75" s="8">
        <v>32</v>
      </c>
      <c r="M75" s="7">
        <v>204733</v>
      </c>
      <c r="N75" s="7">
        <v>124179104</v>
      </c>
      <c r="O75" s="7">
        <v>132903651</v>
      </c>
      <c r="P75" s="7">
        <v>133650584</v>
      </c>
      <c r="Q75" s="92">
        <f t="shared" si="2"/>
        <v>746933</v>
      </c>
      <c r="R75" s="5" t="s">
        <v>1398</v>
      </c>
      <c r="S75" s="5" t="s">
        <v>598</v>
      </c>
      <c r="T75" s="5" t="s">
        <v>603</v>
      </c>
      <c r="U75" s="5" t="s">
        <v>1390</v>
      </c>
      <c r="V75" s="5" t="s">
        <v>1955</v>
      </c>
      <c r="W75" s="5" t="s">
        <v>365</v>
      </c>
      <c r="X75" s="5" t="s">
        <v>1956</v>
      </c>
      <c r="Y75" s="5" t="s">
        <v>1957</v>
      </c>
      <c r="Z75" s="10"/>
      <c r="AA75" s="5" t="s">
        <v>1958</v>
      </c>
      <c r="AB75" s="5"/>
      <c r="AC75" s="5" t="s">
        <v>1959</v>
      </c>
      <c r="AD75" s="62">
        <v>8.6999999999999993</v>
      </c>
      <c r="AE75" t="str">
        <f>VLOOKUP($F75,FromYabin!$C$2:$C$112,1,FALSE)</f>
        <v>How Long Will I Love U</v>
      </c>
    </row>
    <row r="76" spans="1:31" hidden="1">
      <c r="A76" s="4">
        <v>2018</v>
      </c>
      <c r="B76" s="4" t="s">
        <v>44</v>
      </c>
      <c r="C76" s="3">
        <f t="shared" si="3"/>
        <v>75</v>
      </c>
      <c r="D76" s="55" t="s">
        <v>811</v>
      </c>
      <c r="E76" s="3" t="s">
        <v>811</v>
      </c>
      <c r="F76" s="5" t="s">
        <v>362</v>
      </c>
      <c r="G76" s="5" t="s">
        <v>764</v>
      </c>
      <c r="H76" s="5" t="s">
        <v>127</v>
      </c>
      <c r="I76" s="7">
        <v>89552238</v>
      </c>
      <c r="J76" s="7">
        <v>22388059</v>
      </c>
      <c r="K76" s="7">
        <v>123432835</v>
      </c>
      <c r="L76" s="8">
        <v>69</v>
      </c>
      <c r="M76" s="7">
        <v>341834</v>
      </c>
      <c r="N76" s="7">
        <v>316567164</v>
      </c>
      <c r="O76" s="7">
        <v>360977662</v>
      </c>
      <c r="P76" s="7">
        <v>361683815</v>
      </c>
      <c r="Q76" s="92">
        <f t="shared" si="2"/>
        <v>706153</v>
      </c>
      <c r="R76" s="5" t="s">
        <v>606</v>
      </c>
      <c r="S76" s="5" t="s">
        <v>611</v>
      </c>
      <c r="T76" s="5" t="s">
        <v>607</v>
      </c>
      <c r="U76" s="5" t="s">
        <v>1390</v>
      </c>
      <c r="V76" s="5" t="s">
        <v>1960</v>
      </c>
      <c r="W76" s="5" t="s">
        <v>1961</v>
      </c>
      <c r="X76" s="5" t="s">
        <v>1962</v>
      </c>
      <c r="Y76" s="5" t="s">
        <v>1963</v>
      </c>
      <c r="Z76" s="10"/>
      <c r="AA76" s="5" t="s">
        <v>1964</v>
      </c>
      <c r="AB76" s="5"/>
      <c r="AC76" s="5" t="s">
        <v>1965</v>
      </c>
      <c r="AD76" s="62">
        <v>8.1999999999999993</v>
      </c>
      <c r="AE76" t="str">
        <f>VLOOKUP($F76,FromYabin!$C$2:$C$112,1,FALSE)</f>
        <v>Zhuo yao ji 2</v>
      </c>
    </row>
    <row r="77" spans="1:31" hidden="1">
      <c r="A77" s="4">
        <v>2018</v>
      </c>
      <c r="B77" s="4" t="s">
        <v>44</v>
      </c>
      <c r="C77" s="3">
        <f t="shared" si="3"/>
        <v>76</v>
      </c>
      <c r="D77" s="55" t="s">
        <v>811</v>
      </c>
      <c r="E77" s="3" t="s">
        <v>811</v>
      </c>
      <c r="F77" s="5" t="s">
        <v>368</v>
      </c>
      <c r="G77" s="5" t="s">
        <v>601</v>
      </c>
      <c r="H77" s="5" t="s">
        <v>129</v>
      </c>
      <c r="I77" s="7">
        <v>59701492</v>
      </c>
      <c r="J77" s="7">
        <v>8955223</v>
      </c>
      <c r="K77" s="7">
        <v>38955223</v>
      </c>
      <c r="L77" s="8">
        <v>34</v>
      </c>
      <c r="M77" s="7">
        <v>95577</v>
      </c>
      <c r="N77" s="7">
        <v>102537313</v>
      </c>
      <c r="O77" s="7">
        <v>114902870</v>
      </c>
      <c r="P77" s="7">
        <v>115089944</v>
      </c>
      <c r="Q77" s="92">
        <f t="shared" si="2"/>
        <v>187074</v>
      </c>
      <c r="R77" s="5" t="s">
        <v>602</v>
      </c>
      <c r="S77" s="5" t="s">
        <v>598</v>
      </c>
      <c r="T77" s="5" t="s">
        <v>603</v>
      </c>
      <c r="U77" s="5" t="s">
        <v>1390</v>
      </c>
      <c r="V77" s="5" t="s">
        <v>1966</v>
      </c>
      <c r="W77" s="5" t="s">
        <v>1967</v>
      </c>
      <c r="X77" s="5" t="s">
        <v>1905</v>
      </c>
      <c r="Y77" s="5" t="s">
        <v>1968</v>
      </c>
      <c r="Z77" s="10"/>
      <c r="AA77" s="5" t="s">
        <v>1969</v>
      </c>
      <c r="AB77" s="5"/>
      <c r="AC77" s="5" t="s">
        <v>1970</v>
      </c>
      <c r="AD77" s="62">
        <v>7.9</v>
      </c>
      <c r="AE77" t="str">
        <f>VLOOKUP($F77,FromYabin!$C$2:$C$112,1,FALSE)</f>
        <v>Xi You Ji Nu Er Guo</v>
      </c>
    </row>
    <row r="78" spans="1:31" hidden="1">
      <c r="A78" s="4">
        <v>2018</v>
      </c>
      <c r="B78" s="4" t="s">
        <v>44</v>
      </c>
      <c r="C78" s="3">
        <f t="shared" si="3"/>
        <v>77</v>
      </c>
      <c r="D78" s="55" t="s">
        <v>818</v>
      </c>
      <c r="E78" s="3" t="s">
        <v>818</v>
      </c>
      <c r="F78" s="5" t="s">
        <v>819</v>
      </c>
      <c r="G78" s="5" t="s">
        <v>601</v>
      </c>
      <c r="H78" s="5" t="s">
        <v>136</v>
      </c>
      <c r="I78" s="7">
        <v>10447761</v>
      </c>
      <c r="J78" s="7">
        <v>5970149</v>
      </c>
      <c r="K78" s="7">
        <v>18955223</v>
      </c>
      <c r="L78" s="8">
        <v>24</v>
      </c>
      <c r="M78" s="7">
        <v>79180</v>
      </c>
      <c r="N78" s="7">
        <v>50746268</v>
      </c>
      <c r="O78" s="7">
        <v>57442237</v>
      </c>
      <c r="P78" s="7">
        <v>57628372</v>
      </c>
      <c r="Q78" s="92">
        <f t="shared" si="2"/>
        <v>186135</v>
      </c>
      <c r="R78" s="5" t="s">
        <v>606</v>
      </c>
      <c r="S78" s="5" t="s">
        <v>598</v>
      </c>
      <c r="T78" s="5" t="s">
        <v>616</v>
      </c>
      <c r="U78" s="5" t="s">
        <v>1390</v>
      </c>
      <c r="V78" s="5" t="s">
        <v>1971</v>
      </c>
      <c r="W78" s="5" t="s">
        <v>1972</v>
      </c>
      <c r="X78" s="5" t="s">
        <v>1973</v>
      </c>
      <c r="Y78" s="5" t="s">
        <v>1974</v>
      </c>
      <c r="Z78" s="10"/>
      <c r="AA78" s="5" t="s">
        <v>1973</v>
      </c>
      <c r="AB78" s="5"/>
      <c r="AC78" s="5" t="s">
        <v>1975</v>
      </c>
      <c r="AD78" s="62">
        <v>6.9</v>
      </c>
      <c r="AE78" t="str">
        <f>VLOOKUP($F78,FromYabin!$C$2:$C$112,1,FALSE)</f>
        <v>Yao Ling Ling</v>
      </c>
    </row>
    <row r="79" spans="1:31" hidden="1">
      <c r="A79" s="4">
        <v>2018</v>
      </c>
      <c r="B79" s="4" t="s">
        <v>44</v>
      </c>
      <c r="C79" s="3">
        <f t="shared" si="3"/>
        <v>78</v>
      </c>
      <c r="D79" s="55" t="s">
        <v>824</v>
      </c>
      <c r="E79" s="3" t="s">
        <v>824</v>
      </c>
      <c r="F79" s="5" t="s">
        <v>386</v>
      </c>
      <c r="G79" s="5" t="s">
        <v>626</v>
      </c>
      <c r="H79" s="5" t="s">
        <v>127</v>
      </c>
      <c r="I79" s="7">
        <v>11940298</v>
      </c>
      <c r="J79" s="7">
        <v>2985074</v>
      </c>
      <c r="K79" s="7">
        <v>11985074</v>
      </c>
      <c r="L79" s="8">
        <v>27</v>
      </c>
      <c r="M79" s="7">
        <v>57713</v>
      </c>
      <c r="N79" s="7">
        <v>32238805</v>
      </c>
      <c r="O79" s="7">
        <v>36895078</v>
      </c>
      <c r="P79" s="7">
        <v>37013430</v>
      </c>
      <c r="Q79" s="92">
        <f t="shared" si="2"/>
        <v>118352</v>
      </c>
      <c r="R79" s="5" t="s">
        <v>606</v>
      </c>
      <c r="S79" s="5" t="s">
        <v>598</v>
      </c>
      <c r="T79" s="5" t="s">
        <v>616</v>
      </c>
      <c r="U79" s="5" t="s">
        <v>1390</v>
      </c>
      <c r="V79" s="5" t="s">
        <v>1976</v>
      </c>
      <c r="W79" s="5" t="s">
        <v>1977</v>
      </c>
      <c r="X79" s="5" t="s">
        <v>1978</v>
      </c>
      <c r="Y79" s="5" t="s">
        <v>1979</v>
      </c>
      <c r="Z79" s="10"/>
      <c r="AA79" s="5" t="s">
        <v>1980</v>
      </c>
      <c r="AB79" s="5"/>
      <c r="AC79" s="5" t="s">
        <v>1981</v>
      </c>
      <c r="AD79" s="62">
        <v>8.9</v>
      </c>
      <c r="AE79" t="str">
        <f>VLOOKUP($F79,FromYabin!$C$2:$C$112,1,FALSE)</f>
        <v>Nan Ji Jue Lian</v>
      </c>
    </row>
    <row r="80" spans="1:31" hidden="1">
      <c r="A80" s="4">
        <v>2018</v>
      </c>
      <c r="B80" s="4" t="s">
        <v>44</v>
      </c>
      <c r="C80" s="3">
        <f t="shared" si="3"/>
        <v>79</v>
      </c>
      <c r="D80" s="55" t="s">
        <v>825</v>
      </c>
      <c r="E80" s="3" t="s">
        <v>825</v>
      </c>
      <c r="F80" s="5" t="s">
        <v>406</v>
      </c>
      <c r="G80" s="5" t="s">
        <v>626</v>
      </c>
      <c r="H80" s="5" t="s">
        <v>129</v>
      </c>
      <c r="I80" s="7">
        <v>8955223</v>
      </c>
      <c r="J80" s="7">
        <v>3731343</v>
      </c>
      <c r="K80" s="7">
        <v>3491044</v>
      </c>
      <c r="L80" s="8">
        <v>12</v>
      </c>
      <c r="M80" s="7">
        <v>35015</v>
      </c>
      <c r="N80" s="7">
        <v>9485074</v>
      </c>
      <c r="O80" s="7">
        <v>10295882</v>
      </c>
      <c r="P80" s="7">
        <v>10381054</v>
      </c>
      <c r="Q80" s="92">
        <f t="shared" si="2"/>
        <v>85172</v>
      </c>
      <c r="R80" s="5" t="s">
        <v>606</v>
      </c>
      <c r="S80" s="5" t="s">
        <v>598</v>
      </c>
      <c r="T80" s="5" t="s">
        <v>616</v>
      </c>
      <c r="U80" s="5" t="s">
        <v>1390</v>
      </c>
      <c r="V80" s="5" t="s">
        <v>1982</v>
      </c>
      <c r="W80" s="5" t="s">
        <v>1983</v>
      </c>
      <c r="X80" s="5" t="s">
        <v>1984</v>
      </c>
      <c r="Y80" s="5" t="s">
        <v>1985</v>
      </c>
      <c r="Z80" s="10"/>
      <c r="AA80" s="5" t="s">
        <v>1986</v>
      </c>
      <c r="AB80" s="5"/>
      <c r="AC80" s="5" t="s">
        <v>1948</v>
      </c>
      <c r="AD80" s="62">
        <v>7.8</v>
      </c>
      <c r="AE80" t="str">
        <f>VLOOKUP($F80,FromYabin!$C$2:$C$112,1,FALSE)</f>
        <v>Long Xia Xing Jing</v>
      </c>
    </row>
    <row r="81" spans="1:31" hidden="1">
      <c r="A81" s="4">
        <v>2018</v>
      </c>
      <c r="B81" s="4" t="s">
        <v>44</v>
      </c>
      <c r="C81" s="3">
        <f t="shared" si="3"/>
        <v>80</v>
      </c>
      <c r="D81" s="55" t="s">
        <v>828</v>
      </c>
      <c r="E81" s="3" t="s">
        <v>828</v>
      </c>
      <c r="F81" s="5" t="s">
        <v>407</v>
      </c>
      <c r="G81" s="5" t="s">
        <v>601</v>
      </c>
      <c r="H81" s="5" t="s">
        <v>136</v>
      </c>
      <c r="I81" s="7">
        <v>7462686</v>
      </c>
      <c r="J81" s="7">
        <v>2238805</v>
      </c>
      <c r="K81" s="7">
        <v>3332835</v>
      </c>
      <c r="L81" s="41">
        <v>55966</v>
      </c>
      <c r="M81" s="42">
        <v>7740000</v>
      </c>
      <c r="N81" s="7">
        <v>9061194</v>
      </c>
      <c r="O81" s="7">
        <v>10244720</v>
      </c>
      <c r="P81" s="7">
        <v>10281835</v>
      </c>
      <c r="Q81" s="92">
        <f t="shared" si="2"/>
        <v>37115</v>
      </c>
      <c r="R81" s="5" t="s">
        <v>606</v>
      </c>
      <c r="S81" s="5" t="s">
        <v>598</v>
      </c>
      <c r="T81" s="5" t="s">
        <v>616</v>
      </c>
      <c r="U81" s="5" t="s">
        <v>1390</v>
      </c>
      <c r="V81" s="5" t="s">
        <v>1987</v>
      </c>
      <c r="W81" s="39" t="s">
        <v>1988</v>
      </c>
      <c r="X81" s="5" t="s">
        <v>1921</v>
      </c>
      <c r="Y81" s="5" t="s">
        <v>1989</v>
      </c>
      <c r="Z81" s="10"/>
      <c r="AA81" s="5" t="s">
        <v>1990</v>
      </c>
      <c r="AB81" s="5"/>
      <c r="AC81" s="5" t="s">
        <v>1991</v>
      </c>
      <c r="AD81" s="62">
        <v>6.6</v>
      </c>
      <c r="AE81" t="str">
        <f>VLOOKUP($F81,FromYabin!$C$2:$C$112,1,FALSE)</f>
        <v>Gui Mi 2</v>
      </c>
    </row>
    <row r="82" spans="1:31">
      <c r="A82" s="4">
        <v>2018</v>
      </c>
      <c r="B82" s="4" t="s">
        <v>44</v>
      </c>
      <c r="C82" s="3">
        <f t="shared" si="3"/>
        <v>81</v>
      </c>
      <c r="D82" s="55" t="s">
        <v>835</v>
      </c>
      <c r="E82" s="22" t="s">
        <v>835</v>
      </c>
      <c r="F82" s="5" t="s">
        <v>836</v>
      </c>
      <c r="G82" s="5" t="s">
        <v>626</v>
      </c>
      <c r="H82" s="39" t="s">
        <v>136</v>
      </c>
      <c r="I82" s="7">
        <v>2985074.6268656715</v>
      </c>
      <c r="J82" s="7">
        <v>746268.65671641787</v>
      </c>
      <c r="K82" s="7">
        <v>410447.76119402982</v>
      </c>
      <c r="L82" s="41" t="s">
        <v>1501</v>
      </c>
      <c r="M82" s="7">
        <v>1012175</v>
      </c>
      <c r="N82" s="7">
        <v>13331</v>
      </c>
      <c r="O82" s="42">
        <v>1264734</v>
      </c>
      <c r="P82" s="42">
        <v>1278065</v>
      </c>
      <c r="Q82" s="92">
        <f t="shared" si="2"/>
        <v>13331</v>
      </c>
      <c r="R82" s="39" t="s">
        <v>1399</v>
      </c>
      <c r="S82" s="39" t="s">
        <v>598</v>
      </c>
      <c r="T82" s="39" t="s">
        <v>616</v>
      </c>
      <c r="U82" s="6" t="s">
        <v>1390</v>
      </c>
      <c r="V82" s="5" t="s">
        <v>1992</v>
      </c>
      <c r="W82" s="5" t="s">
        <v>1993</v>
      </c>
      <c r="X82" s="5" t="s">
        <v>1994</v>
      </c>
      <c r="Y82" s="5" t="s">
        <v>1646</v>
      </c>
      <c r="Z82" s="10"/>
      <c r="AA82" s="5" t="s">
        <v>1995</v>
      </c>
      <c r="AB82" s="5"/>
      <c r="AC82" s="5" t="s">
        <v>1996</v>
      </c>
      <c r="AD82" s="62">
        <v>7</v>
      </c>
      <c r="AE82" t="str">
        <f>VLOOKUP($F82,FromYabin!$C$2:$C$112,1,FALSE)</f>
        <v>Tyut pei ba ba</v>
      </c>
    </row>
    <row r="83" spans="1:31" hidden="1">
      <c r="A83" s="4">
        <v>2018</v>
      </c>
      <c r="B83" s="4" t="s">
        <v>44</v>
      </c>
      <c r="C83" s="3">
        <f t="shared" si="3"/>
        <v>82</v>
      </c>
      <c r="D83" s="55" t="s">
        <v>843</v>
      </c>
      <c r="E83" s="3" t="s">
        <v>843</v>
      </c>
      <c r="F83" s="5" t="s">
        <v>844</v>
      </c>
      <c r="G83" s="5" t="s">
        <v>1418</v>
      </c>
      <c r="H83" s="5" t="s">
        <v>129</v>
      </c>
      <c r="I83" s="7">
        <v>746268.65671641787</v>
      </c>
      <c r="J83" s="7">
        <v>298507.46268656716</v>
      </c>
      <c r="K83" s="7">
        <v>3353283.5820895522</v>
      </c>
      <c r="L83" s="8">
        <v>34254</v>
      </c>
      <c r="M83" s="7">
        <v>4210000</v>
      </c>
      <c r="N83" s="7">
        <v>9117611.940298507</v>
      </c>
      <c r="O83" s="7">
        <v>9796094</v>
      </c>
      <c r="P83" s="7">
        <v>9796094</v>
      </c>
      <c r="Q83" s="7">
        <f t="shared" si="2"/>
        <v>0</v>
      </c>
      <c r="R83" s="5" t="s">
        <v>606</v>
      </c>
      <c r="S83" s="5" t="s">
        <v>598</v>
      </c>
      <c r="T83" s="5" t="s">
        <v>616</v>
      </c>
      <c r="U83" s="5" t="s">
        <v>1406</v>
      </c>
      <c r="V83" s="5" t="s">
        <v>1997</v>
      </c>
      <c r="W83" s="5" t="s">
        <v>844</v>
      </c>
      <c r="X83" s="5" t="s">
        <v>1905</v>
      </c>
      <c r="Y83" s="5" t="s">
        <v>1984</v>
      </c>
      <c r="Z83" s="5" t="s">
        <v>1998</v>
      </c>
      <c r="AA83" s="5" t="s">
        <v>1999</v>
      </c>
      <c r="AB83" s="5"/>
      <c r="AC83" s="5" t="s">
        <v>1981</v>
      </c>
      <c r="AD83" s="62">
        <v>8.4</v>
      </c>
      <c r="AE83" t="str">
        <f>VLOOKUP($F83,FromYabin!$C$2:$C$112,1,FALSE)</f>
        <v>Peace Breaker</v>
      </c>
    </row>
    <row r="84" spans="1:31" hidden="1">
      <c r="A84" s="4">
        <v>2018</v>
      </c>
      <c r="B84" s="4" t="s">
        <v>44</v>
      </c>
      <c r="C84" s="3">
        <f t="shared" si="3"/>
        <v>83</v>
      </c>
      <c r="D84" s="55" t="s">
        <v>848</v>
      </c>
      <c r="E84" s="3" t="s">
        <v>848</v>
      </c>
      <c r="F84" s="5" t="s">
        <v>849</v>
      </c>
      <c r="G84" s="5" t="s">
        <v>653</v>
      </c>
      <c r="H84" s="5" t="s">
        <v>131</v>
      </c>
      <c r="I84" s="7">
        <v>11940298</v>
      </c>
      <c r="J84" s="7">
        <v>2985074</v>
      </c>
      <c r="K84" s="7">
        <v>910447</v>
      </c>
      <c r="L84" s="8">
        <v>23262</v>
      </c>
      <c r="M84" s="7">
        <v>1519978</v>
      </c>
      <c r="N84" s="7">
        <v>2483582</v>
      </c>
      <c r="O84" s="7">
        <v>2669935</v>
      </c>
      <c r="P84" s="7">
        <v>2669935</v>
      </c>
      <c r="Q84" s="7">
        <f t="shared" si="2"/>
        <v>0</v>
      </c>
      <c r="R84" s="5" t="s">
        <v>606</v>
      </c>
      <c r="S84" s="5" t="s">
        <v>598</v>
      </c>
      <c r="T84" s="5" t="s">
        <v>616</v>
      </c>
      <c r="U84" s="5" t="s">
        <v>1406</v>
      </c>
      <c r="V84" s="5" t="s">
        <v>2000</v>
      </c>
      <c r="W84" s="5" t="s">
        <v>2001</v>
      </c>
      <c r="X84" s="5" t="s">
        <v>2002</v>
      </c>
      <c r="Y84" s="5"/>
      <c r="Z84" s="10"/>
      <c r="AA84" s="5" t="s">
        <v>2003</v>
      </c>
      <c r="AB84" s="5"/>
      <c r="AC84" s="5" t="s">
        <v>2004</v>
      </c>
      <c r="AD84" s="62">
        <v>6.9</v>
      </c>
      <c r="AE84" t="str">
        <f>VLOOKUP($F84,FromYabin!$C$2:$C$112,1,FALSE)</f>
        <v>Ji zhi zhui ji: Long Feng Jie</v>
      </c>
    </row>
    <row r="85" spans="1:31" hidden="1">
      <c r="A85" s="4">
        <v>2018</v>
      </c>
      <c r="B85" s="4" t="s">
        <v>44</v>
      </c>
      <c r="C85" s="3">
        <f t="shared" si="3"/>
        <v>84</v>
      </c>
      <c r="D85" s="55" t="s">
        <v>857</v>
      </c>
      <c r="E85" s="3" t="s">
        <v>857</v>
      </c>
      <c r="F85" s="5" t="s">
        <v>858</v>
      </c>
      <c r="G85" s="5" t="s">
        <v>1419</v>
      </c>
      <c r="H85" s="5" t="s">
        <v>129</v>
      </c>
      <c r="I85" s="7">
        <v>14925373.134328358</v>
      </c>
      <c r="J85" s="7">
        <v>4477611.940298507</v>
      </c>
      <c r="K85" s="7">
        <v>8174029.8507462684</v>
      </c>
      <c r="L85" s="41">
        <v>44310</v>
      </c>
      <c r="M85" s="42">
        <v>179845</v>
      </c>
      <c r="N85" s="7">
        <v>21940298.507462688</v>
      </c>
      <c r="O85" s="7">
        <v>22682660</v>
      </c>
      <c r="P85" s="7">
        <v>22682660</v>
      </c>
      <c r="Q85" s="7">
        <f t="shared" si="2"/>
        <v>0</v>
      </c>
      <c r="R85" s="5" t="s">
        <v>606</v>
      </c>
      <c r="S85" s="5" t="s">
        <v>598</v>
      </c>
      <c r="T85" s="5" t="s">
        <v>616</v>
      </c>
      <c r="U85" s="5" t="s">
        <v>1406</v>
      </c>
      <c r="V85" s="5" t="s">
        <v>2017</v>
      </c>
      <c r="W85" s="5" t="s">
        <v>2018</v>
      </c>
      <c r="X85" s="5" t="s">
        <v>1656</v>
      </c>
      <c r="Y85" s="5" t="s">
        <v>2019</v>
      </c>
      <c r="Z85" s="10"/>
      <c r="AA85" s="5" t="s">
        <v>2020</v>
      </c>
      <c r="AB85" s="5" t="s">
        <v>2021</v>
      </c>
      <c r="AC85" s="5" t="s">
        <v>1991</v>
      </c>
      <c r="AD85" s="62">
        <v>8.6999999999999993</v>
      </c>
      <c r="AE85" t="str">
        <f>VLOOKUP($F85,FromYabin!$C$2:$C$112,1,FALSE)</f>
        <v>Extraordinary Mission</v>
      </c>
    </row>
    <row r="86" spans="1:31" hidden="1">
      <c r="A86" s="4">
        <v>2018</v>
      </c>
      <c r="B86" s="4" t="s">
        <v>44</v>
      </c>
      <c r="C86" s="3">
        <f t="shared" si="3"/>
        <v>85</v>
      </c>
      <c r="D86" s="55" t="s">
        <v>859</v>
      </c>
      <c r="E86" s="3" t="s">
        <v>2022</v>
      </c>
      <c r="F86" s="5" t="s">
        <v>860</v>
      </c>
      <c r="G86" s="5" t="s">
        <v>1420</v>
      </c>
      <c r="H86" s="5" t="s">
        <v>129</v>
      </c>
      <c r="I86" s="7">
        <v>29850746.268656716</v>
      </c>
      <c r="J86" s="7">
        <v>8955223.880597014</v>
      </c>
      <c r="K86" s="7">
        <v>37014925.37313433</v>
      </c>
      <c r="L86" s="41">
        <v>106873</v>
      </c>
      <c r="M86" s="42">
        <v>42160000</v>
      </c>
      <c r="N86" s="7">
        <v>97313432.835820898</v>
      </c>
      <c r="O86" s="7">
        <v>103651195</v>
      </c>
      <c r="P86" s="7">
        <v>103651195</v>
      </c>
      <c r="Q86" s="7">
        <f t="shared" si="2"/>
        <v>0</v>
      </c>
      <c r="R86" s="5" t="s">
        <v>666</v>
      </c>
      <c r="S86" s="5" t="s">
        <v>703</v>
      </c>
      <c r="T86" s="5" t="s">
        <v>603</v>
      </c>
      <c r="U86" s="5" t="s">
        <v>1406</v>
      </c>
      <c r="V86" s="5" t="s">
        <v>2023</v>
      </c>
      <c r="W86" s="5" t="s">
        <v>2024</v>
      </c>
      <c r="X86" s="5" t="s">
        <v>2025</v>
      </c>
      <c r="Y86" s="5" t="s">
        <v>2026</v>
      </c>
      <c r="Z86" s="10"/>
      <c r="AA86" s="5" t="s">
        <v>2027</v>
      </c>
      <c r="AB86" s="5"/>
      <c r="AC86" s="5" t="s">
        <v>1911</v>
      </c>
      <c r="AD86" s="62">
        <v>7.7</v>
      </c>
      <c r="AE86" t="str">
        <f>VLOOKUP($F86,FromYabin!$C$2:$C$112,1,FALSE)</f>
        <v>Wukong</v>
      </c>
    </row>
    <row r="87" spans="1:31" hidden="1">
      <c r="A87" s="4">
        <v>2018</v>
      </c>
      <c r="B87" s="4" t="s">
        <v>44</v>
      </c>
      <c r="C87" s="3">
        <f t="shared" si="3"/>
        <v>86</v>
      </c>
      <c r="D87" s="55" t="s">
        <v>813</v>
      </c>
      <c r="E87" s="3" t="s">
        <v>813</v>
      </c>
      <c r="F87" s="5" t="s">
        <v>412</v>
      </c>
      <c r="G87" s="5" t="s">
        <v>861</v>
      </c>
      <c r="H87" s="5" t="s">
        <v>129</v>
      </c>
      <c r="I87" s="7">
        <v>17910447</v>
      </c>
      <c r="J87" s="7">
        <v>2985074</v>
      </c>
      <c r="K87" s="7">
        <v>2579104</v>
      </c>
      <c r="L87" s="8">
        <v>55600</v>
      </c>
      <c r="M87" s="7">
        <v>6183665</v>
      </c>
      <c r="N87" s="7">
        <v>7029850</v>
      </c>
      <c r="O87" s="7">
        <v>7835554</v>
      </c>
      <c r="P87" s="7">
        <v>7835554</v>
      </c>
      <c r="Q87" s="7">
        <f t="shared" si="2"/>
        <v>0</v>
      </c>
      <c r="R87" s="5" t="s">
        <v>606</v>
      </c>
      <c r="S87" s="5" t="s">
        <v>598</v>
      </c>
      <c r="T87" s="5" t="s">
        <v>607</v>
      </c>
      <c r="U87" s="5" t="s">
        <v>1406</v>
      </c>
      <c r="V87" s="5" t="s">
        <v>2028</v>
      </c>
      <c r="W87" s="5" t="s">
        <v>412</v>
      </c>
      <c r="X87" s="5" t="s">
        <v>2029</v>
      </c>
      <c r="Y87" s="5"/>
      <c r="Z87" s="10"/>
      <c r="AA87" s="5" t="s">
        <v>2030</v>
      </c>
      <c r="AB87" s="5"/>
      <c r="AC87" s="5" t="s">
        <v>861</v>
      </c>
      <c r="AD87" s="62">
        <v>7</v>
      </c>
      <c r="AE87" t="str">
        <f>VLOOKUP($F87,FromYabin!$C$2:$C$112,1,FALSE)</f>
        <v>7 Guardians of the Tomb</v>
      </c>
    </row>
    <row r="88" spans="1:31" hidden="1">
      <c r="A88" s="4">
        <v>2018</v>
      </c>
      <c r="B88" s="4" t="s">
        <v>44</v>
      </c>
      <c r="C88" s="3">
        <f t="shared" si="3"/>
        <v>87</v>
      </c>
      <c r="D88" s="55" t="s">
        <v>862</v>
      </c>
      <c r="E88" s="3" t="s">
        <v>862</v>
      </c>
      <c r="F88" s="5" t="s">
        <v>469</v>
      </c>
      <c r="G88" s="5" t="s">
        <v>764</v>
      </c>
      <c r="H88" s="5" t="s">
        <v>129</v>
      </c>
      <c r="I88" s="7">
        <v>65000000</v>
      </c>
      <c r="J88" s="57"/>
      <c r="K88" s="7"/>
      <c r="L88" s="41" t="s">
        <v>1501</v>
      </c>
      <c r="M88" s="41" t="s">
        <v>1501</v>
      </c>
      <c r="N88" s="7"/>
      <c r="O88" s="7">
        <v>516279</v>
      </c>
      <c r="P88" s="7">
        <v>516279</v>
      </c>
      <c r="Q88" s="7">
        <f t="shared" si="2"/>
        <v>0</v>
      </c>
      <c r="R88" s="5" t="s">
        <v>606</v>
      </c>
      <c r="S88" s="5" t="s">
        <v>598</v>
      </c>
      <c r="T88" s="5" t="s">
        <v>658</v>
      </c>
      <c r="U88" s="5" t="s">
        <v>1394</v>
      </c>
      <c r="V88" s="39" t="s">
        <v>469</v>
      </c>
      <c r="W88" s="39" t="s">
        <v>469</v>
      </c>
      <c r="X88" s="39" t="s">
        <v>2031</v>
      </c>
      <c r="Y88" s="39" t="s">
        <v>2032</v>
      </c>
      <c r="Z88" s="50" t="s">
        <v>2033</v>
      </c>
      <c r="AA88" s="39" t="s">
        <v>2034</v>
      </c>
      <c r="AB88" s="5"/>
      <c r="AC88" s="39" t="s">
        <v>2035</v>
      </c>
      <c r="AD88" s="63" t="s">
        <v>1665</v>
      </c>
      <c r="AE88" t="e">
        <f>VLOOKUP($F88,FromYabin!$C$2:$C$112,1,FALSE)</f>
        <v>#N/A</v>
      </c>
    </row>
    <row r="89" spans="1:31" hidden="1">
      <c r="A89" s="4">
        <v>2018</v>
      </c>
      <c r="B89" s="4" t="s">
        <v>44</v>
      </c>
      <c r="C89" s="3">
        <f t="shared" si="3"/>
        <v>88</v>
      </c>
      <c r="D89" s="55" t="s">
        <v>863</v>
      </c>
      <c r="E89" s="3" t="s">
        <v>863</v>
      </c>
      <c r="F89" s="5" t="s">
        <v>864</v>
      </c>
      <c r="G89" s="39" t="s">
        <v>1500</v>
      </c>
      <c r="H89" s="5" t="s">
        <v>131</v>
      </c>
      <c r="I89" s="7">
        <v>746268</v>
      </c>
      <c r="J89" s="7">
        <v>447761</v>
      </c>
      <c r="K89" s="7">
        <v>1123880</v>
      </c>
      <c r="L89" s="8">
        <v>13309</v>
      </c>
      <c r="M89" s="7">
        <v>1920000</v>
      </c>
      <c r="N89" s="7">
        <v>3065671</v>
      </c>
      <c r="O89" s="7">
        <v>3375245</v>
      </c>
      <c r="P89" s="7">
        <v>3375245</v>
      </c>
      <c r="Q89" s="7">
        <f t="shared" si="2"/>
        <v>0</v>
      </c>
      <c r="R89" s="5" t="s">
        <v>606</v>
      </c>
      <c r="S89" s="5" t="s">
        <v>598</v>
      </c>
      <c r="T89" s="5" t="s">
        <v>616</v>
      </c>
      <c r="U89" s="5" t="s">
        <v>1406</v>
      </c>
      <c r="V89" s="5" t="s">
        <v>2036</v>
      </c>
      <c r="W89" s="5" t="s">
        <v>2037</v>
      </c>
      <c r="X89" s="5" t="s">
        <v>2031</v>
      </c>
      <c r="Y89" s="5" t="s">
        <v>2038</v>
      </c>
      <c r="Z89" s="10" t="s">
        <v>2033</v>
      </c>
      <c r="AA89" s="5" t="s">
        <v>2039</v>
      </c>
      <c r="AB89" s="5"/>
      <c r="AC89" s="5" t="s">
        <v>1991</v>
      </c>
      <c r="AD89" s="62">
        <v>8</v>
      </c>
      <c r="AE89" t="str">
        <f>VLOOKUP($F89,FromYabin!$C$2:$C$112,1,FALSE)</f>
        <v>Jia Nian Hua</v>
      </c>
    </row>
    <row r="90" spans="1:31" hidden="1">
      <c r="A90" s="4">
        <v>2018</v>
      </c>
      <c r="B90" s="4" t="s">
        <v>44</v>
      </c>
      <c r="C90" s="3">
        <f t="shared" si="3"/>
        <v>89</v>
      </c>
      <c r="D90" s="55" t="s">
        <v>874</v>
      </c>
      <c r="E90" s="3" t="s">
        <v>2040</v>
      </c>
      <c r="F90" s="5" t="s">
        <v>875</v>
      </c>
      <c r="G90" s="5" t="s">
        <v>601</v>
      </c>
      <c r="H90" s="5" t="s">
        <v>129</v>
      </c>
      <c r="I90" s="7">
        <v>14925373</v>
      </c>
      <c r="J90" s="7">
        <v>7462686</v>
      </c>
      <c r="K90" s="7">
        <v>27462686</v>
      </c>
      <c r="L90" s="8">
        <v>73896</v>
      </c>
      <c r="M90" s="7">
        <v>32200000</v>
      </c>
      <c r="N90" s="7">
        <v>72537313</v>
      </c>
      <c r="O90" s="7">
        <v>79214896</v>
      </c>
      <c r="P90" s="7">
        <v>79214896</v>
      </c>
      <c r="Q90" s="7">
        <f t="shared" si="2"/>
        <v>0</v>
      </c>
      <c r="R90" s="5" t="s">
        <v>606</v>
      </c>
      <c r="S90" s="5" t="s">
        <v>598</v>
      </c>
      <c r="T90" s="5" t="s">
        <v>616</v>
      </c>
      <c r="U90" s="5" t="s">
        <v>1406</v>
      </c>
      <c r="V90" s="5" t="s">
        <v>2041</v>
      </c>
      <c r="W90" s="5" t="s">
        <v>2042</v>
      </c>
      <c r="X90" s="5" t="s">
        <v>1646</v>
      </c>
      <c r="Y90" s="5"/>
      <c r="Z90" s="10"/>
      <c r="AA90" s="5" t="s">
        <v>1879</v>
      </c>
      <c r="AB90" s="5"/>
      <c r="AC90" s="5" t="s">
        <v>1888</v>
      </c>
      <c r="AD90" s="62">
        <v>8.5</v>
      </c>
      <c r="AE90" t="str">
        <f>VLOOKUP($F90,FromYabin!$C$2:$C$112,1,FALSE)</f>
        <v>Sha Po Lang: Tan Lang</v>
      </c>
    </row>
    <row r="91" spans="1:31" hidden="1">
      <c r="A91" s="4">
        <v>2018</v>
      </c>
      <c r="B91" s="4" t="s">
        <v>44</v>
      </c>
      <c r="C91" s="3">
        <f t="shared" si="3"/>
        <v>90</v>
      </c>
      <c r="D91" s="55" t="s">
        <v>880</v>
      </c>
      <c r="E91" s="3" t="s">
        <v>880</v>
      </c>
      <c r="F91" s="5" t="s">
        <v>881</v>
      </c>
      <c r="G91" s="5" t="s">
        <v>1418</v>
      </c>
      <c r="H91" s="39" t="s">
        <v>1404</v>
      </c>
      <c r="I91" s="7">
        <v>14925373</v>
      </c>
      <c r="J91" s="7">
        <v>7462686</v>
      </c>
      <c r="K91" s="7">
        <v>11764179</v>
      </c>
      <c r="L91" s="8">
        <v>76993</v>
      </c>
      <c r="M91" s="7">
        <v>21549210</v>
      </c>
      <c r="N91" s="7">
        <v>31492537</v>
      </c>
      <c r="O91" s="7">
        <v>35045171</v>
      </c>
      <c r="P91" s="7">
        <v>35045171</v>
      </c>
      <c r="Q91" s="7">
        <f t="shared" si="2"/>
        <v>0</v>
      </c>
      <c r="R91" s="5" t="s">
        <v>602</v>
      </c>
      <c r="S91" s="5" t="s">
        <v>598</v>
      </c>
      <c r="T91" s="5" t="s">
        <v>616</v>
      </c>
      <c r="U91" s="5" t="s">
        <v>1406</v>
      </c>
      <c r="V91" s="5" t="s">
        <v>2043</v>
      </c>
      <c r="W91" s="5" t="s">
        <v>2044</v>
      </c>
      <c r="X91" s="5" t="s">
        <v>2045</v>
      </c>
      <c r="Y91" s="5" t="s">
        <v>2046</v>
      </c>
      <c r="Z91" s="10"/>
      <c r="AA91" s="5" t="s">
        <v>2047</v>
      </c>
      <c r="AB91" s="5"/>
      <c r="AC91" s="5" t="s">
        <v>2048</v>
      </c>
      <c r="AD91" s="62">
        <v>8.6999999999999993</v>
      </c>
      <c r="AE91" t="str">
        <f>VLOOKUP($F91,FromYabin!$C$2:$C$112,1,FALSE)</f>
        <v>Xin Li Zui Zhi Cheng Shi Zhi Guang</v>
      </c>
    </row>
    <row r="92" spans="1:31" hidden="1">
      <c r="A92" s="4">
        <v>2018</v>
      </c>
      <c r="B92" s="4" t="s">
        <v>44</v>
      </c>
      <c r="C92" s="3">
        <f t="shared" si="3"/>
        <v>91</v>
      </c>
      <c r="D92" s="55" t="s">
        <v>882</v>
      </c>
      <c r="E92" s="3" t="s">
        <v>824</v>
      </c>
      <c r="F92" s="5" t="s">
        <v>423</v>
      </c>
      <c r="G92" s="5" t="s">
        <v>1421</v>
      </c>
      <c r="H92" s="5" t="s">
        <v>127</v>
      </c>
      <c r="I92" s="7">
        <v>2985074.6268656715</v>
      </c>
      <c r="J92" s="7">
        <v>746268.65671641787</v>
      </c>
      <c r="K92" s="7">
        <v>1417910.4477611941</v>
      </c>
      <c r="L92" s="8">
        <v>772</v>
      </c>
      <c r="M92" s="7">
        <v>192492</v>
      </c>
      <c r="N92" s="7">
        <v>3865671.6417910447</v>
      </c>
      <c r="O92" s="7">
        <v>4668484</v>
      </c>
      <c r="P92" s="7">
        <v>4668484</v>
      </c>
      <c r="Q92" s="7">
        <f t="shared" si="2"/>
        <v>0</v>
      </c>
      <c r="R92" s="5" t="s">
        <v>606</v>
      </c>
      <c r="S92" s="5" t="s">
        <v>631</v>
      </c>
      <c r="T92" s="5" t="s">
        <v>612</v>
      </c>
      <c r="U92" s="5" t="s">
        <v>1392</v>
      </c>
      <c r="V92" s="5" t="s">
        <v>2049</v>
      </c>
      <c r="W92" s="5" t="s">
        <v>488</v>
      </c>
      <c r="X92" s="5" t="s">
        <v>2050</v>
      </c>
      <c r="Y92" s="5" t="s">
        <v>2051</v>
      </c>
      <c r="Z92" s="5" t="s">
        <v>2052</v>
      </c>
      <c r="AA92" s="5" t="s">
        <v>2053</v>
      </c>
      <c r="AB92" s="5"/>
      <c r="AC92" s="5" t="s">
        <v>2054</v>
      </c>
      <c r="AD92" s="62">
        <v>8.5</v>
      </c>
      <c r="AE92" t="str">
        <f>VLOOKUP($F92,FromYabin!$C$2:$C$112,1,FALSE)</f>
        <v>Jin Gui Zi</v>
      </c>
    </row>
    <row r="93" spans="1:31" hidden="1">
      <c r="A93" s="4">
        <v>2018</v>
      </c>
      <c r="B93" s="4" t="s">
        <v>44</v>
      </c>
      <c r="C93" s="3">
        <f t="shared" si="3"/>
        <v>92</v>
      </c>
      <c r="D93" s="55" t="s">
        <v>886</v>
      </c>
      <c r="E93" s="56" t="s">
        <v>2055</v>
      </c>
      <c r="F93" s="5" t="s">
        <v>891</v>
      </c>
      <c r="G93" s="39" t="s">
        <v>3002</v>
      </c>
      <c r="H93" s="5" t="s">
        <v>127</v>
      </c>
      <c r="I93" s="7">
        <v>1492537.3134328357</v>
      </c>
      <c r="J93" s="57" t="s">
        <v>1411</v>
      </c>
      <c r="K93" s="7">
        <v>298507.46268656716</v>
      </c>
      <c r="L93" s="8">
        <v>239</v>
      </c>
      <c r="M93" s="7">
        <v>283674</v>
      </c>
      <c r="N93" s="7">
        <v>746268.65671641787</v>
      </c>
      <c r="O93" s="7">
        <v>754959</v>
      </c>
      <c r="P93" s="7">
        <v>754959</v>
      </c>
      <c r="Q93" s="7">
        <f t="shared" si="2"/>
        <v>0</v>
      </c>
      <c r="R93" s="39" t="s">
        <v>606</v>
      </c>
      <c r="S93" s="5" t="s">
        <v>631</v>
      </c>
      <c r="T93" s="39" t="s">
        <v>612</v>
      </c>
      <c r="U93" s="5" t="s">
        <v>1406</v>
      </c>
      <c r="V93" s="5" t="s">
        <v>2056</v>
      </c>
      <c r="W93" s="5" t="s">
        <v>2057</v>
      </c>
      <c r="X93" s="39" t="s">
        <v>1411</v>
      </c>
      <c r="Y93" s="5"/>
      <c r="Z93" s="5" t="s">
        <v>22</v>
      </c>
      <c r="AA93" s="5" t="s">
        <v>2058</v>
      </c>
      <c r="AB93" s="5"/>
      <c r="AC93" s="5" t="s">
        <v>2059</v>
      </c>
      <c r="AD93" s="62">
        <v>8</v>
      </c>
      <c r="AE93" t="e">
        <f>VLOOKUP($F93,FromYabin!$C$2:$C$112,1,FALSE)</f>
        <v>#N/A</v>
      </c>
    </row>
    <row r="94" spans="1:31">
      <c r="A94" s="4">
        <v>2018</v>
      </c>
      <c r="B94" s="4" t="s">
        <v>44</v>
      </c>
      <c r="C94" s="3">
        <f t="shared" si="3"/>
        <v>93</v>
      </c>
      <c r="D94" s="55" t="s">
        <v>886</v>
      </c>
      <c r="E94" s="3" t="s">
        <v>2060</v>
      </c>
      <c r="F94" s="5" t="s">
        <v>906</v>
      </c>
      <c r="G94" s="5" t="s">
        <v>1422</v>
      </c>
      <c r="H94" s="5" t="s">
        <v>127</v>
      </c>
      <c r="I94" s="7">
        <v>1492537.3134328357</v>
      </c>
      <c r="J94" s="7">
        <v>746268.65671641787</v>
      </c>
      <c r="K94" s="7">
        <v>337313.43283582089</v>
      </c>
      <c r="L94" s="41" t="s">
        <v>1501</v>
      </c>
      <c r="M94" s="7">
        <v>101150</v>
      </c>
      <c r="N94" s="7">
        <v>917910.44776119397</v>
      </c>
      <c r="O94" s="7">
        <v>1021930</v>
      </c>
      <c r="P94" s="7">
        <v>1021930</v>
      </c>
      <c r="Q94" s="7">
        <f t="shared" si="2"/>
        <v>0</v>
      </c>
      <c r="R94" s="39" t="s">
        <v>606</v>
      </c>
      <c r="S94" s="5" t="s">
        <v>631</v>
      </c>
      <c r="T94" s="5" t="s">
        <v>599</v>
      </c>
      <c r="U94" s="5" t="s">
        <v>1406</v>
      </c>
      <c r="V94" s="5" t="s">
        <v>2061</v>
      </c>
      <c r="W94" s="5" t="s">
        <v>906</v>
      </c>
      <c r="X94" s="39" t="s">
        <v>1402</v>
      </c>
      <c r="Y94" s="5"/>
      <c r="Z94" s="5"/>
      <c r="AA94" s="5" t="s">
        <v>2062</v>
      </c>
      <c r="AB94" s="5"/>
      <c r="AC94" s="5" t="s">
        <v>2063</v>
      </c>
      <c r="AD94" s="64">
        <v>6.8</v>
      </c>
      <c r="AE94" t="e">
        <f>VLOOKUP($F94,FromYabin!$C$2:$C$112,1,FALSE)</f>
        <v>#N/A</v>
      </c>
    </row>
    <row r="95" spans="1:31" ht="15" hidden="1">
      <c r="A95" s="4">
        <v>2018</v>
      </c>
      <c r="B95" s="4" t="s">
        <v>44</v>
      </c>
      <c r="C95" s="3">
        <f t="shared" si="3"/>
        <v>94</v>
      </c>
      <c r="D95" s="55" t="s">
        <v>886</v>
      </c>
      <c r="E95" s="3" t="s">
        <v>2064</v>
      </c>
      <c r="F95" s="5" t="s">
        <v>919</v>
      </c>
      <c r="G95" s="5" t="s">
        <v>1422</v>
      </c>
      <c r="H95" s="39" t="s">
        <v>1402</v>
      </c>
      <c r="I95" s="7">
        <v>1492537.3134328357</v>
      </c>
      <c r="J95" s="7">
        <v>746268.65671641787</v>
      </c>
      <c r="K95" s="7">
        <v>1058208.9552238805</v>
      </c>
      <c r="L95" s="8">
        <v>20274</v>
      </c>
      <c r="M95" s="7">
        <v>2580000</v>
      </c>
      <c r="N95" s="7">
        <v>2883582.0895522386</v>
      </c>
      <c r="O95" s="7">
        <v>3161317</v>
      </c>
      <c r="P95" s="7">
        <v>3161317</v>
      </c>
      <c r="Q95" s="7">
        <f t="shared" si="2"/>
        <v>0</v>
      </c>
      <c r="R95" s="5" t="s">
        <v>606</v>
      </c>
      <c r="S95" s="5" t="s">
        <v>631</v>
      </c>
      <c r="T95" s="5" t="s">
        <v>612</v>
      </c>
      <c r="U95" s="5" t="s">
        <v>1406</v>
      </c>
      <c r="V95" s="45" t="s">
        <v>2065</v>
      </c>
      <c r="W95" s="5" t="s">
        <v>919</v>
      </c>
      <c r="X95" s="39" t="s">
        <v>1402</v>
      </c>
      <c r="Y95" s="5"/>
      <c r="Z95" s="5"/>
      <c r="AA95" s="5" t="s">
        <v>2066</v>
      </c>
      <c r="AB95" s="5"/>
      <c r="AC95" s="5" t="s">
        <v>2067</v>
      </c>
      <c r="AD95" s="62">
        <v>7.9</v>
      </c>
      <c r="AE95" t="str">
        <f>VLOOKUP($F95,FromYabin!$C$2:$C$112,1,FALSE)</f>
        <v>Magic Mirror 2</v>
      </c>
    </row>
    <row r="96" spans="1:31" hidden="1">
      <c r="A96" s="4">
        <v>2019</v>
      </c>
      <c r="B96" s="4" t="s">
        <v>44</v>
      </c>
      <c r="C96" s="3">
        <f t="shared" si="3"/>
        <v>95</v>
      </c>
      <c r="D96" s="55" t="s">
        <v>886</v>
      </c>
      <c r="E96" s="3" t="s">
        <v>2068</v>
      </c>
      <c r="F96" s="5" t="s">
        <v>247</v>
      </c>
      <c r="G96" s="5" t="s">
        <v>1409</v>
      </c>
      <c r="H96" s="5" t="s">
        <v>191</v>
      </c>
      <c r="I96" s="7">
        <v>1492537.3134328357</v>
      </c>
      <c r="J96" s="57" t="s">
        <v>1411</v>
      </c>
      <c r="K96" s="7">
        <v>298507.46268656716</v>
      </c>
      <c r="L96" s="41" t="s">
        <v>1501</v>
      </c>
      <c r="M96" s="7">
        <v>67346</v>
      </c>
      <c r="N96" s="7">
        <v>1044776.1194029852</v>
      </c>
      <c r="O96" s="7">
        <v>1250000</v>
      </c>
      <c r="P96" s="7">
        <v>1250000</v>
      </c>
      <c r="Q96" s="7">
        <f t="shared" si="2"/>
        <v>0</v>
      </c>
      <c r="R96" s="5" t="s">
        <v>606</v>
      </c>
      <c r="S96" s="5" t="s">
        <v>598</v>
      </c>
      <c r="T96" s="5" t="s">
        <v>599</v>
      </c>
      <c r="U96" s="5" t="s">
        <v>1406</v>
      </c>
      <c r="V96" s="5" t="s">
        <v>2069</v>
      </c>
      <c r="W96" s="5" t="s">
        <v>247</v>
      </c>
      <c r="X96" s="39" t="s">
        <v>2070</v>
      </c>
      <c r="Y96" s="39" t="s">
        <v>2071</v>
      </c>
      <c r="Z96" s="5"/>
      <c r="AA96" s="5" t="s">
        <v>2072</v>
      </c>
      <c r="AB96" s="5"/>
      <c r="AC96" s="5" t="s">
        <v>2073</v>
      </c>
      <c r="AD96" s="62">
        <v>9.1999999999999993</v>
      </c>
      <c r="AE96" t="e">
        <f>VLOOKUP($F96,FromYabin!$C$2:$C$112,1,FALSE)</f>
        <v>#N/A</v>
      </c>
    </row>
    <row r="97" spans="1:31" hidden="1">
      <c r="A97" s="4">
        <v>2018</v>
      </c>
      <c r="B97" s="4" t="s">
        <v>44</v>
      </c>
      <c r="C97" s="3">
        <f t="shared" si="3"/>
        <v>96</v>
      </c>
      <c r="D97" s="55" t="s">
        <v>886</v>
      </c>
      <c r="E97" s="3" t="s">
        <v>2074</v>
      </c>
      <c r="F97" s="5" t="s">
        <v>456</v>
      </c>
      <c r="G97" s="5" t="s">
        <v>1423</v>
      </c>
      <c r="H97" s="5" t="s">
        <v>127</v>
      </c>
      <c r="I97" s="7">
        <v>2985074.6268656715</v>
      </c>
      <c r="J97" s="7">
        <v>1194029.8507462686</v>
      </c>
      <c r="K97" s="7">
        <v>243283.58208955222</v>
      </c>
      <c r="L97" s="8">
        <v>14704</v>
      </c>
      <c r="M97" s="7">
        <v>470000</v>
      </c>
      <c r="N97" s="7">
        <v>664179.10447761195</v>
      </c>
      <c r="O97" s="7">
        <v>726371</v>
      </c>
      <c r="P97" s="7">
        <v>726371</v>
      </c>
      <c r="Q97" s="7">
        <f t="shared" si="2"/>
        <v>0</v>
      </c>
      <c r="R97" s="5" t="s">
        <v>606</v>
      </c>
      <c r="S97" s="5" t="s">
        <v>631</v>
      </c>
      <c r="T97" s="5" t="s">
        <v>612</v>
      </c>
      <c r="U97" s="5" t="s">
        <v>1406</v>
      </c>
      <c r="V97" s="5" t="s">
        <v>2075</v>
      </c>
      <c r="W97" s="5" t="s">
        <v>456</v>
      </c>
      <c r="X97" s="5" t="s">
        <v>2076</v>
      </c>
      <c r="Y97" s="5" t="s">
        <v>2077</v>
      </c>
      <c r="Z97" s="5" t="s">
        <v>2078</v>
      </c>
      <c r="AA97" s="5" t="s">
        <v>2079</v>
      </c>
      <c r="AB97" s="5"/>
      <c r="AC97" s="5" t="s">
        <v>2080</v>
      </c>
      <c r="AD97" s="62">
        <v>8</v>
      </c>
      <c r="AE97" t="str">
        <f>VLOOKUP($F97,FromYabin!$C$2:$C$112,1,FALSE)</f>
        <v>Foodiverse</v>
      </c>
    </row>
    <row r="98" spans="1:31" hidden="1">
      <c r="A98" s="4">
        <v>2018</v>
      </c>
      <c r="B98" s="4" t="s">
        <v>44</v>
      </c>
      <c r="C98" s="3">
        <f t="shared" si="3"/>
        <v>97</v>
      </c>
      <c r="D98" s="55" t="s">
        <v>886</v>
      </c>
      <c r="E98" s="3" t="s">
        <v>832</v>
      </c>
      <c r="F98" s="5" t="s">
        <v>460</v>
      </c>
      <c r="G98" s="5" t="s">
        <v>1424</v>
      </c>
      <c r="H98" s="5" t="s">
        <v>1403</v>
      </c>
      <c r="I98" s="7">
        <v>1492537.3134328357</v>
      </c>
      <c r="J98" s="7">
        <v>1194029.8507462686</v>
      </c>
      <c r="K98" s="7">
        <v>228358.20895522388</v>
      </c>
      <c r="L98" s="8">
        <v>11527</v>
      </c>
      <c r="M98" s="7">
        <v>500000</v>
      </c>
      <c r="N98" s="7">
        <v>623880.59701492533</v>
      </c>
      <c r="O98" s="7">
        <v>688869</v>
      </c>
      <c r="P98" s="7">
        <v>688869</v>
      </c>
      <c r="Q98" s="7">
        <f t="shared" si="2"/>
        <v>0</v>
      </c>
      <c r="R98" s="39" t="s">
        <v>606</v>
      </c>
      <c r="S98" s="5" t="s">
        <v>598</v>
      </c>
      <c r="T98" s="5" t="s">
        <v>616</v>
      </c>
      <c r="U98" s="5" t="s">
        <v>1406</v>
      </c>
      <c r="V98" s="5" t="s">
        <v>2081</v>
      </c>
      <c r="W98" s="5" t="s">
        <v>460</v>
      </c>
      <c r="X98" s="5" t="s">
        <v>2082</v>
      </c>
      <c r="Y98" s="5" t="s">
        <v>2083</v>
      </c>
      <c r="Z98" s="5"/>
      <c r="AA98" s="5" t="s">
        <v>2084</v>
      </c>
      <c r="AB98" s="5"/>
      <c r="AC98" s="5" t="s">
        <v>2085</v>
      </c>
      <c r="AD98" s="62">
        <v>7.6</v>
      </c>
      <c r="AE98" t="str">
        <f>VLOOKUP($F98,FromYabin!$C$2:$C$112,1,FALSE)</f>
        <v>Love Trip</v>
      </c>
    </row>
    <row r="99" spans="1:31" hidden="1">
      <c r="A99" s="4">
        <v>2019</v>
      </c>
      <c r="B99" s="4" t="s">
        <v>44</v>
      </c>
      <c r="C99" s="3">
        <f t="shared" si="3"/>
        <v>98</v>
      </c>
      <c r="D99" s="55" t="s">
        <v>886</v>
      </c>
      <c r="E99" s="3" t="s">
        <v>2086</v>
      </c>
      <c r="F99" s="5" t="s">
        <v>257</v>
      </c>
      <c r="G99" s="5" t="s">
        <v>1425</v>
      </c>
      <c r="H99" s="5" t="s">
        <v>193</v>
      </c>
      <c r="I99" s="7">
        <v>746268.65671641787</v>
      </c>
      <c r="J99" s="57" t="s">
        <v>1411</v>
      </c>
      <c r="K99" s="7">
        <v>298507.46268656716</v>
      </c>
      <c r="L99" s="41" t="s">
        <v>1501</v>
      </c>
      <c r="M99" s="7">
        <v>283109</v>
      </c>
      <c r="N99" s="7">
        <v>746268.65671641787</v>
      </c>
      <c r="O99" s="7">
        <v>787747</v>
      </c>
      <c r="P99" s="7">
        <v>787747</v>
      </c>
      <c r="Q99" s="7">
        <f t="shared" si="2"/>
        <v>0</v>
      </c>
      <c r="R99" s="5" t="s">
        <v>606</v>
      </c>
      <c r="S99" s="5" t="s">
        <v>703</v>
      </c>
      <c r="T99" s="5" t="s">
        <v>616</v>
      </c>
      <c r="U99" s="5" t="s">
        <v>1406</v>
      </c>
      <c r="V99" s="5" t="s">
        <v>2087</v>
      </c>
      <c r="W99" s="5" t="s">
        <v>2088</v>
      </c>
      <c r="X99" s="5" t="s">
        <v>2089</v>
      </c>
      <c r="Y99" s="5" t="s">
        <v>2090</v>
      </c>
      <c r="Z99" s="5"/>
      <c r="AA99" s="5" t="s">
        <v>2091</v>
      </c>
      <c r="AB99" s="5"/>
      <c r="AC99" s="5" t="s">
        <v>2092</v>
      </c>
      <c r="AD99" s="62">
        <v>4.7</v>
      </c>
      <c r="AE99" t="e">
        <f>VLOOKUP($F99,FromYabin!$C$2:$C$112,1,FALSE)</f>
        <v>#N/A</v>
      </c>
    </row>
    <row r="100" spans="1:31">
      <c r="A100" s="4">
        <v>2018</v>
      </c>
      <c r="B100" s="4" t="s">
        <v>44</v>
      </c>
      <c r="C100" s="3">
        <f t="shared" si="3"/>
        <v>99</v>
      </c>
      <c r="D100" s="55" t="s">
        <v>886</v>
      </c>
      <c r="E100" s="3" t="s">
        <v>832</v>
      </c>
      <c r="F100" s="5" t="s">
        <v>464</v>
      </c>
      <c r="G100" s="5" t="s">
        <v>1426</v>
      </c>
      <c r="H100" s="5" t="s">
        <v>131</v>
      </c>
      <c r="I100" s="7">
        <v>4477611.940298507</v>
      </c>
      <c r="J100" s="7">
        <v>2985074.6268656715</v>
      </c>
      <c r="K100" s="7">
        <v>208955.22388059701</v>
      </c>
      <c r="L100" s="41" t="s">
        <v>1501</v>
      </c>
      <c r="M100" s="42">
        <v>475952</v>
      </c>
      <c r="N100" s="7">
        <v>571641.7910447761</v>
      </c>
      <c r="O100" s="7">
        <v>625975</v>
      </c>
      <c r="P100" s="7">
        <v>625975</v>
      </c>
      <c r="Q100" s="7">
        <f t="shared" si="2"/>
        <v>0</v>
      </c>
      <c r="R100" s="39" t="s">
        <v>606</v>
      </c>
      <c r="S100" s="5" t="s">
        <v>598</v>
      </c>
      <c r="T100" s="39" t="s">
        <v>616</v>
      </c>
      <c r="U100" s="5" t="s">
        <v>1406</v>
      </c>
      <c r="V100" s="5" t="s">
        <v>2093</v>
      </c>
      <c r="W100" s="5" t="s">
        <v>2094</v>
      </c>
      <c r="X100" s="5" t="s">
        <v>2095</v>
      </c>
      <c r="Y100" s="5"/>
      <c r="Z100" s="5"/>
      <c r="AA100" s="5" t="s">
        <v>2096</v>
      </c>
      <c r="AB100" s="5"/>
      <c r="AC100" s="5" t="s">
        <v>2097</v>
      </c>
      <c r="AD100" s="62">
        <v>7.1</v>
      </c>
      <c r="AE100" t="str">
        <f>VLOOKUP($F100,FromYabin!$C$2:$C$112,1,FALSE)</f>
        <v>Seek Mc Cartny</v>
      </c>
    </row>
    <row r="101" spans="1:31" hidden="1">
      <c r="A101" s="4">
        <v>2019</v>
      </c>
      <c r="B101" s="4" t="s">
        <v>44</v>
      </c>
      <c r="C101" s="3">
        <f t="shared" si="3"/>
        <v>100</v>
      </c>
      <c r="D101" s="55" t="s">
        <v>886</v>
      </c>
      <c r="E101" s="3" t="s">
        <v>621</v>
      </c>
      <c r="F101" s="5" t="s">
        <v>244</v>
      </c>
      <c r="G101" s="39" t="s">
        <v>3003</v>
      </c>
      <c r="H101" s="5" t="s">
        <v>127</v>
      </c>
      <c r="I101" s="7">
        <v>1492537.3134328357</v>
      </c>
      <c r="J101" s="57" t="s">
        <v>1411</v>
      </c>
      <c r="K101" s="7">
        <v>597014.92537313432</v>
      </c>
      <c r="L101" s="8">
        <v>13290</v>
      </c>
      <c r="M101" s="7">
        <v>1000000</v>
      </c>
      <c r="N101" s="7">
        <v>1492537.3134328357</v>
      </c>
      <c r="O101" s="7">
        <v>1456558</v>
      </c>
      <c r="P101" s="7">
        <v>1456558</v>
      </c>
      <c r="Q101" s="7">
        <f t="shared" si="2"/>
        <v>0</v>
      </c>
      <c r="R101" s="5" t="s">
        <v>606</v>
      </c>
      <c r="S101" s="5" t="s">
        <v>631</v>
      </c>
      <c r="T101" s="5" t="s">
        <v>612</v>
      </c>
      <c r="U101" s="5" t="s">
        <v>1406</v>
      </c>
      <c r="V101" s="5" t="s">
        <v>2098</v>
      </c>
      <c r="W101" s="5" t="s">
        <v>244</v>
      </c>
      <c r="X101" s="5" t="s">
        <v>2099</v>
      </c>
      <c r="Y101" s="5"/>
      <c r="Z101" s="5"/>
      <c r="AA101" s="5" t="s">
        <v>2100</v>
      </c>
      <c r="AB101" s="5"/>
      <c r="AC101" s="5" t="s">
        <v>2101</v>
      </c>
      <c r="AD101" s="62">
        <v>7.7</v>
      </c>
      <c r="AE101" t="e">
        <f>VLOOKUP($F101,FromYabin!$C$2:$C$112,1,FALSE)</f>
        <v>#N/A</v>
      </c>
    </row>
    <row r="102" spans="1:31" hidden="1">
      <c r="A102" s="4">
        <v>2019</v>
      </c>
      <c r="B102" s="4" t="s">
        <v>44</v>
      </c>
      <c r="C102" s="3">
        <f t="shared" si="3"/>
        <v>101</v>
      </c>
      <c r="D102" s="55" t="s">
        <v>886</v>
      </c>
      <c r="E102" s="3" t="s">
        <v>2102</v>
      </c>
      <c r="F102" s="5" t="s">
        <v>184</v>
      </c>
      <c r="G102" s="5" t="s">
        <v>1410</v>
      </c>
      <c r="H102" s="5" t="s">
        <v>136</v>
      </c>
      <c r="I102" s="7">
        <v>15000000</v>
      </c>
      <c r="J102" s="57"/>
      <c r="K102" s="7">
        <v>3134328</v>
      </c>
      <c r="L102" s="8">
        <v>113484</v>
      </c>
      <c r="M102" s="7">
        <v>8370000</v>
      </c>
      <c r="N102" s="7">
        <v>9402985</v>
      </c>
      <c r="O102" s="7">
        <v>9345649</v>
      </c>
      <c r="P102" s="7">
        <v>9345649</v>
      </c>
      <c r="Q102" s="7">
        <f t="shared" si="2"/>
        <v>0</v>
      </c>
      <c r="R102" s="5" t="s">
        <v>606</v>
      </c>
      <c r="S102" s="5" t="s">
        <v>598</v>
      </c>
      <c r="T102" s="5" t="s">
        <v>616</v>
      </c>
      <c r="U102" s="5" t="s">
        <v>1406</v>
      </c>
      <c r="V102" s="5" t="s">
        <v>2103</v>
      </c>
      <c r="W102" s="5" t="s">
        <v>2104</v>
      </c>
      <c r="X102" s="5" t="s">
        <v>2105</v>
      </c>
      <c r="Y102" s="5"/>
      <c r="Z102" s="5"/>
      <c r="AA102" s="5" t="s">
        <v>2106</v>
      </c>
      <c r="AB102" s="5"/>
      <c r="AC102" s="5" t="s">
        <v>1948</v>
      </c>
      <c r="AD102" s="62">
        <v>6.3</v>
      </c>
      <c r="AE102" t="e">
        <f>VLOOKUP($F102,FromYabin!$C$2:$C$112,1,FALSE)</f>
        <v>#N/A</v>
      </c>
    </row>
    <row r="103" spans="1:31" hidden="1">
      <c r="A103" s="4">
        <v>2018</v>
      </c>
      <c r="B103" s="4" t="s">
        <v>44</v>
      </c>
      <c r="C103" s="3">
        <f t="shared" si="3"/>
        <v>102</v>
      </c>
      <c r="D103" s="55" t="s">
        <v>886</v>
      </c>
      <c r="E103" s="3" t="s">
        <v>623</v>
      </c>
      <c r="F103" s="5" t="s">
        <v>259</v>
      </c>
      <c r="G103" s="5" t="s">
        <v>1427</v>
      </c>
      <c r="H103" s="5" t="s">
        <v>131</v>
      </c>
      <c r="I103" s="7">
        <v>4477611.940298507</v>
      </c>
      <c r="J103" s="57" t="s">
        <v>1411</v>
      </c>
      <c r="K103" s="7">
        <v>298507.46268656716</v>
      </c>
      <c r="L103" s="41" t="s">
        <v>1501</v>
      </c>
      <c r="M103" s="7">
        <v>570216</v>
      </c>
      <c r="N103" s="7">
        <v>746268.65671641787</v>
      </c>
      <c r="O103" s="7">
        <v>738015</v>
      </c>
      <c r="P103" s="7">
        <v>738015</v>
      </c>
      <c r="Q103" s="7">
        <f t="shared" si="2"/>
        <v>0</v>
      </c>
      <c r="R103" s="5" t="s">
        <v>606</v>
      </c>
      <c r="S103" s="5" t="s">
        <v>598</v>
      </c>
      <c r="T103" s="5" t="s">
        <v>616</v>
      </c>
      <c r="U103" s="5" t="s">
        <v>1406</v>
      </c>
      <c r="V103" s="5" t="s">
        <v>2107</v>
      </c>
      <c r="W103" s="5" t="s">
        <v>2108</v>
      </c>
      <c r="X103" s="5" t="s">
        <v>2109</v>
      </c>
      <c r="Y103" s="5" t="s">
        <v>2110</v>
      </c>
      <c r="Z103" s="5" t="s">
        <v>2111</v>
      </c>
      <c r="AA103" s="5" t="s">
        <v>2112</v>
      </c>
      <c r="AB103" s="5"/>
      <c r="AC103" s="5" t="s">
        <v>2113</v>
      </c>
      <c r="AD103" s="62">
        <v>7.8</v>
      </c>
      <c r="AE103" t="e">
        <f>VLOOKUP($F103,FromYabin!$C$2:$C$112,1,FALSE)</f>
        <v>#N/A</v>
      </c>
    </row>
    <row r="104" spans="1:31" hidden="1">
      <c r="A104" s="4">
        <v>2019</v>
      </c>
      <c r="B104" s="4" t="s">
        <v>44</v>
      </c>
      <c r="C104" s="3">
        <f t="shared" si="3"/>
        <v>103</v>
      </c>
      <c r="D104" s="55" t="s">
        <v>886</v>
      </c>
      <c r="E104" s="3" t="s">
        <v>2114</v>
      </c>
      <c r="F104" s="5" t="s">
        <v>214</v>
      </c>
      <c r="G104" s="5" t="s">
        <v>1419</v>
      </c>
      <c r="H104" s="5" t="s">
        <v>131</v>
      </c>
      <c r="I104" s="7">
        <v>5970149.253731343</v>
      </c>
      <c r="J104" s="57" t="s">
        <v>1411</v>
      </c>
      <c r="K104" s="7">
        <v>1194029.8507462686</v>
      </c>
      <c r="L104" s="8">
        <v>73241</v>
      </c>
      <c r="M104" s="7">
        <v>2920000</v>
      </c>
      <c r="N104" s="7">
        <v>3432835.8208955224</v>
      </c>
      <c r="O104" s="7">
        <v>3493631</v>
      </c>
      <c r="P104" s="7">
        <v>3493631</v>
      </c>
      <c r="Q104" s="7">
        <f t="shared" si="2"/>
        <v>0</v>
      </c>
      <c r="R104" s="5" t="s">
        <v>606</v>
      </c>
      <c r="S104" s="5" t="s">
        <v>598</v>
      </c>
      <c r="T104" s="5" t="s">
        <v>616</v>
      </c>
      <c r="U104" s="5" t="s">
        <v>1406</v>
      </c>
      <c r="V104" s="5" t="s">
        <v>2115</v>
      </c>
      <c r="W104" s="5" t="s">
        <v>2116</v>
      </c>
      <c r="X104" s="5" t="s">
        <v>2117</v>
      </c>
      <c r="Y104" s="5" t="s">
        <v>2118</v>
      </c>
      <c r="Z104" s="5"/>
      <c r="AA104" s="5" t="s">
        <v>2119</v>
      </c>
      <c r="AB104" s="5"/>
      <c r="AC104" s="5" t="s">
        <v>1948</v>
      </c>
      <c r="AD104" s="62">
        <v>7.7</v>
      </c>
      <c r="AE104" t="e">
        <f>VLOOKUP($F104,FromYabin!$C$2:$C$112,1,FALSE)</f>
        <v>#N/A</v>
      </c>
    </row>
    <row r="105" spans="1:31" hidden="1">
      <c r="A105" s="4">
        <v>2018</v>
      </c>
      <c r="B105" s="4" t="s">
        <v>44</v>
      </c>
      <c r="C105" s="3">
        <f t="shared" si="3"/>
        <v>104</v>
      </c>
      <c r="D105" s="55" t="s">
        <v>886</v>
      </c>
      <c r="E105" s="56" t="s">
        <v>825</v>
      </c>
      <c r="F105" s="5" t="s">
        <v>363</v>
      </c>
      <c r="G105" s="5" t="s">
        <v>1428</v>
      </c>
      <c r="H105" s="5" t="s">
        <v>148</v>
      </c>
      <c r="I105" s="7">
        <v>11940298</v>
      </c>
      <c r="J105" s="7">
        <v>8955223</v>
      </c>
      <c r="K105" s="7">
        <v>73134328</v>
      </c>
      <c r="L105" s="8">
        <v>163093</v>
      </c>
      <c r="M105" s="7">
        <v>88210000</v>
      </c>
      <c r="N105" s="7">
        <v>189104477</v>
      </c>
      <c r="O105" s="7">
        <v>209221328</v>
      </c>
      <c r="P105" s="7">
        <v>209221328</v>
      </c>
      <c r="Q105" s="7">
        <f t="shared" si="2"/>
        <v>0</v>
      </c>
      <c r="R105" s="39" t="s">
        <v>606</v>
      </c>
      <c r="S105" s="5" t="s">
        <v>598</v>
      </c>
      <c r="T105" s="5" t="s">
        <v>616</v>
      </c>
      <c r="U105" s="5" t="s">
        <v>1406</v>
      </c>
      <c r="V105" s="5" t="s">
        <v>2120</v>
      </c>
      <c r="W105" s="5" t="s">
        <v>2121</v>
      </c>
      <c r="X105" s="5" t="s">
        <v>1963</v>
      </c>
      <c r="Y105" s="5" t="s">
        <v>2122</v>
      </c>
      <c r="Z105" s="5"/>
      <c r="AA105" s="5" t="s">
        <v>2123</v>
      </c>
      <c r="AB105" s="5"/>
      <c r="AC105" s="5" t="s">
        <v>1420</v>
      </c>
      <c r="AD105" s="62">
        <v>8.3000000000000007</v>
      </c>
      <c r="AE105" t="str">
        <f>VLOOKUP($F105,FromYabin!$C$2:$C$112,1,FALSE)</f>
        <v>Hou Lai De Wo Men</v>
      </c>
    </row>
    <row r="106" spans="1:31" hidden="1">
      <c r="A106" s="4">
        <v>2019</v>
      </c>
      <c r="B106" s="4" t="s">
        <v>44</v>
      </c>
      <c r="C106" s="3">
        <f t="shared" si="3"/>
        <v>105</v>
      </c>
      <c r="D106" s="55" t="s">
        <v>886</v>
      </c>
      <c r="E106" s="3" t="s">
        <v>2124</v>
      </c>
      <c r="F106" s="39" t="s">
        <v>149</v>
      </c>
      <c r="G106" s="5" t="s">
        <v>1429</v>
      </c>
      <c r="H106" s="5" t="s">
        <v>136</v>
      </c>
      <c r="I106" s="7">
        <v>4500000</v>
      </c>
      <c r="J106" s="57" t="s">
        <v>1411</v>
      </c>
      <c r="K106" s="7">
        <v>32835821</v>
      </c>
      <c r="L106" s="8">
        <v>2345</v>
      </c>
      <c r="M106" s="7">
        <v>12836295</v>
      </c>
      <c r="N106" s="7">
        <v>93134328</v>
      </c>
      <c r="O106" s="7">
        <v>92796952</v>
      </c>
      <c r="P106" s="7">
        <v>92796952</v>
      </c>
      <c r="Q106" s="7">
        <f t="shared" si="2"/>
        <v>0</v>
      </c>
      <c r="R106" s="5" t="s">
        <v>606</v>
      </c>
      <c r="S106" s="5" t="s">
        <v>598</v>
      </c>
      <c r="T106" s="5" t="s">
        <v>616</v>
      </c>
      <c r="U106" s="5" t="s">
        <v>1406</v>
      </c>
      <c r="V106" s="5" t="s">
        <v>2125</v>
      </c>
      <c r="W106" s="5" t="s">
        <v>2126</v>
      </c>
      <c r="X106" s="5" t="s">
        <v>1946</v>
      </c>
      <c r="Y106" s="5" t="s">
        <v>2127</v>
      </c>
      <c r="Z106" s="5" t="s">
        <v>2128</v>
      </c>
      <c r="AA106" s="5" t="s">
        <v>2129</v>
      </c>
      <c r="AB106" s="5"/>
      <c r="AC106" s="5" t="s">
        <v>1417</v>
      </c>
      <c r="AD106" s="62">
        <v>8</v>
      </c>
      <c r="AE106" t="e">
        <f>VLOOKUP($F106,FromYabin!$C$2:$C$112,1,FALSE)</f>
        <v>#N/A</v>
      </c>
    </row>
    <row r="107" spans="1:31" hidden="1">
      <c r="A107" s="4">
        <v>2018</v>
      </c>
      <c r="B107" s="4" t="s">
        <v>44</v>
      </c>
      <c r="C107" s="3">
        <f t="shared" si="3"/>
        <v>106</v>
      </c>
      <c r="D107" s="55" t="s">
        <v>886</v>
      </c>
      <c r="E107" s="56" t="s">
        <v>2114</v>
      </c>
      <c r="F107" s="5" t="s">
        <v>232</v>
      </c>
      <c r="G107" s="5" t="s">
        <v>1430</v>
      </c>
      <c r="H107" s="5" t="s">
        <v>136</v>
      </c>
      <c r="I107" s="7">
        <v>5970149.253731343</v>
      </c>
      <c r="J107" s="57" t="s">
        <v>1411</v>
      </c>
      <c r="K107" s="7">
        <v>895522.38805970142</v>
      </c>
      <c r="L107" s="8">
        <v>48798</v>
      </c>
      <c r="M107" s="7">
        <v>2190000</v>
      </c>
      <c r="N107" s="7">
        <v>2537313.4328358206</v>
      </c>
      <c r="O107" s="7">
        <v>2415054</v>
      </c>
      <c r="P107" s="7">
        <v>2415054</v>
      </c>
      <c r="Q107" s="7">
        <f t="shared" si="2"/>
        <v>0</v>
      </c>
      <c r="R107" s="5" t="s">
        <v>606</v>
      </c>
      <c r="S107" s="5" t="s">
        <v>598</v>
      </c>
      <c r="T107" s="5" t="s">
        <v>616</v>
      </c>
      <c r="U107" s="5" t="s">
        <v>1406</v>
      </c>
      <c r="V107" s="5" t="s">
        <v>2130</v>
      </c>
      <c r="W107" s="5" t="s">
        <v>2131</v>
      </c>
      <c r="X107" s="5" t="s">
        <v>1994</v>
      </c>
      <c r="Y107" s="5" t="s">
        <v>2132</v>
      </c>
      <c r="Z107" s="5" t="s">
        <v>2133</v>
      </c>
      <c r="AA107" s="5" t="s">
        <v>1994</v>
      </c>
      <c r="AB107" s="5"/>
      <c r="AC107" s="5" t="s">
        <v>2134</v>
      </c>
      <c r="AD107" s="62">
        <v>6.2</v>
      </c>
      <c r="AE107" t="e">
        <f>VLOOKUP($F107,FromYabin!$C$2:$C$112,1,FALSE)</f>
        <v>#N/A</v>
      </c>
    </row>
    <row r="108" spans="1:31" hidden="1">
      <c r="A108" s="4">
        <v>2019</v>
      </c>
      <c r="B108" s="4" t="s">
        <v>44</v>
      </c>
      <c r="C108" s="3">
        <f t="shared" si="3"/>
        <v>107</v>
      </c>
      <c r="D108" s="55" t="s">
        <v>886</v>
      </c>
      <c r="E108" s="3" t="s">
        <v>632</v>
      </c>
      <c r="F108" s="5" t="s">
        <v>194</v>
      </c>
      <c r="G108" s="5" t="s">
        <v>1431</v>
      </c>
      <c r="H108" s="5" t="s">
        <v>148</v>
      </c>
      <c r="I108" s="7">
        <v>17910447.761194028</v>
      </c>
      <c r="J108" s="57" t="s">
        <v>1411</v>
      </c>
      <c r="K108" s="7">
        <v>2537313.4328358206</v>
      </c>
      <c r="L108" s="8">
        <v>46956</v>
      </c>
      <c r="M108" s="7">
        <v>3960000</v>
      </c>
      <c r="N108" s="7">
        <v>7462686</v>
      </c>
      <c r="O108" s="7">
        <v>7322128</v>
      </c>
      <c r="P108" s="7">
        <v>7322128</v>
      </c>
      <c r="Q108" s="7">
        <f t="shared" si="2"/>
        <v>0</v>
      </c>
      <c r="R108" s="39" t="s">
        <v>606</v>
      </c>
      <c r="S108" s="5" t="s">
        <v>598</v>
      </c>
      <c r="T108" s="39" t="s">
        <v>616</v>
      </c>
      <c r="U108" s="5" t="s">
        <v>1406</v>
      </c>
      <c r="V108" s="5" t="s">
        <v>2135</v>
      </c>
      <c r="W108" s="5" t="s">
        <v>2136</v>
      </c>
      <c r="X108" s="5" t="s">
        <v>1962</v>
      </c>
      <c r="Y108" s="5" t="s">
        <v>2137</v>
      </c>
      <c r="Z108" s="5"/>
      <c r="AA108" s="5" t="s">
        <v>2138</v>
      </c>
      <c r="AB108" s="5"/>
      <c r="AC108" s="5" t="s">
        <v>2139</v>
      </c>
      <c r="AD108" s="62">
        <v>8.4</v>
      </c>
      <c r="AE108" t="e">
        <f>VLOOKUP($F108,FromYabin!$C$2:$C$112,1,FALSE)</f>
        <v>#N/A</v>
      </c>
    </row>
    <row r="109" spans="1:31" ht="15" hidden="1">
      <c r="A109" s="4">
        <v>2017</v>
      </c>
      <c r="B109" s="4" t="s">
        <v>44</v>
      </c>
      <c r="C109" s="3">
        <f t="shared" si="3"/>
        <v>108</v>
      </c>
      <c r="D109" s="55" t="s">
        <v>975</v>
      </c>
      <c r="E109" s="3" t="s">
        <v>1896</v>
      </c>
      <c r="F109" s="5" t="s">
        <v>976</v>
      </c>
      <c r="G109" s="5" t="s">
        <v>1433</v>
      </c>
      <c r="H109" s="5" t="s">
        <v>131</v>
      </c>
      <c r="I109" s="7">
        <v>11940298.507462686</v>
      </c>
      <c r="J109" s="7">
        <v>4477611.940298507</v>
      </c>
      <c r="K109" s="7">
        <v>1585074.6268656717</v>
      </c>
      <c r="L109" s="41">
        <v>29752</v>
      </c>
      <c r="M109" s="42">
        <v>1950000</v>
      </c>
      <c r="N109" s="7">
        <v>4322388.0597014921</v>
      </c>
      <c r="O109" s="7">
        <v>4447734</v>
      </c>
      <c r="P109" s="7">
        <v>4447734</v>
      </c>
      <c r="Q109" s="7">
        <f t="shared" si="2"/>
        <v>0</v>
      </c>
      <c r="R109" s="5" t="s">
        <v>606</v>
      </c>
      <c r="S109" s="5" t="s">
        <v>598</v>
      </c>
      <c r="T109" s="5" t="s">
        <v>658</v>
      </c>
      <c r="U109" s="5" t="s">
        <v>1406</v>
      </c>
      <c r="V109" s="5" t="s">
        <v>2143</v>
      </c>
      <c r="W109" s="5" t="s">
        <v>2144</v>
      </c>
      <c r="X109" s="5" t="s">
        <v>2014</v>
      </c>
      <c r="Y109" s="5" t="s">
        <v>2145</v>
      </c>
      <c r="Z109" s="10"/>
      <c r="AA109" s="5" t="s">
        <v>2146</v>
      </c>
      <c r="AB109" s="5"/>
      <c r="AC109" s="5" t="s">
        <v>2147</v>
      </c>
      <c r="AD109" s="62">
        <v>8</v>
      </c>
      <c r="AE109" t="str">
        <f>VLOOKUP($F109,FromYabin!$C$2:$C$112,1,FALSE)</f>
        <v>Ying Jiu Fei Hu Dui</v>
      </c>
    </row>
    <row r="110" spans="1:31" hidden="1">
      <c r="A110" s="4">
        <v>2018</v>
      </c>
      <c r="B110" s="4" t="s">
        <v>44</v>
      </c>
      <c r="C110" s="3">
        <f t="shared" si="3"/>
        <v>109</v>
      </c>
      <c r="D110" s="55" t="s">
        <v>886</v>
      </c>
      <c r="E110" s="3" t="s">
        <v>2148</v>
      </c>
      <c r="F110" s="5" t="s">
        <v>420</v>
      </c>
      <c r="G110" s="5" t="s">
        <v>1431</v>
      </c>
      <c r="H110" s="5" t="s">
        <v>1404</v>
      </c>
      <c r="I110" s="7">
        <v>19402985</v>
      </c>
      <c r="J110" s="7">
        <v>2238805</v>
      </c>
      <c r="K110" s="7">
        <v>1798507</v>
      </c>
      <c r="L110" s="8">
        <v>37064</v>
      </c>
      <c r="M110" s="7">
        <v>2817583</v>
      </c>
      <c r="N110" s="7">
        <v>4902985</v>
      </c>
      <c r="O110" s="7">
        <v>5483241</v>
      </c>
      <c r="P110" s="7">
        <v>5483241</v>
      </c>
      <c r="Q110" s="7">
        <f t="shared" si="2"/>
        <v>0</v>
      </c>
      <c r="R110" s="39" t="s">
        <v>606</v>
      </c>
      <c r="S110" s="5" t="s">
        <v>598</v>
      </c>
      <c r="T110" s="5" t="s">
        <v>616</v>
      </c>
      <c r="U110" s="5" t="s">
        <v>1406</v>
      </c>
      <c r="V110" s="5" t="s">
        <v>2149</v>
      </c>
      <c r="W110" s="5" t="s">
        <v>2150</v>
      </c>
      <c r="X110" s="5" t="s">
        <v>1860</v>
      </c>
      <c r="Y110" s="5" t="s">
        <v>2151</v>
      </c>
      <c r="Z110" s="10"/>
      <c r="AA110" s="5" t="s">
        <v>1860</v>
      </c>
      <c r="AB110" s="5"/>
      <c r="AC110" s="5" t="s">
        <v>2152</v>
      </c>
      <c r="AD110" s="62">
        <v>7.2</v>
      </c>
      <c r="AE110" t="str">
        <f>VLOOKUP($F110,FromYabin!$C$2:$C$112,1,FALSE)</f>
        <v>Di Ya Cao</v>
      </c>
    </row>
    <row r="111" spans="1:31" hidden="1">
      <c r="A111" s="4">
        <v>2018</v>
      </c>
      <c r="B111" s="4" t="s">
        <v>44</v>
      </c>
      <c r="C111" s="3">
        <f t="shared" si="3"/>
        <v>110</v>
      </c>
      <c r="D111" s="55" t="s">
        <v>886</v>
      </c>
      <c r="E111" s="3" t="s">
        <v>2153</v>
      </c>
      <c r="F111" s="5" t="s">
        <v>397</v>
      </c>
      <c r="G111" s="5" t="s">
        <v>1434</v>
      </c>
      <c r="H111" s="5" t="s">
        <v>136</v>
      </c>
      <c r="I111" s="7">
        <v>4477611</v>
      </c>
      <c r="J111" s="7">
        <v>1194029</v>
      </c>
      <c r="K111" s="7">
        <v>3940298</v>
      </c>
      <c r="L111" s="8">
        <v>53019</v>
      </c>
      <c r="M111" s="7">
        <v>7070000</v>
      </c>
      <c r="N111" s="7">
        <v>10680597</v>
      </c>
      <c r="O111" s="7">
        <v>14798770</v>
      </c>
      <c r="P111" s="7">
        <v>14798770</v>
      </c>
      <c r="Q111" s="7">
        <f t="shared" si="2"/>
        <v>0</v>
      </c>
      <c r="R111" s="5" t="s">
        <v>606</v>
      </c>
      <c r="S111" s="5" t="s">
        <v>598</v>
      </c>
      <c r="T111" s="5" t="s">
        <v>616</v>
      </c>
      <c r="U111" s="5" t="s">
        <v>1406</v>
      </c>
      <c r="V111" s="5" t="s">
        <v>2154</v>
      </c>
      <c r="W111" s="39" t="s">
        <v>2155</v>
      </c>
      <c r="X111" s="39" t="s">
        <v>2156</v>
      </c>
      <c r="Y111" s="39" t="s">
        <v>2157</v>
      </c>
      <c r="Z111" s="39" t="s">
        <v>2158</v>
      </c>
      <c r="AA111" s="5" t="s">
        <v>2159</v>
      </c>
      <c r="AB111" s="5"/>
      <c r="AC111" s="39" t="s">
        <v>2160</v>
      </c>
      <c r="AD111" s="62">
        <v>7.2</v>
      </c>
      <c r="AE111" t="str">
        <f>VLOOKUP($F111,FromYabin!$C$2:$C$112,1,FALSE)</f>
        <v>Xing Fu Ma Shang Lai</v>
      </c>
    </row>
    <row r="112" spans="1:31" hidden="1">
      <c r="A112" s="4">
        <v>2019</v>
      </c>
      <c r="B112" s="4" t="s">
        <v>44</v>
      </c>
      <c r="C112" s="3">
        <f t="shared" si="3"/>
        <v>111</v>
      </c>
      <c r="D112" s="55" t="s">
        <v>886</v>
      </c>
      <c r="E112" s="3" t="s">
        <v>623</v>
      </c>
      <c r="F112" s="5" t="s">
        <v>252</v>
      </c>
      <c r="G112" s="5" t="s">
        <v>1435</v>
      </c>
      <c r="H112" s="39" t="s">
        <v>1403</v>
      </c>
      <c r="I112" s="7">
        <v>7462686.5671641789</v>
      </c>
      <c r="J112" s="57" t="s">
        <v>1411</v>
      </c>
      <c r="K112" s="7">
        <v>447761.19402985071</v>
      </c>
      <c r="L112" s="41" t="s">
        <v>1501</v>
      </c>
      <c r="M112" s="7">
        <v>977147</v>
      </c>
      <c r="N112" s="7">
        <v>1044776.1194029852</v>
      </c>
      <c r="O112" s="7">
        <v>1106083</v>
      </c>
      <c r="P112" s="7">
        <v>1106083</v>
      </c>
      <c r="Q112" s="7">
        <f t="shared" si="2"/>
        <v>0</v>
      </c>
      <c r="R112" s="5" t="s">
        <v>606</v>
      </c>
      <c r="S112" s="5" t="s">
        <v>703</v>
      </c>
      <c r="T112" s="5" t="s">
        <v>603</v>
      </c>
      <c r="U112" s="5" t="s">
        <v>1406</v>
      </c>
      <c r="V112" s="5" t="s">
        <v>2161</v>
      </c>
      <c r="W112" s="5" t="s">
        <v>2162</v>
      </c>
      <c r="X112" s="5" t="s">
        <v>2163</v>
      </c>
      <c r="Y112" s="5" t="s">
        <v>2164</v>
      </c>
      <c r="Z112" s="10"/>
      <c r="AA112" s="5" t="s">
        <v>2163</v>
      </c>
      <c r="AB112" s="5"/>
      <c r="AC112" s="5" t="s">
        <v>2165</v>
      </c>
      <c r="AD112" s="62">
        <v>5.9</v>
      </c>
      <c r="AE112" t="e">
        <f>VLOOKUP($F112,FromYabin!$C$2:$C$112,1,FALSE)</f>
        <v>#N/A</v>
      </c>
    </row>
    <row r="113" spans="1:31" hidden="1">
      <c r="A113" s="4">
        <v>2019</v>
      </c>
      <c r="B113" s="4" t="s">
        <v>44</v>
      </c>
      <c r="C113" s="3">
        <f t="shared" si="3"/>
        <v>112</v>
      </c>
      <c r="D113" s="55" t="s">
        <v>886</v>
      </c>
      <c r="E113" s="3" t="s">
        <v>2166</v>
      </c>
      <c r="F113" s="5" t="s">
        <v>228</v>
      </c>
      <c r="G113" s="5" t="s">
        <v>1436</v>
      </c>
      <c r="H113" s="5" t="s">
        <v>136</v>
      </c>
      <c r="I113" s="7">
        <v>4477611.940298507</v>
      </c>
      <c r="J113" s="57" t="s">
        <v>1411</v>
      </c>
      <c r="K113" s="7">
        <v>895522.38805970142</v>
      </c>
      <c r="L113" s="8">
        <v>36411</v>
      </c>
      <c r="M113" s="7">
        <v>1800000</v>
      </c>
      <c r="N113" s="7">
        <v>2686567.1641791044</v>
      </c>
      <c r="O113" s="7">
        <v>2704326</v>
      </c>
      <c r="P113" s="7">
        <v>2704326</v>
      </c>
      <c r="Q113" s="7">
        <f t="shared" si="2"/>
        <v>0</v>
      </c>
      <c r="R113" s="5" t="s">
        <v>606</v>
      </c>
      <c r="S113" s="5" t="s">
        <v>598</v>
      </c>
      <c r="T113" s="5" t="s">
        <v>616</v>
      </c>
      <c r="U113" s="5" t="s">
        <v>1406</v>
      </c>
      <c r="V113" s="5" t="s">
        <v>2167</v>
      </c>
      <c r="W113" s="5" t="s">
        <v>2168</v>
      </c>
      <c r="X113" s="5" t="s">
        <v>2169</v>
      </c>
      <c r="Y113" s="5" t="s">
        <v>2170</v>
      </c>
      <c r="Z113" s="10"/>
      <c r="AA113" s="5" t="s">
        <v>2171</v>
      </c>
      <c r="AB113" s="5"/>
      <c r="AC113" s="5" t="s">
        <v>2172</v>
      </c>
      <c r="AD113" s="62">
        <v>8.1999999999999993</v>
      </c>
      <c r="AE113" t="e">
        <f>VLOOKUP($F113,FromYabin!$C$2:$C$112,1,FALSE)</f>
        <v>#N/A</v>
      </c>
    </row>
    <row r="114" spans="1:31" hidden="1">
      <c r="A114" s="4">
        <v>2018</v>
      </c>
      <c r="B114" s="4" t="s">
        <v>44</v>
      </c>
      <c r="C114" s="3">
        <f t="shared" si="3"/>
        <v>113</v>
      </c>
      <c r="D114" s="55" t="s">
        <v>886</v>
      </c>
      <c r="E114" s="22" t="s">
        <v>2173</v>
      </c>
      <c r="F114" s="5" t="s">
        <v>153</v>
      </c>
      <c r="G114" s="39" t="s">
        <v>2174</v>
      </c>
      <c r="H114" s="5" t="s">
        <v>1403</v>
      </c>
      <c r="I114" s="7">
        <v>7500000</v>
      </c>
      <c r="J114" s="57" t="s">
        <v>1411</v>
      </c>
      <c r="K114" s="7">
        <v>19552238</v>
      </c>
      <c r="L114" s="8">
        <v>71757</v>
      </c>
      <c r="M114" s="7">
        <v>860000</v>
      </c>
      <c r="N114" s="7">
        <v>56567164</v>
      </c>
      <c r="O114" s="7">
        <v>56040680</v>
      </c>
      <c r="P114" s="7">
        <v>56040680</v>
      </c>
      <c r="Q114" s="7">
        <f t="shared" si="2"/>
        <v>0</v>
      </c>
      <c r="R114" s="5" t="s">
        <v>606</v>
      </c>
      <c r="S114" s="5" t="s">
        <v>598</v>
      </c>
      <c r="T114" s="5" t="s">
        <v>616</v>
      </c>
      <c r="U114" s="5" t="s">
        <v>1406</v>
      </c>
      <c r="V114" s="5" t="s">
        <v>2175</v>
      </c>
      <c r="W114" s="5" t="s">
        <v>2176</v>
      </c>
      <c r="X114" s="5" t="s">
        <v>1984</v>
      </c>
      <c r="Y114" s="5" t="s">
        <v>2177</v>
      </c>
      <c r="Z114" s="10"/>
      <c r="AA114" s="5" t="s">
        <v>2178</v>
      </c>
      <c r="AB114" s="5"/>
      <c r="AC114" s="5" t="s">
        <v>2179</v>
      </c>
      <c r="AD114" s="62">
        <v>9.1</v>
      </c>
      <c r="AE114" t="e">
        <f>VLOOKUP($F114,FromYabin!$C$2:$C$112,1,FALSE)</f>
        <v>#N/A</v>
      </c>
    </row>
    <row r="115" spans="1:31" hidden="1">
      <c r="A115" s="4">
        <v>2019</v>
      </c>
      <c r="B115" s="4" t="s">
        <v>44</v>
      </c>
      <c r="C115" s="3">
        <f t="shared" si="3"/>
        <v>114</v>
      </c>
      <c r="D115" s="55" t="s">
        <v>886</v>
      </c>
      <c r="E115" s="46" t="s">
        <v>2180</v>
      </c>
      <c r="F115" s="5" t="s">
        <v>248</v>
      </c>
      <c r="G115" s="5" t="s">
        <v>1437</v>
      </c>
      <c r="H115" s="5" t="s">
        <v>191</v>
      </c>
      <c r="I115" s="7">
        <v>1492537.3134328357</v>
      </c>
      <c r="J115" s="57" t="s">
        <v>1411</v>
      </c>
      <c r="K115" s="7">
        <v>447761.19402985071</v>
      </c>
      <c r="L115" s="41" t="s">
        <v>1501</v>
      </c>
      <c r="M115" s="7">
        <v>283380</v>
      </c>
      <c r="N115" s="7">
        <v>11940298.507462686</v>
      </c>
      <c r="O115" s="7">
        <v>1196360</v>
      </c>
      <c r="P115" s="7">
        <v>1196360</v>
      </c>
      <c r="Q115" s="7">
        <f t="shared" si="2"/>
        <v>0</v>
      </c>
      <c r="R115" s="5" t="s">
        <v>606</v>
      </c>
      <c r="S115" s="5" t="s">
        <v>598</v>
      </c>
      <c r="T115" s="5" t="s">
        <v>599</v>
      </c>
      <c r="U115" s="5" t="s">
        <v>1406</v>
      </c>
      <c r="V115" s="5" t="s">
        <v>2181</v>
      </c>
      <c r="W115" s="5" t="s">
        <v>248</v>
      </c>
      <c r="X115" s="5" t="s">
        <v>2182</v>
      </c>
      <c r="Y115" s="5"/>
      <c r="Z115" s="5"/>
      <c r="AA115" s="5" t="s">
        <v>2183</v>
      </c>
      <c r="AB115" s="5" t="s">
        <v>2184</v>
      </c>
      <c r="AC115" s="5" t="s">
        <v>2185</v>
      </c>
      <c r="AD115" s="62">
        <v>8.6</v>
      </c>
      <c r="AE115" t="e">
        <f>VLOOKUP($F115,FromYabin!$C$2:$C$112,1,FALSE)</f>
        <v>#N/A</v>
      </c>
    </row>
    <row r="116" spans="1:31">
      <c r="A116" s="4">
        <v>2018</v>
      </c>
      <c r="B116" s="4" t="s">
        <v>44</v>
      </c>
      <c r="C116" s="3">
        <f t="shared" si="3"/>
        <v>115</v>
      </c>
      <c r="D116" s="55" t="s">
        <v>886</v>
      </c>
      <c r="E116" s="56" t="s">
        <v>832</v>
      </c>
      <c r="F116" s="5" t="s">
        <v>463</v>
      </c>
      <c r="G116" s="5" t="s">
        <v>1438</v>
      </c>
      <c r="H116" s="5" t="s">
        <v>131</v>
      </c>
      <c r="I116" s="7">
        <v>5970149.253731343</v>
      </c>
      <c r="J116" s="7">
        <v>1492537.3134328357</v>
      </c>
      <c r="K116" s="7">
        <v>211940.29850746269</v>
      </c>
      <c r="L116" s="41" t="s">
        <v>1501</v>
      </c>
      <c r="M116" s="7">
        <v>458375</v>
      </c>
      <c r="N116" s="7">
        <v>579104.47761194024</v>
      </c>
      <c r="O116" s="7">
        <v>630896</v>
      </c>
      <c r="P116" s="7">
        <v>630896</v>
      </c>
      <c r="Q116" s="7">
        <f t="shared" si="2"/>
        <v>0</v>
      </c>
      <c r="R116" s="39" t="s">
        <v>606</v>
      </c>
      <c r="S116" s="5" t="s">
        <v>598</v>
      </c>
      <c r="T116" s="5" t="s">
        <v>616</v>
      </c>
      <c r="U116" s="5" t="s">
        <v>1406</v>
      </c>
      <c r="V116" s="5" t="s">
        <v>2186</v>
      </c>
      <c r="W116" s="5" t="s">
        <v>2187</v>
      </c>
      <c r="X116" s="5" t="s">
        <v>2188</v>
      </c>
      <c r="Y116" s="5" t="s">
        <v>1891</v>
      </c>
      <c r="Z116" s="5" t="s">
        <v>2189</v>
      </c>
      <c r="AA116" s="5" t="s">
        <v>2190</v>
      </c>
      <c r="AB116" s="5"/>
      <c r="AC116" s="5" t="s">
        <v>2191</v>
      </c>
      <c r="AD116" s="62">
        <v>6.7</v>
      </c>
      <c r="AE116" t="str">
        <f>VLOOKUP($F116,FromYabin!$C$2:$C$112,1,FALSE)</f>
        <v>Xi Bei Feng Yun</v>
      </c>
    </row>
    <row r="117" spans="1:31" hidden="1">
      <c r="A117" s="4">
        <v>2018</v>
      </c>
      <c r="B117" s="4" t="s">
        <v>44</v>
      </c>
      <c r="C117" s="3">
        <f t="shared" si="3"/>
        <v>116</v>
      </c>
      <c r="D117" s="55" t="s">
        <v>886</v>
      </c>
      <c r="E117" s="56" t="s">
        <v>604</v>
      </c>
      <c r="F117" s="5" t="s">
        <v>137</v>
      </c>
      <c r="G117" s="5" t="s">
        <v>1431</v>
      </c>
      <c r="H117" s="5" t="s">
        <v>136</v>
      </c>
      <c r="I117" s="7">
        <v>53000000</v>
      </c>
      <c r="J117" s="7">
        <v>12000000</v>
      </c>
      <c r="K117" s="7">
        <v>92400000</v>
      </c>
      <c r="L117" s="8">
        <v>17182</v>
      </c>
      <c r="M117" s="7">
        <v>194917</v>
      </c>
      <c r="N117" s="7">
        <v>256119403</v>
      </c>
      <c r="O117" s="7">
        <v>255832826</v>
      </c>
      <c r="P117" s="7">
        <v>255832826</v>
      </c>
      <c r="Q117" s="7">
        <f t="shared" si="2"/>
        <v>0</v>
      </c>
      <c r="R117" s="5" t="s">
        <v>606</v>
      </c>
      <c r="S117" s="5" t="s">
        <v>598</v>
      </c>
      <c r="T117" s="5" t="s">
        <v>616</v>
      </c>
      <c r="U117" s="5" t="s">
        <v>1406</v>
      </c>
      <c r="V117" s="5" t="s">
        <v>2192</v>
      </c>
      <c r="W117" s="5" t="s">
        <v>2193</v>
      </c>
      <c r="X117" s="5" t="s">
        <v>1974</v>
      </c>
      <c r="Y117" s="5" t="s">
        <v>1952</v>
      </c>
      <c r="Z117" s="5" t="s">
        <v>2194</v>
      </c>
      <c r="AA117" s="5" t="s">
        <v>2195</v>
      </c>
      <c r="AB117" s="5"/>
      <c r="AC117" s="5" t="s">
        <v>2196</v>
      </c>
      <c r="AD117" s="65">
        <v>8.8000000000000007</v>
      </c>
      <c r="AE117" t="str">
        <f>VLOOKUP($F117,FromYabin!$C$2:$C$112,1,FALSE)</f>
        <v>Fei Chi Ren Sheng</v>
      </c>
    </row>
    <row r="118" spans="1:31">
      <c r="A118" s="4">
        <v>2018</v>
      </c>
      <c r="B118" s="4" t="s">
        <v>44</v>
      </c>
      <c r="C118" s="3">
        <f t="shared" si="3"/>
        <v>117</v>
      </c>
      <c r="D118" s="55" t="s">
        <v>886</v>
      </c>
      <c r="E118" s="3" t="s">
        <v>2197</v>
      </c>
      <c r="F118" s="5" t="s">
        <v>461</v>
      </c>
      <c r="G118" s="5" t="s">
        <v>1439</v>
      </c>
      <c r="H118" s="39" t="s">
        <v>148</v>
      </c>
      <c r="I118" s="7">
        <v>1492537.3134328357</v>
      </c>
      <c r="J118" s="7">
        <v>1194029.8507462686</v>
      </c>
      <c r="K118" s="7">
        <v>228358.20895522388</v>
      </c>
      <c r="L118" s="41" t="s">
        <v>1501</v>
      </c>
      <c r="M118" s="7">
        <v>2743</v>
      </c>
      <c r="N118" s="7">
        <v>623880.59701492533</v>
      </c>
      <c r="O118" s="7">
        <v>678553</v>
      </c>
      <c r="P118" s="7">
        <v>678553</v>
      </c>
      <c r="Q118" s="7">
        <f t="shared" si="2"/>
        <v>0</v>
      </c>
      <c r="R118" s="39" t="s">
        <v>597</v>
      </c>
      <c r="S118" s="5" t="s">
        <v>598</v>
      </c>
      <c r="T118" s="5" t="s">
        <v>599</v>
      </c>
      <c r="U118" s="5" t="s">
        <v>1406</v>
      </c>
      <c r="V118" s="5" t="s">
        <v>2198</v>
      </c>
      <c r="W118" s="5" t="s">
        <v>2199</v>
      </c>
      <c r="X118" s="5" t="s">
        <v>2200</v>
      </c>
      <c r="Y118" s="5" t="s">
        <v>2201</v>
      </c>
      <c r="Z118" s="5"/>
      <c r="AA118" s="5" t="s">
        <v>2202</v>
      </c>
      <c r="AB118" s="5"/>
      <c r="AC118" s="5" t="s">
        <v>2203</v>
      </c>
      <c r="AD118" s="62">
        <v>8.1</v>
      </c>
      <c r="AE118" t="str">
        <f>VLOOKUP($F118,FromYabin!$C$2:$C$112,1,FALSE)</f>
        <v>Gei 19 Sui De Wo Zi Ji</v>
      </c>
    </row>
    <row r="119" spans="1:31" hidden="1">
      <c r="A119" s="4">
        <v>2019</v>
      </c>
      <c r="B119" s="4" t="s">
        <v>44</v>
      </c>
      <c r="C119" s="3">
        <f t="shared" si="3"/>
        <v>118</v>
      </c>
      <c r="D119" s="55" t="s">
        <v>886</v>
      </c>
      <c r="E119" s="46" t="s">
        <v>2204</v>
      </c>
      <c r="F119" s="5" t="s">
        <v>250</v>
      </c>
      <c r="G119" s="5" t="s">
        <v>1440</v>
      </c>
      <c r="H119" s="5" t="s">
        <v>1404</v>
      </c>
      <c r="I119" s="7">
        <v>13432835.820895523</v>
      </c>
      <c r="J119" s="57" t="s">
        <v>1411</v>
      </c>
      <c r="K119" s="7">
        <v>447761.19402985071</v>
      </c>
      <c r="L119" s="41" t="s">
        <v>1501</v>
      </c>
      <c r="M119" s="7">
        <v>794007</v>
      </c>
      <c r="N119" s="7">
        <v>1194029.8507462686</v>
      </c>
      <c r="O119" s="7">
        <v>1162914</v>
      </c>
      <c r="P119" s="7">
        <v>1162914</v>
      </c>
      <c r="Q119" s="7">
        <f t="shared" si="2"/>
        <v>0</v>
      </c>
      <c r="R119" s="5" t="s">
        <v>602</v>
      </c>
      <c r="S119" s="5" t="s">
        <v>598</v>
      </c>
      <c r="T119" s="5" t="s">
        <v>603</v>
      </c>
      <c r="U119" s="5" t="s">
        <v>1406</v>
      </c>
      <c r="V119" s="5" t="s">
        <v>2205</v>
      </c>
      <c r="W119" s="5" t="s">
        <v>2206</v>
      </c>
      <c r="X119" s="5" t="s">
        <v>2095</v>
      </c>
      <c r="Y119" s="5" t="s">
        <v>2194</v>
      </c>
      <c r="Z119" s="5"/>
      <c r="AA119" s="5" t="s">
        <v>2207</v>
      </c>
      <c r="AB119" s="5"/>
      <c r="AC119" s="5" t="s">
        <v>2208</v>
      </c>
      <c r="AD119" s="62">
        <v>7</v>
      </c>
      <c r="AE119" t="e">
        <f>VLOOKUP($F119,FromYabin!$C$2:$C$112,1,FALSE)</f>
        <v>#N/A</v>
      </c>
    </row>
    <row r="120" spans="1:31" hidden="1">
      <c r="A120" s="4">
        <v>2018</v>
      </c>
      <c r="B120" s="4" t="s">
        <v>44</v>
      </c>
      <c r="C120" s="3">
        <f t="shared" si="3"/>
        <v>119</v>
      </c>
      <c r="D120" s="55" t="s">
        <v>886</v>
      </c>
      <c r="E120" s="56" t="s">
        <v>2209</v>
      </c>
      <c r="F120" s="5" t="s">
        <v>419</v>
      </c>
      <c r="G120" s="39" t="s">
        <v>2210</v>
      </c>
      <c r="H120" s="5" t="s">
        <v>148</v>
      </c>
      <c r="I120" s="7">
        <v>4477611</v>
      </c>
      <c r="J120" s="7">
        <v>2238805</v>
      </c>
      <c r="K120" s="7">
        <v>1776119</v>
      </c>
      <c r="L120" s="8">
        <v>53482</v>
      </c>
      <c r="M120" s="7">
        <v>49372</v>
      </c>
      <c r="N120" s="7">
        <v>4843283</v>
      </c>
      <c r="O120" s="7">
        <v>5504562</v>
      </c>
      <c r="P120" s="7">
        <v>5504562</v>
      </c>
      <c r="Q120" s="7">
        <f t="shared" si="2"/>
        <v>0</v>
      </c>
      <c r="R120" s="5" t="s">
        <v>606</v>
      </c>
      <c r="S120" s="5" t="s">
        <v>598</v>
      </c>
      <c r="T120" s="5" t="s">
        <v>616</v>
      </c>
      <c r="U120" s="5" t="s">
        <v>1406</v>
      </c>
      <c r="V120" s="5" t="s">
        <v>2211</v>
      </c>
      <c r="W120" s="39" t="s">
        <v>2212</v>
      </c>
      <c r="X120" s="5" t="s">
        <v>2213</v>
      </c>
      <c r="Y120" s="5" t="s">
        <v>2214</v>
      </c>
      <c r="Z120" s="39" t="s">
        <v>2215</v>
      </c>
      <c r="AA120" s="39" t="s">
        <v>2216</v>
      </c>
      <c r="AB120" s="5"/>
      <c r="AC120" s="39" t="s">
        <v>1585</v>
      </c>
      <c r="AD120" s="62">
        <v>8.4</v>
      </c>
      <c r="AE120" t="str">
        <f>VLOOKUP($F120,FromYabin!$C$2:$C$112,1,FALSE)</f>
        <v>Tuo Dan Gao Ji</v>
      </c>
    </row>
    <row r="121" spans="1:31" hidden="1">
      <c r="A121" s="4">
        <v>2019</v>
      </c>
      <c r="B121" s="4" t="s">
        <v>44</v>
      </c>
      <c r="C121" s="3">
        <f t="shared" si="3"/>
        <v>120</v>
      </c>
      <c r="D121" s="55" t="s">
        <v>886</v>
      </c>
      <c r="E121" s="3" t="s">
        <v>604</v>
      </c>
      <c r="F121" s="5" t="s">
        <v>135</v>
      </c>
      <c r="G121" s="39" t="s">
        <v>2276</v>
      </c>
      <c r="H121" s="5" t="s">
        <v>136</v>
      </c>
      <c r="I121" s="7">
        <v>60000000</v>
      </c>
      <c r="J121" s="7">
        <v>35000000</v>
      </c>
      <c r="K121" s="7">
        <v>118000000</v>
      </c>
      <c r="L121" s="8">
        <v>14545</v>
      </c>
      <c r="M121" s="7">
        <v>77099702</v>
      </c>
      <c r="N121" s="7">
        <v>328507643</v>
      </c>
      <c r="O121" s="7">
        <v>326150303</v>
      </c>
      <c r="P121" s="7">
        <v>326150303</v>
      </c>
      <c r="Q121" s="7">
        <f t="shared" si="2"/>
        <v>0</v>
      </c>
      <c r="R121" s="5" t="s">
        <v>606</v>
      </c>
      <c r="S121" s="5" t="s">
        <v>703</v>
      </c>
      <c r="T121" s="5" t="s">
        <v>704</v>
      </c>
      <c r="U121" s="5" t="s">
        <v>1406</v>
      </c>
      <c r="V121" s="5" t="s">
        <v>2217</v>
      </c>
      <c r="W121" s="5" t="s">
        <v>2218</v>
      </c>
      <c r="X121" s="5" t="s">
        <v>2219</v>
      </c>
      <c r="Y121" s="5" t="s">
        <v>1974</v>
      </c>
      <c r="Z121" s="5" t="s">
        <v>2220</v>
      </c>
      <c r="AA121" s="5" t="s">
        <v>2221</v>
      </c>
      <c r="AB121" s="5"/>
      <c r="AC121" s="5" t="s">
        <v>2222</v>
      </c>
      <c r="AD121" s="65">
        <v>8.5</v>
      </c>
      <c r="AE121" t="str">
        <f>VLOOKUP($F121,FromYabin!$C$2:$C$112,1,FALSE)</f>
        <v>Feng Kuang De Wai Xing Ren</v>
      </c>
    </row>
    <row r="122" spans="1:31" hidden="1">
      <c r="A122" s="4">
        <v>2018</v>
      </c>
      <c r="B122" s="4" t="s">
        <v>44</v>
      </c>
      <c r="C122" s="3">
        <f t="shared" si="3"/>
        <v>121</v>
      </c>
      <c r="D122" s="55" t="s">
        <v>886</v>
      </c>
      <c r="E122" s="3" t="s">
        <v>600</v>
      </c>
      <c r="F122" s="5" t="s">
        <v>143</v>
      </c>
      <c r="G122" s="5" t="s">
        <v>1442</v>
      </c>
      <c r="H122" s="5" t="s">
        <v>129</v>
      </c>
      <c r="I122" s="7">
        <v>15000000</v>
      </c>
      <c r="J122" s="57" t="s">
        <v>1411</v>
      </c>
      <c r="K122" s="7">
        <v>41641791</v>
      </c>
      <c r="L122" s="8">
        <v>109664</v>
      </c>
      <c r="M122" s="7">
        <v>39881317</v>
      </c>
      <c r="N122" s="7">
        <v>118656716</v>
      </c>
      <c r="O122" s="7">
        <v>115687407</v>
      </c>
      <c r="P122" s="7">
        <v>115687407</v>
      </c>
      <c r="Q122" s="7">
        <f t="shared" si="2"/>
        <v>0</v>
      </c>
      <c r="R122" s="5" t="s">
        <v>606</v>
      </c>
      <c r="S122" s="5" t="s">
        <v>598</v>
      </c>
      <c r="T122" s="5" t="s">
        <v>616</v>
      </c>
      <c r="U122" s="5" t="s">
        <v>1406</v>
      </c>
      <c r="V122" s="5" t="s">
        <v>2223</v>
      </c>
      <c r="W122" s="5" t="s">
        <v>2224</v>
      </c>
      <c r="X122" s="5" t="s">
        <v>1646</v>
      </c>
      <c r="Y122" s="5" t="s">
        <v>2225</v>
      </c>
      <c r="Z122" s="5" t="s">
        <v>2226</v>
      </c>
      <c r="AA122" s="5" t="s">
        <v>2227</v>
      </c>
      <c r="AB122" s="5"/>
      <c r="AC122" s="5" t="s">
        <v>2228</v>
      </c>
      <c r="AD122" s="62">
        <v>9</v>
      </c>
      <c r="AE122" t="e">
        <f>VLOOKUP($F122,FromYabin!$C$2:$C$112,1,FALSE)</f>
        <v>#N/A</v>
      </c>
    </row>
    <row r="123" spans="1:31" hidden="1">
      <c r="A123" s="4">
        <v>2019</v>
      </c>
      <c r="B123" s="4" t="s">
        <v>44</v>
      </c>
      <c r="C123" s="3">
        <f t="shared" si="3"/>
        <v>122</v>
      </c>
      <c r="D123" s="55" t="s">
        <v>886</v>
      </c>
      <c r="E123" s="3" t="s">
        <v>2229</v>
      </c>
      <c r="F123" s="5" t="s">
        <v>241</v>
      </c>
      <c r="G123" s="39" t="s">
        <v>1443</v>
      </c>
      <c r="H123" s="5" t="s">
        <v>191</v>
      </c>
      <c r="I123" s="7">
        <v>1492537.3134328357</v>
      </c>
      <c r="J123" s="57" t="s">
        <v>1411</v>
      </c>
      <c r="K123" s="7">
        <v>597014.92537313432</v>
      </c>
      <c r="L123" s="41" t="s">
        <v>1501</v>
      </c>
      <c r="M123" s="7">
        <v>450693</v>
      </c>
      <c r="N123" s="7">
        <v>1641791.0447761193</v>
      </c>
      <c r="O123" s="7">
        <v>1561731</v>
      </c>
      <c r="P123" s="7">
        <v>1561731</v>
      </c>
      <c r="Q123" s="7">
        <f t="shared" si="2"/>
        <v>0</v>
      </c>
      <c r="R123" s="5" t="s">
        <v>606</v>
      </c>
      <c r="S123" s="5" t="s">
        <v>598</v>
      </c>
      <c r="T123" s="5" t="s">
        <v>599</v>
      </c>
      <c r="U123" s="5" t="s">
        <v>1406</v>
      </c>
      <c r="V123" s="5" t="s">
        <v>2230</v>
      </c>
      <c r="W123" s="5" t="s">
        <v>241</v>
      </c>
      <c r="X123" s="5" t="s">
        <v>2231</v>
      </c>
      <c r="Y123" s="5" t="s">
        <v>2232</v>
      </c>
      <c r="Z123" s="5"/>
      <c r="AA123" s="5" t="s">
        <v>2233</v>
      </c>
      <c r="AB123" s="5"/>
      <c r="AC123" s="5" t="s">
        <v>2234</v>
      </c>
      <c r="AD123" s="62">
        <v>9</v>
      </c>
      <c r="AE123" t="e">
        <f>VLOOKUP($F123,FromYabin!$C$2:$C$112,1,FALSE)</f>
        <v>#N/A</v>
      </c>
    </row>
    <row r="124" spans="1:31" hidden="1">
      <c r="A124" s="4">
        <v>2018</v>
      </c>
      <c r="B124" s="4" t="s">
        <v>44</v>
      </c>
      <c r="C124" s="3">
        <f t="shared" si="3"/>
        <v>123</v>
      </c>
      <c r="D124" s="3" t="s">
        <v>886</v>
      </c>
      <c r="E124" s="3" t="s">
        <v>2235</v>
      </c>
      <c r="F124" s="5" t="s">
        <v>422</v>
      </c>
      <c r="G124" s="5" t="s">
        <v>1444</v>
      </c>
      <c r="H124" s="5" t="s">
        <v>148</v>
      </c>
      <c r="I124" s="7">
        <v>5970149</v>
      </c>
      <c r="J124" s="7">
        <v>2238805</v>
      </c>
      <c r="K124" s="7">
        <v>1595522</v>
      </c>
      <c r="L124" s="8">
        <v>19115</v>
      </c>
      <c r="M124" s="7">
        <v>1320000</v>
      </c>
      <c r="N124" s="7">
        <v>4349253</v>
      </c>
      <c r="O124" s="7">
        <v>4778869</v>
      </c>
      <c r="P124" s="7">
        <v>4778869</v>
      </c>
      <c r="Q124" s="7">
        <f t="shared" si="2"/>
        <v>0</v>
      </c>
      <c r="R124" s="5" t="s">
        <v>606</v>
      </c>
      <c r="S124" s="5" t="s">
        <v>598</v>
      </c>
      <c r="T124" s="5" t="s">
        <v>616</v>
      </c>
      <c r="U124" s="5" t="s">
        <v>1406</v>
      </c>
      <c r="V124" s="5" t="s">
        <v>2236</v>
      </c>
      <c r="W124" s="39" t="s">
        <v>3026</v>
      </c>
      <c r="X124" s="5" t="s">
        <v>1973</v>
      </c>
      <c r="Y124" s="5" t="s">
        <v>2238</v>
      </c>
      <c r="Z124" s="5"/>
      <c r="AA124" s="5" t="s">
        <v>2239</v>
      </c>
      <c r="AB124" s="5" t="s">
        <v>2240</v>
      </c>
      <c r="AC124" s="5" t="s">
        <v>2241</v>
      </c>
      <c r="AD124" s="62">
        <v>8</v>
      </c>
      <c r="AE124" t="str">
        <f>VLOOKUP($F124,FromYabin!$C$2:$C$112,1,FALSE)</f>
        <v>Qi Pa Duo Duo</v>
      </c>
    </row>
    <row r="125" spans="1:31" hidden="1">
      <c r="A125" s="4">
        <v>2018</v>
      </c>
      <c r="B125" s="4" t="s">
        <v>44</v>
      </c>
      <c r="C125" s="3">
        <f t="shared" si="3"/>
        <v>124</v>
      </c>
      <c r="D125" s="55" t="s">
        <v>886</v>
      </c>
      <c r="E125" s="3" t="s">
        <v>2242</v>
      </c>
      <c r="F125" s="5" t="s">
        <v>1024</v>
      </c>
      <c r="G125" s="5" t="s">
        <v>1445</v>
      </c>
      <c r="H125" s="5" t="s">
        <v>136</v>
      </c>
      <c r="I125" s="7">
        <v>1194029.8507462686</v>
      </c>
      <c r="J125" s="7">
        <v>746268.65671641787</v>
      </c>
      <c r="K125" s="7">
        <v>168656.71641791044</v>
      </c>
      <c r="L125" s="8">
        <v>918</v>
      </c>
      <c r="M125" s="7">
        <v>110000</v>
      </c>
      <c r="N125" s="7">
        <v>458208.95522388059</v>
      </c>
      <c r="O125" s="7">
        <v>469140</v>
      </c>
      <c r="P125" s="7">
        <v>469140</v>
      </c>
      <c r="Q125" s="7">
        <f t="shared" si="2"/>
        <v>0</v>
      </c>
      <c r="R125" s="39" t="s">
        <v>606</v>
      </c>
      <c r="S125" s="5" t="s">
        <v>598</v>
      </c>
      <c r="T125" s="5" t="s">
        <v>616</v>
      </c>
      <c r="U125" s="5" t="s">
        <v>1406</v>
      </c>
      <c r="V125" s="5" t="s">
        <v>2243</v>
      </c>
      <c r="W125" s="5" t="s">
        <v>2244</v>
      </c>
      <c r="X125" s="5" t="s">
        <v>2245</v>
      </c>
      <c r="Y125" s="5" t="s">
        <v>2246</v>
      </c>
      <c r="Z125" s="5" t="s">
        <v>2247</v>
      </c>
      <c r="AA125" s="5" t="s">
        <v>2248</v>
      </c>
      <c r="AB125" s="5" t="s">
        <v>2249</v>
      </c>
      <c r="AC125" s="5" t="s">
        <v>1445</v>
      </c>
      <c r="AD125" s="62">
        <v>7.5</v>
      </c>
      <c r="AE125" t="str">
        <f>VLOOKUP($F125,FromYabin!$C$2:$C$112,1,FALSE)</f>
        <v>Screaming Live</v>
      </c>
    </row>
    <row r="126" spans="1:31" hidden="1">
      <c r="A126" s="4">
        <v>2018</v>
      </c>
      <c r="B126" s="4" t="s">
        <v>44</v>
      </c>
      <c r="C126" s="3">
        <f t="shared" si="3"/>
        <v>125</v>
      </c>
      <c r="D126" s="55" t="s">
        <v>886</v>
      </c>
      <c r="E126" s="3" t="s">
        <v>2250</v>
      </c>
      <c r="F126" s="5" t="s">
        <v>387</v>
      </c>
      <c r="G126" s="5" t="s">
        <v>1446</v>
      </c>
      <c r="H126" s="5" t="s">
        <v>127</v>
      </c>
      <c r="I126" s="7">
        <v>4477611</v>
      </c>
      <c r="J126" s="7">
        <v>2238805</v>
      </c>
      <c r="K126" s="7">
        <v>10250746</v>
      </c>
      <c r="L126" s="8">
        <v>57471</v>
      </c>
      <c r="M126" s="7">
        <v>10070000</v>
      </c>
      <c r="N126" s="7">
        <v>2761194</v>
      </c>
      <c r="O126" s="7">
        <v>30355804</v>
      </c>
      <c r="P126" s="7">
        <v>30355804</v>
      </c>
      <c r="Q126" s="7">
        <f t="shared" si="2"/>
        <v>0</v>
      </c>
      <c r="R126" s="5" t="s">
        <v>606</v>
      </c>
      <c r="S126" s="5" t="s">
        <v>631</v>
      </c>
      <c r="T126" s="5" t="s">
        <v>603</v>
      </c>
      <c r="U126" s="5" t="s">
        <v>1406</v>
      </c>
      <c r="V126" s="5" t="s">
        <v>2251</v>
      </c>
      <c r="W126" s="5" t="s">
        <v>2252</v>
      </c>
      <c r="X126" s="5" t="s">
        <v>2253</v>
      </c>
      <c r="Y126" s="5" t="s">
        <v>2254</v>
      </c>
      <c r="Z126" s="5"/>
      <c r="AA126" s="5" t="s">
        <v>2253</v>
      </c>
      <c r="AB126" s="5"/>
      <c r="AC126" s="5" t="s">
        <v>1970</v>
      </c>
      <c r="AD126" s="62">
        <v>8.1</v>
      </c>
      <c r="AE126" t="str">
        <f>VLOOKUP($F126,FromYabin!$C$2:$C$112,1,FALSE)</f>
        <v>Meng Chong Guo Jiang</v>
      </c>
    </row>
    <row r="127" spans="1:31" hidden="1">
      <c r="A127" s="4">
        <v>2019</v>
      </c>
      <c r="B127" s="4" t="s">
        <v>44</v>
      </c>
      <c r="C127" s="3">
        <f t="shared" si="3"/>
        <v>126</v>
      </c>
      <c r="D127" s="55" t="s">
        <v>886</v>
      </c>
      <c r="E127" s="3" t="s">
        <v>617</v>
      </c>
      <c r="F127" s="5" t="s">
        <v>242</v>
      </c>
      <c r="G127" s="5" t="s">
        <v>1410</v>
      </c>
      <c r="H127" s="5" t="s">
        <v>131</v>
      </c>
      <c r="I127" s="7">
        <v>1492537.3134328357</v>
      </c>
      <c r="J127" s="57" t="s">
        <v>1411</v>
      </c>
      <c r="K127" s="7">
        <v>447761.19402985071</v>
      </c>
      <c r="L127" s="8">
        <v>24672</v>
      </c>
      <c r="M127" s="7">
        <v>8594</v>
      </c>
      <c r="N127" s="7">
        <v>1492537.3134328357</v>
      </c>
      <c r="O127" s="7">
        <v>1487745</v>
      </c>
      <c r="P127" s="7">
        <v>1487745</v>
      </c>
      <c r="Q127" s="7">
        <f t="shared" si="2"/>
        <v>0</v>
      </c>
      <c r="R127" s="5" t="s">
        <v>606</v>
      </c>
      <c r="S127" s="5" t="s">
        <v>598</v>
      </c>
      <c r="T127" s="5" t="s">
        <v>616</v>
      </c>
      <c r="U127" s="5" t="s">
        <v>1406</v>
      </c>
      <c r="V127" s="5" t="s">
        <v>2255</v>
      </c>
      <c r="W127" s="5" t="s">
        <v>2256</v>
      </c>
      <c r="X127" s="5" t="s">
        <v>2257</v>
      </c>
      <c r="Y127" s="5" t="s">
        <v>2258</v>
      </c>
      <c r="Z127" s="10"/>
      <c r="AA127" s="5" t="s">
        <v>2259</v>
      </c>
      <c r="AB127" s="5"/>
      <c r="AC127" s="5" t="s">
        <v>1948</v>
      </c>
      <c r="AD127" s="62">
        <v>8.1999999999999993</v>
      </c>
      <c r="AE127" t="e">
        <f>VLOOKUP($F127,FromYabin!$C$2:$C$112,1,FALSE)</f>
        <v>#N/A</v>
      </c>
    </row>
    <row r="128" spans="1:31" hidden="1">
      <c r="A128" s="4">
        <v>2019</v>
      </c>
      <c r="B128" s="4" t="s">
        <v>44</v>
      </c>
      <c r="C128" s="3">
        <f t="shared" si="3"/>
        <v>127</v>
      </c>
      <c r="D128" s="55" t="s">
        <v>886</v>
      </c>
      <c r="E128" s="56" t="s">
        <v>800</v>
      </c>
      <c r="F128" s="5" t="s">
        <v>155</v>
      </c>
      <c r="G128" s="5" t="s">
        <v>1442</v>
      </c>
      <c r="H128" s="5" t="s">
        <v>131</v>
      </c>
      <c r="I128" s="7">
        <v>10500000</v>
      </c>
      <c r="J128" s="57" t="s">
        <v>1411</v>
      </c>
      <c r="K128" s="7">
        <v>18208955</v>
      </c>
      <c r="L128" s="8">
        <v>62074</v>
      </c>
      <c r="M128" s="7">
        <v>11550000</v>
      </c>
      <c r="N128" s="7">
        <v>48656716</v>
      </c>
      <c r="O128" s="7">
        <v>50885008</v>
      </c>
      <c r="P128" s="7">
        <v>50885008</v>
      </c>
      <c r="Q128" s="7">
        <f t="shared" si="2"/>
        <v>0</v>
      </c>
      <c r="R128" s="5" t="s">
        <v>606</v>
      </c>
      <c r="S128" s="5" t="s">
        <v>598</v>
      </c>
      <c r="T128" s="39" t="s">
        <v>616</v>
      </c>
      <c r="U128" s="5" t="s">
        <v>1406</v>
      </c>
      <c r="V128" s="5" t="s">
        <v>2260</v>
      </c>
      <c r="W128" s="5" t="s">
        <v>155</v>
      </c>
      <c r="X128" s="5" t="s">
        <v>2261</v>
      </c>
      <c r="Y128" s="5"/>
      <c r="Z128" s="10"/>
      <c r="AA128" s="5" t="s">
        <v>2262</v>
      </c>
      <c r="AB128" s="5"/>
      <c r="AC128" s="5" t="s">
        <v>2263</v>
      </c>
      <c r="AD128" s="62">
        <v>9.3000000000000007</v>
      </c>
      <c r="AE128" t="e">
        <f>VLOOKUP($F128,FromYabin!$C$2:$C$112,1,FALSE)</f>
        <v>#N/A</v>
      </c>
    </row>
    <row r="129" spans="1:31" hidden="1">
      <c r="A129" s="4">
        <v>2019</v>
      </c>
      <c r="B129" s="4" t="s">
        <v>44</v>
      </c>
      <c r="C129" s="3">
        <f t="shared" si="3"/>
        <v>128</v>
      </c>
      <c r="D129" s="55" t="s">
        <v>886</v>
      </c>
      <c r="E129" s="3" t="s">
        <v>800</v>
      </c>
      <c r="F129" s="5" t="s">
        <v>190</v>
      </c>
      <c r="G129" s="5" t="s">
        <v>1447</v>
      </c>
      <c r="H129" s="5" t="s">
        <v>191</v>
      </c>
      <c r="I129" s="7">
        <v>8955223.880597014</v>
      </c>
      <c r="J129" s="57" t="s">
        <v>1411</v>
      </c>
      <c r="K129" s="7">
        <v>2238805.9701492535</v>
      </c>
      <c r="L129" s="8">
        <v>23080</v>
      </c>
      <c r="M129" s="7">
        <v>3852893</v>
      </c>
      <c r="N129" s="7">
        <v>6716417.9104477614</v>
      </c>
      <c r="O129" s="7">
        <v>8091941</v>
      </c>
      <c r="P129" s="7">
        <v>8091941</v>
      </c>
      <c r="Q129" s="7">
        <f t="shared" si="2"/>
        <v>0</v>
      </c>
      <c r="R129" s="5" t="s">
        <v>606</v>
      </c>
      <c r="S129" s="5" t="s">
        <v>598</v>
      </c>
      <c r="T129" s="5" t="s">
        <v>616</v>
      </c>
      <c r="U129" s="5" t="s">
        <v>1406</v>
      </c>
      <c r="V129" s="5" t="s">
        <v>2264</v>
      </c>
      <c r="W129" s="5" t="s">
        <v>2265</v>
      </c>
      <c r="X129" s="5" t="s">
        <v>2266</v>
      </c>
      <c r="Y129" s="5" t="s">
        <v>2267</v>
      </c>
      <c r="Z129" s="10"/>
      <c r="AA129" s="5" t="s">
        <v>2268</v>
      </c>
      <c r="AB129" s="5"/>
      <c r="AC129" s="5" t="s">
        <v>2269</v>
      </c>
      <c r="AD129" s="62">
        <v>8.8000000000000007</v>
      </c>
      <c r="AE129" t="e">
        <f>VLOOKUP($F129,FromYabin!$C$2:$C$112,1,FALSE)</f>
        <v>#N/A</v>
      </c>
    </row>
    <row r="130" spans="1:31" hidden="1">
      <c r="A130" s="4">
        <v>2018</v>
      </c>
      <c r="B130" s="4" t="s">
        <v>44</v>
      </c>
      <c r="C130" s="3">
        <f t="shared" si="3"/>
        <v>129</v>
      </c>
      <c r="D130" s="55" t="s">
        <v>975</v>
      </c>
      <c r="E130" s="3" t="s">
        <v>975</v>
      </c>
      <c r="F130" s="5" t="s">
        <v>1028</v>
      </c>
      <c r="G130" s="5" t="s">
        <v>1448</v>
      </c>
      <c r="H130" s="5" t="s">
        <v>193</v>
      </c>
      <c r="I130" s="7">
        <v>11940298</v>
      </c>
      <c r="J130" s="7">
        <v>4477611</v>
      </c>
      <c r="K130" s="7">
        <v>11428358</v>
      </c>
      <c r="L130" s="8">
        <v>61528</v>
      </c>
      <c r="M130" s="7">
        <v>14718449</v>
      </c>
      <c r="N130" s="7">
        <v>30597014</v>
      </c>
      <c r="O130" s="7">
        <v>32449600</v>
      </c>
      <c r="P130" s="7">
        <v>32449600</v>
      </c>
      <c r="Q130" s="7">
        <f t="shared" si="2"/>
        <v>0</v>
      </c>
      <c r="R130" s="5" t="s">
        <v>597</v>
      </c>
      <c r="S130" s="5" t="s">
        <v>598</v>
      </c>
      <c r="T130" s="5" t="s">
        <v>616</v>
      </c>
      <c r="U130" s="5" t="s">
        <v>1406</v>
      </c>
      <c r="V130" s="5" t="s">
        <v>2270</v>
      </c>
      <c r="W130" s="5" t="s">
        <v>2271</v>
      </c>
      <c r="X130" s="5" t="s">
        <v>2272</v>
      </c>
      <c r="Y130" s="5" t="s">
        <v>2273</v>
      </c>
      <c r="Z130" s="10"/>
      <c r="AA130" s="5" t="s">
        <v>2274</v>
      </c>
      <c r="AB130" s="5"/>
      <c r="AC130" s="5" t="s">
        <v>1948</v>
      </c>
      <c r="AD130" s="62">
        <v>5.9</v>
      </c>
      <c r="AE130" t="str">
        <f>VLOOKUP($F130,FromYabin!$C$2:$C$112,1,FALSE)</f>
        <v>Jing Cheng 81 Hao 2</v>
      </c>
    </row>
    <row r="131" spans="1:31" hidden="1">
      <c r="A131" s="4">
        <v>2019</v>
      </c>
      <c r="B131" s="4" t="s">
        <v>44</v>
      </c>
      <c r="C131" s="3">
        <f t="shared" si="3"/>
        <v>130</v>
      </c>
      <c r="D131" s="55" t="s">
        <v>886</v>
      </c>
      <c r="E131" s="3" t="s">
        <v>2275</v>
      </c>
      <c r="F131" s="5" t="s">
        <v>180</v>
      </c>
      <c r="G131" s="39" t="s">
        <v>2276</v>
      </c>
      <c r="H131" s="5" t="s">
        <v>131</v>
      </c>
      <c r="I131" s="7">
        <v>5970149</v>
      </c>
      <c r="J131" s="57" t="s">
        <v>1411</v>
      </c>
      <c r="K131" s="7">
        <v>3283582</v>
      </c>
      <c r="L131" s="8">
        <v>32822</v>
      </c>
      <c r="M131" s="7">
        <v>5210000</v>
      </c>
      <c r="N131" s="7">
        <v>9701492</v>
      </c>
      <c r="O131" s="7">
        <v>9626679</v>
      </c>
      <c r="P131" s="7">
        <v>9626679</v>
      </c>
      <c r="Q131" s="7">
        <f t="shared" ref="Q131:Q194" si="4">P131-O131</f>
        <v>0</v>
      </c>
      <c r="R131" s="5" t="s">
        <v>606</v>
      </c>
      <c r="S131" s="5" t="s">
        <v>598</v>
      </c>
      <c r="T131" s="5" t="s">
        <v>616</v>
      </c>
      <c r="U131" s="5" t="s">
        <v>1406</v>
      </c>
      <c r="V131" s="5" t="s">
        <v>2277</v>
      </c>
      <c r="W131" s="5" t="s">
        <v>2278</v>
      </c>
      <c r="X131" s="5" t="s">
        <v>1963</v>
      </c>
      <c r="Y131" s="5"/>
      <c r="Z131" s="10"/>
      <c r="AA131" s="5" t="s">
        <v>2279</v>
      </c>
      <c r="AB131" s="5"/>
      <c r="AC131" s="5" t="s">
        <v>2280</v>
      </c>
      <c r="AD131" s="62">
        <v>7.2</v>
      </c>
      <c r="AE131" t="e">
        <f>VLOOKUP($F131,FromYabin!$C$2:$C$112,1,FALSE)</f>
        <v>#N/A</v>
      </c>
    </row>
    <row r="132" spans="1:31" hidden="1">
      <c r="A132" s="4">
        <v>2018</v>
      </c>
      <c r="B132" s="4" t="s">
        <v>44</v>
      </c>
      <c r="C132" s="3">
        <f t="shared" ref="C132:C195" si="5">C131+1</f>
        <v>131</v>
      </c>
      <c r="D132" s="55" t="s">
        <v>886</v>
      </c>
      <c r="E132" s="3" t="s">
        <v>854</v>
      </c>
      <c r="F132" s="5" t="s">
        <v>377</v>
      </c>
      <c r="G132" s="5" t="s">
        <v>1449</v>
      </c>
      <c r="H132" s="5" t="s">
        <v>127</v>
      </c>
      <c r="I132" s="7">
        <v>29850746</v>
      </c>
      <c r="J132" s="7">
        <v>5970149</v>
      </c>
      <c r="K132" s="7">
        <v>26865671</v>
      </c>
      <c r="L132" s="8">
        <v>109738</v>
      </c>
      <c r="M132" s="7">
        <v>3241628</v>
      </c>
      <c r="N132" s="7">
        <v>74626865</v>
      </c>
      <c r="O132" s="7">
        <v>74842075</v>
      </c>
      <c r="P132" s="7">
        <v>74842075</v>
      </c>
      <c r="Q132" s="7">
        <f t="shared" si="4"/>
        <v>0</v>
      </c>
      <c r="R132" s="5" t="s">
        <v>1397</v>
      </c>
      <c r="S132" s="5" t="s">
        <v>703</v>
      </c>
      <c r="T132" s="5" t="s">
        <v>607</v>
      </c>
      <c r="U132" s="5" t="s">
        <v>1406</v>
      </c>
      <c r="V132" s="5" t="s">
        <v>2281</v>
      </c>
      <c r="W132" s="5" t="s">
        <v>2282</v>
      </c>
      <c r="X132" s="5" t="s">
        <v>2283</v>
      </c>
      <c r="Y132" s="5"/>
      <c r="Z132" s="10"/>
      <c r="AA132" s="5" t="s">
        <v>2284</v>
      </c>
      <c r="AB132" s="5"/>
      <c r="AC132" s="5" t="s">
        <v>2285</v>
      </c>
      <c r="AD132" s="62">
        <v>8.5</v>
      </c>
      <c r="AE132" t="str">
        <f>VLOOKUP($F132,FromYabin!$C$2:$C$112,1,FALSE)</f>
        <v>Dongwu shijie</v>
      </c>
    </row>
    <row r="133" spans="1:31" hidden="1">
      <c r="A133" s="4">
        <v>2018</v>
      </c>
      <c r="B133" s="4" t="s">
        <v>44</v>
      </c>
      <c r="C133" s="3">
        <f t="shared" si="5"/>
        <v>132</v>
      </c>
      <c r="D133" s="55" t="s">
        <v>886</v>
      </c>
      <c r="E133" s="3" t="s">
        <v>2286</v>
      </c>
      <c r="F133" s="5" t="s">
        <v>53</v>
      </c>
      <c r="G133" s="5" t="s">
        <v>1428</v>
      </c>
      <c r="H133" s="5" t="s">
        <v>148</v>
      </c>
      <c r="I133" s="7">
        <v>6000000</v>
      </c>
      <c r="J133" s="57" t="s">
        <v>1411</v>
      </c>
      <c r="K133" s="7">
        <v>8955224</v>
      </c>
      <c r="L133" s="8">
        <v>2360</v>
      </c>
      <c r="M133" s="7">
        <v>6737049</v>
      </c>
      <c r="N133" s="7">
        <v>25820895</v>
      </c>
      <c r="O133" s="7">
        <v>28792065</v>
      </c>
      <c r="P133" s="7">
        <v>28792065</v>
      </c>
      <c r="Q133" s="7">
        <f t="shared" si="4"/>
        <v>0</v>
      </c>
      <c r="R133" s="5" t="s">
        <v>1397</v>
      </c>
      <c r="S133" s="5" t="s">
        <v>598</v>
      </c>
      <c r="T133" s="5" t="s">
        <v>616</v>
      </c>
      <c r="U133" s="5" t="s">
        <v>1406</v>
      </c>
      <c r="V133" s="5" t="s">
        <v>2287</v>
      </c>
      <c r="W133" s="5" t="s">
        <v>2288</v>
      </c>
      <c r="X133" s="5" t="s">
        <v>2289</v>
      </c>
      <c r="Y133" s="5" t="s">
        <v>2290</v>
      </c>
      <c r="Z133" s="10"/>
      <c r="AA133" s="5" t="s">
        <v>2291</v>
      </c>
      <c r="AB133" s="5"/>
      <c r="AC133" s="5" t="s">
        <v>1911</v>
      </c>
      <c r="AD133" s="62">
        <v>8.5</v>
      </c>
      <c r="AE133" t="e">
        <f>VLOOKUP($F133,FromYabin!$C$2:$C$112,1,FALSE)</f>
        <v>#N/A</v>
      </c>
    </row>
    <row r="134" spans="1:31" hidden="1">
      <c r="A134" s="4">
        <v>2019</v>
      </c>
      <c r="B134" s="4" t="s">
        <v>45</v>
      </c>
      <c r="C134" s="3">
        <f t="shared" si="5"/>
        <v>133</v>
      </c>
      <c r="D134" s="55" t="s">
        <v>886</v>
      </c>
      <c r="E134" s="3" t="s">
        <v>2055</v>
      </c>
      <c r="F134" s="5" t="s">
        <v>1038</v>
      </c>
      <c r="G134" s="5" t="s">
        <v>1450</v>
      </c>
      <c r="H134" s="5" t="s">
        <v>136</v>
      </c>
      <c r="I134" s="7">
        <v>3731343.2835820895</v>
      </c>
      <c r="J134" s="57" t="s">
        <v>1411</v>
      </c>
      <c r="K134" s="7">
        <v>1791044.7761194028</v>
      </c>
      <c r="L134" s="41">
        <v>37174</v>
      </c>
      <c r="M134" s="42">
        <v>14387</v>
      </c>
      <c r="N134" s="7">
        <v>4925373.1343283579</v>
      </c>
      <c r="O134" s="7">
        <v>4815816</v>
      </c>
      <c r="P134" s="7">
        <v>4815816</v>
      </c>
      <c r="Q134" s="7">
        <f t="shared" si="4"/>
        <v>0</v>
      </c>
      <c r="R134" s="5" t="s">
        <v>606</v>
      </c>
      <c r="S134" s="5" t="s">
        <v>598</v>
      </c>
      <c r="T134" s="39" t="s">
        <v>616</v>
      </c>
      <c r="U134" s="5" t="s">
        <v>1406</v>
      </c>
      <c r="V134" s="5" t="s">
        <v>2295</v>
      </c>
      <c r="W134" s="5" t="s">
        <v>2296</v>
      </c>
      <c r="X134" s="5" t="s">
        <v>1994</v>
      </c>
      <c r="Y134" s="5" t="s">
        <v>1646</v>
      </c>
      <c r="Z134" s="5" t="s">
        <v>2297</v>
      </c>
      <c r="AA134" s="5" t="s">
        <v>2298</v>
      </c>
      <c r="AB134" s="5"/>
      <c r="AC134" s="5" t="s">
        <v>2299</v>
      </c>
      <c r="AD134" s="62">
        <v>6</v>
      </c>
      <c r="AE134" t="e">
        <f>VLOOKUP($F134,FromYabin!$C$2:$C$112,1,FALSE)</f>
        <v>#N/A</v>
      </c>
    </row>
    <row r="135" spans="1:31" hidden="1">
      <c r="A135" s="4">
        <v>2017</v>
      </c>
      <c r="B135" s="4" t="s">
        <v>44</v>
      </c>
      <c r="C135" s="3">
        <f t="shared" si="5"/>
        <v>134</v>
      </c>
      <c r="D135" s="55" t="s">
        <v>1057</v>
      </c>
      <c r="E135" s="3" t="s">
        <v>1057</v>
      </c>
      <c r="F135" s="5" t="s">
        <v>1058</v>
      </c>
      <c r="G135" s="5" t="s">
        <v>653</v>
      </c>
      <c r="H135" s="5" t="s">
        <v>129</v>
      </c>
      <c r="I135" s="7">
        <v>150000000</v>
      </c>
      <c r="J135" s="57"/>
      <c r="K135" s="7"/>
      <c r="L135" s="8">
        <v>3328</v>
      </c>
      <c r="M135" s="7">
        <v>18469620</v>
      </c>
      <c r="N135" s="7"/>
      <c r="O135" s="7">
        <v>289329747</v>
      </c>
      <c r="P135" s="7">
        <v>334486852</v>
      </c>
      <c r="Q135" s="92">
        <f t="shared" si="4"/>
        <v>45157105</v>
      </c>
      <c r="R135" s="5" t="s">
        <v>606</v>
      </c>
      <c r="S135" s="5" t="s">
        <v>598</v>
      </c>
      <c r="T135" s="5" t="s">
        <v>658</v>
      </c>
      <c r="U135" s="5" t="s">
        <v>1393</v>
      </c>
      <c r="V135" s="39" t="s">
        <v>2304</v>
      </c>
      <c r="W135" s="39" t="s">
        <v>1058</v>
      </c>
      <c r="X135" s="39" t="s">
        <v>2305</v>
      </c>
      <c r="Y135" s="39" t="s">
        <v>2306</v>
      </c>
      <c r="Z135" s="39" t="s">
        <v>2307</v>
      </c>
      <c r="AA135" s="39" t="s">
        <v>1547</v>
      </c>
      <c r="AB135" s="5"/>
      <c r="AC135" s="39" t="s">
        <v>2308</v>
      </c>
      <c r="AD135" s="59">
        <v>8.4</v>
      </c>
      <c r="AE135" t="e">
        <f>VLOOKUP($F135,FromYabin!$C$2:$C$112,1,FALSE)</f>
        <v>#N/A</v>
      </c>
    </row>
    <row r="136" spans="1:31" hidden="1">
      <c r="A136" s="4">
        <v>2017</v>
      </c>
      <c r="B136" s="4" t="s">
        <v>44</v>
      </c>
      <c r="C136" s="3">
        <f t="shared" si="5"/>
        <v>135</v>
      </c>
      <c r="D136" s="55" t="s">
        <v>1059</v>
      </c>
      <c r="E136" s="3" t="s">
        <v>2309</v>
      </c>
      <c r="F136" s="5" t="s">
        <v>1060</v>
      </c>
      <c r="G136" s="5" t="s">
        <v>609</v>
      </c>
      <c r="H136" s="5" t="s">
        <v>129</v>
      </c>
      <c r="I136" s="7">
        <v>29850746.268656716</v>
      </c>
      <c r="J136" s="7">
        <v>8955223.880597014</v>
      </c>
      <c r="K136" s="7">
        <v>28955223.880597014</v>
      </c>
      <c r="L136" s="8">
        <v>2515</v>
      </c>
      <c r="M136" s="7">
        <v>13113024</v>
      </c>
      <c r="N136" s="7">
        <v>76567164.179104477</v>
      </c>
      <c r="O136" s="7">
        <v>106389853</v>
      </c>
      <c r="P136" s="7">
        <v>140783360</v>
      </c>
      <c r="Q136" s="92">
        <f t="shared" si="4"/>
        <v>34393507</v>
      </c>
      <c r="R136" s="5" t="s">
        <v>602</v>
      </c>
      <c r="S136" s="5" t="s">
        <v>598</v>
      </c>
      <c r="T136" s="5" t="s">
        <v>616</v>
      </c>
      <c r="U136" s="5" t="s">
        <v>1394</v>
      </c>
      <c r="V136" s="5" t="s">
        <v>2310</v>
      </c>
      <c r="W136" s="5" t="s">
        <v>1060</v>
      </c>
      <c r="X136" s="5" t="s">
        <v>2008</v>
      </c>
      <c r="Y136" s="5"/>
      <c r="Z136" s="5"/>
      <c r="AA136" s="5" t="s">
        <v>2311</v>
      </c>
      <c r="AB136" s="5"/>
      <c r="AC136" s="5" t="s">
        <v>2312</v>
      </c>
      <c r="AD136" s="62">
        <v>8.4</v>
      </c>
      <c r="AE136" t="str">
        <f>VLOOKUP($F136,FromYabin!$C$2:$C$112,1,FALSE)</f>
        <v>The Foreigner</v>
      </c>
    </row>
    <row r="137" spans="1:31" hidden="1">
      <c r="A137" s="4">
        <v>2017</v>
      </c>
      <c r="B137" s="4" t="s">
        <v>44</v>
      </c>
      <c r="C137" s="3">
        <f t="shared" si="5"/>
        <v>136</v>
      </c>
      <c r="D137" s="55" t="s">
        <v>1064</v>
      </c>
      <c r="E137" s="3" t="s">
        <v>1064</v>
      </c>
      <c r="F137" s="5" t="s">
        <v>1065</v>
      </c>
      <c r="G137" s="5" t="s">
        <v>764</v>
      </c>
      <c r="H137" s="5" t="s">
        <v>127</v>
      </c>
      <c r="I137" s="7">
        <v>60000000</v>
      </c>
      <c r="J137" s="57"/>
      <c r="K137" s="7"/>
      <c r="L137" s="8">
        <v>2077</v>
      </c>
      <c r="M137" s="7">
        <v>3704749</v>
      </c>
      <c r="N137" s="7"/>
      <c r="O137" s="7">
        <v>14727942</v>
      </c>
      <c r="P137" s="7">
        <v>24148488</v>
      </c>
      <c r="Q137" s="92">
        <f t="shared" si="4"/>
        <v>9420546</v>
      </c>
      <c r="R137" s="5" t="s">
        <v>606</v>
      </c>
      <c r="S137" s="5" t="s">
        <v>631</v>
      </c>
      <c r="T137" s="5" t="s">
        <v>612</v>
      </c>
      <c r="U137" s="5" t="s">
        <v>1392</v>
      </c>
      <c r="V137" s="39" t="s">
        <v>2313</v>
      </c>
      <c r="W137" s="39" t="s">
        <v>1065</v>
      </c>
      <c r="X137" s="39" t="s">
        <v>2314</v>
      </c>
      <c r="Y137" s="39" t="s">
        <v>2315</v>
      </c>
      <c r="Z137" s="39" t="s">
        <v>2316</v>
      </c>
      <c r="AA137" s="39" t="s">
        <v>2317</v>
      </c>
      <c r="AB137" s="5"/>
      <c r="AC137" s="39" t="s">
        <v>2318</v>
      </c>
      <c r="AD137" s="59">
        <v>8.6</v>
      </c>
      <c r="AE137" t="e">
        <f>VLOOKUP($F137,FromYabin!$C$2:$C$112,1,FALSE)</f>
        <v>#N/A</v>
      </c>
    </row>
    <row r="138" spans="1:31" hidden="1">
      <c r="A138" s="4">
        <v>2017</v>
      </c>
      <c r="B138" s="4" t="s">
        <v>44</v>
      </c>
      <c r="C138" s="3">
        <f t="shared" si="5"/>
        <v>137</v>
      </c>
      <c r="D138" s="55" t="s">
        <v>1066</v>
      </c>
      <c r="E138" s="3" t="s">
        <v>1066</v>
      </c>
      <c r="F138" s="5" t="s">
        <v>8</v>
      </c>
      <c r="G138" s="5" t="s">
        <v>1067</v>
      </c>
      <c r="H138" s="5" t="s">
        <v>129</v>
      </c>
      <c r="I138" s="7">
        <v>29850746.300000001</v>
      </c>
      <c r="J138" s="7">
        <v>14925373.1</v>
      </c>
      <c r="K138" s="7">
        <v>311044776</v>
      </c>
      <c r="L138" s="8">
        <v>53</v>
      </c>
      <c r="M138" s="7">
        <v>219022</v>
      </c>
      <c r="N138" s="7">
        <v>792537313</v>
      </c>
      <c r="O138" s="7">
        <v>832753071</v>
      </c>
      <c r="P138" s="7">
        <v>835474171</v>
      </c>
      <c r="Q138" s="92">
        <f t="shared" si="4"/>
        <v>2721100</v>
      </c>
      <c r="R138" s="5" t="s">
        <v>606</v>
      </c>
      <c r="S138" s="5" t="s">
        <v>598</v>
      </c>
      <c r="T138" s="5" t="s">
        <v>616</v>
      </c>
      <c r="U138" s="5" t="s">
        <v>1390</v>
      </c>
      <c r="V138" s="5" t="s">
        <v>2319</v>
      </c>
      <c r="W138" s="5" t="s">
        <v>2320</v>
      </c>
      <c r="X138" s="5" t="s">
        <v>2321</v>
      </c>
      <c r="Y138" s="5"/>
      <c r="Z138" s="5"/>
      <c r="AA138" s="5" t="s">
        <v>2321</v>
      </c>
      <c r="AB138" s="5"/>
      <c r="AC138" s="5" t="s">
        <v>2322</v>
      </c>
      <c r="AD138" s="62">
        <v>9.6999999999999993</v>
      </c>
      <c r="AE138" t="str">
        <f>VLOOKUP($F138,FromYabin!$C$2:$C$112,1,FALSE)</f>
        <v>Zhan Lang 2</v>
      </c>
    </row>
    <row r="139" spans="1:31" hidden="1">
      <c r="A139" s="4">
        <v>2017</v>
      </c>
      <c r="B139" s="4" t="s">
        <v>44</v>
      </c>
      <c r="C139" s="3">
        <f t="shared" si="5"/>
        <v>138</v>
      </c>
      <c r="D139" s="55" t="s">
        <v>1068</v>
      </c>
      <c r="E139" s="3" t="s">
        <v>1068</v>
      </c>
      <c r="F139" s="5" t="s">
        <v>1069</v>
      </c>
      <c r="G139" s="5" t="s">
        <v>641</v>
      </c>
      <c r="H139" s="5" t="s">
        <v>129</v>
      </c>
      <c r="I139" s="7">
        <v>65671641</v>
      </c>
      <c r="J139" s="7">
        <v>11940298</v>
      </c>
      <c r="K139" s="7">
        <v>76865671</v>
      </c>
      <c r="L139" s="8">
        <v>67</v>
      </c>
      <c r="M139" s="7">
        <v>463883</v>
      </c>
      <c r="N139" s="7">
        <v>233134328</v>
      </c>
      <c r="O139" s="7">
        <v>247924803</v>
      </c>
      <c r="P139" s="7">
        <v>248805149</v>
      </c>
      <c r="Q139" s="92">
        <f t="shared" si="4"/>
        <v>880346</v>
      </c>
      <c r="R139" s="5" t="s">
        <v>606</v>
      </c>
      <c r="S139" s="5" t="s">
        <v>598</v>
      </c>
      <c r="T139" s="5" t="s">
        <v>616</v>
      </c>
      <c r="U139" s="5" t="s">
        <v>1393</v>
      </c>
      <c r="V139" s="5" t="s">
        <v>2323</v>
      </c>
      <c r="W139" s="5" t="s">
        <v>2324</v>
      </c>
      <c r="X139" s="5" t="s">
        <v>2325</v>
      </c>
      <c r="Y139" s="5"/>
      <c r="Z139" s="5"/>
      <c r="AA139" s="5" t="s">
        <v>2326</v>
      </c>
      <c r="AB139" s="5"/>
      <c r="AC139" s="5" t="s">
        <v>1948</v>
      </c>
      <c r="AD139" s="62">
        <v>7.7</v>
      </c>
      <c r="AE139" t="str">
        <f>VLOOKUP($F139,FromYabin!$C$2:$C$112,1,FALSE)</f>
        <v>Xi You Fu Yao Pian</v>
      </c>
    </row>
    <row r="140" spans="1:31" ht="15" hidden="1">
      <c r="A140" s="4">
        <v>2017</v>
      </c>
      <c r="B140" s="4" t="s">
        <v>44</v>
      </c>
      <c r="C140" s="3">
        <f t="shared" si="5"/>
        <v>139</v>
      </c>
      <c r="D140" s="55" t="s">
        <v>1070</v>
      </c>
      <c r="E140" s="3" t="s">
        <v>1070</v>
      </c>
      <c r="F140" s="5" t="s">
        <v>1071</v>
      </c>
      <c r="G140" s="5" t="s">
        <v>626</v>
      </c>
      <c r="H140" s="39" t="s">
        <v>1404</v>
      </c>
      <c r="I140" s="7">
        <v>5970149.253731343</v>
      </c>
      <c r="J140" s="7">
        <v>11940298.507462686</v>
      </c>
      <c r="K140" s="7">
        <v>21194029.850746267</v>
      </c>
      <c r="L140" s="8">
        <v>46</v>
      </c>
      <c r="M140" s="7">
        <v>323207</v>
      </c>
      <c r="N140" s="7">
        <v>56417910.447761193</v>
      </c>
      <c r="O140" s="7">
        <v>58576718</v>
      </c>
      <c r="P140" s="7">
        <v>59263153</v>
      </c>
      <c r="Q140" s="92">
        <f t="shared" si="4"/>
        <v>686435</v>
      </c>
      <c r="R140" s="5" t="s">
        <v>602</v>
      </c>
      <c r="S140" s="5" t="s">
        <v>598</v>
      </c>
      <c r="T140" s="5" t="s">
        <v>616</v>
      </c>
      <c r="U140" s="5" t="s">
        <v>1390</v>
      </c>
      <c r="V140" s="5" t="s">
        <v>2327</v>
      </c>
      <c r="W140" s="5" t="s">
        <v>1071</v>
      </c>
      <c r="X140" s="5" t="s">
        <v>2328</v>
      </c>
      <c r="Y140" s="5" t="s">
        <v>2329</v>
      </c>
      <c r="Z140" s="5" t="s">
        <v>2330</v>
      </c>
      <c r="AA140" s="5" t="s">
        <v>2331</v>
      </c>
      <c r="AB140" s="5"/>
      <c r="AC140" s="5" t="s">
        <v>2332</v>
      </c>
      <c r="AD140" s="62">
        <v>8.6</v>
      </c>
      <c r="AE140" t="str">
        <f>VLOOKUP($F140,FromYabin!$C$2:$C$112,1,FALSE)</f>
        <v>The Devotion of Suspect X</v>
      </c>
    </row>
    <row r="141" spans="1:31" hidden="1">
      <c r="A141" s="4">
        <v>2017</v>
      </c>
      <c r="B141" s="4" t="s">
        <v>44</v>
      </c>
      <c r="C141" s="3">
        <f t="shared" si="5"/>
        <v>140</v>
      </c>
      <c r="D141" s="55" t="s">
        <v>1072</v>
      </c>
      <c r="E141" s="3" t="s">
        <v>1072</v>
      </c>
      <c r="F141" s="5" t="s">
        <v>1073</v>
      </c>
      <c r="G141" s="5" t="s">
        <v>626</v>
      </c>
      <c r="H141" s="39" t="s">
        <v>1404</v>
      </c>
      <c r="I141" s="7">
        <v>20000000</v>
      </c>
      <c r="J141" s="57"/>
      <c r="K141" s="7"/>
      <c r="L141" s="8">
        <v>42</v>
      </c>
      <c r="M141" s="7">
        <v>224942</v>
      </c>
      <c r="N141" s="7"/>
      <c r="O141" s="7">
        <v>43301061</v>
      </c>
      <c r="P141" s="7">
        <v>43888531</v>
      </c>
      <c r="Q141" s="92">
        <f t="shared" si="4"/>
        <v>587470</v>
      </c>
      <c r="R141" s="5" t="s">
        <v>606</v>
      </c>
      <c r="S141" s="5" t="s">
        <v>598</v>
      </c>
      <c r="T141" s="5" t="s">
        <v>616</v>
      </c>
      <c r="U141" s="5" t="s">
        <v>1390</v>
      </c>
      <c r="V141" s="39" t="s">
        <v>2333</v>
      </c>
      <c r="W141" s="39" t="s">
        <v>2334</v>
      </c>
      <c r="X141" s="39" t="s">
        <v>1639</v>
      </c>
      <c r="Y141" s="39" t="s">
        <v>2335</v>
      </c>
      <c r="Z141" s="39" t="s">
        <v>2336</v>
      </c>
      <c r="AA141" s="39" t="s">
        <v>2337</v>
      </c>
      <c r="AB141" s="5"/>
      <c r="AC141" s="39" t="s">
        <v>2338</v>
      </c>
      <c r="AD141" s="59">
        <v>8.6</v>
      </c>
      <c r="AE141" t="e">
        <f>VLOOKUP($F141,FromYabin!$C$2:$C$112,1,FALSE)</f>
        <v>#N/A</v>
      </c>
    </row>
    <row r="142" spans="1:31" hidden="1">
      <c r="A142" s="4">
        <v>2017</v>
      </c>
      <c r="B142" s="4" t="s">
        <v>44</v>
      </c>
      <c r="C142" s="3">
        <f t="shared" si="5"/>
        <v>141</v>
      </c>
      <c r="D142" s="55" t="s">
        <v>1074</v>
      </c>
      <c r="E142" s="22" t="s">
        <v>2339</v>
      </c>
      <c r="F142" s="5" t="s">
        <v>1075</v>
      </c>
      <c r="G142" s="5" t="s">
        <v>601</v>
      </c>
      <c r="H142" s="5" t="s">
        <v>131</v>
      </c>
      <c r="I142" s="7">
        <v>29850746.268656716</v>
      </c>
      <c r="J142" s="7">
        <v>14925373.134328358</v>
      </c>
      <c r="K142" s="7">
        <v>28208955.223880596</v>
      </c>
      <c r="L142" s="8">
        <v>51</v>
      </c>
      <c r="M142" s="7">
        <v>249933</v>
      </c>
      <c r="N142" s="7">
        <v>74776119.402985066</v>
      </c>
      <c r="O142" s="7">
        <v>82406221</v>
      </c>
      <c r="P142" s="7">
        <v>82891949</v>
      </c>
      <c r="Q142" s="92">
        <f t="shared" si="4"/>
        <v>485728</v>
      </c>
      <c r="R142" s="5" t="s">
        <v>602</v>
      </c>
      <c r="S142" s="5" t="s">
        <v>598</v>
      </c>
      <c r="T142" s="5" t="s">
        <v>603</v>
      </c>
      <c r="U142" s="5" t="s">
        <v>1390</v>
      </c>
      <c r="V142" s="5" t="s">
        <v>2340</v>
      </c>
      <c r="W142" s="5" t="s">
        <v>1075</v>
      </c>
      <c r="X142" s="5" t="s">
        <v>2014</v>
      </c>
      <c r="Y142" s="5" t="s">
        <v>2341</v>
      </c>
      <c r="Z142" s="5"/>
      <c r="AA142" s="5" t="s">
        <v>2342</v>
      </c>
      <c r="AB142" s="5" t="s">
        <v>2343</v>
      </c>
      <c r="AC142" s="5" t="s">
        <v>2344</v>
      </c>
      <c r="AD142" s="62">
        <v>7.1</v>
      </c>
      <c r="AE142" t="str">
        <f>VLOOKUP($F142,FromYabin!$C$2:$C$112,1,FALSE)</f>
        <v>Once Upon a Time</v>
      </c>
    </row>
    <row r="143" spans="1:31" hidden="1">
      <c r="A143" s="4">
        <v>2017</v>
      </c>
      <c r="B143" s="4" t="s">
        <v>44</v>
      </c>
      <c r="C143" s="3">
        <f t="shared" si="5"/>
        <v>142</v>
      </c>
      <c r="D143" s="55" t="s">
        <v>1076</v>
      </c>
      <c r="E143" s="3" t="s">
        <v>1076</v>
      </c>
      <c r="F143" s="5" t="s">
        <v>1077</v>
      </c>
      <c r="G143" s="5" t="s">
        <v>626</v>
      </c>
      <c r="H143" s="5" t="s">
        <v>131</v>
      </c>
      <c r="I143" s="7">
        <v>23880597</v>
      </c>
      <c r="J143" s="7">
        <v>8955223</v>
      </c>
      <c r="K143" s="7">
        <v>56119402</v>
      </c>
      <c r="L143" s="8">
        <v>30</v>
      </c>
      <c r="M143" s="7">
        <v>160739</v>
      </c>
      <c r="N143" s="7">
        <v>145970149</v>
      </c>
      <c r="O143" s="7">
        <v>152549032</v>
      </c>
      <c r="P143" s="7">
        <v>153018738</v>
      </c>
      <c r="Q143" s="92">
        <f t="shared" si="4"/>
        <v>469706</v>
      </c>
      <c r="R143" s="5" t="s">
        <v>606</v>
      </c>
      <c r="S143" s="5" t="s">
        <v>598</v>
      </c>
      <c r="T143" s="5" t="s">
        <v>616</v>
      </c>
      <c r="U143" s="5" t="s">
        <v>1390</v>
      </c>
      <c r="V143" s="5" t="s">
        <v>2345</v>
      </c>
      <c r="W143" s="5" t="s">
        <v>2346</v>
      </c>
      <c r="X143" s="5" t="s">
        <v>2045</v>
      </c>
      <c r="Y143" s="5" t="s">
        <v>2025</v>
      </c>
      <c r="Z143" s="5"/>
      <c r="AA143" s="5" t="s">
        <v>2195</v>
      </c>
      <c r="AB143" s="5"/>
      <c r="AC143" s="5" t="s">
        <v>2196</v>
      </c>
      <c r="AD143" s="62">
        <v>8.6999999999999993</v>
      </c>
      <c r="AE143" t="str">
        <f>VLOOKUP($F143,FromYabin!$C$2:$C$112,1,FALSE)</f>
        <v>Cheng feng po lang</v>
      </c>
    </row>
    <row r="144" spans="1:31" hidden="1">
      <c r="A144" s="4">
        <v>2017</v>
      </c>
      <c r="B144" s="4" t="s">
        <v>44</v>
      </c>
      <c r="C144" s="3">
        <f t="shared" si="5"/>
        <v>143</v>
      </c>
      <c r="D144" s="55" t="s">
        <v>1080</v>
      </c>
      <c r="E144" s="3" t="s">
        <v>1080</v>
      </c>
      <c r="F144" s="5" t="s">
        <v>1081</v>
      </c>
      <c r="G144" s="5" t="s">
        <v>601</v>
      </c>
      <c r="H144" s="5" t="s">
        <v>129</v>
      </c>
      <c r="I144" s="7">
        <v>59701492</v>
      </c>
      <c r="J144" s="7">
        <v>11940298</v>
      </c>
      <c r="K144" s="7">
        <v>95373134</v>
      </c>
      <c r="L144" s="8">
        <v>245373134</v>
      </c>
      <c r="M144" s="7">
        <v>111979</v>
      </c>
      <c r="N144" s="7">
        <v>245373134</v>
      </c>
      <c r="O144" s="7">
        <v>255641470</v>
      </c>
      <c r="P144" s="7">
        <v>256004127</v>
      </c>
      <c r="Q144" s="92">
        <f t="shared" si="4"/>
        <v>362657</v>
      </c>
      <c r="R144" s="5" t="s">
        <v>606</v>
      </c>
      <c r="S144" s="5" t="s">
        <v>598</v>
      </c>
      <c r="T144" s="5" t="s">
        <v>616</v>
      </c>
      <c r="U144" s="5" t="s">
        <v>1390</v>
      </c>
      <c r="V144" s="5" t="s">
        <v>2347</v>
      </c>
      <c r="W144" s="5" t="s">
        <v>2348</v>
      </c>
      <c r="X144" s="5" t="s">
        <v>2008</v>
      </c>
      <c r="Y144" s="5"/>
      <c r="Z144" s="5"/>
      <c r="AA144" s="5" t="s">
        <v>2349</v>
      </c>
      <c r="AB144" s="5"/>
      <c r="AC144" s="5" t="s">
        <v>2350</v>
      </c>
      <c r="AD144" s="62">
        <v>8.4</v>
      </c>
      <c r="AE144" t="str">
        <f>VLOOKUP($F144,FromYabin!$C$2:$C$112,1,FALSE)</f>
        <v>Gong fu yu jia</v>
      </c>
    </row>
    <row r="145" spans="1:31" hidden="1">
      <c r="A145" s="4">
        <v>2017</v>
      </c>
      <c r="B145" s="4" t="s">
        <v>44</v>
      </c>
      <c r="C145" s="3">
        <f t="shared" si="5"/>
        <v>144</v>
      </c>
      <c r="D145" s="55" t="s">
        <v>1082</v>
      </c>
      <c r="E145" s="3" t="s">
        <v>1082</v>
      </c>
      <c r="F145" s="5" t="s">
        <v>1083</v>
      </c>
      <c r="G145" s="5" t="s">
        <v>601</v>
      </c>
      <c r="H145" s="5" t="s">
        <v>136</v>
      </c>
      <c r="I145" s="7">
        <v>10447761.194029851</v>
      </c>
      <c r="J145" s="7">
        <v>5970149.253731343</v>
      </c>
      <c r="K145" s="7">
        <v>11035820.895522388</v>
      </c>
      <c r="L145" s="8">
        <v>36</v>
      </c>
      <c r="M145" s="7">
        <v>135252</v>
      </c>
      <c r="N145" s="7">
        <v>29552238.805970147</v>
      </c>
      <c r="O145" s="7">
        <v>30658944</v>
      </c>
      <c r="P145" s="7">
        <v>30996614</v>
      </c>
      <c r="Q145" s="92">
        <f t="shared" si="4"/>
        <v>337670</v>
      </c>
      <c r="R145" s="5" t="s">
        <v>606</v>
      </c>
      <c r="S145" s="5" t="s">
        <v>598</v>
      </c>
      <c r="T145" s="5" t="s">
        <v>616</v>
      </c>
      <c r="U145" s="5" t="s">
        <v>1390</v>
      </c>
      <c r="V145" s="5" t="s">
        <v>2351</v>
      </c>
      <c r="W145" s="5" t="s">
        <v>1083</v>
      </c>
      <c r="X145" s="5" t="s">
        <v>2352</v>
      </c>
      <c r="Y145" s="5" t="s">
        <v>2122</v>
      </c>
      <c r="Z145" s="5"/>
      <c r="AA145" s="5" t="s">
        <v>2353</v>
      </c>
      <c r="AB145" s="5"/>
      <c r="AC145" s="5" t="s">
        <v>2354</v>
      </c>
      <c r="AD145" s="62">
        <v>8.9</v>
      </c>
      <c r="AE145" t="str">
        <f>VLOOKUP($F145,FromYabin!$C$2:$C$112,1,FALSE)</f>
        <v>This Is Not What I Expected</v>
      </c>
    </row>
    <row r="146" spans="1:31" hidden="1">
      <c r="A146" s="4">
        <v>2017</v>
      </c>
      <c r="B146" s="4" t="s">
        <v>44</v>
      </c>
      <c r="C146" s="3">
        <f t="shared" si="5"/>
        <v>145</v>
      </c>
      <c r="D146" s="55" t="s">
        <v>1084</v>
      </c>
      <c r="E146" s="3" t="s">
        <v>1084</v>
      </c>
      <c r="F146" s="5" t="s">
        <v>1085</v>
      </c>
      <c r="G146" s="5" t="s">
        <v>601</v>
      </c>
      <c r="H146" s="5" t="s">
        <v>264</v>
      </c>
      <c r="I146" s="7">
        <v>10447761</v>
      </c>
      <c r="J146" s="7">
        <v>7462686</v>
      </c>
      <c r="K146" s="7">
        <v>24179104</v>
      </c>
      <c r="L146" s="8">
        <v>43</v>
      </c>
      <c r="M146" s="7">
        <v>115524</v>
      </c>
      <c r="N146" s="7">
        <v>64328358</v>
      </c>
      <c r="O146" s="7">
        <v>68409784</v>
      </c>
      <c r="P146" s="7">
        <v>68722321</v>
      </c>
      <c r="Q146" s="92">
        <f t="shared" si="4"/>
        <v>312537</v>
      </c>
      <c r="R146" s="5" t="s">
        <v>606</v>
      </c>
      <c r="S146" s="5" t="s">
        <v>598</v>
      </c>
      <c r="T146" s="5" t="s">
        <v>616</v>
      </c>
      <c r="U146" s="5" t="s">
        <v>1390</v>
      </c>
      <c r="V146" s="5" t="s">
        <v>2355</v>
      </c>
      <c r="W146" s="5" t="s">
        <v>2356</v>
      </c>
      <c r="X146" s="5" t="s">
        <v>2357</v>
      </c>
      <c r="Y146" s="5" t="s">
        <v>2132</v>
      </c>
      <c r="Z146" s="5"/>
      <c r="AA146" s="5" t="s">
        <v>2357</v>
      </c>
      <c r="AB146" s="5"/>
      <c r="AC146" s="5" t="s">
        <v>2358</v>
      </c>
      <c r="AD146" s="62">
        <v>9.1999999999999993</v>
      </c>
      <c r="AE146" t="str">
        <f>VLOOKUP($F146,FromYabin!$C$2:$C$112,1,FALSE)</f>
        <v>Feng Ren Ji Yue Dui</v>
      </c>
    </row>
    <row r="147" spans="1:31" hidden="1">
      <c r="A147" s="4">
        <v>2017</v>
      </c>
      <c r="B147" s="4" t="s">
        <v>44</v>
      </c>
      <c r="C147" s="3">
        <f t="shared" si="5"/>
        <v>146</v>
      </c>
      <c r="D147" s="55" t="s">
        <v>1080</v>
      </c>
      <c r="E147" s="3" t="s">
        <v>1080</v>
      </c>
      <c r="F147" s="5" t="s">
        <v>1086</v>
      </c>
      <c r="G147" s="5" t="s">
        <v>626</v>
      </c>
      <c r="H147" s="5" t="s">
        <v>129</v>
      </c>
      <c r="I147" s="7">
        <v>17910447.761194028</v>
      </c>
      <c r="J147" s="7">
        <v>8955223.880597014</v>
      </c>
      <c r="K147" s="7">
        <v>40895522.388059698</v>
      </c>
      <c r="L147" s="8">
        <v>55</v>
      </c>
      <c r="M147" s="7">
        <v>181705</v>
      </c>
      <c r="N147" s="7">
        <v>107164179.10447761</v>
      </c>
      <c r="O147" s="7">
        <v>109911139</v>
      </c>
      <c r="P147" s="7">
        <v>110203801</v>
      </c>
      <c r="Q147" s="92">
        <f t="shared" si="4"/>
        <v>292662</v>
      </c>
      <c r="R147" s="5" t="s">
        <v>606</v>
      </c>
      <c r="S147" s="5" t="s">
        <v>598</v>
      </c>
      <c r="T147" s="5" t="s">
        <v>616</v>
      </c>
      <c r="U147" s="5" t="s">
        <v>1390</v>
      </c>
      <c r="V147" s="5" t="s">
        <v>2359</v>
      </c>
      <c r="W147" s="5" t="s">
        <v>1086</v>
      </c>
      <c r="X147" s="5" t="s">
        <v>1946</v>
      </c>
      <c r="Y147" s="5"/>
      <c r="Z147" s="5"/>
      <c r="AA147" s="5" t="s">
        <v>1946</v>
      </c>
      <c r="AB147" s="5"/>
      <c r="AC147" s="5" t="s">
        <v>2360</v>
      </c>
      <c r="AD147" s="62">
        <v>7.4</v>
      </c>
      <c r="AE147" t="str">
        <f>VLOOKUP($F147,FromYabin!$C$2:$C$112,1,FALSE)</f>
        <v>Buddies in India</v>
      </c>
    </row>
    <row r="148" spans="1:31" hidden="1">
      <c r="A148" s="4">
        <v>2017</v>
      </c>
      <c r="B148" s="4" t="s">
        <v>44</v>
      </c>
      <c r="C148" s="3">
        <f t="shared" si="5"/>
        <v>147</v>
      </c>
      <c r="D148" s="55" t="s">
        <v>1089</v>
      </c>
      <c r="E148" s="3" t="s">
        <v>1089</v>
      </c>
      <c r="F148" s="5" t="s">
        <v>1090</v>
      </c>
      <c r="G148" s="5" t="s">
        <v>601</v>
      </c>
      <c r="H148" s="5" t="s">
        <v>1404</v>
      </c>
      <c r="I148" s="7">
        <v>11940298.507462686</v>
      </c>
      <c r="J148" s="7">
        <v>2985074.6268656715</v>
      </c>
      <c r="K148" s="7">
        <v>122141791.04477611</v>
      </c>
      <c r="L148" s="41">
        <v>60692</v>
      </c>
      <c r="M148" s="42">
        <v>22180000</v>
      </c>
      <c r="N148" s="7">
        <v>32686567.164179105</v>
      </c>
      <c r="O148" s="7">
        <v>36585148</v>
      </c>
      <c r="P148" s="7">
        <v>36801704</v>
      </c>
      <c r="Q148" s="92">
        <f t="shared" si="4"/>
        <v>216556</v>
      </c>
      <c r="R148" s="5" t="s">
        <v>606</v>
      </c>
      <c r="S148" s="5" t="s">
        <v>598</v>
      </c>
      <c r="T148" s="5" t="s">
        <v>616</v>
      </c>
      <c r="U148" s="5" t="s">
        <v>1390</v>
      </c>
      <c r="V148" s="5" t="s">
        <v>2361</v>
      </c>
      <c r="W148" s="5" t="s">
        <v>1090</v>
      </c>
      <c r="X148" s="5" t="s">
        <v>2362</v>
      </c>
      <c r="Y148" s="5" t="s">
        <v>2363</v>
      </c>
      <c r="Z148" s="5"/>
      <c r="AA148" s="5" t="s">
        <v>2364</v>
      </c>
      <c r="AB148" s="5"/>
      <c r="AC148" s="5" t="s">
        <v>2365</v>
      </c>
      <c r="AD148" s="62">
        <v>8.1</v>
      </c>
      <c r="AE148" t="str">
        <f>VLOOKUP($F148,FromYabin!$C$2:$C$112,1,FALSE)</f>
        <v>The Adventurers</v>
      </c>
    </row>
    <row r="149" spans="1:31" hidden="1">
      <c r="A149" s="4">
        <v>2017</v>
      </c>
      <c r="B149" s="4" t="s">
        <v>44</v>
      </c>
      <c r="C149" s="3">
        <f t="shared" si="5"/>
        <v>148</v>
      </c>
      <c r="D149" s="55" t="s">
        <v>1091</v>
      </c>
      <c r="E149" s="3" t="s">
        <v>1091</v>
      </c>
      <c r="F149" s="5" t="s">
        <v>1092</v>
      </c>
      <c r="G149" s="5" t="s">
        <v>626</v>
      </c>
      <c r="H149" s="5" t="s">
        <v>129</v>
      </c>
      <c r="I149" s="7">
        <v>7462686.5671641789</v>
      </c>
      <c r="J149" s="7">
        <v>2985074.6268656715</v>
      </c>
      <c r="K149" s="7">
        <v>2562089.5522388057</v>
      </c>
      <c r="L149" s="8">
        <v>33</v>
      </c>
      <c r="M149" s="7">
        <v>55307</v>
      </c>
      <c r="N149" s="7">
        <v>6984776.1194029851</v>
      </c>
      <c r="O149" s="7">
        <v>7618024</v>
      </c>
      <c r="P149" s="7">
        <v>7736408</v>
      </c>
      <c r="Q149" s="92">
        <f t="shared" si="4"/>
        <v>118384</v>
      </c>
      <c r="R149" s="5" t="s">
        <v>606</v>
      </c>
      <c r="S149" s="5" t="s">
        <v>598</v>
      </c>
      <c r="T149" s="5" t="s">
        <v>616</v>
      </c>
      <c r="U149" s="5" t="s">
        <v>1390</v>
      </c>
      <c r="V149" s="5" t="s">
        <v>2366</v>
      </c>
      <c r="W149" s="5" t="s">
        <v>2367</v>
      </c>
      <c r="X149" s="5" t="s">
        <v>2019</v>
      </c>
      <c r="Y149" s="5" t="s">
        <v>2188</v>
      </c>
      <c r="Z149" s="5" t="s">
        <v>2266</v>
      </c>
      <c r="AA149" s="5" t="s">
        <v>2368</v>
      </c>
      <c r="AB149" s="5"/>
      <c r="AC149" s="5" t="s">
        <v>2369</v>
      </c>
      <c r="AD149" s="62">
        <v>8.1999999999999993</v>
      </c>
      <c r="AE149" t="str">
        <f>VLOOKUP($F149,FromYabin!$C$2:$C$112,1,FALSE)</f>
        <v>Yin Bao Zhe</v>
      </c>
    </row>
    <row r="150" spans="1:31" hidden="1">
      <c r="A150" s="4">
        <v>2017</v>
      </c>
      <c r="B150" s="4" t="s">
        <v>44</v>
      </c>
      <c r="C150" s="3">
        <f t="shared" si="5"/>
        <v>149</v>
      </c>
      <c r="D150" s="55" t="s">
        <v>1095</v>
      </c>
      <c r="E150" s="3" t="s">
        <v>1095</v>
      </c>
      <c r="F150" s="5" t="s">
        <v>1096</v>
      </c>
      <c r="G150" s="5" t="s">
        <v>601</v>
      </c>
      <c r="H150" s="5" t="s">
        <v>129</v>
      </c>
      <c r="I150" s="7">
        <v>11940298</v>
      </c>
      <c r="J150" s="7">
        <v>4477611</v>
      </c>
      <c r="K150" s="7">
        <v>10474626</v>
      </c>
      <c r="L150" s="8">
        <v>20</v>
      </c>
      <c r="M150" s="7">
        <v>54276</v>
      </c>
      <c r="N150" s="7">
        <v>16119402</v>
      </c>
      <c r="O150" s="7">
        <v>29836276</v>
      </c>
      <c r="P150" s="7">
        <v>29945246</v>
      </c>
      <c r="Q150" s="92">
        <f t="shared" si="4"/>
        <v>108970</v>
      </c>
      <c r="R150" s="5" t="s">
        <v>606</v>
      </c>
      <c r="S150" s="5" t="s">
        <v>598</v>
      </c>
      <c r="T150" s="5" t="s">
        <v>607</v>
      </c>
      <c r="U150" s="5" t="s">
        <v>1390</v>
      </c>
      <c r="V150" s="5" t="s">
        <v>2370</v>
      </c>
      <c r="W150" s="5" t="s">
        <v>2371</v>
      </c>
      <c r="X150" s="5" t="s">
        <v>2372</v>
      </c>
      <c r="Y150" s="5" t="s">
        <v>2373</v>
      </c>
      <c r="Z150" s="10"/>
      <c r="AA150" s="5" t="s">
        <v>2374</v>
      </c>
      <c r="AB150" s="5"/>
      <c r="AC150" s="5" t="s">
        <v>2375</v>
      </c>
      <c r="AD150" s="62">
        <v>7.9</v>
      </c>
      <c r="AE150" t="str">
        <f>VLOOKUP($F150,FromYabin!$C$2:$C$112,1,FALSE)</f>
        <v>Ni Shi Ying Jiu</v>
      </c>
    </row>
    <row r="151" spans="1:31" hidden="1">
      <c r="A151" s="4">
        <v>2017</v>
      </c>
      <c r="B151" s="4" t="s">
        <v>44</v>
      </c>
      <c r="C151" s="3">
        <f t="shared" si="5"/>
        <v>150</v>
      </c>
      <c r="D151" s="55" t="s">
        <v>1097</v>
      </c>
      <c r="E151" s="3" t="s">
        <v>1097</v>
      </c>
      <c r="F151" s="5" t="s">
        <v>1098</v>
      </c>
      <c r="G151" s="5" t="s">
        <v>601</v>
      </c>
      <c r="H151" s="5" t="s">
        <v>129</v>
      </c>
      <c r="I151" s="7">
        <v>14925373.134328358</v>
      </c>
      <c r="J151" s="7">
        <v>2985074.6268656715</v>
      </c>
      <c r="K151" s="7">
        <v>3342686.5671641789</v>
      </c>
      <c r="L151" s="8">
        <v>27</v>
      </c>
      <c r="M151" s="7">
        <v>23912</v>
      </c>
      <c r="N151" s="7">
        <v>9089402.9850746263</v>
      </c>
      <c r="O151" s="7">
        <v>9506524</v>
      </c>
      <c r="P151" s="7">
        <v>9560020</v>
      </c>
      <c r="Q151" s="92">
        <f t="shared" si="4"/>
        <v>53496</v>
      </c>
      <c r="R151" s="5" t="s">
        <v>606</v>
      </c>
      <c r="S151" s="5" t="s">
        <v>598</v>
      </c>
      <c r="T151" s="5" t="s">
        <v>658</v>
      </c>
      <c r="U151" s="5" t="s">
        <v>1390</v>
      </c>
      <c r="V151" s="5" t="s">
        <v>2376</v>
      </c>
      <c r="W151" s="5" t="s">
        <v>2377</v>
      </c>
      <c r="X151" s="5" t="s">
        <v>2378</v>
      </c>
      <c r="Y151" s="5" t="s">
        <v>2379</v>
      </c>
      <c r="Z151" s="10"/>
      <c r="AA151" s="5" t="s">
        <v>2380</v>
      </c>
      <c r="AB151" s="5"/>
      <c r="AC151" s="5" t="s">
        <v>1954</v>
      </c>
      <c r="AD151" s="62">
        <v>8.3000000000000007</v>
      </c>
      <c r="AE151" t="str">
        <f>VLOOKUP($F151,FromYabin!$C$2:$C$112,1,FALSE)</f>
        <v>God of War</v>
      </c>
    </row>
    <row r="152" spans="1:31" hidden="1">
      <c r="A152" s="4">
        <v>2017</v>
      </c>
      <c r="B152" s="4" t="s">
        <v>44</v>
      </c>
      <c r="C152" s="3">
        <f t="shared" si="5"/>
        <v>151</v>
      </c>
      <c r="D152" s="55" t="s">
        <v>1099</v>
      </c>
      <c r="E152" s="3" t="s">
        <v>1099</v>
      </c>
      <c r="F152" s="5" t="s">
        <v>1100</v>
      </c>
      <c r="G152" s="5" t="s">
        <v>626</v>
      </c>
      <c r="H152" s="5" t="s">
        <v>131</v>
      </c>
      <c r="I152" s="7">
        <v>8955223</v>
      </c>
      <c r="J152" s="7">
        <v>2238805</v>
      </c>
      <c r="K152" s="7">
        <v>908955</v>
      </c>
      <c r="L152" s="8">
        <v>6</v>
      </c>
      <c r="M152" s="7">
        <v>5942</v>
      </c>
      <c r="N152" s="7">
        <v>2480597</v>
      </c>
      <c r="O152" s="7">
        <v>2580320</v>
      </c>
      <c r="P152" s="7">
        <v>2632086</v>
      </c>
      <c r="Q152" s="92">
        <f t="shared" si="4"/>
        <v>51766</v>
      </c>
      <c r="R152" s="5" t="s">
        <v>606</v>
      </c>
      <c r="S152" s="5" t="s">
        <v>598</v>
      </c>
      <c r="T152" s="5" t="s">
        <v>616</v>
      </c>
      <c r="U152" s="5" t="s">
        <v>1390</v>
      </c>
      <c r="V152" s="5" t="s">
        <v>2381</v>
      </c>
      <c r="W152" s="5" t="s">
        <v>2382</v>
      </c>
      <c r="X152" s="5" t="s">
        <v>2383</v>
      </c>
      <c r="Y152" s="5" t="s">
        <v>2266</v>
      </c>
      <c r="Z152" s="10"/>
      <c r="AA152" s="5" t="s">
        <v>2384</v>
      </c>
      <c r="AB152" s="5"/>
      <c r="AC152" s="5" t="s">
        <v>2369</v>
      </c>
      <c r="AD152" s="62">
        <v>8.1999999999999993</v>
      </c>
      <c r="AE152" t="str">
        <f>VLOOKUP($F152,FromYabin!$C$2:$C$112,1,FALSE)</f>
        <v>Mei Hao De Yi Wai</v>
      </c>
    </row>
    <row r="153" spans="1:31" hidden="1">
      <c r="A153" s="4">
        <v>2017</v>
      </c>
      <c r="B153" s="4" t="s">
        <v>44</v>
      </c>
      <c r="C153" s="3">
        <f t="shared" si="5"/>
        <v>152</v>
      </c>
      <c r="D153" s="55" t="s">
        <v>1105</v>
      </c>
      <c r="E153" s="3" t="s">
        <v>1105</v>
      </c>
      <c r="F153" s="5" t="s">
        <v>1106</v>
      </c>
      <c r="G153" s="5" t="s">
        <v>626</v>
      </c>
      <c r="H153" s="5" t="s">
        <v>191</v>
      </c>
      <c r="I153" s="7">
        <v>447761.19402985071</v>
      </c>
      <c r="J153" s="7">
        <v>119402.98507462686</v>
      </c>
      <c r="K153" s="7">
        <v>8679104.4776119404</v>
      </c>
      <c r="L153" s="8">
        <v>11</v>
      </c>
      <c r="M153" s="7">
        <v>22222</v>
      </c>
      <c r="N153" s="7">
        <v>23283582.089552239</v>
      </c>
      <c r="O153" s="7">
        <v>25711603</v>
      </c>
      <c r="P153" s="7">
        <v>25733825</v>
      </c>
      <c r="Q153" s="92">
        <f t="shared" si="4"/>
        <v>22222</v>
      </c>
      <c r="R153" s="5" t="s">
        <v>597</v>
      </c>
      <c r="S153" s="5" t="s">
        <v>598</v>
      </c>
      <c r="T153" s="5" t="s">
        <v>599</v>
      </c>
      <c r="U153" s="5" t="s">
        <v>1390</v>
      </c>
      <c r="V153" s="5" t="s">
        <v>2385</v>
      </c>
      <c r="W153" s="5" t="s">
        <v>1106</v>
      </c>
      <c r="X153" s="39" t="s">
        <v>3047</v>
      </c>
      <c r="Y153" s="39" t="s">
        <v>3048</v>
      </c>
      <c r="Z153" s="50" t="s">
        <v>3049</v>
      </c>
      <c r="AA153" s="5" t="s">
        <v>2386</v>
      </c>
      <c r="AB153" s="5"/>
      <c r="AC153" s="5" t="s">
        <v>2387</v>
      </c>
      <c r="AD153" s="62">
        <v>9.1999999999999993</v>
      </c>
      <c r="AE153" t="e">
        <f>VLOOKUP($F153,FromYabin!$C$2:$C$112,1,FALSE)</f>
        <v>#N/A</v>
      </c>
    </row>
    <row r="154" spans="1:31" hidden="1">
      <c r="A154" s="4">
        <v>2017</v>
      </c>
      <c r="B154" s="4" t="s">
        <v>44</v>
      </c>
      <c r="C154" s="3">
        <f t="shared" si="5"/>
        <v>153</v>
      </c>
      <c r="D154" s="55" t="s">
        <v>1107</v>
      </c>
      <c r="E154" s="3" t="s">
        <v>1107</v>
      </c>
      <c r="F154" s="5" t="s">
        <v>1108</v>
      </c>
      <c r="G154" s="5" t="s">
        <v>601</v>
      </c>
      <c r="H154" s="5" t="s">
        <v>129</v>
      </c>
      <c r="I154" s="7">
        <v>17910447</v>
      </c>
      <c r="J154" s="7">
        <v>2985074</v>
      </c>
      <c r="K154" s="7">
        <v>5985074</v>
      </c>
      <c r="L154" s="8">
        <v>4</v>
      </c>
      <c r="M154" s="7">
        <v>5122</v>
      </c>
      <c r="N154" s="7">
        <v>16119402</v>
      </c>
      <c r="O154" s="7">
        <v>17269548</v>
      </c>
      <c r="P154" s="7">
        <v>17283136</v>
      </c>
      <c r="Q154" s="92">
        <f t="shared" si="4"/>
        <v>13588</v>
      </c>
      <c r="R154" s="5" t="s">
        <v>606</v>
      </c>
      <c r="S154" s="5" t="s">
        <v>598</v>
      </c>
      <c r="T154" s="5" t="s">
        <v>603</v>
      </c>
      <c r="U154" s="5" t="s">
        <v>1390</v>
      </c>
      <c r="V154" s="5" t="s">
        <v>2388</v>
      </c>
      <c r="W154" s="5" t="s">
        <v>2389</v>
      </c>
      <c r="X154" s="5" t="s">
        <v>2289</v>
      </c>
      <c r="Y154" s="5" t="s">
        <v>1699</v>
      </c>
      <c r="Z154" s="10"/>
      <c r="AA154" s="5" t="s">
        <v>2390</v>
      </c>
      <c r="AB154" s="5"/>
      <c r="AC154" s="5" t="s">
        <v>2048</v>
      </c>
      <c r="AD154" s="62">
        <v>7.9</v>
      </c>
      <c r="AE154" t="str">
        <f>VLOOKUP($F154,FromYabin!$C$2:$C$112,1,FALSE)</f>
        <v>Jiao Zhu Chuan</v>
      </c>
    </row>
    <row r="155" spans="1:31" hidden="1">
      <c r="A155" s="4">
        <v>2017</v>
      </c>
      <c r="B155" s="4" t="s">
        <v>44</v>
      </c>
      <c r="C155" s="3">
        <f t="shared" si="5"/>
        <v>154</v>
      </c>
      <c r="D155" s="55" t="s">
        <v>1126</v>
      </c>
      <c r="E155" s="3" t="s">
        <v>2391</v>
      </c>
      <c r="F155" s="5" t="s">
        <v>1138</v>
      </c>
      <c r="G155" s="5" t="s">
        <v>2392</v>
      </c>
      <c r="H155" s="5" t="s">
        <v>131</v>
      </c>
      <c r="I155" s="7">
        <v>447761.19402985071</v>
      </c>
      <c r="J155" s="7">
        <v>298507.46268656716</v>
      </c>
      <c r="K155" s="7">
        <v>1277611.9402985075</v>
      </c>
      <c r="L155" s="41">
        <v>6214</v>
      </c>
      <c r="M155" s="42">
        <v>280000</v>
      </c>
      <c r="N155" s="7">
        <v>3483582.0895522386</v>
      </c>
      <c r="O155" s="7">
        <v>3741863</v>
      </c>
      <c r="P155" s="7">
        <v>3741863</v>
      </c>
      <c r="Q155" s="7">
        <f t="shared" si="4"/>
        <v>0</v>
      </c>
      <c r="R155" s="5" t="s">
        <v>606</v>
      </c>
      <c r="S155" s="5" t="s">
        <v>598</v>
      </c>
      <c r="T155" s="5" t="s">
        <v>612</v>
      </c>
      <c r="U155" s="5" t="s">
        <v>2984</v>
      </c>
      <c r="V155" s="5" t="s">
        <v>2393</v>
      </c>
      <c r="W155" s="5" t="s">
        <v>1138</v>
      </c>
      <c r="X155" s="5" t="s">
        <v>2394</v>
      </c>
      <c r="Y155" s="5" t="s">
        <v>2395</v>
      </c>
      <c r="Z155" s="10"/>
      <c r="AA155" s="5" t="s">
        <v>2396</v>
      </c>
      <c r="AB155" s="5"/>
      <c r="AC155" s="5" t="s">
        <v>2392</v>
      </c>
      <c r="AD155" s="62">
        <v>9.1999999999999993</v>
      </c>
      <c r="AE155" t="str">
        <f>VLOOKUP($F155,FromYabin!$C$2:$C$112,1,FALSE)</f>
        <v>Love Without Words</v>
      </c>
    </row>
    <row r="156" spans="1:31" hidden="1">
      <c r="A156" s="4">
        <v>2017</v>
      </c>
      <c r="B156" s="4" t="s">
        <v>44</v>
      </c>
      <c r="C156" s="3">
        <f t="shared" si="5"/>
        <v>155</v>
      </c>
      <c r="D156" s="55" t="s">
        <v>1126</v>
      </c>
      <c r="E156" s="56" t="s">
        <v>2397</v>
      </c>
      <c r="F156" s="5" t="s">
        <v>1161</v>
      </c>
      <c r="G156" s="5" t="s">
        <v>1415</v>
      </c>
      <c r="H156" s="5" t="s">
        <v>129</v>
      </c>
      <c r="I156" s="7">
        <v>2985074.6268656715</v>
      </c>
      <c r="J156" s="57" t="s">
        <v>1411</v>
      </c>
      <c r="K156" s="7"/>
      <c r="L156" s="8">
        <v>11051</v>
      </c>
      <c r="M156" s="7">
        <v>1410000</v>
      </c>
      <c r="N156" s="7"/>
      <c r="O156" s="7">
        <v>6120728</v>
      </c>
      <c r="P156" s="7">
        <v>6120728</v>
      </c>
      <c r="Q156" s="7">
        <f t="shared" si="4"/>
        <v>0</v>
      </c>
      <c r="R156" s="5" t="s">
        <v>610</v>
      </c>
      <c r="S156" s="5" t="s">
        <v>631</v>
      </c>
      <c r="T156" s="5" t="s">
        <v>607</v>
      </c>
      <c r="U156" s="5" t="s">
        <v>2984</v>
      </c>
      <c r="V156" s="5" t="s">
        <v>2398</v>
      </c>
      <c r="W156" s="5" t="s">
        <v>2399</v>
      </c>
      <c r="X156" s="39" t="s">
        <v>2400</v>
      </c>
      <c r="Y156" s="39" t="s">
        <v>2401</v>
      </c>
      <c r="Z156" s="80" t="s">
        <v>2402</v>
      </c>
      <c r="AA156" s="39" t="s">
        <v>2403</v>
      </c>
      <c r="AB156" s="5"/>
      <c r="AC156" s="5" t="s">
        <v>2404</v>
      </c>
      <c r="AD156" s="59">
        <v>8</v>
      </c>
      <c r="AE156" t="e">
        <f>VLOOKUP($F156,FromYabin!$C$2:$C$112,1,FALSE)</f>
        <v>#N/A</v>
      </c>
    </row>
    <row r="157" spans="1:31" hidden="1">
      <c r="A157" s="4">
        <v>2018</v>
      </c>
      <c r="B157" s="4" t="s">
        <v>44</v>
      </c>
      <c r="C157" s="3">
        <f t="shared" si="5"/>
        <v>156</v>
      </c>
      <c r="D157" s="55" t="s">
        <v>1126</v>
      </c>
      <c r="E157" s="3" t="s">
        <v>2064</v>
      </c>
      <c r="F157" s="5" t="s">
        <v>1163</v>
      </c>
      <c r="G157" s="5" t="s">
        <v>2405</v>
      </c>
      <c r="H157" s="5" t="s">
        <v>127</v>
      </c>
      <c r="I157" s="7">
        <v>2985074</v>
      </c>
      <c r="J157" s="7">
        <v>1194029</v>
      </c>
      <c r="K157" s="7">
        <v>3714925</v>
      </c>
      <c r="L157" s="8">
        <v>49354</v>
      </c>
      <c r="M157" s="7">
        <v>153225</v>
      </c>
      <c r="N157" s="7">
        <v>10079104</v>
      </c>
      <c r="O157" s="7">
        <v>11264408</v>
      </c>
      <c r="P157" s="7">
        <v>11264408</v>
      </c>
      <c r="Q157" s="7">
        <f t="shared" si="4"/>
        <v>0</v>
      </c>
      <c r="R157" s="5" t="s">
        <v>602</v>
      </c>
      <c r="S157" s="5" t="s">
        <v>631</v>
      </c>
      <c r="T157" s="5" t="s">
        <v>612</v>
      </c>
      <c r="U157" s="5" t="s">
        <v>2984</v>
      </c>
      <c r="V157" s="5" t="s">
        <v>2406</v>
      </c>
      <c r="W157" s="5" t="s">
        <v>2407</v>
      </c>
      <c r="X157" s="5" t="s">
        <v>2408</v>
      </c>
      <c r="Y157" s="5" t="s">
        <v>2409</v>
      </c>
      <c r="Z157" s="5"/>
      <c r="AA157" s="5" t="s">
        <v>1744</v>
      </c>
      <c r="AB157" s="5"/>
      <c r="AC157" s="5" t="s">
        <v>1746</v>
      </c>
      <c r="AD157" s="62">
        <v>8.4</v>
      </c>
      <c r="AE157" t="str">
        <f>VLOOKUP($F157,FromYabin!$C$2:$C$112,1,FALSE)</f>
        <v>Qian Ting Zong Dong Yuan: Hai Di Lian…</v>
      </c>
    </row>
    <row r="158" spans="1:31" hidden="1">
      <c r="A158" s="4">
        <v>2017</v>
      </c>
      <c r="B158" s="4" t="s">
        <v>44</v>
      </c>
      <c r="C158" s="3">
        <f t="shared" si="5"/>
        <v>157</v>
      </c>
      <c r="D158" s="55" t="s">
        <v>1126</v>
      </c>
      <c r="E158" s="56" t="s">
        <v>668</v>
      </c>
      <c r="F158" s="5" t="s">
        <v>1178</v>
      </c>
      <c r="G158" s="5" t="s">
        <v>2410</v>
      </c>
      <c r="H158" s="5" t="s">
        <v>127</v>
      </c>
      <c r="I158" s="7">
        <v>2985074.6268656715</v>
      </c>
      <c r="J158" s="7">
        <v>1492537.3134328357</v>
      </c>
      <c r="K158" s="7">
        <v>1671343.2835820895</v>
      </c>
      <c r="L158" s="8">
        <v>8751</v>
      </c>
      <c r="M158" s="7">
        <v>49286</v>
      </c>
      <c r="N158" s="7">
        <v>4556716.4179104473</v>
      </c>
      <c r="O158" s="7">
        <v>4884807</v>
      </c>
      <c r="P158" s="7">
        <v>4884807</v>
      </c>
      <c r="Q158" s="7">
        <f t="shared" si="4"/>
        <v>0</v>
      </c>
      <c r="R158" s="5" t="s">
        <v>606</v>
      </c>
      <c r="S158" s="5" t="s">
        <v>631</v>
      </c>
      <c r="T158" s="5" t="s">
        <v>612</v>
      </c>
      <c r="U158" s="5" t="s">
        <v>2984</v>
      </c>
      <c r="V158" s="5" t="s">
        <v>2411</v>
      </c>
      <c r="W158" s="5" t="s">
        <v>2412</v>
      </c>
      <c r="X158" s="5" t="s">
        <v>2413</v>
      </c>
      <c r="Y158" s="5" t="s">
        <v>2414</v>
      </c>
      <c r="Z158" s="5" t="s">
        <v>2415</v>
      </c>
      <c r="AA158" s="39" t="s">
        <v>2416</v>
      </c>
      <c r="AB158" s="39" t="s">
        <v>1744</v>
      </c>
      <c r="AC158" s="5" t="s">
        <v>1746</v>
      </c>
      <c r="AD158" s="62">
        <v>8.6</v>
      </c>
      <c r="AE158" t="str">
        <f>VLOOKUP($F158,FromYabin!$C$2:$C$112,1,FALSE)</f>
        <v>T-Guardians</v>
      </c>
    </row>
    <row r="159" spans="1:31" hidden="1">
      <c r="A159" s="4">
        <v>2018</v>
      </c>
      <c r="B159" s="4" t="s">
        <v>44</v>
      </c>
      <c r="C159" s="3">
        <f t="shared" si="5"/>
        <v>158</v>
      </c>
      <c r="D159" s="55" t="s">
        <v>1126</v>
      </c>
      <c r="E159" s="3" t="s">
        <v>2397</v>
      </c>
      <c r="F159" s="5" t="s">
        <v>409</v>
      </c>
      <c r="G159" s="39" t="s">
        <v>2276</v>
      </c>
      <c r="H159" s="5" t="s">
        <v>129</v>
      </c>
      <c r="I159" s="7">
        <v>14925373</v>
      </c>
      <c r="J159" s="7">
        <v>5522388</v>
      </c>
      <c r="K159" s="7">
        <v>3305970</v>
      </c>
      <c r="L159" s="8">
        <v>44945</v>
      </c>
      <c r="M159" s="7">
        <v>6465642</v>
      </c>
      <c r="N159" s="7">
        <v>8992537</v>
      </c>
      <c r="O159" s="7">
        <v>10079961</v>
      </c>
      <c r="P159" s="7">
        <v>10079961</v>
      </c>
      <c r="Q159" s="7">
        <f t="shared" si="4"/>
        <v>0</v>
      </c>
      <c r="R159" s="5" t="s">
        <v>606</v>
      </c>
      <c r="S159" s="5" t="s">
        <v>598</v>
      </c>
      <c r="T159" s="5" t="s">
        <v>616</v>
      </c>
      <c r="U159" s="5" t="s">
        <v>2984</v>
      </c>
      <c r="V159" s="5" t="s">
        <v>2417</v>
      </c>
      <c r="W159" s="5" t="s">
        <v>2418</v>
      </c>
      <c r="X159" s="5" t="s">
        <v>2328</v>
      </c>
      <c r="Y159" s="5"/>
      <c r="Z159" s="5" t="s">
        <v>2419</v>
      </c>
      <c r="AA159" s="5" t="s">
        <v>2420</v>
      </c>
      <c r="AB159" s="5"/>
      <c r="AC159" s="5" t="s">
        <v>1488</v>
      </c>
      <c r="AD159" s="62">
        <v>7.9</v>
      </c>
      <c r="AE159" t="str">
        <f>VLOOKUP($F159,FromYabin!$C$2:$C$112,1,FALSE)</f>
        <v>Ying Xiong Ben Se 2018</v>
      </c>
    </row>
    <row r="160" spans="1:31" hidden="1">
      <c r="A160" s="4">
        <v>2018</v>
      </c>
      <c r="B160" s="4" t="s">
        <v>44</v>
      </c>
      <c r="C160" s="3">
        <f t="shared" si="5"/>
        <v>159</v>
      </c>
      <c r="D160" s="55" t="s">
        <v>1126</v>
      </c>
      <c r="E160" s="3" t="s">
        <v>2421</v>
      </c>
      <c r="F160" s="5" t="s">
        <v>388</v>
      </c>
      <c r="G160" s="5" t="s">
        <v>2422</v>
      </c>
      <c r="H160" s="5" t="s">
        <v>136</v>
      </c>
      <c r="I160" s="7">
        <v>4477611</v>
      </c>
      <c r="J160" s="7">
        <v>2238805</v>
      </c>
      <c r="K160" s="7">
        <v>8679104</v>
      </c>
      <c r="L160" s="8">
        <v>12122</v>
      </c>
      <c r="M160" s="7">
        <v>7460000</v>
      </c>
      <c r="N160" s="7">
        <v>23432835</v>
      </c>
      <c r="O160" s="7">
        <v>26796280</v>
      </c>
      <c r="P160" s="7">
        <v>26796280</v>
      </c>
      <c r="Q160" s="7">
        <f t="shared" si="4"/>
        <v>0</v>
      </c>
      <c r="R160" s="5" t="s">
        <v>606</v>
      </c>
      <c r="S160" s="5" t="s">
        <v>598</v>
      </c>
      <c r="T160" s="5" t="s">
        <v>603</v>
      </c>
      <c r="U160" s="5" t="s">
        <v>2984</v>
      </c>
      <c r="V160" s="5" t="s">
        <v>2423</v>
      </c>
      <c r="W160" s="5" t="s">
        <v>2424</v>
      </c>
      <c r="X160" s="5" t="s">
        <v>2425</v>
      </c>
      <c r="Y160" s="5" t="s">
        <v>2426</v>
      </c>
      <c r="Z160" s="5"/>
      <c r="AA160" s="5" t="s">
        <v>2427</v>
      </c>
      <c r="AB160" s="5"/>
      <c r="AC160" s="5" t="s">
        <v>2422</v>
      </c>
      <c r="AD160" s="62">
        <v>7.6</v>
      </c>
      <c r="AE160" t="str">
        <f>VLOOKUP($F160,FromYabin!$C$2:$C$112,1,FALSE)</f>
        <v>Zu Zong Shi Jiu Dai</v>
      </c>
    </row>
    <row r="161" spans="1:31" hidden="1">
      <c r="A161" s="4">
        <v>2018</v>
      </c>
      <c r="B161" s="4" t="s">
        <v>44</v>
      </c>
      <c r="C161" s="3">
        <f t="shared" si="5"/>
        <v>160</v>
      </c>
      <c r="D161" s="55" t="s">
        <v>1126</v>
      </c>
      <c r="E161" s="3" t="s">
        <v>2209</v>
      </c>
      <c r="F161" s="5" t="s">
        <v>395</v>
      </c>
      <c r="G161" s="5" t="s">
        <v>1414</v>
      </c>
      <c r="H161" s="5" t="s">
        <v>148</v>
      </c>
      <c r="I161" s="7">
        <v>3731343</v>
      </c>
      <c r="J161" s="7">
        <v>2238805</v>
      </c>
      <c r="K161" s="7">
        <v>5592537</v>
      </c>
      <c r="L161" s="8">
        <v>64645</v>
      </c>
      <c r="M161" s="7">
        <v>9920000</v>
      </c>
      <c r="N161" s="7">
        <v>15074626</v>
      </c>
      <c r="O161" s="7">
        <v>17241380</v>
      </c>
      <c r="P161" s="7">
        <v>17241380</v>
      </c>
      <c r="Q161" s="7">
        <f t="shared" si="4"/>
        <v>0</v>
      </c>
      <c r="R161" s="5" t="s">
        <v>606</v>
      </c>
      <c r="S161" s="5" t="s">
        <v>598</v>
      </c>
      <c r="T161" s="5" t="s">
        <v>616</v>
      </c>
      <c r="U161" s="5" t="s">
        <v>2984</v>
      </c>
      <c r="V161" s="5" t="s">
        <v>2428</v>
      </c>
      <c r="W161" s="5" t="s">
        <v>2429</v>
      </c>
      <c r="X161" s="5" t="s">
        <v>2430</v>
      </c>
      <c r="Y161" s="5" t="s">
        <v>2431</v>
      </c>
      <c r="Z161" s="5"/>
      <c r="AA161" s="5" t="s">
        <v>2432</v>
      </c>
      <c r="AB161" s="5"/>
      <c r="AC161" s="5" t="s">
        <v>2433</v>
      </c>
      <c r="AD161" s="62">
        <v>8.3000000000000007</v>
      </c>
      <c r="AE161" t="str">
        <f>VLOOKUP($F161,FromYabin!$C$2:$C$112,1,FALSE)</f>
        <v>21 Ke La</v>
      </c>
    </row>
    <row r="162" spans="1:31" hidden="1">
      <c r="A162" s="4">
        <v>2017</v>
      </c>
      <c r="B162" s="4" t="s">
        <v>44</v>
      </c>
      <c r="C162" s="3">
        <f t="shared" si="5"/>
        <v>161</v>
      </c>
      <c r="D162" s="55" t="s">
        <v>1126</v>
      </c>
      <c r="E162" s="3" t="s">
        <v>863</v>
      </c>
      <c r="F162" s="5" t="s">
        <v>446</v>
      </c>
      <c r="G162" s="5" t="s">
        <v>2434</v>
      </c>
      <c r="H162" s="5" t="s">
        <v>131</v>
      </c>
      <c r="I162" s="7">
        <v>8955223.880597014</v>
      </c>
      <c r="J162" s="7">
        <v>1194029.8507462686</v>
      </c>
      <c r="K162" s="7">
        <v>358208.95522388059</v>
      </c>
      <c r="L162" s="8">
        <v>7655</v>
      </c>
      <c r="M162" s="7">
        <v>8323</v>
      </c>
      <c r="N162" s="7">
        <v>992537.31343283574</v>
      </c>
      <c r="O162" s="7">
        <v>1034623</v>
      </c>
      <c r="P162" s="7">
        <v>1034623</v>
      </c>
      <c r="Q162" s="7">
        <f t="shared" si="4"/>
        <v>0</v>
      </c>
      <c r="R162" s="5" t="s">
        <v>597</v>
      </c>
      <c r="S162" s="5" t="s">
        <v>598</v>
      </c>
      <c r="T162" s="5" t="s">
        <v>658</v>
      </c>
      <c r="U162" s="5" t="s">
        <v>2984</v>
      </c>
      <c r="V162" s="5" t="s">
        <v>2435</v>
      </c>
      <c r="W162" s="39" t="s">
        <v>2436</v>
      </c>
      <c r="X162" s="5" t="s">
        <v>2437</v>
      </c>
      <c r="Y162" s="5" t="s">
        <v>2438</v>
      </c>
      <c r="Z162" s="5" t="s">
        <v>2439</v>
      </c>
      <c r="AA162" s="5" t="s">
        <v>2440</v>
      </c>
      <c r="AB162" s="5"/>
      <c r="AC162" s="5" t="s">
        <v>2441</v>
      </c>
      <c r="AD162" s="62">
        <v>7.6</v>
      </c>
      <c r="AE162" t="str">
        <f>VLOOKUP($F162,FromYabin!$C$2:$C$112,1,FALSE)</f>
        <v>Xiang Gang Da Ying Jiu</v>
      </c>
    </row>
    <row r="163" spans="1:31" hidden="1">
      <c r="A163" s="4">
        <v>2017</v>
      </c>
      <c r="B163" s="4" t="s">
        <v>44</v>
      </c>
      <c r="C163" s="3">
        <f t="shared" si="5"/>
        <v>162</v>
      </c>
      <c r="D163" s="55" t="s">
        <v>1126</v>
      </c>
      <c r="E163" s="56" t="s">
        <v>1095</v>
      </c>
      <c r="F163" s="5" t="s">
        <v>1199</v>
      </c>
      <c r="G163" s="5" t="s">
        <v>1417</v>
      </c>
      <c r="H163" s="5" t="s">
        <v>131</v>
      </c>
      <c r="I163" s="7">
        <v>8955223.8800000008</v>
      </c>
      <c r="J163" s="7">
        <v>2238805.9700000002</v>
      </c>
      <c r="K163" s="7">
        <v>4051343.28</v>
      </c>
      <c r="L163" s="8">
        <v>4272</v>
      </c>
      <c r="M163" s="7">
        <v>1860000</v>
      </c>
      <c r="N163" s="7">
        <v>10971343.300000001</v>
      </c>
      <c r="O163" s="7">
        <v>11037772</v>
      </c>
      <c r="P163" s="7">
        <v>11037772</v>
      </c>
      <c r="Q163" s="7">
        <f t="shared" si="4"/>
        <v>0</v>
      </c>
      <c r="R163" s="5" t="s">
        <v>597</v>
      </c>
      <c r="S163" s="5" t="s">
        <v>598</v>
      </c>
      <c r="T163" s="5" t="s">
        <v>707</v>
      </c>
      <c r="U163" s="5" t="s">
        <v>2984</v>
      </c>
      <c r="V163" s="5" t="s">
        <v>2442</v>
      </c>
      <c r="W163" s="5" t="s">
        <v>2443</v>
      </c>
      <c r="X163" s="5" t="s">
        <v>2444</v>
      </c>
      <c r="Y163" s="5" t="s">
        <v>2445</v>
      </c>
      <c r="Z163" s="5" t="s">
        <v>2446</v>
      </c>
      <c r="AA163" s="5" t="s">
        <v>2447</v>
      </c>
      <c r="AB163" s="5"/>
      <c r="AC163" s="5" t="s">
        <v>2448</v>
      </c>
      <c r="AD163" s="59">
        <v>9.1</v>
      </c>
      <c r="AE163" t="str">
        <f>VLOOKUP($F163,FromYabin!$C$2:$C$112,1,FALSE)</f>
        <v>Xue Zhan Xiang Jiang</v>
      </c>
    </row>
    <row r="164" spans="1:31" hidden="1">
      <c r="A164" s="4">
        <v>2017</v>
      </c>
      <c r="B164" s="4" t="s">
        <v>44</v>
      </c>
      <c r="C164" s="3">
        <f t="shared" si="5"/>
        <v>163</v>
      </c>
      <c r="D164" s="55" t="s">
        <v>1126</v>
      </c>
      <c r="E164" s="3" t="s">
        <v>1126</v>
      </c>
      <c r="F164" s="5" t="s">
        <v>1204</v>
      </c>
      <c r="G164" s="5" t="s">
        <v>2449</v>
      </c>
      <c r="H164" s="5" t="s">
        <v>127</v>
      </c>
      <c r="I164" s="7">
        <v>4477611.940298507</v>
      </c>
      <c r="J164" s="7">
        <v>1194029.8507462686</v>
      </c>
      <c r="K164" s="7">
        <v>2664776.1194029851</v>
      </c>
      <c r="L164" s="8">
        <v>4871</v>
      </c>
      <c r="M164" s="7">
        <v>570000</v>
      </c>
      <c r="N164" s="7">
        <v>7264776.1194029851</v>
      </c>
      <c r="O164" s="7">
        <v>1110000</v>
      </c>
      <c r="P164" s="7">
        <v>1110000</v>
      </c>
      <c r="Q164" s="7">
        <f t="shared" si="4"/>
        <v>0</v>
      </c>
      <c r="R164" s="5" t="s">
        <v>606</v>
      </c>
      <c r="S164" s="5" t="s">
        <v>631</v>
      </c>
      <c r="T164" s="5" t="s">
        <v>616</v>
      </c>
      <c r="U164" s="5" t="s">
        <v>2984</v>
      </c>
      <c r="V164" s="5" t="s">
        <v>2450</v>
      </c>
      <c r="W164" s="5" t="s">
        <v>1204</v>
      </c>
      <c r="X164" s="5" t="s">
        <v>2451</v>
      </c>
      <c r="Y164" s="5" t="s">
        <v>2409</v>
      </c>
      <c r="Z164" s="5" t="s">
        <v>2452</v>
      </c>
      <c r="AA164" s="5" t="s">
        <v>2453</v>
      </c>
      <c r="AB164" s="5"/>
      <c r="AC164" s="5" t="s">
        <v>2454</v>
      </c>
      <c r="AD164" s="62">
        <v>8.5</v>
      </c>
      <c r="AE164" t="str">
        <f>VLOOKUP($F164,FromYabin!$C$2:$C$112,1,FALSE)</f>
        <v>The Floating Planet</v>
      </c>
    </row>
    <row r="165" spans="1:31" hidden="1">
      <c r="A165" s="4">
        <v>2017</v>
      </c>
      <c r="B165" s="4" t="s">
        <v>44</v>
      </c>
      <c r="C165" s="3">
        <f t="shared" si="5"/>
        <v>164</v>
      </c>
      <c r="D165" s="55" t="s">
        <v>1126</v>
      </c>
      <c r="E165" s="56" t="s">
        <v>1111</v>
      </c>
      <c r="F165" s="5" t="s">
        <v>1208</v>
      </c>
      <c r="G165" s="5" t="s">
        <v>2455</v>
      </c>
      <c r="H165" s="5" t="s">
        <v>127</v>
      </c>
      <c r="I165" s="7">
        <v>1492537</v>
      </c>
      <c r="J165" s="7">
        <v>2238805</v>
      </c>
      <c r="K165" s="7">
        <v>5395522</v>
      </c>
      <c r="L165" s="8">
        <v>14290</v>
      </c>
      <c r="M165" s="7">
        <v>1690000</v>
      </c>
      <c r="N165" s="7">
        <v>14552238</v>
      </c>
      <c r="O165" s="7">
        <v>15988889</v>
      </c>
      <c r="P165" s="7">
        <v>15988889</v>
      </c>
      <c r="Q165" s="7">
        <f t="shared" si="4"/>
        <v>0</v>
      </c>
      <c r="R165" s="5" t="s">
        <v>606</v>
      </c>
      <c r="S165" s="5" t="s">
        <v>598</v>
      </c>
      <c r="T165" s="5" t="s">
        <v>616</v>
      </c>
      <c r="U165" s="5" t="s">
        <v>2984</v>
      </c>
      <c r="V165" s="5" t="s">
        <v>2456</v>
      </c>
      <c r="W165" s="5" t="s">
        <v>2457</v>
      </c>
      <c r="X165" s="5" t="s">
        <v>2458</v>
      </c>
      <c r="Y165" s="5" t="s">
        <v>2459</v>
      </c>
      <c r="Z165" s="5"/>
      <c r="AA165" s="5" t="s">
        <v>2458</v>
      </c>
      <c r="AB165" s="5"/>
      <c r="AC165" s="5" t="s">
        <v>2460</v>
      </c>
      <c r="AD165" s="62">
        <v>8.6</v>
      </c>
      <c r="AE165" t="str">
        <f>VLOOKUP($F165,FromYabin!$C$2:$C$112,1,FALSE)</f>
        <v>Qi Shi Qi Tian</v>
      </c>
    </row>
    <row r="166" spans="1:31" hidden="1">
      <c r="A166" s="17">
        <v>2017</v>
      </c>
      <c r="B166" s="4" t="s">
        <v>44</v>
      </c>
      <c r="C166" s="3">
        <f t="shared" si="5"/>
        <v>165</v>
      </c>
      <c r="D166" s="55" t="s">
        <v>1126</v>
      </c>
      <c r="E166" s="56" t="s">
        <v>2461</v>
      </c>
      <c r="F166" s="18" t="s">
        <v>1215</v>
      </c>
      <c r="G166" s="5" t="s">
        <v>1658</v>
      </c>
      <c r="H166" s="18" t="s">
        <v>1404</v>
      </c>
      <c r="I166" s="19">
        <v>7462686.5671641789</v>
      </c>
      <c r="J166" s="19">
        <v>2985074.6268656715</v>
      </c>
      <c r="K166" s="19">
        <v>2834179.1044776118</v>
      </c>
      <c r="L166" s="8">
        <v>48475</v>
      </c>
      <c r="M166" s="7">
        <v>5690000</v>
      </c>
      <c r="N166" s="19">
        <v>7680860.5341246286</v>
      </c>
      <c r="O166" s="19">
        <v>8595808</v>
      </c>
      <c r="P166" s="19">
        <v>8595808</v>
      </c>
      <c r="Q166" s="7">
        <f t="shared" si="4"/>
        <v>0</v>
      </c>
      <c r="R166" s="5" t="s">
        <v>606</v>
      </c>
      <c r="S166" s="5" t="s">
        <v>598</v>
      </c>
      <c r="T166" s="5" t="s">
        <v>616</v>
      </c>
      <c r="U166" s="5" t="s">
        <v>2984</v>
      </c>
      <c r="V166" s="5" t="s">
        <v>2462</v>
      </c>
      <c r="W166" s="5" t="s">
        <v>2463</v>
      </c>
      <c r="X166" s="5" t="s">
        <v>1647</v>
      </c>
      <c r="Y166" s="5" t="s">
        <v>1561</v>
      </c>
      <c r="Z166" s="5" t="s">
        <v>2383</v>
      </c>
      <c r="AA166" s="5" t="s">
        <v>2464</v>
      </c>
      <c r="AB166" s="5"/>
      <c r="AC166" s="5" t="s">
        <v>2465</v>
      </c>
      <c r="AD166" s="64">
        <v>8.4</v>
      </c>
      <c r="AE166" t="str">
        <f>VLOOKUP($F166,FromYabin!$C$2:$C$112,1,FALSE)</f>
        <v>Fan Zha Feng Bao</v>
      </c>
    </row>
    <row r="167" spans="1:31">
      <c r="A167" s="4">
        <v>2017</v>
      </c>
      <c r="B167" s="4" t="s">
        <v>44</v>
      </c>
      <c r="C167" s="3">
        <f t="shared" si="5"/>
        <v>166</v>
      </c>
      <c r="D167" s="55" t="s">
        <v>1126</v>
      </c>
      <c r="E167" s="3" t="s">
        <v>824</v>
      </c>
      <c r="F167" s="5" t="s">
        <v>424</v>
      </c>
      <c r="G167" s="39" t="s">
        <v>3004</v>
      </c>
      <c r="H167" s="5" t="s">
        <v>136</v>
      </c>
      <c r="I167" s="7">
        <v>4477611.940298507</v>
      </c>
      <c r="J167" s="7">
        <v>746268.65671641787</v>
      </c>
      <c r="K167" s="7">
        <v>1337313.4328358208</v>
      </c>
      <c r="L167" s="41" t="s">
        <v>1501</v>
      </c>
      <c r="M167" s="7">
        <v>2292772</v>
      </c>
      <c r="N167" s="7">
        <v>3644776.1194029851</v>
      </c>
      <c r="O167" s="7">
        <v>3791880</v>
      </c>
      <c r="P167" s="7">
        <v>3791880</v>
      </c>
      <c r="Q167" s="7">
        <f t="shared" si="4"/>
        <v>0</v>
      </c>
      <c r="R167" s="5" t="s">
        <v>606</v>
      </c>
      <c r="S167" s="5" t="s">
        <v>598</v>
      </c>
      <c r="T167" s="5" t="s">
        <v>612</v>
      </c>
      <c r="U167" s="5" t="s">
        <v>2984</v>
      </c>
      <c r="V167" s="5" t="s">
        <v>2466</v>
      </c>
      <c r="W167" s="5" t="s">
        <v>2467</v>
      </c>
      <c r="X167" s="5" t="s">
        <v>1824</v>
      </c>
      <c r="Y167" s="5" t="s">
        <v>2468</v>
      </c>
      <c r="Z167" s="5" t="s">
        <v>2469</v>
      </c>
      <c r="AA167" s="5" t="s">
        <v>2470</v>
      </c>
      <c r="AB167" s="5"/>
      <c r="AC167" s="5" t="s">
        <v>2471</v>
      </c>
      <c r="AD167" s="62">
        <v>8.4</v>
      </c>
      <c r="AE167" t="e">
        <f>VLOOKUP($F167,FromYabin!$C$2:$C$112,1,FALSE)</f>
        <v>#N/A</v>
      </c>
    </row>
    <row r="168" spans="1:31" hidden="1">
      <c r="A168" s="4">
        <v>2017</v>
      </c>
      <c r="B168" s="4" t="s">
        <v>44</v>
      </c>
      <c r="C168" s="3">
        <f t="shared" si="5"/>
        <v>167</v>
      </c>
      <c r="D168" s="55" t="s">
        <v>1126</v>
      </c>
      <c r="E168" s="3" t="s">
        <v>1061</v>
      </c>
      <c r="F168" s="5" t="s">
        <v>1220</v>
      </c>
      <c r="G168" s="5" t="s">
        <v>2476</v>
      </c>
      <c r="H168" s="5" t="s">
        <v>127</v>
      </c>
      <c r="I168" s="7">
        <v>1044776.1194029851</v>
      </c>
      <c r="J168" s="7">
        <v>447761.19402985071</v>
      </c>
      <c r="K168" s="7">
        <v>1358208.9552238805</v>
      </c>
      <c r="L168" s="41">
        <v>5959</v>
      </c>
      <c r="M168" s="42">
        <v>1860000</v>
      </c>
      <c r="N168" s="7">
        <v>3702985.0746268658</v>
      </c>
      <c r="O168" s="7">
        <v>3660871</v>
      </c>
      <c r="P168" s="7">
        <v>3660871</v>
      </c>
      <c r="Q168" s="7">
        <f t="shared" si="4"/>
        <v>0</v>
      </c>
      <c r="R168" s="5" t="s">
        <v>606</v>
      </c>
      <c r="S168" s="5" t="s">
        <v>598</v>
      </c>
      <c r="T168" s="5" t="s">
        <v>616</v>
      </c>
      <c r="U168" s="5" t="s">
        <v>2984</v>
      </c>
      <c r="V168" s="5" t="s">
        <v>2477</v>
      </c>
      <c r="W168" s="5" t="s">
        <v>1220</v>
      </c>
      <c r="X168" s="5" t="s">
        <v>2478</v>
      </c>
      <c r="Y168" s="5" t="s">
        <v>2479</v>
      </c>
      <c r="Z168" s="5" t="s">
        <v>2480</v>
      </c>
      <c r="AA168" s="5" t="s">
        <v>2481</v>
      </c>
      <c r="AB168" s="5"/>
      <c r="AC168" s="5" t="s">
        <v>2482</v>
      </c>
      <c r="AD168" s="62">
        <v>8.4</v>
      </c>
      <c r="AE168" t="str">
        <f>VLOOKUP($F168,FromYabin!$C$2:$C$112,1,FALSE)</f>
        <v>The Blood Hound</v>
      </c>
    </row>
    <row r="169" spans="1:31" hidden="1">
      <c r="A169" s="4">
        <v>2018</v>
      </c>
      <c r="B169" s="4" t="s">
        <v>44</v>
      </c>
      <c r="C169" s="3">
        <f t="shared" si="5"/>
        <v>168</v>
      </c>
      <c r="D169" s="55" t="s">
        <v>1126</v>
      </c>
      <c r="E169" s="3" t="s">
        <v>2148</v>
      </c>
      <c r="F169" s="5" t="s">
        <v>379</v>
      </c>
      <c r="G169" s="5" t="s">
        <v>2455</v>
      </c>
      <c r="H169" s="5" t="s">
        <v>131</v>
      </c>
      <c r="I169" s="7">
        <v>11194029</v>
      </c>
      <c r="J169" s="7">
        <v>4477611</v>
      </c>
      <c r="K169" s="7">
        <v>18656716</v>
      </c>
      <c r="L169" s="8">
        <v>67157</v>
      </c>
      <c r="M169" s="7">
        <v>15041365</v>
      </c>
      <c r="N169" s="7">
        <v>49850746</v>
      </c>
      <c r="O169" s="7">
        <v>56235548</v>
      </c>
      <c r="P169" s="7">
        <v>56235548</v>
      </c>
      <c r="Q169" s="7">
        <f t="shared" si="4"/>
        <v>0</v>
      </c>
      <c r="R169" s="5" t="s">
        <v>606</v>
      </c>
      <c r="S169" s="5" t="s">
        <v>598</v>
      </c>
      <c r="T169" s="5" t="s">
        <v>616</v>
      </c>
      <c r="U169" s="5" t="s">
        <v>2984</v>
      </c>
      <c r="V169" s="5" t="s">
        <v>2483</v>
      </c>
      <c r="W169" s="5" t="s">
        <v>2484</v>
      </c>
      <c r="X169" s="5" t="s">
        <v>2220</v>
      </c>
      <c r="Y169" s="5" t="s">
        <v>2485</v>
      </c>
      <c r="Z169" s="5"/>
      <c r="AA169" s="5" t="s">
        <v>2486</v>
      </c>
      <c r="AB169" s="5"/>
      <c r="AC169" s="5" t="s">
        <v>2487</v>
      </c>
      <c r="AD169" s="62">
        <v>8.4</v>
      </c>
      <c r="AE169" t="str">
        <f>VLOOKUP($F169,FromYabin!$C$2:$C$112,1,FALSE)</f>
        <v>Mu Hou Wan Jia</v>
      </c>
    </row>
    <row r="170" spans="1:31" hidden="1">
      <c r="A170" s="4">
        <v>2017</v>
      </c>
      <c r="B170" s="4" t="s">
        <v>44</v>
      </c>
      <c r="C170" s="3">
        <f t="shared" si="5"/>
        <v>169</v>
      </c>
      <c r="D170" s="55" t="s">
        <v>1126</v>
      </c>
      <c r="E170" s="56" t="s">
        <v>2488</v>
      </c>
      <c r="F170" s="5" t="s">
        <v>1232</v>
      </c>
      <c r="G170" s="5" t="s">
        <v>2489</v>
      </c>
      <c r="H170" s="5" t="s">
        <v>148</v>
      </c>
      <c r="I170" s="7">
        <v>4477611</v>
      </c>
      <c r="J170" s="7">
        <v>1492537</v>
      </c>
      <c r="K170" s="7">
        <v>1355223</v>
      </c>
      <c r="L170" s="8">
        <v>10215</v>
      </c>
      <c r="M170" s="7">
        <v>1420000</v>
      </c>
      <c r="N170" s="7">
        <v>3697014</v>
      </c>
      <c r="O170" s="7">
        <v>3957193</v>
      </c>
      <c r="P170" s="7">
        <v>3957193</v>
      </c>
      <c r="Q170" s="7">
        <f t="shared" si="4"/>
        <v>0</v>
      </c>
      <c r="R170" s="5" t="s">
        <v>606</v>
      </c>
      <c r="S170" s="5" t="s">
        <v>598</v>
      </c>
      <c r="T170" s="5" t="s">
        <v>603</v>
      </c>
      <c r="U170" s="5" t="s">
        <v>2984</v>
      </c>
      <c r="V170" s="5" t="s">
        <v>2490</v>
      </c>
      <c r="W170" s="5" t="s">
        <v>2491</v>
      </c>
      <c r="X170" s="5" t="s">
        <v>2492</v>
      </c>
      <c r="Y170" s="5" t="s">
        <v>2493</v>
      </c>
      <c r="Z170" s="10"/>
      <c r="AA170" s="5" t="s">
        <v>2494</v>
      </c>
      <c r="AB170" s="5"/>
      <c r="AC170" s="5" t="s">
        <v>2495</v>
      </c>
      <c r="AD170" s="62">
        <v>8.4</v>
      </c>
      <c r="AE170" t="str">
        <f>VLOOKUP($F170,FromYabin!$C$2:$C$112,1,FALSE)</f>
        <v>Er Ci Chu Lian</v>
      </c>
    </row>
    <row r="171" spans="1:31" hidden="1">
      <c r="A171" s="4">
        <v>2018</v>
      </c>
      <c r="B171" s="4" t="s">
        <v>44</v>
      </c>
      <c r="C171" s="3">
        <f t="shared" si="5"/>
        <v>170</v>
      </c>
      <c r="D171" s="55" t="s">
        <v>1126</v>
      </c>
      <c r="E171" s="3" t="s">
        <v>2496</v>
      </c>
      <c r="F171" s="5" t="s">
        <v>1244</v>
      </c>
      <c r="G171" s="5" t="s">
        <v>1442</v>
      </c>
      <c r="H171" s="5" t="s">
        <v>129</v>
      </c>
      <c r="I171" s="7">
        <v>8955223</v>
      </c>
      <c r="J171" s="7">
        <v>1666666</v>
      </c>
      <c r="K171" s="7">
        <v>2026865</v>
      </c>
      <c r="L171" s="8">
        <v>46863</v>
      </c>
      <c r="M171" s="7">
        <v>42352</v>
      </c>
      <c r="N171" s="7">
        <v>5525373</v>
      </c>
      <c r="O171" s="7">
        <v>6168544</v>
      </c>
      <c r="P171" s="7">
        <v>6168544</v>
      </c>
      <c r="Q171" s="7">
        <f t="shared" si="4"/>
        <v>0</v>
      </c>
      <c r="R171" s="5" t="s">
        <v>606</v>
      </c>
      <c r="S171" s="5" t="s">
        <v>598</v>
      </c>
      <c r="T171" s="5" t="s">
        <v>616</v>
      </c>
      <c r="U171" s="5" t="s">
        <v>2984</v>
      </c>
      <c r="V171" s="5" t="s">
        <v>2497</v>
      </c>
      <c r="W171" s="5" t="s">
        <v>2498</v>
      </c>
      <c r="X171" s="5" t="s">
        <v>2499</v>
      </c>
      <c r="Y171" s="5" t="s">
        <v>2500</v>
      </c>
      <c r="Z171" s="10"/>
      <c r="AA171" s="5" t="s">
        <v>2501</v>
      </c>
      <c r="AB171" s="5"/>
      <c r="AC171" s="5" t="s">
        <v>2502</v>
      </c>
      <c r="AD171" s="62">
        <v>6.7</v>
      </c>
      <c r="AE171" t="str">
        <f>VLOOKUP($F171,FromYabin!$C$2:$C$112,1,FALSE)</f>
        <v>Wo Di Ju Xing</v>
      </c>
    </row>
    <row r="172" spans="1:31">
      <c r="A172" s="4">
        <v>2017</v>
      </c>
      <c r="B172" s="4" t="s">
        <v>44</v>
      </c>
      <c r="C172" s="3">
        <f t="shared" si="5"/>
        <v>171</v>
      </c>
      <c r="D172" s="55" t="s">
        <v>1126</v>
      </c>
      <c r="E172" s="3" t="s">
        <v>2503</v>
      </c>
      <c r="F172" s="5" t="s">
        <v>450</v>
      </c>
      <c r="G172" s="5" t="s">
        <v>2504</v>
      </c>
      <c r="H172" s="5" t="s">
        <v>127</v>
      </c>
      <c r="I172" s="7">
        <v>7462686.5671641789</v>
      </c>
      <c r="J172" s="7">
        <v>1194029.8507462686</v>
      </c>
      <c r="K172" s="7">
        <v>316417.91044776118</v>
      </c>
      <c r="L172" s="41" t="s">
        <v>1501</v>
      </c>
      <c r="M172" s="7">
        <v>423431</v>
      </c>
      <c r="N172" s="7">
        <v>862686.56716417905</v>
      </c>
      <c r="O172" s="7">
        <v>933589</v>
      </c>
      <c r="P172" s="7">
        <v>933589</v>
      </c>
      <c r="Q172" s="7">
        <f t="shared" si="4"/>
        <v>0</v>
      </c>
      <c r="R172" s="5" t="s">
        <v>606</v>
      </c>
      <c r="S172" s="5" t="s">
        <v>631</v>
      </c>
      <c r="T172" s="5" t="s">
        <v>612</v>
      </c>
      <c r="U172" s="5" t="s">
        <v>2984</v>
      </c>
      <c r="V172" s="5" t="s">
        <v>2505</v>
      </c>
      <c r="W172" s="5" t="s">
        <v>2506</v>
      </c>
      <c r="X172" s="5" t="s">
        <v>2507</v>
      </c>
      <c r="Y172" s="5" t="s">
        <v>2508</v>
      </c>
      <c r="Z172" s="26"/>
      <c r="AA172" s="5" t="s">
        <v>2509</v>
      </c>
      <c r="AB172" s="5"/>
      <c r="AC172" s="5" t="s">
        <v>2510</v>
      </c>
      <c r="AD172" s="62">
        <v>7.4</v>
      </c>
      <c r="AE172" t="str">
        <f>VLOOKUP($F172,FromYabin!$C$2:$C$112,1,FALSE)</f>
        <v>Mai Bing Bing</v>
      </c>
    </row>
    <row r="173" spans="1:31" hidden="1">
      <c r="A173" s="4">
        <v>2017</v>
      </c>
      <c r="B173" s="4" t="s">
        <v>44</v>
      </c>
      <c r="C173" s="3">
        <f t="shared" si="5"/>
        <v>172</v>
      </c>
      <c r="D173" s="55" t="s">
        <v>1126</v>
      </c>
      <c r="E173" s="3" t="s">
        <v>865</v>
      </c>
      <c r="F173" s="5" t="s">
        <v>427</v>
      </c>
      <c r="G173" s="39" t="s">
        <v>3005</v>
      </c>
      <c r="H173" s="5" t="s">
        <v>148</v>
      </c>
      <c r="I173" s="7">
        <v>4477611.940298507</v>
      </c>
      <c r="J173" s="7">
        <v>1194029.8507462686</v>
      </c>
      <c r="K173" s="7">
        <v>986567.1641791045</v>
      </c>
      <c r="L173" s="8">
        <v>50095</v>
      </c>
      <c r="M173" s="7">
        <v>2080000</v>
      </c>
      <c r="N173" s="7">
        <v>2689552.2388059702</v>
      </c>
      <c r="O173" s="7">
        <v>3026917</v>
      </c>
      <c r="P173" s="7">
        <v>3026917</v>
      </c>
      <c r="Q173" s="7">
        <f t="shared" si="4"/>
        <v>0</v>
      </c>
      <c r="R173" s="5" t="s">
        <v>606</v>
      </c>
      <c r="S173" s="5" t="s">
        <v>598</v>
      </c>
      <c r="T173" s="5" t="s">
        <v>616</v>
      </c>
      <c r="U173" s="5" t="s">
        <v>2984</v>
      </c>
      <c r="V173" s="5" t="s">
        <v>2511</v>
      </c>
      <c r="W173" s="5" t="s">
        <v>2512</v>
      </c>
      <c r="X173" s="5" t="s">
        <v>2513</v>
      </c>
      <c r="Y173" s="5"/>
      <c r="Z173" s="26"/>
      <c r="AA173" s="5" t="s">
        <v>2513</v>
      </c>
      <c r="AB173" s="5"/>
      <c r="AC173" s="5" t="s">
        <v>2514</v>
      </c>
      <c r="AD173" s="62">
        <v>7.4</v>
      </c>
      <c r="AE173" t="str">
        <f>VLOOKUP($F173,FromYabin!$C$2:$C$112,1,FALSE)</f>
        <v>Pao Fu Xiao Jie</v>
      </c>
    </row>
    <row r="174" spans="1:31" hidden="1">
      <c r="A174" s="4">
        <v>2017</v>
      </c>
      <c r="B174" s="4" t="s">
        <v>44</v>
      </c>
      <c r="C174" s="3">
        <f t="shared" si="5"/>
        <v>173</v>
      </c>
      <c r="D174" s="55" t="s">
        <v>1126</v>
      </c>
      <c r="E174" s="3" t="s">
        <v>2515</v>
      </c>
      <c r="F174" s="5" t="s">
        <v>430</v>
      </c>
      <c r="G174" s="5" t="s">
        <v>2516</v>
      </c>
      <c r="H174" s="5" t="s">
        <v>136</v>
      </c>
      <c r="I174" s="7">
        <v>4477611.940298507</v>
      </c>
      <c r="J174" s="7">
        <v>1194029.8507462686</v>
      </c>
      <c r="K174" s="7">
        <v>916417.91044776118</v>
      </c>
      <c r="L174" s="8">
        <v>25545</v>
      </c>
      <c r="M174" s="7">
        <v>1790000</v>
      </c>
      <c r="N174" s="7">
        <v>2498507.4626865671</v>
      </c>
      <c r="O174" s="7">
        <v>2814977</v>
      </c>
      <c r="P174" s="7">
        <v>2814977</v>
      </c>
      <c r="Q174" s="7">
        <f t="shared" si="4"/>
        <v>0</v>
      </c>
      <c r="R174" s="5" t="s">
        <v>606</v>
      </c>
      <c r="S174" s="5" t="s">
        <v>598</v>
      </c>
      <c r="T174" s="5" t="s">
        <v>616</v>
      </c>
      <c r="U174" s="5" t="s">
        <v>2984</v>
      </c>
      <c r="V174" s="5" t="s">
        <v>2517</v>
      </c>
      <c r="W174" s="5" t="s">
        <v>2518</v>
      </c>
      <c r="X174" s="5" t="s">
        <v>2253</v>
      </c>
      <c r="Y174" s="5" t="s">
        <v>1921</v>
      </c>
      <c r="Z174" s="5" t="s">
        <v>2519</v>
      </c>
      <c r="AA174" s="5" t="s">
        <v>2520</v>
      </c>
      <c r="AB174" s="5"/>
      <c r="AC174" s="5" t="s">
        <v>2521</v>
      </c>
      <c r="AD174" s="62">
        <v>7.9</v>
      </c>
      <c r="AE174" t="str">
        <f>VLOOKUP($F174,FromYabin!$C$2:$C$112,1,FALSE)</f>
        <v>Wo Shuo De Dou Shi Zhen De</v>
      </c>
    </row>
    <row r="175" spans="1:31" hidden="1">
      <c r="A175" s="4">
        <v>2017</v>
      </c>
      <c r="B175" s="4" t="s">
        <v>44</v>
      </c>
      <c r="C175" s="3">
        <f t="shared" si="5"/>
        <v>174</v>
      </c>
      <c r="D175" s="55" t="s">
        <v>1126</v>
      </c>
      <c r="E175" s="56" t="s">
        <v>1099</v>
      </c>
      <c r="F175" s="5" t="s">
        <v>1255</v>
      </c>
      <c r="G175" s="5" t="s">
        <v>2522</v>
      </c>
      <c r="H175" s="5" t="s">
        <v>131</v>
      </c>
      <c r="I175" s="7">
        <v>4477611.940298507</v>
      </c>
      <c r="J175" s="7">
        <v>2238805.9701492535</v>
      </c>
      <c r="K175" s="7">
        <v>2142985.0746268658</v>
      </c>
      <c r="L175" s="8">
        <v>37431</v>
      </c>
      <c r="M175" s="7">
        <v>4550000</v>
      </c>
      <c r="N175" s="7">
        <v>5842537.313432836</v>
      </c>
      <c r="O175" s="7">
        <v>5921481</v>
      </c>
      <c r="P175" s="7">
        <v>5921481</v>
      </c>
      <c r="Q175" s="7">
        <f t="shared" si="4"/>
        <v>0</v>
      </c>
      <c r="R175" s="5" t="s">
        <v>606</v>
      </c>
      <c r="S175" s="5" t="s">
        <v>598</v>
      </c>
      <c r="T175" s="5" t="s">
        <v>612</v>
      </c>
      <c r="U175" s="5" t="s">
        <v>2984</v>
      </c>
      <c r="V175" s="5" t="s">
        <v>2523</v>
      </c>
      <c r="W175" s="5" t="s">
        <v>1255</v>
      </c>
      <c r="X175" s="5" t="s">
        <v>2164</v>
      </c>
      <c r="Y175" s="5"/>
      <c r="Z175" s="5"/>
      <c r="AA175" s="5" t="s">
        <v>2524</v>
      </c>
      <c r="AB175" s="5"/>
      <c r="AC175" s="5" t="s">
        <v>2525</v>
      </c>
      <c r="AD175" s="62">
        <v>7.7</v>
      </c>
      <c r="AE175" t="str">
        <f>VLOOKUP($F175,FromYabin!$C$2:$C$112,1,FALSE)</f>
        <v>How Are You</v>
      </c>
    </row>
    <row r="176" spans="1:31" hidden="1">
      <c r="A176" s="17">
        <v>2017</v>
      </c>
      <c r="B176" s="4" t="s">
        <v>44</v>
      </c>
      <c r="C176" s="3">
        <f t="shared" si="5"/>
        <v>175</v>
      </c>
      <c r="D176" s="55" t="s">
        <v>1126</v>
      </c>
      <c r="E176" s="16" t="s">
        <v>1066</v>
      </c>
      <c r="F176" s="18" t="s">
        <v>1256</v>
      </c>
      <c r="G176" s="5" t="s">
        <v>2526</v>
      </c>
      <c r="H176" s="18" t="s">
        <v>127</v>
      </c>
      <c r="I176" s="19">
        <v>1492537.3134328357</v>
      </c>
      <c r="J176" s="19">
        <v>746268.65671641787</v>
      </c>
      <c r="K176" s="19">
        <v>2224626.8656716417</v>
      </c>
      <c r="L176" s="8">
        <v>6811</v>
      </c>
      <c r="M176" s="7">
        <v>590000</v>
      </c>
      <c r="N176" s="19">
        <v>6065074.626865671</v>
      </c>
      <c r="O176" s="19">
        <v>6000000</v>
      </c>
      <c r="P176" s="19">
        <v>6000000</v>
      </c>
      <c r="Q176" s="7">
        <f t="shared" si="4"/>
        <v>0</v>
      </c>
      <c r="R176" s="5" t="s">
        <v>606</v>
      </c>
      <c r="S176" s="5" t="s">
        <v>631</v>
      </c>
      <c r="T176" s="5" t="s">
        <v>612</v>
      </c>
      <c r="U176" s="5" t="s">
        <v>2984</v>
      </c>
      <c r="V176" s="5" t="s">
        <v>2527</v>
      </c>
      <c r="W176" s="39" t="s">
        <v>1256</v>
      </c>
      <c r="X176" s="5" t="s">
        <v>2528</v>
      </c>
      <c r="Y176" s="5" t="s">
        <v>2408</v>
      </c>
      <c r="Z176" s="5" t="s">
        <v>2529</v>
      </c>
      <c r="AA176" s="5" t="s">
        <v>2530</v>
      </c>
      <c r="AB176" s="5"/>
      <c r="AC176" s="5" t="s">
        <v>2531</v>
      </c>
      <c r="AD176" s="64">
        <v>8.8000000000000007</v>
      </c>
      <c r="AE176" t="str">
        <f>VLOOKUP($F176,FromYabin!$C$2:$C$112,1,FALSE)</f>
        <v>Da Er Duo Tu Tu Zhi Mei Shi Ye Feng K…</v>
      </c>
    </row>
    <row r="177" spans="1:31">
      <c r="A177" s="4">
        <v>2017</v>
      </c>
      <c r="B177" s="4" t="s">
        <v>44</v>
      </c>
      <c r="C177" s="3">
        <f t="shared" si="5"/>
        <v>176</v>
      </c>
      <c r="D177" s="55" t="s">
        <v>1126</v>
      </c>
      <c r="E177" s="3" t="s">
        <v>826</v>
      </c>
      <c r="F177" s="5" t="s">
        <v>466</v>
      </c>
      <c r="G177" s="5" t="s">
        <v>1422</v>
      </c>
      <c r="H177" s="5" t="s">
        <v>136</v>
      </c>
      <c r="I177" s="7">
        <v>1492537.3134328357</v>
      </c>
      <c r="J177" s="7">
        <v>746268.65671641787</v>
      </c>
      <c r="K177" s="7">
        <v>188059.70149253731</v>
      </c>
      <c r="L177" s="41" t="s">
        <v>1501</v>
      </c>
      <c r="M177" s="7">
        <v>268002</v>
      </c>
      <c r="N177" s="7">
        <v>514925.37313432834</v>
      </c>
      <c r="O177" s="7">
        <v>544914</v>
      </c>
      <c r="P177" s="7">
        <v>544914</v>
      </c>
      <c r="Q177" s="7">
        <f t="shared" si="4"/>
        <v>0</v>
      </c>
      <c r="R177" s="5" t="s">
        <v>606</v>
      </c>
      <c r="S177" s="5" t="s">
        <v>598</v>
      </c>
      <c r="T177" s="5" t="s">
        <v>616</v>
      </c>
      <c r="U177" s="5" t="s">
        <v>2984</v>
      </c>
      <c r="V177" s="5" t="s">
        <v>2533</v>
      </c>
      <c r="W177" s="39" t="s">
        <v>2534</v>
      </c>
      <c r="X177" s="5" t="s">
        <v>2535</v>
      </c>
      <c r="Y177" s="5" t="s">
        <v>2245</v>
      </c>
      <c r="Z177" s="5"/>
      <c r="AA177" s="5" t="s">
        <v>2536</v>
      </c>
      <c r="AB177" s="5"/>
      <c r="AC177" s="5" t="s">
        <v>2537</v>
      </c>
      <c r="AD177" s="62">
        <v>7.9</v>
      </c>
      <c r="AE177" t="str">
        <f>VLOOKUP($F177,FromYabin!$C$2:$C$112,1,FALSE)</f>
        <v>S4 Xia Xiang Mo Ji</v>
      </c>
    </row>
    <row r="178" spans="1:31" hidden="1">
      <c r="A178" s="4">
        <v>2017</v>
      </c>
      <c r="B178" s="4" t="s">
        <v>44</v>
      </c>
      <c r="C178" s="3">
        <f t="shared" si="5"/>
        <v>177</v>
      </c>
      <c r="D178" s="55" t="s">
        <v>1126</v>
      </c>
      <c r="E178" s="56" t="s">
        <v>1896</v>
      </c>
      <c r="F178" s="5" t="s">
        <v>1265</v>
      </c>
      <c r="G178" s="5" t="s">
        <v>2504</v>
      </c>
      <c r="H178" s="5" t="s">
        <v>148</v>
      </c>
      <c r="I178" s="7">
        <v>4477611</v>
      </c>
      <c r="J178" s="7">
        <v>1492537</v>
      </c>
      <c r="K178" s="7">
        <v>1240298</v>
      </c>
      <c r="L178" s="8">
        <v>22756</v>
      </c>
      <c r="M178" s="7">
        <v>2210000</v>
      </c>
      <c r="N178" s="7">
        <v>3383582</v>
      </c>
      <c r="O178" s="7">
        <v>3667477</v>
      </c>
      <c r="P178" s="7">
        <v>3667477</v>
      </c>
      <c r="Q178" s="7">
        <f t="shared" si="4"/>
        <v>0</v>
      </c>
      <c r="R178" s="5" t="s">
        <v>606</v>
      </c>
      <c r="S178" s="5" t="s">
        <v>598</v>
      </c>
      <c r="T178" s="5" t="s">
        <v>616</v>
      </c>
      <c r="U178" s="5" t="s">
        <v>2984</v>
      </c>
      <c r="V178" s="5" t="s">
        <v>2538</v>
      </c>
      <c r="W178" s="39" t="s">
        <v>2539</v>
      </c>
      <c r="X178" s="5" t="s">
        <v>2540</v>
      </c>
      <c r="Y178" s="5" t="s">
        <v>2541</v>
      </c>
      <c r="Z178" s="5"/>
      <c r="AA178" s="5" t="s">
        <v>2501</v>
      </c>
      <c r="AB178" s="5"/>
      <c r="AC178" s="5" t="s">
        <v>2504</v>
      </c>
      <c r="AD178" s="62">
        <v>8</v>
      </c>
      <c r="AE178" t="str">
        <f>VLOOKUP($F178,FromYabin!$C$2:$C$112,1,FALSE)</f>
        <v>Tian Sheng Bu Dui</v>
      </c>
    </row>
    <row r="179" spans="1:31" hidden="1">
      <c r="A179" s="4">
        <v>2017</v>
      </c>
      <c r="B179" s="4" t="s">
        <v>44</v>
      </c>
      <c r="C179" s="3">
        <f t="shared" si="5"/>
        <v>178</v>
      </c>
      <c r="D179" s="3" t="s">
        <v>1267</v>
      </c>
      <c r="E179" s="3" t="s">
        <v>1267</v>
      </c>
      <c r="F179" s="5" t="s">
        <v>1268</v>
      </c>
      <c r="G179" s="5" t="s">
        <v>626</v>
      </c>
      <c r="H179" s="5" t="s">
        <v>131</v>
      </c>
      <c r="I179" s="7">
        <v>14925373</v>
      </c>
      <c r="J179" s="7">
        <v>11940298</v>
      </c>
      <c r="K179" s="7">
        <v>76865671</v>
      </c>
      <c r="L179" s="8">
        <v>35</v>
      </c>
      <c r="M179" s="7">
        <v>338604</v>
      </c>
      <c r="N179" s="7">
        <v>198507462</v>
      </c>
      <c r="O179" s="7">
        <v>225197313</v>
      </c>
      <c r="P179" s="7">
        <v>227089269</v>
      </c>
      <c r="Q179" s="92">
        <f t="shared" si="4"/>
        <v>1891956</v>
      </c>
      <c r="R179" s="5" t="s">
        <v>606</v>
      </c>
      <c r="S179" s="5" t="s">
        <v>598</v>
      </c>
      <c r="T179" s="5" t="s">
        <v>658</v>
      </c>
      <c r="U179" s="5" t="s">
        <v>1390</v>
      </c>
      <c r="V179" s="5" t="s">
        <v>2542</v>
      </c>
      <c r="W179" s="5" t="s">
        <v>2543</v>
      </c>
      <c r="X179" s="5" t="s">
        <v>1656</v>
      </c>
      <c r="Y179" s="5" t="s">
        <v>2544</v>
      </c>
      <c r="Z179" s="5"/>
      <c r="AA179" s="5" t="s">
        <v>1695</v>
      </c>
      <c r="AB179" s="5"/>
      <c r="AC179" s="5" t="s">
        <v>2545</v>
      </c>
      <c r="AD179" s="62">
        <v>9</v>
      </c>
      <c r="AE179" t="str">
        <f>VLOOKUP($F179,FromYabin!$C$2:$C$112,1,FALSE)</f>
        <v>Fang Hua</v>
      </c>
    </row>
    <row r="180" spans="1:31" hidden="1">
      <c r="A180" s="4">
        <v>2017</v>
      </c>
      <c r="B180" s="4" t="s">
        <v>44</v>
      </c>
      <c r="C180" s="3">
        <f t="shared" si="5"/>
        <v>179</v>
      </c>
      <c r="D180" s="3" t="s">
        <v>1269</v>
      </c>
      <c r="E180" s="3" t="s">
        <v>1269</v>
      </c>
      <c r="F180" s="5" t="s">
        <v>1270</v>
      </c>
      <c r="G180" s="5" t="s">
        <v>626</v>
      </c>
      <c r="H180" s="5" t="s">
        <v>136</v>
      </c>
      <c r="I180" s="7">
        <v>4477611</v>
      </c>
      <c r="J180" s="7">
        <v>7462686</v>
      </c>
      <c r="K180" s="7">
        <v>104029850</v>
      </c>
      <c r="L180" s="8">
        <v>24</v>
      </c>
      <c r="M180" s="7">
        <v>180920</v>
      </c>
      <c r="N180" s="7">
        <v>267611940</v>
      </c>
      <c r="O180" s="7">
        <v>306710033</v>
      </c>
      <c r="P180" s="7">
        <v>307547824</v>
      </c>
      <c r="Q180" s="92">
        <f t="shared" si="4"/>
        <v>837791</v>
      </c>
      <c r="R180" s="5" t="s">
        <v>606</v>
      </c>
      <c r="S180" s="5" t="s">
        <v>598</v>
      </c>
      <c r="T180" s="5" t="s">
        <v>616</v>
      </c>
      <c r="U180" s="5" t="s">
        <v>1390</v>
      </c>
      <c r="V180" s="5" t="s">
        <v>2546</v>
      </c>
      <c r="W180" s="5" t="s">
        <v>2547</v>
      </c>
      <c r="X180" s="5" t="s">
        <v>2095</v>
      </c>
      <c r="Y180" s="5" t="s">
        <v>2548</v>
      </c>
      <c r="Z180" s="5"/>
      <c r="AA180" s="5" t="s">
        <v>2549</v>
      </c>
      <c r="AB180" s="5"/>
      <c r="AC180" s="5" t="s">
        <v>2369</v>
      </c>
      <c r="AD180" s="62">
        <v>9.1</v>
      </c>
      <c r="AE180" t="str">
        <f>VLOOKUP($F180,FromYabin!$C$2:$C$112,1,FALSE)</f>
        <v>Qian Ren 3: Yan Zhi Da Zuo Zhan</v>
      </c>
    </row>
    <row r="181" spans="1:31" hidden="1">
      <c r="A181" s="4">
        <v>2017</v>
      </c>
      <c r="B181" s="4" t="s">
        <v>44</v>
      </c>
      <c r="C181" s="3">
        <f t="shared" si="5"/>
        <v>180</v>
      </c>
      <c r="D181" s="3" t="s">
        <v>1272</v>
      </c>
      <c r="E181" s="3" t="s">
        <v>1272</v>
      </c>
      <c r="F181" s="5" t="s">
        <v>1273</v>
      </c>
      <c r="G181" s="5" t="s">
        <v>601</v>
      </c>
      <c r="H181" s="5" t="s">
        <v>129</v>
      </c>
      <c r="I181" s="7">
        <v>14925373</v>
      </c>
      <c r="J181" s="7">
        <v>4477611</v>
      </c>
      <c r="K181" s="7">
        <v>13728358</v>
      </c>
      <c r="L181" s="8">
        <v>2</v>
      </c>
      <c r="M181" s="7">
        <v>5296</v>
      </c>
      <c r="N181" s="7">
        <v>36716417</v>
      </c>
      <c r="O181" s="7">
        <v>39951588</v>
      </c>
      <c r="P181" s="7">
        <v>39965792</v>
      </c>
      <c r="Q181" s="92">
        <f t="shared" si="4"/>
        <v>14204</v>
      </c>
      <c r="R181" s="5" t="s">
        <v>606</v>
      </c>
      <c r="S181" s="5" t="s">
        <v>598</v>
      </c>
      <c r="T181" s="5" t="s">
        <v>658</v>
      </c>
      <c r="U181" s="5" t="s">
        <v>1390</v>
      </c>
      <c r="V181" s="5" t="s">
        <v>2550</v>
      </c>
      <c r="W181" s="5" t="s">
        <v>2551</v>
      </c>
      <c r="X181" s="5" t="s">
        <v>2507</v>
      </c>
      <c r="Y181" s="5" t="s">
        <v>2372</v>
      </c>
      <c r="Z181" s="5"/>
      <c r="AA181" s="5" t="s">
        <v>2552</v>
      </c>
      <c r="AB181" s="5"/>
      <c r="AC181" s="5" t="s">
        <v>2553</v>
      </c>
      <c r="AD181" s="62">
        <v>8.5</v>
      </c>
      <c r="AE181" t="str">
        <f>VLOOKUP($F181,FromYabin!$C$2:$C$112,1,FALSE)</f>
        <v>xiu chun dao II: xiu luo zhan chang</v>
      </c>
    </row>
    <row r="182" spans="1:31" ht="15" hidden="1">
      <c r="A182" s="4">
        <v>2017</v>
      </c>
      <c r="B182" s="4" t="s">
        <v>44</v>
      </c>
      <c r="C182" s="3">
        <f t="shared" si="5"/>
        <v>181</v>
      </c>
      <c r="D182" s="55" t="s">
        <v>1126</v>
      </c>
      <c r="E182" s="3" t="s">
        <v>1089</v>
      </c>
      <c r="F182" s="5" t="s">
        <v>1274</v>
      </c>
      <c r="G182" s="5" t="s">
        <v>2554</v>
      </c>
      <c r="H182" s="5" t="s">
        <v>127</v>
      </c>
      <c r="I182" s="7">
        <v>4477611.940298507</v>
      </c>
      <c r="J182" s="7">
        <v>1492537.3134328357</v>
      </c>
      <c r="K182" s="7">
        <v>5356716.4179104473</v>
      </c>
      <c r="L182" s="41">
        <v>26748</v>
      </c>
      <c r="M182" s="42">
        <v>760000</v>
      </c>
      <c r="N182" s="7">
        <v>14449253.731343282</v>
      </c>
      <c r="O182" s="7">
        <v>15874097</v>
      </c>
      <c r="P182" s="7">
        <v>15874097</v>
      </c>
      <c r="Q182" s="7">
        <f t="shared" si="4"/>
        <v>0</v>
      </c>
      <c r="R182" s="5" t="s">
        <v>606</v>
      </c>
      <c r="S182" s="5" t="s">
        <v>631</v>
      </c>
      <c r="T182" s="5" t="s">
        <v>612</v>
      </c>
      <c r="U182" s="5" t="s">
        <v>2984</v>
      </c>
      <c r="V182" s="5" t="s">
        <v>2555</v>
      </c>
      <c r="W182" s="5" t="s">
        <v>2556</v>
      </c>
      <c r="X182" s="5" t="s">
        <v>2557</v>
      </c>
      <c r="Y182" s="5"/>
      <c r="Z182" s="5"/>
      <c r="AA182" s="5" t="s">
        <v>2558</v>
      </c>
      <c r="AB182" s="5"/>
      <c r="AC182" s="5" t="s">
        <v>2559</v>
      </c>
      <c r="AD182" s="62">
        <v>8.9</v>
      </c>
      <c r="AE182" t="str">
        <f>VLOOKUP($F182,FromYabin!$C$2:$C$112,1,FALSE)</f>
        <v>Seer Movie 6: Invincible Puni</v>
      </c>
    </row>
    <row r="183" spans="1:31" hidden="1">
      <c r="A183" s="4">
        <v>2017</v>
      </c>
      <c r="B183" s="4" t="s">
        <v>44</v>
      </c>
      <c r="C183" s="3">
        <f t="shared" si="5"/>
        <v>182</v>
      </c>
      <c r="D183" s="55" t="s">
        <v>1126</v>
      </c>
      <c r="E183" s="3" t="s">
        <v>2309</v>
      </c>
      <c r="F183" s="5" t="s">
        <v>1279</v>
      </c>
      <c r="G183" s="5" t="s">
        <v>2560</v>
      </c>
      <c r="H183" s="5" t="s">
        <v>136</v>
      </c>
      <c r="I183" s="7">
        <v>11940298</v>
      </c>
      <c r="J183" s="7">
        <v>8955223</v>
      </c>
      <c r="K183" s="7">
        <v>12029850</v>
      </c>
      <c r="L183" s="8">
        <v>110319</v>
      </c>
      <c r="M183" s="7">
        <v>46732917</v>
      </c>
      <c r="N183" s="7">
        <v>308507462</v>
      </c>
      <c r="O183" s="7">
        <v>334536622</v>
      </c>
      <c r="P183" s="7">
        <v>334536622</v>
      </c>
      <c r="Q183" s="7">
        <f t="shared" si="4"/>
        <v>0</v>
      </c>
      <c r="R183" s="5" t="s">
        <v>606</v>
      </c>
      <c r="S183" s="5" t="s">
        <v>598</v>
      </c>
      <c r="T183" s="5" t="s">
        <v>616</v>
      </c>
      <c r="U183" s="5" t="s">
        <v>2984</v>
      </c>
      <c r="V183" s="5" t="s">
        <v>2561</v>
      </c>
      <c r="W183" s="5" t="s">
        <v>1279</v>
      </c>
      <c r="X183" s="5" t="s">
        <v>2562</v>
      </c>
      <c r="Y183" s="5" t="s">
        <v>2563</v>
      </c>
      <c r="Z183" s="5" t="s">
        <v>1974</v>
      </c>
      <c r="AA183" s="5" t="s">
        <v>2564</v>
      </c>
      <c r="AB183" s="5" t="s">
        <v>2565</v>
      </c>
      <c r="AC183" s="27" t="s">
        <v>2560</v>
      </c>
      <c r="AD183" s="62">
        <v>9.1</v>
      </c>
      <c r="AE183" t="str">
        <f>VLOOKUP($F183,FromYabin!$C$2:$C$112,1,FALSE)</f>
        <v>Never Say Die</v>
      </c>
    </row>
    <row r="184" spans="1:31" hidden="1">
      <c r="A184" s="4">
        <v>2017</v>
      </c>
      <c r="B184" s="4" t="s">
        <v>44</v>
      </c>
      <c r="C184" s="3">
        <f t="shared" si="5"/>
        <v>183</v>
      </c>
      <c r="D184" s="55" t="s">
        <v>1126</v>
      </c>
      <c r="E184" s="56" t="s">
        <v>874</v>
      </c>
      <c r="F184" s="5" t="s">
        <v>1282</v>
      </c>
      <c r="G184" s="5" t="s">
        <v>2566</v>
      </c>
      <c r="H184" s="5" t="s">
        <v>129</v>
      </c>
      <c r="I184" s="7">
        <v>29850746</v>
      </c>
      <c r="J184" s="7">
        <v>7462686</v>
      </c>
      <c r="K184" s="7">
        <v>5535820</v>
      </c>
      <c r="L184" s="8">
        <v>87906</v>
      </c>
      <c r="M184" s="7">
        <v>11150837</v>
      </c>
      <c r="N184" s="7">
        <v>14925373</v>
      </c>
      <c r="O184" s="7">
        <v>18339343</v>
      </c>
      <c r="P184" s="7">
        <v>18339343</v>
      </c>
      <c r="Q184" s="7">
        <f t="shared" si="4"/>
        <v>0</v>
      </c>
      <c r="R184" s="5" t="s">
        <v>602</v>
      </c>
      <c r="S184" s="5" t="s">
        <v>598</v>
      </c>
      <c r="T184" s="5" t="s">
        <v>616</v>
      </c>
      <c r="U184" s="5" t="s">
        <v>2984</v>
      </c>
      <c r="V184" s="5" t="s">
        <v>2567</v>
      </c>
      <c r="W184" s="5" t="s">
        <v>2568</v>
      </c>
      <c r="X184" s="5" t="s">
        <v>2569</v>
      </c>
      <c r="Y184" s="5" t="s">
        <v>2570</v>
      </c>
      <c r="Z184" s="5"/>
      <c r="AA184" s="5" t="s">
        <v>2571</v>
      </c>
      <c r="AB184" s="5"/>
      <c r="AC184" s="5" t="s">
        <v>2572</v>
      </c>
      <c r="AD184" s="62">
        <v>7.7</v>
      </c>
      <c r="AE184" t="str">
        <f>VLOOKUP($F184,FromYabin!$C$2:$C$112,1,FALSE)</f>
        <v>Zhui bu</v>
      </c>
    </row>
    <row r="185" spans="1:31" hidden="1">
      <c r="A185" s="4">
        <v>2017</v>
      </c>
      <c r="B185" s="4" t="s">
        <v>44</v>
      </c>
      <c r="C185" s="3">
        <f t="shared" si="5"/>
        <v>184</v>
      </c>
      <c r="D185" s="55" t="s">
        <v>1126</v>
      </c>
      <c r="E185" s="56" t="s">
        <v>2573</v>
      </c>
      <c r="F185" s="5" t="s">
        <v>1283</v>
      </c>
      <c r="G185" s="5" t="s">
        <v>1428</v>
      </c>
      <c r="H185" s="5" t="s">
        <v>136</v>
      </c>
      <c r="I185" s="7">
        <v>5970149.253731343</v>
      </c>
      <c r="J185" s="7">
        <v>1492537.3134328357</v>
      </c>
      <c r="K185" s="7">
        <v>1679253.7313432836</v>
      </c>
      <c r="L185" s="8">
        <v>27254</v>
      </c>
      <c r="M185" s="7">
        <v>2741992</v>
      </c>
      <c r="N185" s="7">
        <v>4578059.7014925368</v>
      </c>
      <c r="O185" s="7">
        <v>4681992</v>
      </c>
      <c r="P185" s="7">
        <v>4681992</v>
      </c>
      <c r="Q185" s="7">
        <f t="shared" si="4"/>
        <v>0</v>
      </c>
      <c r="R185" s="5" t="s">
        <v>1398</v>
      </c>
      <c r="S185" s="5" t="s">
        <v>598</v>
      </c>
      <c r="T185" s="5" t="s">
        <v>616</v>
      </c>
      <c r="U185" s="5" t="s">
        <v>2984</v>
      </c>
      <c r="V185" s="5" t="s">
        <v>2574</v>
      </c>
      <c r="W185" s="5" t="s">
        <v>1283</v>
      </c>
      <c r="X185" s="5" t="s">
        <v>2169</v>
      </c>
      <c r="Y185" s="5"/>
      <c r="Z185" s="5"/>
      <c r="AA185" s="5" t="s">
        <v>2169</v>
      </c>
      <c r="AB185" s="5"/>
      <c r="AC185" s="5" t="s">
        <v>2575</v>
      </c>
      <c r="AD185" s="62">
        <v>7.6</v>
      </c>
      <c r="AE185" t="str">
        <f>VLOOKUP($F185,FromYabin!$C$2:$C$112,1,FALSE)</f>
        <v>What a Wonderful Family!</v>
      </c>
    </row>
    <row r="186" spans="1:31" hidden="1">
      <c r="A186" s="4">
        <v>2018</v>
      </c>
      <c r="B186" s="4" t="s">
        <v>44</v>
      </c>
      <c r="C186" s="3">
        <f t="shared" si="5"/>
        <v>185</v>
      </c>
      <c r="D186" s="55" t="s">
        <v>1126</v>
      </c>
      <c r="E186" s="3" t="s">
        <v>2496</v>
      </c>
      <c r="F186" s="5" t="s">
        <v>366</v>
      </c>
      <c r="G186" s="5" t="s">
        <v>1916</v>
      </c>
      <c r="H186" s="5" t="s">
        <v>131</v>
      </c>
      <c r="I186" s="7">
        <v>14925373</v>
      </c>
      <c r="J186" s="7">
        <v>4477611</v>
      </c>
      <c r="K186" s="7">
        <v>39552238</v>
      </c>
      <c r="L186" s="8">
        <v>57349</v>
      </c>
      <c r="M186" s="7">
        <v>37050000</v>
      </c>
      <c r="N186" s="7">
        <v>104029850</v>
      </c>
      <c r="O186" s="7">
        <v>119035160</v>
      </c>
      <c r="P186" s="7">
        <v>119035160</v>
      </c>
      <c r="Q186" s="7">
        <f t="shared" si="4"/>
        <v>0</v>
      </c>
      <c r="R186" s="5" t="s">
        <v>602</v>
      </c>
      <c r="S186" s="5" t="s">
        <v>598</v>
      </c>
      <c r="T186" s="5" t="s">
        <v>658</v>
      </c>
      <c r="U186" s="5" t="s">
        <v>2984</v>
      </c>
      <c r="V186" s="5" t="s">
        <v>2576</v>
      </c>
      <c r="W186" s="5" t="s">
        <v>2577</v>
      </c>
      <c r="X186" s="5" t="s">
        <v>1633</v>
      </c>
      <c r="Y186" s="5" t="s">
        <v>1573</v>
      </c>
      <c r="Z186" s="5"/>
      <c r="AA186" s="5" t="s">
        <v>2578</v>
      </c>
      <c r="AB186" s="5"/>
      <c r="AC186" s="5" t="s">
        <v>2579</v>
      </c>
      <c r="AD186" s="62">
        <v>8.6</v>
      </c>
      <c r="AE186" t="str">
        <f>VLOOKUP($F186,FromYabin!$C$2:$C$112,1,FALSE)</f>
        <v>Wu Wen Xi Dong</v>
      </c>
    </row>
    <row r="187" spans="1:31" hidden="1">
      <c r="A187" s="4">
        <v>2017</v>
      </c>
      <c r="B187" s="4" t="s">
        <v>44</v>
      </c>
      <c r="C187" s="3">
        <f t="shared" si="5"/>
        <v>186</v>
      </c>
      <c r="D187" s="55" t="s">
        <v>1126</v>
      </c>
      <c r="E187" s="3" t="s">
        <v>2515</v>
      </c>
      <c r="F187" s="5" t="s">
        <v>1288</v>
      </c>
      <c r="G187" s="39" t="s">
        <v>3006</v>
      </c>
      <c r="H187" s="5" t="s">
        <v>131</v>
      </c>
      <c r="I187" s="7">
        <v>1194029.8507462686</v>
      </c>
      <c r="J187" s="7">
        <v>746268.65671641787</v>
      </c>
      <c r="K187" s="7">
        <v>179104.4776119403</v>
      </c>
      <c r="L187" s="41" t="s">
        <v>1501</v>
      </c>
      <c r="M187" s="42" t="s">
        <v>1501</v>
      </c>
      <c r="N187" s="7">
        <v>489552.23880597012</v>
      </c>
      <c r="O187" s="7">
        <v>512000</v>
      </c>
      <c r="P187" s="7">
        <v>512000</v>
      </c>
      <c r="Q187" s="7">
        <f t="shared" si="4"/>
        <v>0</v>
      </c>
      <c r="R187" s="5" t="s">
        <v>606</v>
      </c>
      <c r="S187" s="5" t="s">
        <v>598</v>
      </c>
      <c r="T187" s="5" t="s">
        <v>616</v>
      </c>
      <c r="U187" s="5" t="s">
        <v>2984</v>
      </c>
      <c r="V187" s="5" t="s">
        <v>2580</v>
      </c>
      <c r="W187" s="5" t="s">
        <v>2581</v>
      </c>
      <c r="X187" s="5" t="s">
        <v>2582</v>
      </c>
      <c r="Y187" s="5" t="s">
        <v>2583</v>
      </c>
      <c r="Z187" s="5" t="s">
        <v>2584</v>
      </c>
      <c r="AA187" s="5" t="s">
        <v>2585</v>
      </c>
      <c r="AB187" s="5"/>
      <c r="AC187" s="5" t="s">
        <v>2586</v>
      </c>
      <c r="AD187" s="63" t="s">
        <v>1665</v>
      </c>
      <c r="AE187" t="e">
        <f>VLOOKUP($F187,FromYabin!$C$2:$C$112,1,FALSE)</f>
        <v>#N/A</v>
      </c>
    </row>
    <row r="188" spans="1:31" hidden="1">
      <c r="A188" s="4">
        <v>2017</v>
      </c>
      <c r="B188" s="4" t="s">
        <v>44</v>
      </c>
      <c r="C188" s="3">
        <f t="shared" si="5"/>
        <v>187</v>
      </c>
      <c r="D188" s="55" t="s">
        <v>1126</v>
      </c>
      <c r="E188" s="56" t="s">
        <v>1093</v>
      </c>
      <c r="F188" s="5" t="s">
        <v>1289</v>
      </c>
      <c r="G188" s="5" t="s">
        <v>1428</v>
      </c>
      <c r="H188" s="5" t="s">
        <v>136</v>
      </c>
      <c r="I188" s="7">
        <v>13333333</v>
      </c>
      <c r="J188" s="7">
        <v>7462686</v>
      </c>
      <c r="K188" s="7">
        <v>5270149</v>
      </c>
      <c r="L188" s="41">
        <v>46411</v>
      </c>
      <c r="M188" s="42">
        <v>772788</v>
      </c>
      <c r="N188" s="7">
        <v>14217910</v>
      </c>
      <c r="O188" s="7">
        <v>14897163</v>
      </c>
      <c r="P188" s="7">
        <v>14897163</v>
      </c>
      <c r="Q188" s="7">
        <f t="shared" si="4"/>
        <v>0</v>
      </c>
      <c r="R188" s="5" t="s">
        <v>606</v>
      </c>
      <c r="S188" s="5" t="s">
        <v>598</v>
      </c>
      <c r="T188" s="5" t="s">
        <v>616</v>
      </c>
      <c r="U188" s="5" t="s">
        <v>2984</v>
      </c>
      <c r="V188" s="5" t="s">
        <v>2587</v>
      </c>
      <c r="W188" s="5" t="s">
        <v>2588</v>
      </c>
      <c r="X188" s="5" t="s">
        <v>2589</v>
      </c>
      <c r="Y188" s="5" t="s">
        <v>1541</v>
      </c>
      <c r="Z188" s="5"/>
      <c r="AA188" s="5" t="s">
        <v>2589</v>
      </c>
      <c r="AB188" s="5"/>
      <c r="AC188" s="5" t="s">
        <v>2590</v>
      </c>
      <c r="AD188" s="62">
        <v>7.5</v>
      </c>
      <c r="AE188" t="str">
        <f>VLOOKUP($F188,FromYabin!$C$2:$C$112,1,FALSE)</f>
        <v>Jue Shi Gao Shou</v>
      </c>
    </row>
    <row r="189" spans="1:31" hidden="1">
      <c r="A189" s="4">
        <v>2017</v>
      </c>
      <c r="B189" s="4" t="s">
        <v>44</v>
      </c>
      <c r="C189" s="3">
        <f t="shared" si="5"/>
        <v>188</v>
      </c>
      <c r="D189" s="55" t="s">
        <v>1126</v>
      </c>
      <c r="E189" s="56" t="s">
        <v>2022</v>
      </c>
      <c r="F189" s="5" t="s">
        <v>1291</v>
      </c>
      <c r="G189" s="5" t="s">
        <v>1428</v>
      </c>
      <c r="H189" s="5" t="s">
        <v>127</v>
      </c>
      <c r="I189" s="7">
        <v>2238805.9700000002</v>
      </c>
      <c r="J189" s="7">
        <v>1492537.31</v>
      </c>
      <c r="K189" s="7">
        <v>4552388.0599999996</v>
      </c>
      <c r="L189" s="8">
        <v>24230</v>
      </c>
      <c r="M189" s="7">
        <v>3780000</v>
      </c>
      <c r="N189" s="7">
        <v>12307164.199999999</v>
      </c>
      <c r="O189" s="7">
        <v>13006233</v>
      </c>
      <c r="P189" s="7">
        <v>13006233</v>
      </c>
      <c r="Q189" s="7">
        <f t="shared" si="4"/>
        <v>0</v>
      </c>
      <c r="R189" s="5" t="s">
        <v>606</v>
      </c>
      <c r="S189" s="5" t="s">
        <v>631</v>
      </c>
      <c r="T189" s="5" t="s">
        <v>612</v>
      </c>
      <c r="U189" s="5" t="s">
        <v>2984</v>
      </c>
      <c r="V189" s="5" t="s">
        <v>2591</v>
      </c>
      <c r="W189" s="39" t="s">
        <v>2592</v>
      </c>
      <c r="X189" s="5" t="s">
        <v>2593</v>
      </c>
      <c r="Y189" s="5" t="s">
        <v>2594</v>
      </c>
      <c r="Z189" s="5" t="s">
        <v>2595</v>
      </c>
      <c r="AA189" s="5" t="s">
        <v>2596</v>
      </c>
      <c r="AB189" s="5"/>
      <c r="AC189" s="5" t="s">
        <v>1449</v>
      </c>
      <c r="AD189" s="62">
        <v>8.3000000000000007</v>
      </c>
      <c r="AE189" t="str">
        <f>VLOOKUP($F189,FromYabin!$C$2:$C$112,1,FALSE)</f>
        <v>Da Hu Fa</v>
      </c>
    </row>
    <row r="190" spans="1:31" hidden="1">
      <c r="A190" s="4">
        <v>2017</v>
      </c>
      <c r="B190" s="4" t="s">
        <v>44</v>
      </c>
      <c r="C190" s="3">
        <f t="shared" si="5"/>
        <v>189</v>
      </c>
      <c r="D190" s="55" t="s">
        <v>1126</v>
      </c>
      <c r="E190" s="56" t="s">
        <v>2603</v>
      </c>
      <c r="F190" s="5" t="s">
        <v>1294</v>
      </c>
      <c r="G190" s="5" t="s">
        <v>1410</v>
      </c>
      <c r="H190" s="5" t="s">
        <v>148</v>
      </c>
      <c r="I190" s="7">
        <v>11940298</v>
      </c>
      <c r="J190" s="7">
        <v>2985074</v>
      </c>
      <c r="K190" s="7">
        <v>6546268</v>
      </c>
      <c r="L190" s="8">
        <v>64062</v>
      </c>
      <c r="M190" s="7">
        <v>790000</v>
      </c>
      <c r="N190" s="7">
        <v>26865671</v>
      </c>
      <c r="O190" s="7">
        <v>18764048</v>
      </c>
      <c r="P190" s="7">
        <v>18764048</v>
      </c>
      <c r="Q190" s="7">
        <f t="shared" si="4"/>
        <v>0</v>
      </c>
      <c r="R190" s="5" t="s">
        <v>606</v>
      </c>
      <c r="S190" s="5" t="s">
        <v>598</v>
      </c>
      <c r="T190" s="5" t="s">
        <v>616</v>
      </c>
      <c r="U190" s="5" t="s">
        <v>2984</v>
      </c>
      <c r="V190" s="5" t="s">
        <v>2604</v>
      </c>
      <c r="W190" s="5" t="s">
        <v>2605</v>
      </c>
      <c r="X190" s="5" t="s">
        <v>2357</v>
      </c>
      <c r="Y190" s="5" t="s">
        <v>2606</v>
      </c>
      <c r="Z190" s="5"/>
      <c r="AA190" s="5" t="s">
        <v>2607</v>
      </c>
      <c r="AB190" s="5"/>
      <c r="AC190" s="5" t="s">
        <v>1948</v>
      </c>
      <c r="AD190" s="62">
        <v>8</v>
      </c>
      <c r="AE190" t="str">
        <f>VLOOKUP($F190,FromYabin!$C$2:$C$112,1,FALSE)</f>
        <v>Fu zi xiong bing</v>
      </c>
    </row>
    <row r="191" spans="1:31" hidden="1">
      <c r="A191" s="4">
        <v>2017</v>
      </c>
      <c r="B191" s="4" t="s">
        <v>44</v>
      </c>
      <c r="C191" s="3">
        <f t="shared" si="5"/>
        <v>190</v>
      </c>
      <c r="D191" s="55" t="s">
        <v>1126</v>
      </c>
      <c r="E191" s="56" t="s">
        <v>2608</v>
      </c>
      <c r="F191" s="5" t="s">
        <v>1296</v>
      </c>
      <c r="G191" s="5" t="s">
        <v>2609</v>
      </c>
      <c r="H191" s="5" t="s">
        <v>129</v>
      </c>
      <c r="I191" s="7">
        <v>7462686.5700000003</v>
      </c>
      <c r="J191" s="7">
        <v>14992537.310000001</v>
      </c>
      <c r="K191" s="7">
        <v>3583134.33</v>
      </c>
      <c r="L191" s="8">
        <v>4316</v>
      </c>
      <c r="M191" s="7">
        <v>1580000</v>
      </c>
      <c r="N191" s="7">
        <v>9729104.4800000004</v>
      </c>
      <c r="O191" s="7">
        <v>9782949</v>
      </c>
      <c r="P191" s="7">
        <v>9782949</v>
      </c>
      <c r="Q191" s="7">
        <f t="shared" si="4"/>
        <v>0</v>
      </c>
      <c r="R191" s="5" t="s">
        <v>597</v>
      </c>
      <c r="S191" s="5" t="s">
        <v>598</v>
      </c>
      <c r="T191" s="5" t="s">
        <v>599</v>
      </c>
      <c r="U191" s="5" t="s">
        <v>2984</v>
      </c>
      <c r="V191" s="5" t="s">
        <v>2610</v>
      </c>
      <c r="W191" s="5" t="s">
        <v>1296</v>
      </c>
      <c r="X191" s="5" t="s">
        <v>2611</v>
      </c>
      <c r="Y191" s="5" t="s">
        <v>2612</v>
      </c>
      <c r="Z191" s="5" t="s">
        <v>2613</v>
      </c>
      <c r="AA191" s="5" t="s">
        <v>2614</v>
      </c>
      <c r="AB191" s="5"/>
      <c r="AC191" s="5" t="s">
        <v>2465</v>
      </c>
      <c r="AD191" s="62">
        <v>8.6</v>
      </c>
      <c r="AE191" t="str">
        <f>VLOOKUP($F191,FromYabin!$C$2:$C$112,1,FALSE)</f>
        <v>The War of Loong</v>
      </c>
    </row>
    <row r="192" spans="1:31" hidden="1">
      <c r="A192" s="4">
        <v>2017</v>
      </c>
      <c r="B192" s="4" t="s">
        <v>44</v>
      </c>
      <c r="C192" s="3">
        <f t="shared" si="5"/>
        <v>191</v>
      </c>
      <c r="D192" s="55" t="s">
        <v>1126</v>
      </c>
      <c r="E192" s="56" t="s">
        <v>2615</v>
      </c>
      <c r="F192" s="5" t="s">
        <v>1302</v>
      </c>
      <c r="G192" s="5" t="s">
        <v>1658</v>
      </c>
      <c r="H192" s="5" t="s">
        <v>131</v>
      </c>
      <c r="I192" s="7">
        <v>1492537</v>
      </c>
      <c r="J192" s="7">
        <v>746268</v>
      </c>
      <c r="K192" s="7">
        <v>5928358</v>
      </c>
      <c r="L192" s="8">
        <v>19177</v>
      </c>
      <c r="M192" s="7">
        <v>5090000</v>
      </c>
      <c r="N192" s="7">
        <v>15970149</v>
      </c>
      <c r="O192" s="7">
        <v>16444489</v>
      </c>
      <c r="P192" s="7">
        <v>16444489</v>
      </c>
      <c r="Q192" s="7">
        <f t="shared" si="4"/>
        <v>0</v>
      </c>
      <c r="R192" s="5" t="s">
        <v>606</v>
      </c>
      <c r="S192" s="5" t="s">
        <v>598</v>
      </c>
      <c r="T192" s="5" t="s">
        <v>616</v>
      </c>
      <c r="U192" s="5" t="s">
        <v>2984</v>
      </c>
      <c r="V192" s="5" t="s">
        <v>2616</v>
      </c>
      <c r="W192" s="5" t="s">
        <v>2617</v>
      </c>
      <c r="X192" s="5" t="s">
        <v>2618</v>
      </c>
      <c r="Y192" s="5" t="s">
        <v>2619</v>
      </c>
      <c r="Z192" s="5"/>
      <c r="AA192" s="5" t="s">
        <v>2620</v>
      </c>
      <c r="AB192" s="5"/>
      <c r="AC192" s="5" t="s">
        <v>1658</v>
      </c>
      <c r="AD192" s="62">
        <v>8.4</v>
      </c>
      <c r="AE192" t="str">
        <f>VLOOKUP($F192,FromYabin!$C$2:$C$112,1,FALSE)</f>
        <v>Shi Ba Dong Cun</v>
      </c>
    </row>
    <row r="193" spans="1:31" hidden="1">
      <c r="A193" s="4">
        <v>2017</v>
      </c>
      <c r="B193" s="4" t="s">
        <v>44</v>
      </c>
      <c r="C193" s="3">
        <f t="shared" si="5"/>
        <v>192</v>
      </c>
      <c r="D193" s="55" t="s">
        <v>1126</v>
      </c>
      <c r="E193" s="46" t="s">
        <v>2621</v>
      </c>
      <c r="F193" s="5" t="s">
        <v>1303</v>
      </c>
      <c r="G193" s="39" t="s">
        <v>2622</v>
      </c>
      <c r="H193" s="5" t="s">
        <v>131</v>
      </c>
      <c r="I193" s="7">
        <v>11940298.5</v>
      </c>
      <c r="J193" s="7">
        <v>295074.63</v>
      </c>
      <c r="K193" s="7">
        <v>4094029.85</v>
      </c>
      <c r="L193" s="41">
        <v>51459</v>
      </c>
      <c r="M193" s="42">
        <v>7450000</v>
      </c>
      <c r="N193" s="7">
        <v>11088059.699999999</v>
      </c>
      <c r="O193" s="7">
        <v>11170000</v>
      </c>
      <c r="P193" s="7">
        <v>11170000</v>
      </c>
      <c r="Q193" s="7">
        <f t="shared" si="4"/>
        <v>0</v>
      </c>
      <c r="R193" s="5" t="s">
        <v>606</v>
      </c>
      <c r="S193" s="5" t="s">
        <v>598</v>
      </c>
      <c r="T193" s="5" t="s">
        <v>658</v>
      </c>
      <c r="U193" s="5" t="s">
        <v>2984</v>
      </c>
      <c r="V193" s="5" t="s">
        <v>2623</v>
      </c>
      <c r="W193" s="5" t="s">
        <v>2624</v>
      </c>
      <c r="X193" s="5" t="s">
        <v>1905</v>
      </c>
      <c r="Y193" s="5" t="s">
        <v>2625</v>
      </c>
      <c r="Z193" s="5" t="s">
        <v>1861</v>
      </c>
      <c r="AA193" s="5" t="s">
        <v>2626</v>
      </c>
      <c r="AB193" s="5"/>
      <c r="AC193" s="39" t="s">
        <v>2627</v>
      </c>
      <c r="AD193" s="62">
        <v>8.1999999999999993</v>
      </c>
      <c r="AE193" t="str">
        <f>VLOOKUP($F193,FromYabin!$C$2:$C$112,1,FALSE)</f>
        <v>Xin Yong Bu Xiao Shi De Dian Bo</v>
      </c>
    </row>
    <row r="194" spans="1:31" hidden="1">
      <c r="A194" s="4">
        <v>2017</v>
      </c>
      <c r="B194" s="4" t="s">
        <v>44</v>
      </c>
      <c r="C194" s="3">
        <f t="shared" si="5"/>
        <v>193</v>
      </c>
      <c r="D194" s="55" t="s">
        <v>1126</v>
      </c>
      <c r="E194" s="46" t="s">
        <v>1272</v>
      </c>
      <c r="F194" s="5" t="s">
        <v>1308</v>
      </c>
      <c r="G194" s="52" t="s">
        <v>3019</v>
      </c>
      <c r="H194" s="5" t="s">
        <v>136</v>
      </c>
      <c r="I194" s="7">
        <v>5970149.253731343</v>
      </c>
      <c r="J194" s="7">
        <v>1492537.3134328357</v>
      </c>
      <c r="K194" s="7">
        <v>2813582.0895522386</v>
      </c>
      <c r="L194" s="8">
        <v>23540</v>
      </c>
      <c r="M194" s="7">
        <v>4380000</v>
      </c>
      <c r="N194" s="7">
        <v>7670746.2686567158</v>
      </c>
      <c r="O194" s="7">
        <v>8242805</v>
      </c>
      <c r="P194" s="7">
        <v>8242805</v>
      </c>
      <c r="Q194" s="7">
        <f t="shared" si="4"/>
        <v>0</v>
      </c>
      <c r="R194" s="5" t="s">
        <v>606</v>
      </c>
      <c r="S194" s="5" t="s">
        <v>598</v>
      </c>
      <c r="T194" s="5" t="s">
        <v>616</v>
      </c>
      <c r="U194" s="5" t="s">
        <v>2984</v>
      </c>
      <c r="V194" s="5" t="s">
        <v>2629</v>
      </c>
      <c r="W194" s="5" t="s">
        <v>1308</v>
      </c>
      <c r="X194" s="5" t="s">
        <v>2630</v>
      </c>
      <c r="Y194" s="5" t="s">
        <v>2631</v>
      </c>
      <c r="Z194" s="5" t="s">
        <v>2632</v>
      </c>
      <c r="AA194" s="5" t="s">
        <v>2633</v>
      </c>
      <c r="AB194" s="5"/>
      <c r="AC194" s="5" t="s">
        <v>2634</v>
      </c>
      <c r="AD194" s="62">
        <v>8.1</v>
      </c>
      <c r="AE194" t="str">
        <f>VLOOKUP($F194,FromYabin!$C$2:$C$112,1,FALSE)</f>
        <v>Kill Me Please</v>
      </c>
    </row>
    <row r="195" spans="1:31" hidden="1">
      <c r="A195" s="4">
        <v>2017</v>
      </c>
      <c r="B195" s="4" t="s">
        <v>44</v>
      </c>
      <c r="C195" s="3">
        <f t="shared" si="5"/>
        <v>194</v>
      </c>
      <c r="D195" s="3" t="s">
        <v>1126</v>
      </c>
      <c r="E195" s="56" t="s">
        <v>2635</v>
      </c>
      <c r="F195" s="5" t="s">
        <v>1311</v>
      </c>
      <c r="G195" s="5" t="s">
        <v>1428</v>
      </c>
      <c r="H195" s="5" t="s">
        <v>191</v>
      </c>
      <c r="I195" s="7">
        <v>1492537.3134328357</v>
      </c>
      <c r="J195" s="7">
        <v>1492537.3134328357</v>
      </c>
      <c r="K195" s="7">
        <v>1684029.8507462686</v>
      </c>
      <c r="L195" s="8">
        <v>14710</v>
      </c>
      <c r="M195" s="7">
        <v>62577</v>
      </c>
      <c r="N195" s="7">
        <v>4591194.0298507465</v>
      </c>
      <c r="O195" s="7">
        <v>4886088</v>
      </c>
      <c r="P195" s="7">
        <v>4886088</v>
      </c>
      <c r="Q195" s="7">
        <f t="shared" ref="Q195:Q212" si="6">P195-O195</f>
        <v>0</v>
      </c>
      <c r="R195" s="5" t="s">
        <v>597</v>
      </c>
      <c r="S195" s="5" t="s">
        <v>598</v>
      </c>
      <c r="T195" s="5" t="s">
        <v>599</v>
      </c>
      <c r="U195" s="5" t="s">
        <v>2984</v>
      </c>
      <c r="V195" s="5" t="s">
        <v>2636</v>
      </c>
      <c r="W195" s="5" t="s">
        <v>2637</v>
      </c>
      <c r="X195" s="5" t="s">
        <v>2638</v>
      </c>
      <c r="Y195" s="5" t="s">
        <v>2639</v>
      </c>
      <c r="Z195" s="5"/>
      <c r="AA195" s="5" t="s">
        <v>2639</v>
      </c>
      <c r="AB195" s="5"/>
      <c r="AC195" s="5" t="s">
        <v>2640</v>
      </c>
      <c r="AD195" s="62">
        <v>9.1999999999999993</v>
      </c>
      <c r="AE195" t="str">
        <f>VLOOKUP($F195,FromYabin!$C$2:$C$112,1,FALSE)</f>
        <v>Return to the Wolves</v>
      </c>
    </row>
    <row r="196" spans="1:31" hidden="1">
      <c r="A196" s="4">
        <v>2018</v>
      </c>
      <c r="B196" s="4" t="s">
        <v>44</v>
      </c>
      <c r="C196" s="3">
        <f t="shared" ref="C196:C211" si="7">C195+1</f>
        <v>195</v>
      </c>
      <c r="D196" s="55" t="s">
        <v>1126</v>
      </c>
      <c r="E196" s="3" t="s">
        <v>2641</v>
      </c>
      <c r="F196" s="5" t="s">
        <v>411</v>
      </c>
      <c r="G196" s="5" t="s">
        <v>2642</v>
      </c>
      <c r="H196" s="5" t="s">
        <v>131</v>
      </c>
      <c r="I196" s="7">
        <v>11940298</v>
      </c>
      <c r="J196" s="7">
        <v>2985074</v>
      </c>
      <c r="K196" s="7">
        <v>2616417</v>
      </c>
      <c r="L196" s="8">
        <v>25357</v>
      </c>
      <c r="M196" s="7">
        <v>7372</v>
      </c>
      <c r="N196" s="7">
        <v>7134328</v>
      </c>
      <c r="O196" s="7">
        <v>8051388</v>
      </c>
      <c r="P196" s="7">
        <v>8051388</v>
      </c>
      <c r="Q196" s="7">
        <f t="shared" si="6"/>
        <v>0</v>
      </c>
      <c r="R196" s="5" t="s">
        <v>606</v>
      </c>
      <c r="S196" s="5" t="s">
        <v>598</v>
      </c>
      <c r="T196" s="5" t="s">
        <v>616</v>
      </c>
      <c r="U196" s="5" t="s">
        <v>2984</v>
      </c>
      <c r="V196" s="5" t="s">
        <v>2643</v>
      </c>
      <c r="W196" s="5" t="s">
        <v>2644</v>
      </c>
      <c r="X196" s="5" t="s">
        <v>2645</v>
      </c>
      <c r="Y196" s="5" t="s">
        <v>2646</v>
      </c>
      <c r="Z196" s="5"/>
      <c r="AA196" s="5" t="s">
        <v>2647</v>
      </c>
      <c r="AB196" s="5"/>
      <c r="AC196" s="5" t="s">
        <v>2369</v>
      </c>
      <c r="AD196" s="62">
        <v>8.1</v>
      </c>
      <c r="AE196" t="str">
        <f>VLOOKUP($F196,FromYabin!$C$2:$C$112,1,FALSE)</f>
        <v>Yu jian ni zhen hao</v>
      </c>
    </row>
    <row r="197" spans="1:31" hidden="1">
      <c r="A197" s="4">
        <v>2017</v>
      </c>
      <c r="B197" s="4" t="s">
        <v>44</v>
      </c>
      <c r="C197" s="3">
        <f t="shared" si="7"/>
        <v>196</v>
      </c>
      <c r="D197" s="3" t="s">
        <v>1126</v>
      </c>
      <c r="E197" s="56" t="s">
        <v>2648</v>
      </c>
      <c r="F197" s="5" t="s">
        <v>1317</v>
      </c>
      <c r="G197" s="5" t="s">
        <v>2575</v>
      </c>
      <c r="H197" s="5" t="s">
        <v>131</v>
      </c>
      <c r="I197" s="7">
        <v>4477611.9400000004</v>
      </c>
      <c r="J197" s="7">
        <v>1492537.31</v>
      </c>
      <c r="K197" s="7">
        <v>3301791.04</v>
      </c>
      <c r="L197" s="8">
        <v>24815</v>
      </c>
      <c r="M197" s="7">
        <v>980000</v>
      </c>
      <c r="N197" s="7">
        <v>8980895.5199999996</v>
      </c>
      <c r="O197" s="7">
        <v>9949926</v>
      </c>
      <c r="P197" s="7">
        <v>9949926</v>
      </c>
      <c r="Q197" s="7">
        <f t="shared" si="6"/>
        <v>0</v>
      </c>
      <c r="R197" s="5" t="s">
        <v>606</v>
      </c>
      <c r="S197" s="5" t="s">
        <v>598</v>
      </c>
      <c r="T197" s="5" t="s">
        <v>616</v>
      </c>
      <c r="U197" s="5" t="s">
        <v>2984</v>
      </c>
      <c r="V197" s="5" t="s">
        <v>2649</v>
      </c>
      <c r="W197" s="5" t="s">
        <v>2650</v>
      </c>
      <c r="X197" s="5" t="s">
        <v>2651</v>
      </c>
      <c r="Y197" s="5" t="s">
        <v>2652</v>
      </c>
      <c r="Z197" s="5" t="s">
        <v>2653</v>
      </c>
      <c r="AA197" s="5" t="s">
        <v>2654</v>
      </c>
      <c r="AB197" s="5"/>
      <c r="AC197" s="5" t="s">
        <v>2655</v>
      </c>
      <c r="AD197" s="62">
        <v>9.1999999999999993</v>
      </c>
      <c r="AE197" t="str">
        <f>VLOOKUP($F197,FromYabin!$C$2:$C$112,1,FALSE)</f>
        <v>Shanguang Shaonu</v>
      </c>
    </row>
    <row r="198" spans="1:31" hidden="1">
      <c r="A198" s="4">
        <v>2017</v>
      </c>
      <c r="B198" s="4" t="s">
        <v>44</v>
      </c>
      <c r="C198" s="3">
        <f t="shared" si="7"/>
        <v>197</v>
      </c>
      <c r="D198" s="55" t="s">
        <v>1126</v>
      </c>
      <c r="E198" s="3" t="s">
        <v>2656</v>
      </c>
      <c r="F198" s="5" t="s">
        <v>1320</v>
      </c>
      <c r="G198" s="39" t="s">
        <v>2657</v>
      </c>
      <c r="H198" s="5" t="s">
        <v>129</v>
      </c>
      <c r="I198" s="7">
        <v>14925373.134328358</v>
      </c>
      <c r="J198" s="7">
        <v>7462686.5671641789</v>
      </c>
      <c r="K198" s="7">
        <v>21492537.313432835</v>
      </c>
      <c r="L198" s="41">
        <v>95005</v>
      </c>
      <c r="M198" s="42">
        <v>24520000</v>
      </c>
      <c r="N198" s="7">
        <v>57164179.104477607</v>
      </c>
      <c r="O198" s="7">
        <v>60600360</v>
      </c>
      <c r="P198" s="7">
        <v>60600360</v>
      </c>
      <c r="Q198" s="7">
        <f t="shared" si="6"/>
        <v>0</v>
      </c>
      <c r="R198" s="5" t="s">
        <v>606</v>
      </c>
      <c r="S198" s="5" t="s">
        <v>598</v>
      </c>
      <c r="T198" s="5" t="s">
        <v>658</v>
      </c>
      <c r="U198" s="5" t="s">
        <v>2984</v>
      </c>
      <c r="V198" s="5" t="s">
        <v>2658</v>
      </c>
      <c r="W198" s="5" t="s">
        <v>2659</v>
      </c>
      <c r="X198" s="5" t="s">
        <v>2660</v>
      </c>
      <c r="Y198" s="5" t="s">
        <v>2661</v>
      </c>
      <c r="Z198" s="5"/>
      <c r="AA198" s="5" t="s">
        <v>1649</v>
      </c>
      <c r="AB198" s="5"/>
      <c r="AC198" s="39" t="s">
        <v>2662</v>
      </c>
      <c r="AD198" s="62">
        <v>9.1</v>
      </c>
      <c r="AE198" t="str">
        <f>VLOOKUP($F198,FromYabin!$C$2:$C$112,1,FALSE)</f>
        <v>The Founding of an Army</v>
      </c>
    </row>
    <row r="199" spans="1:31" hidden="1">
      <c r="A199" s="4">
        <v>2017</v>
      </c>
      <c r="B199" s="4" t="s">
        <v>44</v>
      </c>
      <c r="C199" s="3">
        <f t="shared" si="7"/>
        <v>198</v>
      </c>
      <c r="D199" s="55" t="s">
        <v>1126</v>
      </c>
      <c r="E199" s="56" t="s">
        <v>2663</v>
      </c>
      <c r="F199" s="5" t="s">
        <v>1325</v>
      </c>
      <c r="G199" s="5" t="s">
        <v>2664</v>
      </c>
      <c r="H199" s="5" t="s">
        <v>129</v>
      </c>
      <c r="I199" s="7">
        <v>4477611.940298507</v>
      </c>
      <c r="J199" s="7">
        <v>1492537.3134328357</v>
      </c>
      <c r="K199" s="7">
        <v>1691940.2985074627</v>
      </c>
      <c r="L199" s="8">
        <v>33691</v>
      </c>
      <c r="M199" s="7">
        <v>2820000</v>
      </c>
      <c r="N199" s="7">
        <v>4612835.8208955219</v>
      </c>
      <c r="O199" s="7">
        <v>5029820</v>
      </c>
      <c r="P199" s="7">
        <v>5029820</v>
      </c>
      <c r="Q199" s="7">
        <f t="shared" si="6"/>
        <v>0</v>
      </c>
      <c r="R199" s="5" t="s">
        <v>606</v>
      </c>
      <c r="S199" s="5" t="s">
        <v>598</v>
      </c>
      <c r="T199" s="5" t="s">
        <v>616</v>
      </c>
      <c r="U199" s="5" t="s">
        <v>2984</v>
      </c>
      <c r="V199" s="5" t="s">
        <v>2665</v>
      </c>
      <c r="W199" s="5" t="s">
        <v>2666</v>
      </c>
      <c r="X199" s="5" t="s">
        <v>1891</v>
      </c>
      <c r="Y199" s="5" t="s">
        <v>2667</v>
      </c>
      <c r="Z199" s="5" t="s">
        <v>2668</v>
      </c>
      <c r="AA199" s="5" t="s">
        <v>2669</v>
      </c>
      <c r="AB199" s="5"/>
      <c r="AC199" s="5" t="s">
        <v>2670</v>
      </c>
      <c r="AD199" s="62">
        <v>7.9</v>
      </c>
      <c r="AE199" t="str">
        <f>VLOOKUP($F199,FromYabin!$C$2:$C$112,1,FALSE)</f>
        <v>Hei Bai Mi Gong</v>
      </c>
    </row>
    <row r="200" spans="1:31">
      <c r="A200" s="4">
        <v>2017</v>
      </c>
      <c r="B200" s="4" t="s">
        <v>44</v>
      </c>
      <c r="C200" s="3">
        <f t="shared" si="7"/>
        <v>199</v>
      </c>
      <c r="D200" s="55" t="s">
        <v>1126</v>
      </c>
      <c r="E200" s="3" t="s">
        <v>2671</v>
      </c>
      <c r="F200" s="5" t="s">
        <v>1326</v>
      </c>
      <c r="G200" s="5" t="s">
        <v>2525</v>
      </c>
      <c r="H200" s="5" t="s">
        <v>136</v>
      </c>
      <c r="I200" s="7">
        <v>2985074.6268656715</v>
      </c>
      <c r="J200" s="7">
        <v>1194029.8507462686</v>
      </c>
      <c r="K200" s="7">
        <v>455223.88059701491</v>
      </c>
      <c r="L200" s="41" t="s">
        <v>1501</v>
      </c>
      <c r="M200" s="7">
        <v>195282</v>
      </c>
      <c r="N200" s="7">
        <v>1241791.0447761193</v>
      </c>
      <c r="O200" s="7">
        <v>1327225</v>
      </c>
      <c r="P200" s="7">
        <v>1327225</v>
      </c>
      <c r="Q200" s="7">
        <f t="shared" si="6"/>
        <v>0</v>
      </c>
      <c r="R200" s="39" t="s">
        <v>606</v>
      </c>
      <c r="S200" s="5" t="s">
        <v>598</v>
      </c>
      <c r="T200" s="39" t="s">
        <v>616</v>
      </c>
      <c r="U200" s="5" t="s">
        <v>2984</v>
      </c>
      <c r="V200" s="5" t="s">
        <v>2672</v>
      </c>
      <c r="W200" s="5" t="s">
        <v>2673</v>
      </c>
      <c r="X200" s="5" t="s">
        <v>2674</v>
      </c>
      <c r="Y200" s="5" t="s">
        <v>2675</v>
      </c>
      <c r="Z200" s="5" t="s">
        <v>2676</v>
      </c>
      <c r="AA200" s="5" t="s">
        <v>2677</v>
      </c>
      <c r="AB200" s="5"/>
      <c r="AC200" s="5" t="s">
        <v>2678</v>
      </c>
      <c r="AD200" s="62">
        <v>8</v>
      </c>
      <c r="AE200" t="str">
        <f>VLOOKUP($F200,FromYabin!$C$2:$C$112,1,FALSE)</f>
        <v>Ren Pa Chu Ming Zhu Pa Zhuang</v>
      </c>
    </row>
    <row r="201" spans="1:31" hidden="1">
      <c r="A201" s="4">
        <v>2017</v>
      </c>
      <c r="B201" s="4" t="s">
        <v>44</v>
      </c>
      <c r="C201" s="3">
        <f t="shared" si="7"/>
        <v>200</v>
      </c>
      <c r="D201" s="55" t="s">
        <v>1126</v>
      </c>
      <c r="E201" s="56" t="s">
        <v>1084</v>
      </c>
      <c r="F201" s="5" t="s">
        <v>1327</v>
      </c>
      <c r="G201" s="5" t="s">
        <v>1658</v>
      </c>
      <c r="H201" s="5" t="s">
        <v>129</v>
      </c>
      <c r="I201" s="7">
        <v>29850746</v>
      </c>
      <c r="J201" s="7">
        <v>8955223</v>
      </c>
      <c r="K201" s="7">
        <v>17164179</v>
      </c>
      <c r="L201" s="8">
        <v>45552</v>
      </c>
      <c r="M201" s="7">
        <v>12995928</v>
      </c>
      <c r="N201" s="7">
        <v>45970149</v>
      </c>
      <c r="O201" s="7">
        <v>48069252</v>
      </c>
      <c r="P201" s="7">
        <v>48069252</v>
      </c>
      <c r="Q201" s="7">
        <f t="shared" si="6"/>
        <v>0</v>
      </c>
      <c r="R201" s="5" t="s">
        <v>606</v>
      </c>
      <c r="S201" s="5" t="s">
        <v>598</v>
      </c>
      <c r="T201" s="5" t="s">
        <v>616</v>
      </c>
      <c r="U201" s="5" t="s">
        <v>2984</v>
      </c>
      <c r="V201" s="5" t="s">
        <v>2679</v>
      </c>
      <c r="W201" s="5" t="s">
        <v>2680</v>
      </c>
      <c r="X201" s="39" t="s">
        <v>2681</v>
      </c>
      <c r="Y201" s="5" t="s">
        <v>2682</v>
      </c>
      <c r="Z201" s="39" t="s">
        <v>1984</v>
      </c>
      <c r="AA201" s="5" t="s">
        <v>2683</v>
      </c>
      <c r="AB201" s="5"/>
      <c r="AC201" s="5" t="s">
        <v>2684</v>
      </c>
      <c r="AD201" s="62">
        <v>8.6</v>
      </c>
      <c r="AE201" t="str">
        <f>VLOOKUP($F201,FromYabin!$C$2:$C$112,1,FALSE)</f>
        <v>Kong tian liè</v>
      </c>
    </row>
    <row r="202" spans="1:31" hidden="1">
      <c r="A202" s="4">
        <v>2017</v>
      </c>
      <c r="B202" s="4" t="s">
        <v>44</v>
      </c>
      <c r="C202" s="3">
        <f t="shared" si="7"/>
        <v>201</v>
      </c>
      <c r="D202" s="55" t="s">
        <v>1126</v>
      </c>
      <c r="E202" s="56" t="s">
        <v>2685</v>
      </c>
      <c r="F202" s="5" t="s">
        <v>1332</v>
      </c>
      <c r="G202" s="5" t="s">
        <v>2686</v>
      </c>
      <c r="H202" s="5" t="s">
        <v>131</v>
      </c>
      <c r="I202" s="7">
        <v>7462686.5671641789</v>
      </c>
      <c r="J202" s="7">
        <v>1492537.3134328357</v>
      </c>
      <c r="K202" s="7">
        <v>1391343.2835820895</v>
      </c>
      <c r="L202" s="8">
        <v>32654</v>
      </c>
      <c r="M202" s="7">
        <v>3308567</v>
      </c>
      <c r="N202" s="7">
        <v>3793283.5820895522</v>
      </c>
      <c r="O202" s="7">
        <v>4964366</v>
      </c>
      <c r="P202" s="7">
        <v>4964366</v>
      </c>
      <c r="Q202" s="7">
        <f t="shared" si="6"/>
        <v>0</v>
      </c>
      <c r="R202" s="5" t="s">
        <v>606</v>
      </c>
      <c r="S202" s="5" t="s">
        <v>598</v>
      </c>
      <c r="T202" s="5" t="s">
        <v>616</v>
      </c>
      <c r="U202" s="5" t="s">
        <v>2984</v>
      </c>
      <c r="V202" s="5" t="s">
        <v>2687</v>
      </c>
      <c r="W202" s="5" t="s">
        <v>2688</v>
      </c>
      <c r="X202" s="5" t="s">
        <v>2019</v>
      </c>
      <c r="Y202" s="5" t="s">
        <v>2459</v>
      </c>
      <c r="Z202" s="5" t="s">
        <v>2689</v>
      </c>
      <c r="AA202" s="5" t="s">
        <v>2690</v>
      </c>
      <c r="AB202" s="5"/>
      <c r="AC202" s="5" t="s">
        <v>2691</v>
      </c>
      <c r="AD202" s="62">
        <v>7.2</v>
      </c>
      <c r="AE202" t="str">
        <f>VLOOKUP($F202,FromYabin!$C$2:$C$112,1,FALSE)</f>
        <v>Bao Xue Jiang Zhi</v>
      </c>
    </row>
    <row r="203" spans="1:31" hidden="1">
      <c r="A203" s="4">
        <v>2017</v>
      </c>
      <c r="B203" s="4" t="s">
        <v>44</v>
      </c>
      <c r="C203" s="3">
        <f t="shared" si="7"/>
        <v>202</v>
      </c>
      <c r="D203" s="55" t="s">
        <v>1126</v>
      </c>
      <c r="E203" s="56" t="s">
        <v>2692</v>
      </c>
      <c r="F203" s="5" t="s">
        <v>1333</v>
      </c>
      <c r="G203" s="5" t="s">
        <v>1494</v>
      </c>
      <c r="H203" s="5" t="s">
        <v>148</v>
      </c>
      <c r="I203" s="7">
        <v>7462686.5671641789</v>
      </c>
      <c r="J203" s="7">
        <v>7462686.5671641789</v>
      </c>
      <c r="K203" s="7">
        <v>6322238.8059701491</v>
      </c>
      <c r="L203" s="41">
        <v>35687</v>
      </c>
      <c r="M203" s="42">
        <v>219973</v>
      </c>
      <c r="N203" s="7">
        <v>17014925.373134326</v>
      </c>
      <c r="O203" s="7">
        <v>18019652</v>
      </c>
      <c r="P203" s="7">
        <v>18019652</v>
      </c>
      <c r="Q203" s="7">
        <f t="shared" si="6"/>
        <v>0</v>
      </c>
      <c r="R203" s="5" t="s">
        <v>602</v>
      </c>
      <c r="S203" s="5" t="s">
        <v>598</v>
      </c>
      <c r="T203" s="5" t="s">
        <v>616</v>
      </c>
      <c r="U203" s="5" t="s">
        <v>2984</v>
      </c>
      <c r="V203" s="5" t="s">
        <v>2693</v>
      </c>
      <c r="W203" s="39" t="s">
        <v>2694</v>
      </c>
      <c r="X203" s="5" t="s">
        <v>2431</v>
      </c>
      <c r="Y203" s="5" t="s">
        <v>2695</v>
      </c>
      <c r="Z203" s="5"/>
      <c r="AA203" s="5" t="s">
        <v>1806</v>
      </c>
      <c r="AB203" s="5" t="s">
        <v>1807</v>
      </c>
      <c r="AC203" s="5" t="s">
        <v>2344</v>
      </c>
      <c r="AD203" s="62">
        <v>9</v>
      </c>
      <c r="AE203" t="str">
        <f>VLOOKUP($F203,FromYabin!$C$2:$C$112,1,FALSE)</f>
        <v>Ao Jiao &amp; Pian Jian</v>
      </c>
    </row>
    <row r="204" spans="1:31" hidden="1">
      <c r="A204" s="4">
        <v>2018</v>
      </c>
      <c r="B204" s="4" t="s">
        <v>44</v>
      </c>
      <c r="C204" s="3">
        <f t="shared" si="7"/>
        <v>203</v>
      </c>
      <c r="D204" s="55" t="s">
        <v>1126</v>
      </c>
      <c r="E204" s="3" t="s">
        <v>2275</v>
      </c>
      <c r="F204" s="5" t="s">
        <v>410</v>
      </c>
      <c r="G204" s="5" t="s">
        <v>1916</v>
      </c>
      <c r="H204" s="5" t="s">
        <v>1403</v>
      </c>
      <c r="I204" s="7">
        <v>2985074</v>
      </c>
      <c r="J204" s="7">
        <v>2238805</v>
      </c>
      <c r="K204" s="7">
        <v>3063333</v>
      </c>
      <c r="L204" s="8">
        <v>24773</v>
      </c>
      <c r="M204" s="7">
        <v>1610</v>
      </c>
      <c r="N204" s="7">
        <v>7479104</v>
      </c>
      <c r="O204" s="7">
        <v>8512220</v>
      </c>
      <c r="P204" s="7">
        <v>8512220</v>
      </c>
      <c r="Q204" s="7">
        <f t="shared" si="6"/>
        <v>0</v>
      </c>
      <c r="R204" s="5" t="s">
        <v>606</v>
      </c>
      <c r="S204" s="5" t="s">
        <v>598</v>
      </c>
      <c r="T204" s="5" t="s">
        <v>616</v>
      </c>
      <c r="U204" s="5" t="s">
        <v>2984</v>
      </c>
      <c r="V204" s="5" t="s">
        <v>2700</v>
      </c>
      <c r="W204" s="5" t="s">
        <v>2701</v>
      </c>
      <c r="X204" s="5" t="s">
        <v>2564</v>
      </c>
      <c r="Y204" s="5" t="s">
        <v>2702</v>
      </c>
      <c r="Z204" s="5"/>
      <c r="AA204" s="5" t="s">
        <v>2703</v>
      </c>
      <c r="AB204" s="5"/>
      <c r="AC204" s="5" t="s">
        <v>2704</v>
      </c>
      <c r="AD204" s="62">
        <v>8.1999999999999993</v>
      </c>
      <c r="AE204" t="str">
        <f>VLOOKUP($F204,FromYabin!$C$2:$C$112,1,FALSE)</f>
        <v>Bao Lie Wu Sheng</v>
      </c>
    </row>
    <row r="205" spans="1:31" hidden="1">
      <c r="A205" s="4">
        <v>2017</v>
      </c>
      <c r="B205" s="4" t="s">
        <v>44</v>
      </c>
      <c r="C205" s="3">
        <f t="shared" si="7"/>
        <v>204</v>
      </c>
      <c r="D205" s="55" t="s">
        <v>1126</v>
      </c>
      <c r="E205" s="56" t="s">
        <v>1095</v>
      </c>
      <c r="F205" s="5" t="s">
        <v>1339</v>
      </c>
      <c r="G205" s="5" t="s">
        <v>2575</v>
      </c>
      <c r="H205" s="5" t="s">
        <v>136</v>
      </c>
      <c r="I205" s="7">
        <v>7462686.5700000003</v>
      </c>
      <c r="J205" s="7">
        <v>2238805.9700000002</v>
      </c>
      <c r="K205" s="7">
        <v>3528507.46</v>
      </c>
      <c r="L205" s="8">
        <v>36935</v>
      </c>
      <c r="M205" s="7">
        <v>5430000</v>
      </c>
      <c r="N205" s="7">
        <v>9583880.5999999996</v>
      </c>
      <c r="O205" s="7">
        <v>10238078</v>
      </c>
      <c r="P205" s="7">
        <v>10238078</v>
      </c>
      <c r="Q205" s="7">
        <f t="shared" si="6"/>
        <v>0</v>
      </c>
      <c r="R205" s="5" t="s">
        <v>606</v>
      </c>
      <c r="S205" s="5" t="s">
        <v>703</v>
      </c>
      <c r="T205" s="5" t="s">
        <v>603</v>
      </c>
      <c r="U205" s="5" t="s">
        <v>2984</v>
      </c>
      <c r="V205" s="5" t="s">
        <v>2705</v>
      </c>
      <c r="W205" s="5" t="s">
        <v>2706</v>
      </c>
      <c r="X205" s="5" t="s">
        <v>2707</v>
      </c>
      <c r="Y205" s="5" t="s">
        <v>2170</v>
      </c>
      <c r="Z205" s="5" t="s">
        <v>2254</v>
      </c>
      <c r="AA205" s="5" t="s">
        <v>2708</v>
      </c>
      <c r="AB205" s="5"/>
      <c r="AC205" s="5" t="s">
        <v>2709</v>
      </c>
      <c r="AD205" s="62">
        <v>8.1</v>
      </c>
      <c r="AE205" t="str">
        <f>VLOOKUP($F205,FromYabin!$C$2:$C$112,1,FALSE)</f>
        <v>Fan Zhuan Ren Sheng</v>
      </c>
    </row>
    <row r="206" spans="1:31" hidden="1">
      <c r="A206" s="4">
        <v>2018</v>
      </c>
      <c r="B206" s="4" t="s">
        <v>44</v>
      </c>
      <c r="C206" s="3">
        <f t="shared" si="7"/>
        <v>205</v>
      </c>
      <c r="D206" s="55" t="s">
        <v>1126</v>
      </c>
      <c r="E206" s="3" t="s">
        <v>2710</v>
      </c>
      <c r="F206" s="5" t="s">
        <v>418</v>
      </c>
      <c r="G206" s="5" t="s">
        <v>2664</v>
      </c>
      <c r="H206" s="5" t="s">
        <v>136</v>
      </c>
      <c r="I206" s="7">
        <v>7462686</v>
      </c>
      <c r="J206" s="7">
        <v>1492537</v>
      </c>
      <c r="K206" s="7">
        <v>1880597</v>
      </c>
      <c r="L206" s="8">
        <v>30895</v>
      </c>
      <c r="M206" s="7">
        <v>82699</v>
      </c>
      <c r="N206" s="7">
        <v>5125373</v>
      </c>
      <c r="O206" s="7">
        <v>5748970</v>
      </c>
      <c r="P206" s="7">
        <v>5748970</v>
      </c>
      <c r="Q206" s="7">
        <f t="shared" si="6"/>
        <v>0</v>
      </c>
      <c r="R206" s="5" t="s">
        <v>606</v>
      </c>
      <c r="S206" s="5" t="s">
        <v>598</v>
      </c>
      <c r="T206" s="5" t="s">
        <v>616</v>
      </c>
      <c r="U206" s="5" t="s">
        <v>2984</v>
      </c>
      <c r="V206" s="5" t="s">
        <v>2711</v>
      </c>
      <c r="W206" s="5" t="s">
        <v>2712</v>
      </c>
      <c r="X206" s="5" t="s">
        <v>2170</v>
      </c>
      <c r="Y206" s="5" t="s">
        <v>2713</v>
      </c>
      <c r="Z206" s="5"/>
      <c r="AA206" s="5" t="s">
        <v>2714</v>
      </c>
      <c r="AB206" s="5"/>
      <c r="AC206" s="5" t="s">
        <v>2670</v>
      </c>
      <c r="AD206" s="62">
        <v>8.3000000000000007</v>
      </c>
      <c r="AE206" t="str">
        <f>VLOOKUP($F206,FromYabin!$C$2:$C$112,1,FALSE)</f>
        <v>Wo Shi Ni Ma</v>
      </c>
    </row>
    <row r="207" spans="1:31" hidden="1">
      <c r="A207" s="4">
        <v>2017</v>
      </c>
      <c r="B207" s="4" t="s">
        <v>44</v>
      </c>
      <c r="C207" s="3">
        <f t="shared" si="7"/>
        <v>206</v>
      </c>
      <c r="D207" s="55" t="s">
        <v>1126</v>
      </c>
      <c r="E207" s="56" t="s">
        <v>2022</v>
      </c>
      <c r="F207" s="5" t="s">
        <v>1342</v>
      </c>
      <c r="G207" s="5" t="s">
        <v>2715</v>
      </c>
      <c r="H207" s="5" t="s">
        <v>129</v>
      </c>
      <c r="I207" s="7">
        <v>7462686.5671641789</v>
      </c>
      <c r="J207" s="7">
        <v>2238805.9701492535</v>
      </c>
      <c r="K207" s="7">
        <v>1538208.9552238805</v>
      </c>
      <c r="L207" s="8">
        <v>26127</v>
      </c>
      <c r="M207" s="7">
        <v>1530000</v>
      </c>
      <c r="N207" s="7">
        <v>4193731.343283582</v>
      </c>
      <c r="O207" s="7">
        <v>4433919</v>
      </c>
      <c r="P207" s="7">
        <v>4433919</v>
      </c>
      <c r="Q207" s="7">
        <f t="shared" si="6"/>
        <v>0</v>
      </c>
      <c r="R207" s="5" t="s">
        <v>606</v>
      </c>
      <c r="S207" s="5" t="s">
        <v>598</v>
      </c>
      <c r="T207" s="5" t="s">
        <v>658</v>
      </c>
      <c r="U207" s="5" t="s">
        <v>2984</v>
      </c>
      <c r="V207" s="5" t="s">
        <v>2716</v>
      </c>
      <c r="W207" s="5" t="s">
        <v>1342</v>
      </c>
      <c r="X207" s="5" t="s">
        <v>2717</v>
      </c>
      <c r="Y207" s="5" t="s">
        <v>2718</v>
      </c>
      <c r="Z207" s="5"/>
      <c r="AA207" s="5" t="s">
        <v>2719</v>
      </c>
      <c r="AB207" s="5"/>
      <c r="AC207" s="5" t="s">
        <v>2720</v>
      </c>
      <c r="AD207" s="59">
        <v>7.8</v>
      </c>
      <c r="AE207" t="str">
        <f>VLOOKUP($F207,FromYabin!$C$2:$C$112,1,FALSE)</f>
        <v>Fist &amp; Faith</v>
      </c>
    </row>
    <row r="208" spans="1:31" hidden="1">
      <c r="A208" s="4">
        <v>2017</v>
      </c>
      <c r="B208" s="4" t="s">
        <v>44</v>
      </c>
      <c r="C208" s="3">
        <f t="shared" si="7"/>
        <v>207</v>
      </c>
      <c r="D208" s="55" t="s">
        <v>1126</v>
      </c>
      <c r="E208" s="56" t="s">
        <v>2721</v>
      </c>
      <c r="F208" s="5" t="s">
        <v>1347</v>
      </c>
      <c r="G208" s="5" t="s">
        <v>2722</v>
      </c>
      <c r="H208" s="5" t="s">
        <v>129</v>
      </c>
      <c r="I208" s="7">
        <v>14925373</v>
      </c>
      <c r="J208" s="7">
        <v>4477611</v>
      </c>
      <c r="K208" s="7">
        <v>16119402</v>
      </c>
      <c r="L208" s="8">
        <v>63028</v>
      </c>
      <c r="M208" s="7">
        <v>24270000</v>
      </c>
      <c r="N208" s="7">
        <v>43134328</v>
      </c>
      <c r="O208" s="7">
        <v>45698504</v>
      </c>
      <c r="P208" s="7">
        <v>45698504</v>
      </c>
      <c r="Q208" s="7">
        <f t="shared" si="6"/>
        <v>0</v>
      </c>
      <c r="R208" s="5" t="s">
        <v>606</v>
      </c>
      <c r="S208" s="5" t="s">
        <v>598</v>
      </c>
      <c r="T208" s="5" t="s">
        <v>616</v>
      </c>
      <c r="U208" s="5" t="s">
        <v>2984</v>
      </c>
      <c r="V208" s="5" t="s">
        <v>2723</v>
      </c>
      <c r="W208" s="5" t="s">
        <v>2724</v>
      </c>
      <c r="X208" s="5" t="s">
        <v>2283</v>
      </c>
      <c r="Y208" s="5" t="s">
        <v>2725</v>
      </c>
      <c r="Z208" s="5"/>
      <c r="AA208" s="5" t="s">
        <v>2726</v>
      </c>
      <c r="AB208" s="5"/>
      <c r="AC208" s="5" t="s">
        <v>2722</v>
      </c>
      <c r="AD208" s="62">
        <v>8.1999999999999993</v>
      </c>
      <c r="AE208" t="str">
        <f>VLOOKUP($F208,FromYabin!$C$2:$C$112,1,FALSE)</f>
        <v>Xin Li Zui</v>
      </c>
    </row>
    <row r="209" spans="1:31" hidden="1">
      <c r="A209" s="4">
        <v>2017</v>
      </c>
      <c r="B209" s="4" t="s">
        <v>45</v>
      </c>
      <c r="C209" s="3">
        <f t="shared" si="7"/>
        <v>208</v>
      </c>
      <c r="D209" s="55" t="s">
        <v>1126</v>
      </c>
      <c r="E209" s="56" t="s">
        <v>2603</v>
      </c>
      <c r="F209" s="5" t="s">
        <v>1351</v>
      </c>
      <c r="G209" s="5" t="s">
        <v>2728</v>
      </c>
      <c r="H209" s="5" t="s">
        <v>127</v>
      </c>
      <c r="I209" s="7">
        <v>10447761.194029851</v>
      </c>
      <c r="J209" s="7">
        <v>2238805.9701492535</v>
      </c>
      <c r="K209" s="7">
        <v>2307462.686567164</v>
      </c>
      <c r="L209" s="8">
        <v>33909</v>
      </c>
      <c r="M209" s="7">
        <v>4580967</v>
      </c>
      <c r="N209" s="7">
        <v>6290746.2686567167</v>
      </c>
      <c r="O209" s="7">
        <v>6651494</v>
      </c>
      <c r="P209" s="7">
        <v>6651494</v>
      </c>
      <c r="Q209" s="7">
        <f t="shared" si="6"/>
        <v>0</v>
      </c>
      <c r="R209" s="5" t="s">
        <v>606</v>
      </c>
      <c r="S209" s="5" t="s">
        <v>703</v>
      </c>
      <c r="T209" s="5" t="s">
        <v>612</v>
      </c>
      <c r="U209" s="5" t="s">
        <v>2984</v>
      </c>
      <c r="V209" s="5" t="s">
        <v>2729</v>
      </c>
      <c r="W209" s="5" t="s">
        <v>1351</v>
      </c>
      <c r="X209" s="5" t="s">
        <v>1646</v>
      </c>
      <c r="Y209" s="5" t="s">
        <v>2563</v>
      </c>
      <c r="Z209" s="5" t="s">
        <v>2730</v>
      </c>
      <c r="AA209" s="5" t="s">
        <v>2731</v>
      </c>
      <c r="AB209" s="5"/>
      <c r="AC209" s="5" t="s">
        <v>2365</v>
      </c>
      <c r="AD209" s="62">
        <v>8.4</v>
      </c>
      <c r="AE209" t="str">
        <f>VLOOKUP($F209,FromYabin!$C$2:$C$112,1,FALSE)</f>
        <v>Meow</v>
      </c>
    </row>
    <row r="210" spans="1:31" hidden="1">
      <c r="A210" s="4">
        <v>2017</v>
      </c>
      <c r="B210" s="4" t="s">
        <v>45</v>
      </c>
      <c r="C210" s="3">
        <f t="shared" si="7"/>
        <v>209</v>
      </c>
      <c r="D210" s="55" t="s">
        <v>1082</v>
      </c>
      <c r="E210" s="3" t="s">
        <v>1082</v>
      </c>
      <c r="F210" s="5" t="s">
        <v>1356</v>
      </c>
      <c r="G210" s="5" t="s">
        <v>1357</v>
      </c>
      <c r="H210" s="5" t="s">
        <v>129</v>
      </c>
      <c r="I210" s="7">
        <v>14925373</v>
      </c>
      <c r="J210" s="7">
        <v>7462686</v>
      </c>
      <c r="K210" s="7">
        <v>20895522</v>
      </c>
      <c r="L210" s="8">
        <v>58455</v>
      </c>
      <c r="M210" s="7">
        <v>24538631</v>
      </c>
      <c r="N210" s="7">
        <v>55522388</v>
      </c>
      <c r="O210" s="7">
        <v>58807172</v>
      </c>
      <c r="P210" s="7">
        <v>58807172</v>
      </c>
      <c r="Q210" s="7">
        <f t="shared" si="6"/>
        <v>0</v>
      </c>
      <c r="R210" s="5" t="s">
        <v>606</v>
      </c>
      <c r="S210" s="5" t="s">
        <v>598</v>
      </c>
      <c r="T210" s="5" t="s">
        <v>616</v>
      </c>
      <c r="U210" s="5" t="s">
        <v>1390</v>
      </c>
      <c r="V210" s="5" t="s">
        <v>2732</v>
      </c>
      <c r="W210" s="5" t="s">
        <v>2733</v>
      </c>
      <c r="X210" s="5" t="s">
        <v>2727</v>
      </c>
      <c r="Y210" s="5" t="s">
        <v>2734</v>
      </c>
      <c r="Z210" s="5"/>
      <c r="AA210" s="5" t="s">
        <v>2298</v>
      </c>
      <c r="AB210" s="5"/>
      <c r="AC210" s="5" t="s">
        <v>2735</v>
      </c>
      <c r="AD210" s="62">
        <v>9</v>
      </c>
      <c r="AE210" t="str">
        <f>VLOOKUP($F210,FromYabin!$C$2:$C$112,1,FALSE)</f>
        <v>Chai dàn zhuanjia</v>
      </c>
    </row>
    <row r="211" spans="1:31" hidden="1">
      <c r="A211" s="4">
        <v>2017</v>
      </c>
      <c r="B211" s="4" t="s">
        <v>46</v>
      </c>
      <c r="C211" s="3">
        <f t="shared" si="7"/>
        <v>210</v>
      </c>
      <c r="D211" s="55" t="s">
        <v>1097</v>
      </c>
      <c r="E211" s="3" t="s">
        <v>2737</v>
      </c>
      <c r="F211" s="5" t="s">
        <v>58</v>
      </c>
      <c r="G211" s="5" t="s">
        <v>1377</v>
      </c>
      <c r="H211" s="5" t="s">
        <v>131</v>
      </c>
      <c r="I211" s="7">
        <v>5970149.253731343</v>
      </c>
      <c r="J211" s="7">
        <v>2985074.6268656715</v>
      </c>
      <c r="K211" s="7">
        <v>1386567.1641791044</v>
      </c>
      <c r="L211" s="41">
        <v>23831</v>
      </c>
      <c r="M211" s="42">
        <v>18228</v>
      </c>
      <c r="N211" s="7">
        <v>3782089.5522388057</v>
      </c>
      <c r="O211" s="7">
        <v>4013033</v>
      </c>
      <c r="P211" s="7">
        <v>4013033</v>
      </c>
      <c r="Q211" s="7">
        <f t="shared" si="6"/>
        <v>0</v>
      </c>
      <c r="R211" s="5" t="s">
        <v>606</v>
      </c>
      <c r="S211" s="5" t="s">
        <v>598</v>
      </c>
      <c r="T211" s="5" t="s">
        <v>616</v>
      </c>
      <c r="U211" s="5" t="s">
        <v>1390</v>
      </c>
      <c r="V211" s="5" t="s">
        <v>2738</v>
      </c>
      <c r="W211" s="5" t="s">
        <v>2739</v>
      </c>
      <c r="X211" s="5" t="s">
        <v>2740</v>
      </c>
      <c r="Y211" s="5" t="s">
        <v>2426</v>
      </c>
      <c r="Z211" s="5" t="s">
        <v>2741</v>
      </c>
      <c r="AA211" s="5" t="s">
        <v>2742</v>
      </c>
      <c r="AB211" s="5"/>
      <c r="AC211" s="5" t="s">
        <v>2743</v>
      </c>
      <c r="AD211" s="62">
        <v>7.4</v>
      </c>
      <c r="AE211" t="str">
        <f>VLOOKUP($F211,FromYabin!$C$2:$C$112,1,FALSE)</f>
        <v>DiDi's Dreams</v>
      </c>
    </row>
    <row r="212" spans="1:31" hidden="1">
      <c r="A212" s="4">
        <v>2019</v>
      </c>
      <c r="B212" s="4" t="s">
        <v>44</v>
      </c>
      <c r="C212" s="3">
        <f>C211+1</f>
        <v>211</v>
      </c>
      <c r="D212" s="55" t="s">
        <v>604</v>
      </c>
      <c r="E212" s="3" t="s">
        <v>604</v>
      </c>
      <c r="F212" s="5" t="s">
        <v>2751</v>
      </c>
      <c r="G212" s="5" t="s">
        <v>601</v>
      </c>
      <c r="H212" s="5" t="s">
        <v>129</v>
      </c>
      <c r="I212" s="7">
        <v>45000000</v>
      </c>
      <c r="J212" s="57" t="s">
        <v>1411</v>
      </c>
      <c r="K212" s="7">
        <v>8059701</v>
      </c>
      <c r="L212" s="41" t="s">
        <v>1501</v>
      </c>
      <c r="M212" s="7">
        <v>2795657</v>
      </c>
      <c r="N212" s="7">
        <v>22686567</v>
      </c>
      <c r="O212" s="7">
        <v>22687180</v>
      </c>
      <c r="P212" s="7">
        <v>22687180</v>
      </c>
      <c r="Q212" s="7">
        <f t="shared" si="6"/>
        <v>0</v>
      </c>
      <c r="R212" s="5" t="s">
        <v>666</v>
      </c>
      <c r="S212" s="5" t="s">
        <v>703</v>
      </c>
      <c r="T212" s="5" t="s">
        <v>603</v>
      </c>
      <c r="U212" s="5" t="s">
        <v>1390</v>
      </c>
      <c r="V212" s="5" t="s">
        <v>2753</v>
      </c>
      <c r="W212" s="5" t="s">
        <v>2754</v>
      </c>
      <c r="X212" s="5" t="s">
        <v>2008</v>
      </c>
      <c r="Y212" s="5"/>
      <c r="Z212" s="5"/>
      <c r="AA212" s="5" t="s">
        <v>2755</v>
      </c>
      <c r="AB212" s="5"/>
      <c r="AC212" s="5" t="s">
        <v>2670</v>
      </c>
      <c r="AD212" s="62">
        <v>7.8</v>
      </c>
      <c r="AE212" t="e">
        <f>VLOOKUP($F212,FromYabin!$C$2:$C$112,1,FALSE)</f>
        <v>#N/A</v>
      </c>
    </row>
  </sheetData>
  <autoFilter ref="A1:AE212" xr:uid="{F6B408E9-E604-4F61-9938-7D183B2EF2EA}">
    <filterColumn colId="9">
      <filters>
        <filter val="$1,194,029"/>
        <filter val="$1,194,030"/>
        <filter val="$1,492,537"/>
        <filter val="$1,666,666"/>
        <filter val="$11,940,298"/>
        <filter val="$11,940,299"/>
        <filter val="$119,403"/>
        <filter val="$12,000,000"/>
        <filter val="$14,925,373"/>
        <filter val="$14,992,537"/>
        <filter val="$2,238,805"/>
        <filter val="$2,238,806"/>
        <filter val="$2,985,074"/>
        <filter val="$2,985,075"/>
        <filter val="$22,388,059"/>
        <filter val="$295,075"/>
        <filter val="$298,507"/>
        <filter val="$3,000,000"/>
        <filter val="$3,731,343"/>
        <filter val="$35,000,000"/>
        <filter val="$4,477,611"/>
        <filter val="$4,477,612"/>
        <filter val="$447,761"/>
        <filter val="$5,522,388"/>
        <filter val="$5,970,149"/>
        <filter val="$7,462,686"/>
        <filter val="$7,462,687"/>
        <filter val="$746,268"/>
        <filter val="$746,269"/>
        <filter val="$8,955,223"/>
        <filter val="$8,955,224"/>
      </filters>
    </filterColumn>
    <filterColumn colId="11">
      <filters>
        <filter val="NA"/>
      </filters>
    </filterColumn>
    <filterColumn colId="12">
      <filters>
        <filter val="$1,012,175"/>
        <filter val="$1,320,000"/>
        <filter val="$1,420,000"/>
        <filter val="$1,519,978"/>
        <filter val="$1,530,000"/>
        <filter val="$1,580,000"/>
        <filter val="$1,610"/>
        <filter val="$1,685,287"/>
        <filter val="$1,690,000"/>
        <filter val="$1,790,000"/>
        <filter val="$1,860,000"/>
        <filter val="$1,920,000"/>
        <filter val="$1,950,000"/>
        <filter val="$10,070,000"/>
        <filter val="$101,150"/>
        <filter val="$11,150,837"/>
        <filter val="$110,000"/>
        <filter val="$111,979"/>
        <filter val="$115,524"/>
        <filter val="$12,995,928"/>
        <filter val="$13,113,024"/>
        <filter val="$135,252"/>
        <filter val="$14,718,449"/>
        <filter val="$15,041,365"/>
        <filter val="$153,225"/>
        <filter val="$160,739"/>
        <filter val="$179,845"/>
        <filter val="$18,228"/>
        <filter val="$180,920"/>
        <filter val="$181,705"/>
        <filter val="$192,492"/>
        <filter val="$194,917"/>
        <filter val="$195,282"/>
        <filter val="$2,080,000"/>
        <filter val="$2,210,000"/>
        <filter val="$2,292,772"/>
        <filter val="$2,580,000"/>
        <filter val="$2,741,992"/>
        <filter val="$2,743"/>
        <filter val="$2,817,583"/>
        <filter val="$2,820,000"/>
        <filter val="$204,733"/>
        <filter val="$21,549,210"/>
        <filter val="$219,022"/>
        <filter val="$219,973"/>
        <filter val="$22,180,000"/>
        <filter val="$22,222"/>
        <filter val="$23,912"/>
        <filter val="$24,270,000"/>
        <filter val="$24,520,000"/>
        <filter val="$24,538,631"/>
        <filter val="$249,933"/>
        <filter val="$268,002"/>
        <filter val="$280,000"/>
        <filter val="$3,241,628"/>
        <filter val="$3,308,567"/>
        <filter val="$3,780,000"/>
        <filter val="$32,200,000"/>
        <filter val="$323,207"/>
        <filter val="$338,604"/>
        <filter val="$341,834"/>
        <filter val="$35,015"/>
        <filter val="$37,050,000"/>
        <filter val="$39,959,722"/>
        <filter val="$4,210,000"/>
        <filter val="$4,380,000"/>
        <filter val="$4,550,000"/>
        <filter val="$4,580,967"/>
        <filter val="$42,160,000"/>
        <filter val="$42,352"/>
        <filter val="$423,431"/>
        <filter val="$436,059"/>
        <filter val="$458,375"/>
        <filter val="$46,732,917"/>
        <filter val="$463,883"/>
        <filter val="$470,000"/>
        <filter val="$475,952"/>
        <filter val="$49,286"/>
        <filter val="$49,372"/>
        <filter val="$5,090,000"/>
        <filter val="$5,122"/>
        <filter val="$5,296"/>
        <filter val="$5,430,000"/>
        <filter val="$5,690,000"/>
        <filter val="$5,942"/>
        <filter val="$500,000"/>
        <filter val="$54,276"/>
        <filter val="$55,307"/>
        <filter val="$57,713"/>
        <filter val="$570,000"/>
        <filter val="$59,300,000"/>
        <filter val="$590,000"/>
        <filter val="$6,183,665"/>
        <filter val="$6,465,642"/>
        <filter val="$6,830,000"/>
        <filter val="$62,577"/>
        <filter val="$7,070,000"/>
        <filter val="$7,372"/>
        <filter val="$7,450,000"/>
        <filter val="$7,460,000"/>
        <filter val="$7,740,000"/>
        <filter val="$704,047"/>
        <filter val="$760,000"/>
        <filter val="$77,099,702"/>
        <filter val="$772,788"/>
        <filter val="$79,180"/>
        <filter val="$790,000"/>
        <filter val="$8,323"/>
        <filter val="$82,699"/>
        <filter val="$88,210,000"/>
        <filter val="$9,920,000"/>
        <filter val="$95,577"/>
        <filter val="$980,000"/>
      </filters>
    </filterColumn>
  </autoFilter>
  <conditionalFormatting sqref="F82:F212">
    <cfRule type="duplicateValues" dxfId="4" priority="2"/>
  </conditionalFormatting>
  <conditionalFormatting sqref="W185">
    <cfRule type="duplicateValues" dxfId="3" priority="1"/>
  </conditionalFormatting>
  <hyperlinks>
    <hyperlink ref="AA94" r:id="rId1" tooltip="https://baike.baidu.com/item/%E7%BD%97%E6%B4%8B" xr:uid="{950C997D-A087-4D96-8A68-404E00897B23}"/>
    <hyperlink ref="X105" r:id="rId2" tooltip="https://baike.baidu.com/item/%E4%BA%95%E6%9F%8F%E7%84%B6/3974108" xr:uid="{FA26FE4F-C97B-4CAC-B800-BE0EB469D8B9}"/>
    <hyperlink ref="X125" r:id="rId3" tooltip="https://baike.baidu.com/item/%E5%91%A8%E8%8B%B1%E7%94%B7" xr:uid="{6A93522B-16CC-4D1C-B16E-AAB79920F10F}"/>
    <hyperlink ref="AA125" r:id="rId4" tooltip="https://baike.baidu.com/item/%E5%91%A8%E8%8B%B1%E7%94%B7" xr:uid="{9CCFF9CC-0885-4662-99E7-76150914834B}"/>
    <hyperlink ref="X169" r:id="rId5" tooltip="https://baike.baidu.com/item/%E5%BE%90%E5%B3%A5/2966629" xr:uid="{6E07F380-2264-4C01-BE5A-ADCF718A2C65}"/>
    <hyperlink ref="AA190" r:id="rId6" tooltip="https://baike.baidu.com/item/%E8%A2%81%E5%8D%AB%E4%B8%9C/6711412" xr:uid="{EFAEB008-189C-429C-AA73-93666CFBA412}"/>
    <hyperlink ref="X202" r:id="rId7" tooltip="https://baike.baidu.com/item/%E6%AE%B5%E5%A5%95%E5%AE%8F/6910242" xr:uid="{52901B13-1BCE-49D4-9F6C-0C74CF57958D}"/>
  </hyperlinks>
  <pageMargins left="0.7" right="0.7" top="0.75" bottom="0.75" header="0.3" footer="0.3"/>
  <pageSetup paperSize="9" orientation="portrait" r:id="rId8"/>
  <legacyDrawing r:id="rId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B30-8661-4A7D-818B-3F45F5D4ABB5}">
  <sheetPr>
    <tabColor rgb="FF92D050"/>
  </sheetPr>
  <dimension ref="A1:T1048441"/>
  <sheetViews>
    <sheetView topLeftCell="A109" zoomScale="90" zoomScaleNormal="90" workbookViewId="0">
      <selection activeCell="A112" sqref="A112"/>
    </sheetView>
  </sheetViews>
  <sheetFormatPr defaultRowHeight="15" outlineLevelCol="1"/>
  <cols>
    <col min="1" max="1" width="5.3828125" bestFit="1" customWidth="1"/>
    <col min="2" max="2" width="30" style="121" customWidth="1"/>
    <col min="3" max="3" width="33" customWidth="1"/>
    <col min="4" max="4" width="33.921875" customWidth="1"/>
    <col min="5" max="5" width="13.23046875" customWidth="1"/>
    <col min="6" max="6" width="18.23046875" customWidth="1"/>
    <col min="7" max="7" width="19.765625" customWidth="1"/>
    <col min="8" max="8" width="20.07421875" customWidth="1"/>
    <col min="9" max="9" width="37.07421875" customWidth="1"/>
    <col min="10" max="10" width="21.53515625" customWidth="1"/>
    <col min="11" max="11" width="25" customWidth="1"/>
    <col min="12" max="12" width="41.3828125" customWidth="1"/>
    <col min="13" max="13" width="23.69140625" style="122" customWidth="1"/>
    <col min="14" max="14" width="21.69140625" style="122" customWidth="1"/>
    <col min="15" max="15" width="48" customWidth="1"/>
    <col min="16" max="16" width="27.765625" style="122" customWidth="1"/>
    <col min="17" max="17" width="24.53515625" style="122" customWidth="1" outlineLevel="1"/>
    <col min="18" max="18" width="32.3828125" style="122" customWidth="1"/>
    <col min="19" max="19" width="32.921875" style="122" customWidth="1"/>
    <col min="20" max="20" width="12.765625" bestFit="1" customWidth="1"/>
  </cols>
  <sheetData>
    <row r="1" spans="1:20" s="111" customFormat="1" ht="29.15">
      <c r="A1" s="32" t="s">
        <v>3050</v>
      </c>
      <c r="B1" s="102" t="s">
        <v>3028</v>
      </c>
      <c r="C1" s="103" t="s">
        <v>3029</v>
      </c>
      <c r="D1" s="103" t="s">
        <v>3030</v>
      </c>
      <c r="E1" s="104" t="s">
        <v>0</v>
      </c>
      <c r="F1" s="104" t="s">
        <v>1457</v>
      </c>
      <c r="G1" s="104" t="s">
        <v>3031</v>
      </c>
      <c r="H1" s="104" t="s">
        <v>3032</v>
      </c>
      <c r="I1" s="105" t="s">
        <v>591</v>
      </c>
      <c r="J1" s="106" t="s">
        <v>1467</v>
      </c>
      <c r="K1" s="106" t="s">
        <v>1470</v>
      </c>
      <c r="L1" s="104" t="s">
        <v>3033</v>
      </c>
      <c r="M1" s="107" t="s">
        <v>1461</v>
      </c>
      <c r="N1" s="107" t="s">
        <v>1462</v>
      </c>
      <c r="O1" s="106" t="s">
        <v>1472</v>
      </c>
      <c r="P1" s="108" t="s">
        <v>588</v>
      </c>
      <c r="Q1" s="109" t="s">
        <v>1464</v>
      </c>
      <c r="R1" s="109" t="s">
        <v>589</v>
      </c>
      <c r="S1" s="109" t="s">
        <v>590</v>
      </c>
      <c r="T1" s="110" t="s">
        <v>1473</v>
      </c>
    </row>
    <row r="2" spans="1:20">
      <c r="A2">
        <v>1</v>
      </c>
      <c r="B2" s="112" t="s">
        <v>2610</v>
      </c>
      <c r="C2" s="5" t="s">
        <v>1296</v>
      </c>
      <c r="D2" s="5" t="s">
        <v>1296</v>
      </c>
      <c r="E2" s="4">
        <v>2017</v>
      </c>
      <c r="F2" s="4" t="s">
        <v>44</v>
      </c>
      <c r="G2" s="56" t="s">
        <v>2608</v>
      </c>
      <c r="H2" s="5" t="s">
        <v>129</v>
      </c>
      <c r="I2" s="5" t="s">
        <v>597</v>
      </c>
      <c r="J2" s="5" t="s">
        <v>2611</v>
      </c>
      <c r="K2" s="5" t="s">
        <v>2614</v>
      </c>
      <c r="L2" s="5" t="s">
        <v>2609</v>
      </c>
      <c r="M2" s="113">
        <v>7462686.5700000003</v>
      </c>
      <c r="N2" s="113">
        <v>14992537.310000001</v>
      </c>
      <c r="O2" s="5" t="s">
        <v>2465</v>
      </c>
      <c r="P2" s="113">
        <v>1580000</v>
      </c>
      <c r="Q2" s="113">
        <v>9729104.4800000004</v>
      </c>
      <c r="R2" s="113">
        <v>9782949</v>
      </c>
      <c r="S2" s="113">
        <v>9782949</v>
      </c>
      <c r="T2" s="114">
        <v>7.5</v>
      </c>
    </row>
    <row r="3" spans="1:20">
      <c r="A3">
        <f>A2+1</f>
        <v>2</v>
      </c>
      <c r="B3" s="112" t="s">
        <v>2693</v>
      </c>
      <c r="C3" s="5" t="s">
        <v>1333</v>
      </c>
      <c r="D3" s="39" t="s">
        <v>2694</v>
      </c>
      <c r="E3" s="4">
        <v>2017</v>
      </c>
      <c r="F3" s="4" t="s">
        <v>44</v>
      </c>
      <c r="G3" s="56" t="s">
        <v>2692</v>
      </c>
      <c r="H3" s="5" t="s">
        <v>3034</v>
      </c>
      <c r="I3" s="5" t="s">
        <v>602</v>
      </c>
      <c r="J3" s="5" t="s">
        <v>2431</v>
      </c>
      <c r="K3" s="5" t="s">
        <v>1806</v>
      </c>
      <c r="L3" s="5" t="s">
        <v>1494</v>
      </c>
      <c r="M3" s="113">
        <v>7462686.5671641789</v>
      </c>
      <c r="N3" s="113">
        <v>7462686.5671641789</v>
      </c>
      <c r="O3" s="5" t="s">
        <v>2344</v>
      </c>
      <c r="P3" s="115">
        <v>219973</v>
      </c>
      <c r="Q3" s="113">
        <v>17014925.373134326</v>
      </c>
      <c r="R3" s="113">
        <v>18019652</v>
      </c>
      <c r="S3" s="113">
        <v>18019652</v>
      </c>
      <c r="T3" s="114">
        <v>7</v>
      </c>
    </row>
    <row r="4" spans="1:20">
      <c r="A4">
        <f t="shared" ref="A4:A67" si="0">A3+1</f>
        <v>3</v>
      </c>
      <c r="B4" s="112" t="s">
        <v>2393</v>
      </c>
      <c r="C4" s="5" t="s">
        <v>1138</v>
      </c>
      <c r="D4" s="5" t="s">
        <v>1138</v>
      </c>
      <c r="E4" s="4">
        <v>2017</v>
      </c>
      <c r="F4" s="4" t="s">
        <v>44</v>
      </c>
      <c r="G4" s="4" t="s">
        <v>2391</v>
      </c>
      <c r="H4" s="5" t="s">
        <v>131</v>
      </c>
      <c r="I4" s="5" t="s">
        <v>606</v>
      </c>
      <c r="J4" s="5" t="s">
        <v>2394</v>
      </c>
      <c r="K4" s="5" t="s">
        <v>2396</v>
      </c>
      <c r="L4" s="5" t="s">
        <v>2392</v>
      </c>
      <c r="M4" s="113">
        <v>447761.19402985071</v>
      </c>
      <c r="N4" s="113">
        <v>298507.46268656716</v>
      </c>
      <c r="O4" s="5" t="s">
        <v>2392</v>
      </c>
      <c r="P4" s="115">
        <v>280000</v>
      </c>
      <c r="Q4" s="113">
        <v>3483582.0895522386</v>
      </c>
      <c r="R4" s="113">
        <v>3741863</v>
      </c>
      <c r="S4" s="113">
        <v>3741863</v>
      </c>
      <c r="T4" s="114">
        <v>8.1999999999999993</v>
      </c>
    </row>
    <row r="5" spans="1:20">
      <c r="A5">
        <f t="shared" si="0"/>
        <v>4</v>
      </c>
      <c r="B5" s="112" t="s">
        <v>2705</v>
      </c>
      <c r="C5" s="5" t="s">
        <v>1339</v>
      </c>
      <c r="D5" s="5" t="s">
        <v>2706</v>
      </c>
      <c r="E5" s="4">
        <v>2017</v>
      </c>
      <c r="F5" s="4" t="s">
        <v>44</v>
      </c>
      <c r="G5" s="56" t="s">
        <v>1095</v>
      </c>
      <c r="H5" s="5" t="s">
        <v>136</v>
      </c>
      <c r="I5" s="5" t="s">
        <v>606</v>
      </c>
      <c r="J5" s="5" t="s">
        <v>2707</v>
      </c>
      <c r="K5" s="5" t="s">
        <v>2708</v>
      </c>
      <c r="L5" s="5" t="s">
        <v>2575</v>
      </c>
      <c r="M5" s="113">
        <v>7462686.5700000003</v>
      </c>
      <c r="N5" s="113">
        <v>2238805.9700000002</v>
      </c>
      <c r="O5" s="5" t="s">
        <v>2709</v>
      </c>
      <c r="P5" s="113">
        <v>5430000</v>
      </c>
      <c r="Q5" s="113">
        <v>9583880.5999999996</v>
      </c>
      <c r="R5" s="113">
        <v>10238078</v>
      </c>
      <c r="S5" s="113">
        <v>10238078</v>
      </c>
      <c r="T5" s="114">
        <v>6.9</v>
      </c>
    </row>
    <row r="6" spans="1:20">
      <c r="A6">
        <f t="shared" si="0"/>
        <v>5</v>
      </c>
      <c r="B6" s="112" t="s">
        <v>2649</v>
      </c>
      <c r="C6" s="5" t="s">
        <v>1317</v>
      </c>
      <c r="D6" s="5" t="s">
        <v>2650</v>
      </c>
      <c r="E6" s="4">
        <v>2017</v>
      </c>
      <c r="F6" s="4" t="s">
        <v>44</v>
      </c>
      <c r="G6" s="56" t="s">
        <v>2648</v>
      </c>
      <c r="H6" s="5" t="s">
        <v>131</v>
      </c>
      <c r="I6" s="5" t="s">
        <v>606</v>
      </c>
      <c r="J6" s="5" t="s">
        <v>2651</v>
      </c>
      <c r="K6" s="5" t="s">
        <v>2654</v>
      </c>
      <c r="L6" s="5" t="s">
        <v>2575</v>
      </c>
      <c r="M6" s="113">
        <v>4477611.9400000004</v>
      </c>
      <c r="N6" s="113">
        <v>1492537.31</v>
      </c>
      <c r="O6" s="5" t="s">
        <v>2655</v>
      </c>
      <c r="P6" s="113">
        <v>980000</v>
      </c>
      <c r="Q6" s="113">
        <v>8980895.5199999996</v>
      </c>
      <c r="R6" s="113">
        <v>9949926</v>
      </c>
      <c r="S6" s="113">
        <v>9949926</v>
      </c>
      <c r="T6" s="114">
        <v>7.4</v>
      </c>
    </row>
    <row r="7" spans="1:20">
      <c r="A7">
        <f t="shared" si="0"/>
        <v>6</v>
      </c>
      <c r="B7" s="112" t="s">
        <v>2093</v>
      </c>
      <c r="C7" s="5" t="s">
        <v>464</v>
      </c>
      <c r="D7" s="5" t="s">
        <v>2094</v>
      </c>
      <c r="E7" s="4">
        <v>2018</v>
      </c>
      <c r="F7" s="4" t="s">
        <v>44</v>
      </c>
      <c r="G7" s="4" t="s">
        <v>832</v>
      </c>
      <c r="H7" s="5" t="s">
        <v>131</v>
      </c>
      <c r="I7" s="39" t="s">
        <v>606</v>
      </c>
      <c r="J7" s="5" t="s">
        <v>2095</v>
      </c>
      <c r="K7" s="5" t="s">
        <v>2096</v>
      </c>
      <c r="L7" s="5" t="s">
        <v>1426</v>
      </c>
      <c r="M7" s="113">
        <v>4477611.940298507</v>
      </c>
      <c r="N7" s="113">
        <v>2985074.6268656715</v>
      </c>
      <c r="O7" s="5" t="s">
        <v>2097</v>
      </c>
      <c r="P7" s="115">
        <v>475952</v>
      </c>
      <c r="Q7" s="113">
        <v>571641.7910447761</v>
      </c>
      <c r="R7" s="113">
        <v>625975</v>
      </c>
      <c r="S7" s="113">
        <v>625975</v>
      </c>
      <c r="T7" s="114">
        <v>8.6</v>
      </c>
    </row>
    <row r="8" spans="1:20">
      <c r="A8">
        <f t="shared" si="0"/>
        <v>7</v>
      </c>
      <c r="B8" s="112" t="s">
        <v>2411</v>
      </c>
      <c r="C8" s="5" t="s">
        <v>1178</v>
      </c>
      <c r="D8" s="5" t="s">
        <v>2412</v>
      </c>
      <c r="E8" s="4">
        <v>2017</v>
      </c>
      <c r="F8" s="4" t="s">
        <v>44</v>
      </c>
      <c r="G8" s="56" t="s">
        <v>668</v>
      </c>
      <c r="H8" s="5" t="s">
        <v>127</v>
      </c>
      <c r="I8" s="5" t="s">
        <v>606</v>
      </c>
      <c r="J8" s="5" t="s">
        <v>2413</v>
      </c>
      <c r="K8" s="39" t="s">
        <v>2416</v>
      </c>
      <c r="L8" s="5" t="s">
        <v>2410</v>
      </c>
      <c r="M8" s="113">
        <v>2985074.6268656715</v>
      </c>
      <c r="N8" s="113">
        <v>1492537.3134328357</v>
      </c>
      <c r="O8" s="5" t="s">
        <v>1746</v>
      </c>
      <c r="P8" s="113">
        <v>49286</v>
      </c>
      <c r="Q8" s="113">
        <v>4556716.4179104473</v>
      </c>
      <c r="R8" s="113">
        <v>4884807</v>
      </c>
      <c r="S8" s="113">
        <v>4884807</v>
      </c>
      <c r="T8" s="114">
        <v>8.1999999999999993</v>
      </c>
    </row>
    <row r="9" spans="1:20">
      <c r="A9">
        <f t="shared" si="0"/>
        <v>8</v>
      </c>
      <c r="B9" s="112" t="s">
        <v>2154</v>
      </c>
      <c r="C9" s="5" t="s">
        <v>397</v>
      </c>
      <c r="D9" s="39" t="s">
        <v>2155</v>
      </c>
      <c r="E9" s="4">
        <v>2018</v>
      </c>
      <c r="F9" s="4" t="s">
        <v>44</v>
      </c>
      <c r="G9" s="4" t="s">
        <v>2153</v>
      </c>
      <c r="H9" s="5" t="s">
        <v>136</v>
      </c>
      <c r="I9" s="5" t="s">
        <v>606</v>
      </c>
      <c r="J9" s="39" t="s">
        <v>2156</v>
      </c>
      <c r="K9" s="5" t="s">
        <v>2159</v>
      </c>
      <c r="L9" s="5" t="s">
        <v>1434</v>
      </c>
      <c r="M9" s="113">
        <v>4477611</v>
      </c>
      <c r="N9" s="113">
        <v>1194029</v>
      </c>
      <c r="O9" s="39" t="s">
        <v>2160</v>
      </c>
      <c r="P9" s="113">
        <v>7070000</v>
      </c>
      <c r="Q9" s="113">
        <v>10680597</v>
      </c>
      <c r="R9" s="113">
        <v>14798770</v>
      </c>
      <c r="S9" s="113">
        <v>14798770</v>
      </c>
      <c r="T9" s="114">
        <v>8.6</v>
      </c>
    </row>
    <row r="10" spans="1:20">
      <c r="A10">
        <f t="shared" si="0"/>
        <v>9</v>
      </c>
      <c r="B10" s="112" t="s">
        <v>3035</v>
      </c>
      <c r="C10" s="5" t="s">
        <v>919</v>
      </c>
      <c r="D10" s="5" t="s">
        <v>919</v>
      </c>
      <c r="E10" s="4">
        <v>2018</v>
      </c>
      <c r="F10" s="4" t="s">
        <v>44</v>
      </c>
      <c r="G10" s="4" t="s">
        <v>2064</v>
      </c>
      <c r="H10" s="5" t="s">
        <v>136</v>
      </c>
      <c r="I10" s="5" t="s">
        <v>606</v>
      </c>
      <c r="J10" s="39" t="s">
        <v>3036</v>
      </c>
      <c r="K10" s="5" t="s">
        <v>2066</v>
      </c>
      <c r="L10" s="5" t="s">
        <v>1422</v>
      </c>
      <c r="M10" s="113">
        <v>1492537.3134328357</v>
      </c>
      <c r="N10" s="113">
        <v>746268.65671641787</v>
      </c>
      <c r="O10" s="5" t="s">
        <v>2067</v>
      </c>
      <c r="P10" s="113">
        <v>2580000</v>
      </c>
      <c r="Q10" s="113">
        <v>2883582.0895522386</v>
      </c>
      <c r="R10" s="113">
        <v>3161317</v>
      </c>
      <c r="S10" s="113">
        <v>3161317</v>
      </c>
      <c r="T10" s="114">
        <v>8.6999999999999993</v>
      </c>
    </row>
    <row r="11" spans="1:20">
      <c r="A11">
        <f t="shared" si="0"/>
        <v>10</v>
      </c>
      <c r="B11" s="112" t="s">
        <v>2533</v>
      </c>
      <c r="C11" s="5" t="s">
        <v>466</v>
      </c>
      <c r="D11" s="39" t="s">
        <v>2534</v>
      </c>
      <c r="E11" s="4">
        <v>2017</v>
      </c>
      <c r="F11" s="4" t="s">
        <v>44</v>
      </c>
      <c r="G11" s="4" t="s">
        <v>826</v>
      </c>
      <c r="H11" s="5" t="s">
        <v>136</v>
      </c>
      <c r="I11" s="5" t="s">
        <v>606</v>
      </c>
      <c r="J11" s="5" t="s">
        <v>2535</v>
      </c>
      <c r="K11" s="5" t="s">
        <v>2536</v>
      </c>
      <c r="L11" s="5" t="s">
        <v>2532</v>
      </c>
      <c r="M11" s="113">
        <v>1492537.3134328357</v>
      </c>
      <c r="N11" s="113">
        <v>746268.65671641787</v>
      </c>
      <c r="O11" s="5" t="s">
        <v>2537</v>
      </c>
      <c r="P11" s="113">
        <v>268002</v>
      </c>
      <c r="Q11" s="113">
        <v>514925.37313432834</v>
      </c>
      <c r="R11" s="113">
        <v>544914</v>
      </c>
      <c r="S11" s="113">
        <v>544914</v>
      </c>
      <c r="T11" s="114">
        <v>7.9</v>
      </c>
    </row>
    <row r="12" spans="1:20">
      <c r="A12">
        <f t="shared" si="0"/>
        <v>11</v>
      </c>
      <c r="B12" s="112" t="s">
        <v>2576</v>
      </c>
      <c r="C12" s="5" t="s">
        <v>366</v>
      </c>
      <c r="D12" s="5" t="s">
        <v>2577</v>
      </c>
      <c r="E12" s="4">
        <v>2018</v>
      </c>
      <c r="F12" s="4" t="s">
        <v>44</v>
      </c>
      <c r="G12" s="4" t="s">
        <v>2496</v>
      </c>
      <c r="H12" s="5" t="s">
        <v>131</v>
      </c>
      <c r="I12" s="5" t="s">
        <v>602</v>
      </c>
      <c r="J12" s="5" t="s">
        <v>1633</v>
      </c>
      <c r="K12" s="5" t="s">
        <v>2578</v>
      </c>
      <c r="L12" s="5" t="s">
        <v>1916</v>
      </c>
      <c r="M12" s="113">
        <v>14925373</v>
      </c>
      <c r="N12" s="113">
        <v>4477611</v>
      </c>
      <c r="O12" s="5" t="s">
        <v>2579</v>
      </c>
      <c r="P12" s="113">
        <v>37050000</v>
      </c>
      <c r="Q12" s="113">
        <v>104029850</v>
      </c>
      <c r="R12" s="113">
        <v>119035160</v>
      </c>
      <c r="S12" s="113">
        <v>119035160</v>
      </c>
      <c r="T12" s="114">
        <v>7.7</v>
      </c>
    </row>
    <row r="13" spans="1:20">
      <c r="A13">
        <f t="shared" si="0"/>
        <v>12</v>
      </c>
      <c r="B13" s="112" t="s">
        <v>2700</v>
      </c>
      <c r="C13" s="5" t="s">
        <v>410</v>
      </c>
      <c r="D13" s="5" t="s">
        <v>2701</v>
      </c>
      <c r="E13" s="4">
        <v>2018</v>
      </c>
      <c r="F13" s="4" t="s">
        <v>44</v>
      </c>
      <c r="G13" s="4" t="s">
        <v>2275</v>
      </c>
      <c r="H13" s="5" t="s">
        <v>1403</v>
      </c>
      <c r="I13" s="5" t="s">
        <v>606</v>
      </c>
      <c r="J13" s="5" t="s">
        <v>2564</v>
      </c>
      <c r="K13" s="5" t="s">
        <v>2703</v>
      </c>
      <c r="L13" s="5" t="s">
        <v>1916</v>
      </c>
      <c r="M13" s="113">
        <v>2985074</v>
      </c>
      <c r="N13" s="113">
        <v>2238805</v>
      </c>
      <c r="O13" s="5" t="s">
        <v>2704</v>
      </c>
      <c r="P13" s="113">
        <v>1610</v>
      </c>
      <c r="Q13" s="113">
        <v>7479104</v>
      </c>
      <c r="R13" s="113">
        <v>8512220</v>
      </c>
      <c r="S13" s="113">
        <v>8512220</v>
      </c>
      <c r="T13" s="114">
        <v>7</v>
      </c>
    </row>
    <row r="14" spans="1:20">
      <c r="A14">
        <f t="shared" si="0"/>
        <v>13</v>
      </c>
      <c r="B14" s="112" t="s">
        <v>2075</v>
      </c>
      <c r="C14" s="5" t="s">
        <v>456</v>
      </c>
      <c r="D14" s="5" t="s">
        <v>456</v>
      </c>
      <c r="E14" s="4">
        <v>2018</v>
      </c>
      <c r="F14" s="4" t="s">
        <v>44</v>
      </c>
      <c r="G14" s="4" t="s">
        <v>2074</v>
      </c>
      <c r="H14" s="5" t="s">
        <v>127</v>
      </c>
      <c r="I14" s="5" t="s">
        <v>606</v>
      </c>
      <c r="J14" s="5" t="s">
        <v>2076</v>
      </c>
      <c r="K14" s="5" t="s">
        <v>2079</v>
      </c>
      <c r="L14" s="5" t="s">
        <v>1423</v>
      </c>
      <c r="M14" s="113">
        <v>2985074.6268656715</v>
      </c>
      <c r="N14" s="113">
        <v>1194029.8507462686</v>
      </c>
      <c r="O14" s="5" t="s">
        <v>2080</v>
      </c>
      <c r="P14" s="113">
        <v>470000</v>
      </c>
      <c r="Q14" s="113">
        <v>664179.10447761195</v>
      </c>
      <c r="R14" s="113">
        <v>726371</v>
      </c>
      <c r="S14" s="113">
        <v>726371</v>
      </c>
      <c r="T14" s="114">
        <v>8.6999999999999993</v>
      </c>
    </row>
    <row r="15" spans="1:20">
      <c r="A15">
        <f t="shared" si="0"/>
        <v>14</v>
      </c>
      <c r="B15" s="112" t="s">
        <v>2483</v>
      </c>
      <c r="C15" s="5" t="s">
        <v>379</v>
      </c>
      <c r="D15" s="5" t="s">
        <v>2484</v>
      </c>
      <c r="E15" s="4">
        <v>2018</v>
      </c>
      <c r="F15" s="4" t="s">
        <v>44</v>
      </c>
      <c r="G15" s="4" t="s">
        <v>2148</v>
      </c>
      <c r="H15" s="5" t="s">
        <v>131</v>
      </c>
      <c r="I15" s="5" t="s">
        <v>606</v>
      </c>
      <c r="J15" s="5" t="s">
        <v>2220</v>
      </c>
      <c r="K15" s="5" t="s">
        <v>2486</v>
      </c>
      <c r="L15" s="5" t="s">
        <v>2455</v>
      </c>
      <c r="M15" s="113">
        <v>11194029</v>
      </c>
      <c r="N15" s="113">
        <v>4477611</v>
      </c>
      <c r="O15" s="5" t="s">
        <v>2487</v>
      </c>
      <c r="P15" s="113">
        <v>15041365</v>
      </c>
      <c r="Q15" s="113">
        <v>49850746</v>
      </c>
      <c r="R15" s="113">
        <v>56235548</v>
      </c>
      <c r="S15" s="113">
        <v>56235548</v>
      </c>
      <c r="T15" s="114">
        <v>8</v>
      </c>
    </row>
    <row r="16" spans="1:20">
      <c r="A16">
        <f t="shared" si="0"/>
        <v>15</v>
      </c>
      <c r="B16" s="112" t="s">
        <v>2456</v>
      </c>
      <c r="C16" s="5" t="s">
        <v>1208</v>
      </c>
      <c r="D16" s="5" t="s">
        <v>2457</v>
      </c>
      <c r="E16" s="4">
        <v>2017</v>
      </c>
      <c r="F16" s="4" t="s">
        <v>44</v>
      </c>
      <c r="G16" s="56" t="s">
        <v>1111</v>
      </c>
      <c r="H16" s="5" t="s">
        <v>127</v>
      </c>
      <c r="I16" s="5" t="s">
        <v>606</v>
      </c>
      <c r="J16" s="5" t="s">
        <v>2458</v>
      </c>
      <c r="K16" s="5" t="s">
        <v>2458</v>
      </c>
      <c r="L16" s="5" t="s">
        <v>2455</v>
      </c>
      <c r="M16" s="113">
        <v>1492537</v>
      </c>
      <c r="N16" s="113">
        <v>2238805</v>
      </c>
      <c r="O16" s="5" t="s">
        <v>2460</v>
      </c>
      <c r="P16" s="113">
        <v>1690000</v>
      </c>
      <c r="Q16" s="113">
        <v>14552238</v>
      </c>
      <c r="R16" s="113">
        <v>15988889</v>
      </c>
      <c r="S16" s="113">
        <v>15988889</v>
      </c>
      <c r="T16" s="114">
        <v>8</v>
      </c>
    </row>
    <row r="17" spans="1:20">
      <c r="A17">
        <f t="shared" si="0"/>
        <v>16</v>
      </c>
      <c r="B17" s="112" t="s">
        <v>2629</v>
      </c>
      <c r="C17" s="5" t="s">
        <v>1308</v>
      </c>
      <c r="D17" s="5" t="s">
        <v>1308</v>
      </c>
      <c r="E17" s="4">
        <v>2017</v>
      </c>
      <c r="F17" s="4" t="s">
        <v>44</v>
      </c>
      <c r="G17" s="46" t="s">
        <v>1272</v>
      </c>
      <c r="H17" s="5" t="s">
        <v>136</v>
      </c>
      <c r="I17" s="5" t="s">
        <v>606</v>
      </c>
      <c r="J17" s="5" t="s">
        <v>2630</v>
      </c>
      <c r="K17" s="5" t="s">
        <v>2633</v>
      </c>
      <c r="L17" s="5" t="s">
        <v>3037</v>
      </c>
      <c r="M17" s="113">
        <v>5970149.253731343</v>
      </c>
      <c r="N17" s="113">
        <v>1492537.3134328357</v>
      </c>
      <c r="O17" s="5" t="s">
        <v>2634</v>
      </c>
      <c r="P17" s="113">
        <v>4380000</v>
      </c>
      <c r="Q17" s="113">
        <v>7670746.2686567158</v>
      </c>
      <c r="R17" s="113">
        <v>8242805</v>
      </c>
      <c r="S17" s="113">
        <v>8242805</v>
      </c>
      <c r="T17" s="114">
        <v>7.4</v>
      </c>
    </row>
    <row r="18" spans="1:20">
      <c r="A18">
        <f t="shared" si="0"/>
        <v>17</v>
      </c>
      <c r="B18" s="112" t="s">
        <v>2281</v>
      </c>
      <c r="C18" s="5" t="s">
        <v>377</v>
      </c>
      <c r="D18" s="5" t="s">
        <v>2282</v>
      </c>
      <c r="E18" s="4">
        <v>2018</v>
      </c>
      <c r="F18" s="4" t="s">
        <v>44</v>
      </c>
      <c r="G18" s="4" t="s">
        <v>854</v>
      </c>
      <c r="H18" s="5" t="s">
        <v>127</v>
      </c>
      <c r="I18" s="5" t="s">
        <v>1397</v>
      </c>
      <c r="J18" s="5" t="s">
        <v>2283</v>
      </c>
      <c r="K18" s="5" t="s">
        <v>2284</v>
      </c>
      <c r="L18" s="5" t="s">
        <v>1449</v>
      </c>
      <c r="M18" s="113">
        <v>29850746</v>
      </c>
      <c r="N18" s="113">
        <v>5970149</v>
      </c>
      <c r="O18" s="5" t="s">
        <v>2285</v>
      </c>
      <c r="P18" s="113">
        <v>3241628</v>
      </c>
      <c r="Q18" s="113">
        <v>74626865</v>
      </c>
      <c r="R18" s="113">
        <v>74842075</v>
      </c>
      <c r="S18" s="113">
        <v>74842075</v>
      </c>
      <c r="T18" s="114">
        <v>8.4</v>
      </c>
    </row>
    <row r="19" spans="1:20">
      <c r="A19">
        <f t="shared" si="0"/>
        <v>18</v>
      </c>
      <c r="B19" s="112" t="s">
        <v>2428</v>
      </c>
      <c r="C19" s="5" t="s">
        <v>395</v>
      </c>
      <c r="D19" s="5" t="s">
        <v>2429</v>
      </c>
      <c r="E19" s="4">
        <v>2018</v>
      </c>
      <c r="F19" s="4" t="s">
        <v>44</v>
      </c>
      <c r="G19" s="4" t="s">
        <v>2209</v>
      </c>
      <c r="H19" s="5" t="s">
        <v>1405</v>
      </c>
      <c r="I19" s="5" t="s">
        <v>606</v>
      </c>
      <c r="J19" s="5" t="s">
        <v>2430</v>
      </c>
      <c r="K19" s="5" t="s">
        <v>2432</v>
      </c>
      <c r="L19" s="5" t="s">
        <v>1414</v>
      </c>
      <c r="M19" s="113">
        <v>3731343</v>
      </c>
      <c r="N19" s="113">
        <v>2238805</v>
      </c>
      <c r="O19" s="5" t="s">
        <v>2433</v>
      </c>
      <c r="P19" s="113">
        <v>9920000</v>
      </c>
      <c r="Q19" s="113">
        <v>15074626</v>
      </c>
      <c r="R19" s="113">
        <v>17241380</v>
      </c>
      <c r="S19" s="113">
        <v>17241380</v>
      </c>
      <c r="T19" s="114">
        <v>8.1</v>
      </c>
    </row>
    <row r="20" spans="1:20">
      <c r="A20">
        <f t="shared" si="0"/>
        <v>19</v>
      </c>
      <c r="B20" s="112" t="s">
        <v>2643</v>
      </c>
      <c r="C20" s="5" t="s">
        <v>411</v>
      </c>
      <c r="D20" s="5" t="s">
        <v>2644</v>
      </c>
      <c r="E20" s="4">
        <v>2018</v>
      </c>
      <c r="F20" s="4" t="s">
        <v>44</v>
      </c>
      <c r="G20" s="4" t="s">
        <v>2641</v>
      </c>
      <c r="H20" s="5" t="s">
        <v>131</v>
      </c>
      <c r="I20" s="5" t="s">
        <v>606</v>
      </c>
      <c r="J20" s="5" t="s">
        <v>2645</v>
      </c>
      <c r="K20" s="5" t="s">
        <v>2647</v>
      </c>
      <c r="L20" s="5" t="s">
        <v>2642</v>
      </c>
      <c r="M20" s="113">
        <v>11940298</v>
      </c>
      <c r="N20" s="113">
        <v>2985074</v>
      </c>
      <c r="O20" s="5" t="s">
        <v>2369</v>
      </c>
      <c r="P20" s="113">
        <v>7372</v>
      </c>
      <c r="Q20" s="113">
        <v>7134328</v>
      </c>
      <c r="R20" s="113">
        <v>8051388</v>
      </c>
      <c r="S20" s="113">
        <v>8051388</v>
      </c>
      <c r="T20" s="114">
        <v>7.4</v>
      </c>
    </row>
    <row r="21" spans="1:20">
      <c r="A21">
        <f t="shared" si="0"/>
        <v>20</v>
      </c>
      <c r="B21" s="112" t="s">
        <v>2477</v>
      </c>
      <c r="C21" s="5" t="s">
        <v>1220</v>
      </c>
      <c r="D21" s="5" t="s">
        <v>1220</v>
      </c>
      <c r="E21" s="4">
        <v>2017</v>
      </c>
      <c r="F21" s="4" t="s">
        <v>44</v>
      </c>
      <c r="G21" s="4" t="s">
        <v>1061</v>
      </c>
      <c r="H21" s="5" t="s">
        <v>127</v>
      </c>
      <c r="I21" s="5" t="s">
        <v>606</v>
      </c>
      <c r="J21" s="5" t="s">
        <v>2478</v>
      </c>
      <c r="K21" s="5" t="s">
        <v>2481</v>
      </c>
      <c r="L21" s="5" t="s">
        <v>2476</v>
      </c>
      <c r="M21" s="113">
        <v>1044776.1194029851</v>
      </c>
      <c r="N21" s="113">
        <v>447761.19402985071</v>
      </c>
      <c r="O21" s="5" t="s">
        <v>2482</v>
      </c>
      <c r="P21" s="115">
        <v>1860000</v>
      </c>
      <c r="Q21" s="113">
        <v>3702985.0746268658</v>
      </c>
      <c r="R21" s="113">
        <v>3660871</v>
      </c>
      <c r="S21" s="113">
        <v>3660871</v>
      </c>
      <c r="T21" s="114">
        <v>8</v>
      </c>
    </row>
    <row r="22" spans="1:20">
      <c r="A22">
        <f t="shared" si="0"/>
        <v>21</v>
      </c>
      <c r="B22" s="112" t="s">
        <v>2423</v>
      </c>
      <c r="C22" s="5" t="s">
        <v>388</v>
      </c>
      <c r="D22" s="5" t="s">
        <v>2424</v>
      </c>
      <c r="E22" s="4">
        <v>2018</v>
      </c>
      <c r="F22" s="4" t="s">
        <v>44</v>
      </c>
      <c r="G22" s="4" t="s">
        <v>2421</v>
      </c>
      <c r="H22" s="5" t="s">
        <v>136</v>
      </c>
      <c r="I22" s="5" t="s">
        <v>606</v>
      </c>
      <c r="J22" s="5" t="s">
        <v>2425</v>
      </c>
      <c r="K22" s="5" t="s">
        <v>2427</v>
      </c>
      <c r="L22" s="5" t="s">
        <v>2422</v>
      </c>
      <c r="M22" s="113">
        <v>4477611</v>
      </c>
      <c r="N22" s="113">
        <v>2238805</v>
      </c>
      <c r="O22" s="5" t="s">
        <v>2422</v>
      </c>
      <c r="P22" s="113">
        <v>7460000</v>
      </c>
      <c r="Q22" s="113">
        <v>23432835</v>
      </c>
      <c r="R22" s="113">
        <v>26796280</v>
      </c>
      <c r="S22" s="113">
        <v>26796280</v>
      </c>
      <c r="T22" s="114">
        <v>8.1</v>
      </c>
    </row>
    <row r="23" spans="1:20">
      <c r="A23">
        <f t="shared" si="0"/>
        <v>22</v>
      </c>
      <c r="B23" s="112" t="s">
        <v>2270</v>
      </c>
      <c r="C23" s="5" t="s">
        <v>1028</v>
      </c>
      <c r="D23" s="5" t="s">
        <v>2271</v>
      </c>
      <c r="E23" s="4">
        <v>2018</v>
      </c>
      <c r="F23" s="4" t="s">
        <v>44</v>
      </c>
      <c r="G23" s="4" t="s">
        <v>975</v>
      </c>
      <c r="H23" s="5" t="s">
        <v>193</v>
      </c>
      <c r="I23" s="5" t="s">
        <v>597</v>
      </c>
      <c r="J23" s="5" t="s">
        <v>2272</v>
      </c>
      <c r="K23" s="5" t="s">
        <v>2274</v>
      </c>
      <c r="L23" s="5" t="s">
        <v>1448</v>
      </c>
      <c r="M23" s="113">
        <v>11940298</v>
      </c>
      <c r="N23" s="113">
        <v>4477611</v>
      </c>
      <c r="O23" s="5" t="s">
        <v>1948</v>
      </c>
      <c r="P23" s="113">
        <v>14718449</v>
      </c>
      <c r="Q23" s="113">
        <v>30597014</v>
      </c>
      <c r="R23" s="113">
        <v>32449600</v>
      </c>
      <c r="S23" s="113">
        <v>32449600</v>
      </c>
      <c r="T23" s="114">
        <v>8.4</v>
      </c>
    </row>
    <row r="24" spans="1:20">
      <c r="A24">
        <f t="shared" si="0"/>
        <v>23</v>
      </c>
      <c r="B24" s="112" t="s">
        <v>2049</v>
      </c>
      <c r="C24" s="5" t="s">
        <v>423</v>
      </c>
      <c r="D24" s="5" t="s">
        <v>488</v>
      </c>
      <c r="E24" s="4">
        <v>2018</v>
      </c>
      <c r="F24" s="4" t="s">
        <v>44</v>
      </c>
      <c r="G24" s="4" t="s">
        <v>824</v>
      </c>
      <c r="H24" s="5" t="s">
        <v>127</v>
      </c>
      <c r="I24" s="5" t="s">
        <v>606</v>
      </c>
      <c r="J24" s="5" t="s">
        <v>2050</v>
      </c>
      <c r="K24" s="5" t="s">
        <v>2053</v>
      </c>
      <c r="L24" s="5" t="s">
        <v>1421</v>
      </c>
      <c r="M24" s="113">
        <v>2985074.6268656715</v>
      </c>
      <c r="N24" s="113">
        <v>746268.65671641787</v>
      </c>
      <c r="O24" s="5" t="s">
        <v>2054</v>
      </c>
      <c r="P24" s="113">
        <v>192492</v>
      </c>
      <c r="Q24" s="113">
        <v>3865671.6417910447</v>
      </c>
      <c r="R24" s="113">
        <v>4668484</v>
      </c>
      <c r="S24" s="113">
        <v>4668484</v>
      </c>
      <c r="T24" s="116">
        <v>8.8000000000000007</v>
      </c>
    </row>
    <row r="25" spans="1:20">
      <c r="A25">
        <f t="shared" si="0"/>
        <v>24</v>
      </c>
      <c r="B25" s="112" t="s">
        <v>2738</v>
      </c>
      <c r="C25" s="5" t="s">
        <v>58</v>
      </c>
      <c r="D25" s="5" t="s">
        <v>2739</v>
      </c>
      <c r="E25" s="4">
        <v>2017</v>
      </c>
      <c r="F25" s="4" t="s">
        <v>46</v>
      </c>
      <c r="G25" s="4" t="s">
        <v>2737</v>
      </c>
      <c r="H25" s="5" t="s">
        <v>131</v>
      </c>
      <c r="I25" s="5" t="s">
        <v>606</v>
      </c>
      <c r="J25" s="5" t="s">
        <v>2740</v>
      </c>
      <c r="K25" s="5" t="s">
        <v>2742</v>
      </c>
      <c r="L25" s="5" t="s">
        <v>1377</v>
      </c>
      <c r="M25" s="113">
        <v>5970149.253731343</v>
      </c>
      <c r="N25" s="113">
        <v>2985074.6268656715</v>
      </c>
      <c r="O25" s="5" t="s">
        <v>2743</v>
      </c>
      <c r="P25" s="115">
        <v>18228</v>
      </c>
      <c r="Q25" s="113">
        <v>3782089.5522388057</v>
      </c>
      <c r="R25" s="113">
        <v>4013033</v>
      </c>
      <c r="S25" s="113">
        <v>4013033</v>
      </c>
      <c r="T25" s="114">
        <v>5.9</v>
      </c>
    </row>
    <row r="26" spans="1:20">
      <c r="A26">
        <f t="shared" si="0"/>
        <v>25</v>
      </c>
      <c r="B26" s="112" t="s">
        <v>2243</v>
      </c>
      <c r="C26" s="5" t="s">
        <v>1024</v>
      </c>
      <c r="D26" s="5" t="s">
        <v>2244</v>
      </c>
      <c r="E26" s="4">
        <v>2018</v>
      </c>
      <c r="F26" s="4" t="s">
        <v>44</v>
      </c>
      <c r="G26" s="4" t="s">
        <v>2242</v>
      </c>
      <c r="H26" s="5" t="s">
        <v>136</v>
      </c>
      <c r="I26" s="39" t="s">
        <v>606</v>
      </c>
      <c r="J26" s="5" t="s">
        <v>2245</v>
      </c>
      <c r="K26" s="5" t="s">
        <v>2248</v>
      </c>
      <c r="L26" s="5" t="s">
        <v>1445</v>
      </c>
      <c r="M26" s="113">
        <v>1194029.8507462686</v>
      </c>
      <c r="N26" s="113">
        <v>746268.65671641787</v>
      </c>
      <c r="O26" s="5" t="s">
        <v>1445</v>
      </c>
      <c r="P26" s="113">
        <v>110000</v>
      </c>
      <c r="Q26" s="113">
        <v>458208.95522388059</v>
      </c>
      <c r="R26" s="113">
        <v>469140</v>
      </c>
      <c r="S26" s="113">
        <v>469140</v>
      </c>
      <c r="T26" s="114">
        <v>8.5</v>
      </c>
    </row>
    <row r="27" spans="1:20">
      <c r="A27">
        <f t="shared" si="0"/>
        <v>26</v>
      </c>
      <c r="B27" s="112" t="s">
        <v>2672</v>
      </c>
      <c r="C27" s="5" t="s">
        <v>1326</v>
      </c>
      <c r="D27" s="5" t="s">
        <v>2673</v>
      </c>
      <c r="E27" s="4">
        <v>2017</v>
      </c>
      <c r="F27" s="4" t="s">
        <v>44</v>
      </c>
      <c r="G27" s="4" t="s">
        <v>2671</v>
      </c>
      <c r="H27" s="5" t="s">
        <v>136</v>
      </c>
      <c r="I27" s="39" t="s">
        <v>606</v>
      </c>
      <c r="J27" s="5" t="s">
        <v>2674</v>
      </c>
      <c r="K27" s="5" t="s">
        <v>2677</v>
      </c>
      <c r="L27" s="5" t="s">
        <v>2525</v>
      </c>
      <c r="M27" s="113">
        <v>2985074.6268656715</v>
      </c>
      <c r="N27" s="113">
        <v>1194029.8507462686</v>
      </c>
      <c r="O27" s="5" t="s">
        <v>2678</v>
      </c>
      <c r="P27" s="113">
        <v>195282</v>
      </c>
      <c r="Q27" s="113">
        <v>1241791.0447761193</v>
      </c>
      <c r="R27" s="113">
        <v>1327225</v>
      </c>
      <c r="S27" s="113">
        <v>1327225</v>
      </c>
      <c r="T27" s="114">
        <v>7.2</v>
      </c>
    </row>
    <row r="28" spans="1:20">
      <c r="A28">
        <f t="shared" si="0"/>
        <v>27</v>
      </c>
      <c r="B28" s="112" t="s">
        <v>2658</v>
      </c>
      <c r="C28" s="5" t="s">
        <v>1320</v>
      </c>
      <c r="D28" s="5" t="s">
        <v>2659</v>
      </c>
      <c r="E28" s="4">
        <v>2017</v>
      </c>
      <c r="F28" s="4" t="s">
        <v>44</v>
      </c>
      <c r="G28" s="4" t="s">
        <v>2656</v>
      </c>
      <c r="H28" s="5" t="s">
        <v>129</v>
      </c>
      <c r="I28" s="5" t="s">
        <v>606</v>
      </c>
      <c r="J28" s="5" t="s">
        <v>2660</v>
      </c>
      <c r="K28" s="5" t="s">
        <v>1649</v>
      </c>
      <c r="L28" s="5" t="s">
        <v>1417</v>
      </c>
      <c r="M28" s="113">
        <v>14925373.134328358</v>
      </c>
      <c r="N28" s="113">
        <v>7462686.5671641789</v>
      </c>
      <c r="O28" s="39" t="s">
        <v>2662</v>
      </c>
      <c r="P28" s="115">
        <v>24520000</v>
      </c>
      <c r="Q28" s="113">
        <v>57164179.104477607</v>
      </c>
      <c r="R28" s="113">
        <v>60600360</v>
      </c>
      <c r="S28" s="113">
        <v>60600360</v>
      </c>
      <c r="T28" s="114">
        <v>7.2</v>
      </c>
    </row>
    <row r="29" spans="1:20">
      <c r="A29">
        <f t="shared" si="0"/>
        <v>28</v>
      </c>
      <c r="B29" s="112" t="s">
        <v>2442</v>
      </c>
      <c r="C29" s="5" t="s">
        <v>1199</v>
      </c>
      <c r="D29" s="5" t="s">
        <v>2443</v>
      </c>
      <c r="E29" s="4">
        <v>2017</v>
      </c>
      <c r="F29" s="4" t="s">
        <v>44</v>
      </c>
      <c r="G29" s="56" t="s">
        <v>1095</v>
      </c>
      <c r="H29" s="5" t="s">
        <v>131</v>
      </c>
      <c r="I29" s="5" t="s">
        <v>597</v>
      </c>
      <c r="J29" s="5" t="s">
        <v>2444</v>
      </c>
      <c r="K29" s="5" t="s">
        <v>2447</v>
      </c>
      <c r="L29" s="5" t="s">
        <v>1417</v>
      </c>
      <c r="M29" s="113">
        <v>8955223.8800000008</v>
      </c>
      <c r="N29" s="113">
        <v>2238805.9700000002</v>
      </c>
      <c r="O29" s="5" t="s">
        <v>2448</v>
      </c>
      <c r="P29" s="113">
        <v>1860000</v>
      </c>
      <c r="Q29" s="113">
        <v>10971343.300000001</v>
      </c>
      <c r="R29" s="113">
        <v>11037772</v>
      </c>
      <c r="S29" s="113">
        <v>11037772</v>
      </c>
      <c r="T29" s="114">
        <v>8.1</v>
      </c>
    </row>
    <row r="30" spans="1:20">
      <c r="A30">
        <f t="shared" si="0"/>
        <v>29</v>
      </c>
      <c r="B30" s="112" t="s">
        <v>3038</v>
      </c>
      <c r="C30" s="5" t="s">
        <v>1071</v>
      </c>
      <c r="D30" s="5" t="s">
        <v>1071</v>
      </c>
      <c r="E30" s="4">
        <v>2017</v>
      </c>
      <c r="F30" s="4" t="s">
        <v>44</v>
      </c>
      <c r="G30" s="4" t="s">
        <v>1070</v>
      </c>
      <c r="H30" s="5" t="s">
        <v>3039</v>
      </c>
      <c r="I30" s="5" t="s">
        <v>602</v>
      </c>
      <c r="J30" s="5" t="s">
        <v>2328</v>
      </c>
      <c r="K30" s="5" t="s">
        <v>2331</v>
      </c>
      <c r="L30" s="5" t="s">
        <v>626</v>
      </c>
      <c r="M30" s="113">
        <v>5970149.253731343</v>
      </c>
      <c r="N30" s="113">
        <v>11940298.507462686</v>
      </c>
      <c r="O30" s="5" t="s">
        <v>2332</v>
      </c>
      <c r="P30" s="113">
        <v>323207</v>
      </c>
      <c r="Q30" s="113">
        <v>56417910.447761193</v>
      </c>
      <c r="R30" s="113">
        <v>58576718</v>
      </c>
      <c r="S30" s="113">
        <v>59263153</v>
      </c>
      <c r="T30" s="114">
        <v>8.4</v>
      </c>
    </row>
    <row r="31" spans="1:20">
      <c r="A31">
        <f t="shared" si="0"/>
        <v>30</v>
      </c>
      <c r="B31" s="112" t="s">
        <v>2366</v>
      </c>
      <c r="C31" s="5" t="s">
        <v>1092</v>
      </c>
      <c r="D31" s="5" t="s">
        <v>2367</v>
      </c>
      <c r="E31" s="4">
        <v>2017</v>
      </c>
      <c r="F31" s="4" t="s">
        <v>44</v>
      </c>
      <c r="G31" s="4" t="s">
        <v>1091</v>
      </c>
      <c r="H31" s="5" t="s">
        <v>129</v>
      </c>
      <c r="I31" s="5" t="s">
        <v>606</v>
      </c>
      <c r="J31" s="5" t="s">
        <v>2019</v>
      </c>
      <c r="K31" s="5" t="s">
        <v>2368</v>
      </c>
      <c r="L31" s="5" t="s">
        <v>626</v>
      </c>
      <c r="M31" s="113">
        <v>7462686.5671641789</v>
      </c>
      <c r="N31" s="113">
        <v>2985074.6268656715</v>
      </c>
      <c r="O31" s="5" t="s">
        <v>2369</v>
      </c>
      <c r="P31" s="113">
        <v>55307</v>
      </c>
      <c r="Q31" s="113">
        <v>6984776.1194029851</v>
      </c>
      <c r="R31" s="113">
        <v>7618024</v>
      </c>
      <c r="S31" s="113">
        <v>7736408</v>
      </c>
      <c r="T31" s="114">
        <v>8.3000000000000007</v>
      </c>
    </row>
    <row r="32" spans="1:20">
      <c r="A32">
        <f t="shared" si="0"/>
        <v>31</v>
      </c>
      <c r="B32" s="112" t="s">
        <v>2345</v>
      </c>
      <c r="C32" s="5" t="s">
        <v>1077</v>
      </c>
      <c r="D32" s="5" t="s">
        <v>2346</v>
      </c>
      <c r="E32" s="4">
        <v>2017</v>
      </c>
      <c r="F32" s="4" t="s">
        <v>44</v>
      </c>
      <c r="G32" s="4" t="s">
        <v>1076</v>
      </c>
      <c r="H32" s="5" t="s">
        <v>131</v>
      </c>
      <c r="I32" s="5" t="s">
        <v>606</v>
      </c>
      <c r="J32" s="5" t="s">
        <v>2045</v>
      </c>
      <c r="K32" s="5" t="s">
        <v>2195</v>
      </c>
      <c r="L32" s="5" t="s">
        <v>626</v>
      </c>
      <c r="M32" s="113">
        <v>23880597</v>
      </c>
      <c r="N32" s="113">
        <v>8955223</v>
      </c>
      <c r="O32" s="5" t="s">
        <v>2196</v>
      </c>
      <c r="P32" s="113">
        <v>160739</v>
      </c>
      <c r="Q32" s="113">
        <v>145970149</v>
      </c>
      <c r="R32" s="113">
        <v>152549032</v>
      </c>
      <c r="S32" s="113">
        <v>153018738</v>
      </c>
      <c r="T32" s="114">
        <v>8.4</v>
      </c>
    </row>
    <row r="33" spans="1:20">
      <c r="A33">
        <f t="shared" si="0"/>
        <v>32</v>
      </c>
      <c r="B33" s="112" t="s">
        <v>2381</v>
      </c>
      <c r="C33" s="5" t="s">
        <v>1100</v>
      </c>
      <c r="D33" s="5" t="s">
        <v>2382</v>
      </c>
      <c r="E33" s="4">
        <v>2017</v>
      </c>
      <c r="F33" s="4" t="s">
        <v>44</v>
      </c>
      <c r="G33" s="4" t="s">
        <v>1099</v>
      </c>
      <c r="H33" s="5" t="s">
        <v>131</v>
      </c>
      <c r="I33" s="5" t="s">
        <v>606</v>
      </c>
      <c r="J33" s="5" t="s">
        <v>2383</v>
      </c>
      <c r="K33" s="5" t="s">
        <v>2384</v>
      </c>
      <c r="L33" s="5" t="s">
        <v>626</v>
      </c>
      <c r="M33" s="113">
        <v>8955223</v>
      </c>
      <c r="N33" s="113">
        <v>2238805</v>
      </c>
      <c r="O33" s="5" t="s">
        <v>2369</v>
      </c>
      <c r="P33" s="113">
        <v>5942</v>
      </c>
      <c r="Q33" s="113">
        <v>2480597</v>
      </c>
      <c r="R33" s="113">
        <v>2580320</v>
      </c>
      <c r="S33" s="113">
        <v>2632086</v>
      </c>
      <c r="T33" s="114">
        <v>8.1999999999999993</v>
      </c>
    </row>
    <row r="34" spans="1:20">
      <c r="A34">
        <f t="shared" si="0"/>
        <v>33</v>
      </c>
      <c r="B34" s="112" t="s">
        <v>1992</v>
      </c>
      <c r="C34" s="5" t="s">
        <v>836</v>
      </c>
      <c r="D34" s="5" t="s">
        <v>1993</v>
      </c>
      <c r="E34" s="4">
        <v>2018</v>
      </c>
      <c r="F34" s="4" t="s">
        <v>44</v>
      </c>
      <c r="G34" s="101" t="s">
        <v>835</v>
      </c>
      <c r="H34" s="39" t="s">
        <v>136</v>
      </c>
      <c r="I34" s="39" t="s">
        <v>1399</v>
      </c>
      <c r="J34" s="5" t="s">
        <v>1994</v>
      </c>
      <c r="K34" s="5" t="s">
        <v>1995</v>
      </c>
      <c r="L34" s="5" t="s">
        <v>626</v>
      </c>
      <c r="M34" s="113">
        <v>2985074.6268656715</v>
      </c>
      <c r="N34" s="113">
        <v>746268.65671641787</v>
      </c>
      <c r="O34" s="5" t="s">
        <v>1996</v>
      </c>
      <c r="P34" s="113">
        <v>1012175</v>
      </c>
      <c r="Q34" s="113">
        <v>13331</v>
      </c>
      <c r="R34" s="115">
        <v>1264734</v>
      </c>
      <c r="S34" s="115">
        <v>1278065</v>
      </c>
      <c r="T34" s="114">
        <v>9.1</v>
      </c>
    </row>
    <row r="35" spans="1:20">
      <c r="A35">
        <f t="shared" si="0"/>
        <v>34</v>
      </c>
      <c r="B35" s="112" t="s">
        <v>2546</v>
      </c>
      <c r="C35" s="5" t="s">
        <v>1270</v>
      </c>
      <c r="D35" s="5" t="s">
        <v>2547</v>
      </c>
      <c r="E35" s="4">
        <v>2017</v>
      </c>
      <c r="F35" s="4" t="s">
        <v>44</v>
      </c>
      <c r="G35" s="4" t="s">
        <v>1269</v>
      </c>
      <c r="H35" s="5" t="s">
        <v>136</v>
      </c>
      <c r="I35" s="5" t="s">
        <v>606</v>
      </c>
      <c r="J35" s="5" t="s">
        <v>2095</v>
      </c>
      <c r="K35" s="5" t="s">
        <v>2549</v>
      </c>
      <c r="L35" s="5" t="s">
        <v>626</v>
      </c>
      <c r="M35" s="113">
        <v>4477611</v>
      </c>
      <c r="N35" s="113">
        <v>7462686</v>
      </c>
      <c r="O35" s="5" t="s">
        <v>2369</v>
      </c>
      <c r="P35" s="113">
        <v>180920</v>
      </c>
      <c r="Q35" s="113">
        <v>267611940</v>
      </c>
      <c r="R35" s="113">
        <v>306710033</v>
      </c>
      <c r="S35" s="113">
        <v>307547824</v>
      </c>
      <c r="T35" s="114">
        <v>7.9</v>
      </c>
    </row>
    <row r="36" spans="1:20">
      <c r="A36">
        <f t="shared" si="0"/>
        <v>35</v>
      </c>
      <c r="B36" s="112" t="s">
        <v>2359</v>
      </c>
      <c r="C36" s="5" t="s">
        <v>1086</v>
      </c>
      <c r="D36" s="5" t="s">
        <v>1086</v>
      </c>
      <c r="E36" s="4">
        <v>2017</v>
      </c>
      <c r="F36" s="4" t="s">
        <v>44</v>
      </c>
      <c r="G36" s="4" t="s">
        <v>1080</v>
      </c>
      <c r="H36" s="5" t="s">
        <v>129</v>
      </c>
      <c r="I36" s="5" t="s">
        <v>606</v>
      </c>
      <c r="J36" s="5" t="s">
        <v>1946</v>
      </c>
      <c r="K36" s="5" t="s">
        <v>1946</v>
      </c>
      <c r="L36" s="5" t="s">
        <v>626</v>
      </c>
      <c r="M36" s="113">
        <v>17910447.761194028</v>
      </c>
      <c r="N36" s="113">
        <v>8955223.880597014</v>
      </c>
      <c r="O36" s="5" t="s">
        <v>2360</v>
      </c>
      <c r="P36" s="113">
        <v>181705</v>
      </c>
      <c r="Q36" s="113">
        <v>107164179.10447761</v>
      </c>
      <c r="R36" s="113">
        <v>109911139</v>
      </c>
      <c r="S36" s="113">
        <v>110203801</v>
      </c>
      <c r="T36" s="114">
        <v>8.3000000000000007</v>
      </c>
    </row>
    <row r="37" spans="1:20">
      <c r="A37">
        <f t="shared" si="0"/>
        <v>36</v>
      </c>
      <c r="B37" s="112" t="s">
        <v>1976</v>
      </c>
      <c r="C37" s="5" t="s">
        <v>386</v>
      </c>
      <c r="D37" s="5" t="s">
        <v>1977</v>
      </c>
      <c r="E37" s="4">
        <v>2018</v>
      </c>
      <c r="F37" s="4" t="s">
        <v>44</v>
      </c>
      <c r="G37" s="4" t="s">
        <v>824</v>
      </c>
      <c r="H37" s="5" t="s">
        <v>127</v>
      </c>
      <c r="I37" s="5" t="s">
        <v>606</v>
      </c>
      <c r="J37" s="5" t="s">
        <v>1978</v>
      </c>
      <c r="K37" s="5" t="s">
        <v>1980</v>
      </c>
      <c r="L37" s="5" t="s">
        <v>626</v>
      </c>
      <c r="M37" s="113">
        <v>11940298</v>
      </c>
      <c r="N37" s="113">
        <v>2985074</v>
      </c>
      <c r="O37" s="5" t="s">
        <v>1981</v>
      </c>
      <c r="P37" s="113">
        <v>57713</v>
      </c>
      <c r="Q37" s="113">
        <v>32238805</v>
      </c>
      <c r="R37" s="113">
        <v>36895078</v>
      </c>
      <c r="S37" s="113">
        <v>37013430</v>
      </c>
      <c r="T37" s="117">
        <v>9.1</v>
      </c>
    </row>
    <row r="38" spans="1:20">
      <c r="A38">
        <f t="shared" si="0"/>
        <v>37</v>
      </c>
      <c r="B38" s="112" t="s">
        <v>2542</v>
      </c>
      <c r="C38" s="5" t="s">
        <v>1268</v>
      </c>
      <c r="D38" s="5" t="s">
        <v>2543</v>
      </c>
      <c r="E38" s="4">
        <v>2017</v>
      </c>
      <c r="F38" s="4" t="s">
        <v>44</v>
      </c>
      <c r="G38" s="4" t="s">
        <v>1267</v>
      </c>
      <c r="H38" s="5" t="s">
        <v>131</v>
      </c>
      <c r="I38" s="5" t="s">
        <v>606</v>
      </c>
      <c r="J38" s="5" t="s">
        <v>1656</v>
      </c>
      <c r="K38" s="5" t="s">
        <v>1695</v>
      </c>
      <c r="L38" s="5" t="s">
        <v>626</v>
      </c>
      <c r="M38" s="113">
        <v>14925373</v>
      </c>
      <c r="N38" s="113">
        <v>11940298</v>
      </c>
      <c r="O38" s="5" t="s">
        <v>2545</v>
      </c>
      <c r="P38" s="113">
        <v>338604</v>
      </c>
      <c r="Q38" s="113">
        <v>198507462</v>
      </c>
      <c r="R38" s="113">
        <v>225197313</v>
      </c>
      <c r="S38" s="113">
        <v>227089269</v>
      </c>
      <c r="T38" s="114">
        <v>7.9</v>
      </c>
    </row>
    <row r="39" spans="1:20">
      <c r="A39">
        <f t="shared" si="0"/>
        <v>38</v>
      </c>
      <c r="B39" s="112" t="s">
        <v>1982</v>
      </c>
      <c r="C39" s="5" t="s">
        <v>406</v>
      </c>
      <c r="D39" s="5" t="s">
        <v>1983</v>
      </c>
      <c r="E39" s="4">
        <v>2018</v>
      </c>
      <c r="F39" s="4" t="s">
        <v>44</v>
      </c>
      <c r="G39" s="4" t="s">
        <v>825</v>
      </c>
      <c r="H39" s="5" t="s">
        <v>129</v>
      </c>
      <c r="I39" s="5" t="s">
        <v>606</v>
      </c>
      <c r="J39" s="5" t="s">
        <v>1984</v>
      </c>
      <c r="K39" s="5" t="s">
        <v>1986</v>
      </c>
      <c r="L39" s="5" t="s">
        <v>626</v>
      </c>
      <c r="M39" s="113">
        <v>8955223</v>
      </c>
      <c r="N39" s="113">
        <v>3731343</v>
      </c>
      <c r="O39" s="5" t="s">
        <v>1948</v>
      </c>
      <c r="P39" s="113">
        <v>35015</v>
      </c>
      <c r="Q39" s="113">
        <v>9485074</v>
      </c>
      <c r="R39" s="113">
        <v>10295882</v>
      </c>
      <c r="S39" s="113">
        <v>10381054</v>
      </c>
      <c r="T39" s="114">
        <v>9.1</v>
      </c>
    </row>
    <row r="40" spans="1:20">
      <c r="A40">
        <f t="shared" si="0"/>
        <v>39</v>
      </c>
      <c r="B40" s="112" t="s">
        <v>1997</v>
      </c>
      <c r="C40" s="5" t="s">
        <v>844</v>
      </c>
      <c r="D40" s="5" t="s">
        <v>844</v>
      </c>
      <c r="E40" s="4">
        <v>2018</v>
      </c>
      <c r="F40" s="4" t="s">
        <v>44</v>
      </c>
      <c r="G40" s="4" t="s">
        <v>843</v>
      </c>
      <c r="H40" s="5" t="s">
        <v>129</v>
      </c>
      <c r="I40" s="5" t="s">
        <v>606</v>
      </c>
      <c r="J40" s="5" t="s">
        <v>1905</v>
      </c>
      <c r="K40" s="5" t="s">
        <v>1999</v>
      </c>
      <c r="L40" s="5" t="s">
        <v>1418</v>
      </c>
      <c r="M40" s="113">
        <v>746268.65671641787</v>
      </c>
      <c r="N40" s="113">
        <v>298507.46268656716</v>
      </c>
      <c r="O40" s="5" t="s">
        <v>1981</v>
      </c>
      <c r="P40" s="113">
        <v>4210000</v>
      </c>
      <c r="Q40" s="113">
        <v>9117611.940298507</v>
      </c>
      <c r="R40" s="113">
        <v>9796094</v>
      </c>
      <c r="S40" s="113">
        <v>9796094</v>
      </c>
      <c r="T40" s="114">
        <v>9</v>
      </c>
    </row>
    <row r="41" spans="1:20">
      <c r="A41">
        <f t="shared" si="0"/>
        <v>40</v>
      </c>
      <c r="B41" s="112" t="s">
        <v>2043</v>
      </c>
      <c r="C41" s="5" t="s">
        <v>881</v>
      </c>
      <c r="D41" s="5" t="s">
        <v>2044</v>
      </c>
      <c r="E41" s="4">
        <v>2018</v>
      </c>
      <c r="F41" s="4" t="s">
        <v>44</v>
      </c>
      <c r="G41" s="4" t="s">
        <v>880</v>
      </c>
      <c r="H41" s="5" t="s">
        <v>3039</v>
      </c>
      <c r="I41" s="5" t="s">
        <v>602</v>
      </c>
      <c r="J41" s="5" t="s">
        <v>2045</v>
      </c>
      <c r="K41" s="5" t="s">
        <v>2047</v>
      </c>
      <c r="L41" s="5" t="s">
        <v>1418</v>
      </c>
      <c r="M41" s="113">
        <v>14925373</v>
      </c>
      <c r="N41" s="113">
        <v>7462686</v>
      </c>
      <c r="O41" s="5" t="s">
        <v>2048</v>
      </c>
      <c r="P41" s="113">
        <v>21549210</v>
      </c>
      <c r="Q41" s="113">
        <v>31492537</v>
      </c>
      <c r="R41" s="113">
        <v>35045171</v>
      </c>
      <c r="S41" s="113">
        <v>35045171</v>
      </c>
      <c r="T41" s="114">
        <v>8.8000000000000007</v>
      </c>
    </row>
    <row r="42" spans="1:20">
      <c r="A42">
        <f t="shared" si="0"/>
        <v>41</v>
      </c>
      <c r="B42" s="112" t="s">
        <v>1484</v>
      </c>
      <c r="C42" s="5" t="s">
        <v>128</v>
      </c>
      <c r="D42" s="5" t="s">
        <v>1485</v>
      </c>
      <c r="E42" s="4">
        <v>2019</v>
      </c>
      <c r="F42" s="4" t="s">
        <v>44</v>
      </c>
      <c r="G42" s="4" t="s">
        <v>604</v>
      </c>
      <c r="H42" s="5" t="s">
        <v>129</v>
      </c>
      <c r="I42" s="5" t="s">
        <v>606</v>
      </c>
      <c r="J42" s="5" t="s">
        <v>1486</v>
      </c>
      <c r="K42" s="5" t="s">
        <v>3040</v>
      </c>
      <c r="L42" s="5" t="s">
        <v>605</v>
      </c>
      <c r="M42" s="113">
        <v>50000000</v>
      </c>
      <c r="N42" s="113">
        <v>3000000</v>
      </c>
      <c r="O42" s="5" t="s">
        <v>1488</v>
      </c>
      <c r="P42" s="113">
        <v>1685287</v>
      </c>
      <c r="Q42" s="113">
        <v>694626865</v>
      </c>
      <c r="R42" s="113">
        <v>683059335</v>
      </c>
      <c r="S42" s="113">
        <v>688934822</v>
      </c>
      <c r="T42" s="118">
        <v>9.1999999999999993</v>
      </c>
    </row>
    <row r="43" spans="1:20">
      <c r="A43">
        <f t="shared" si="0"/>
        <v>42</v>
      </c>
      <c r="B43" s="112" t="s">
        <v>2732</v>
      </c>
      <c r="C43" s="5" t="s">
        <v>1356</v>
      </c>
      <c r="D43" s="5" t="s">
        <v>2733</v>
      </c>
      <c r="E43" s="4">
        <v>2017</v>
      </c>
      <c r="F43" s="4" t="s">
        <v>45</v>
      </c>
      <c r="G43" s="4" t="s">
        <v>1082</v>
      </c>
      <c r="H43" s="5" t="s">
        <v>129</v>
      </c>
      <c r="I43" s="5" t="s">
        <v>606</v>
      </c>
      <c r="J43" s="5" t="s">
        <v>2727</v>
      </c>
      <c r="K43" s="5" t="s">
        <v>2298</v>
      </c>
      <c r="L43" s="5" t="s">
        <v>1357</v>
      </c>
      <c r="M43" s="113">
        <v>14925373</v>
      </c>
      <c r="N43" s="113">
        <v>7462686</v>
      </c>
      <c r="O43" s="5" t="s">
        <v>2735</v>
      </c>
      <c r="P43" s="113">
        <v>24538631</v>
      </c>
      <c r="Q43" s="113">
        <v>55522388</v>
      </c>
      <c r="R43" s="113">
        <v>58807172</v>
      </c>
      <c r="S43" s="113">
        <v>58807172</v>
      </c>
      <c r="T43" s="114">
        <v>6.6</v>
      </c>
    </row>
    <row r="44" spans="1:20">
      <c r="A44">
        <f t="shared" si="0"/>
        <v>43</v>
      </c>
      <c r="B44" s="112" t="s">
        <v>2523</v>
      </c>
      <c r="C44" s="5" t="s">
        <v>1255</v>
      </c>
      <c r="D44" s="5" t="s">
        <v>1255</v>
      </c>
      <c r="E44" s="4">
        <v>2017</v>
      </c>
      <c r="F44" s="4" t="s">
        <v>44</v>
      </c>
      <c r="G44" s="56" t="s">
        <v>1099</v>
      </c>
      <c r="H44" s="5" t="s">
        <v>131</v>
      </c>
      <c r="I44" s="5" t="s">
        <v>606</v>
      </c>
      <c r="J44" s="5" t="s">
        <v>2164</v>
      </c>
      <c r="K44" s="5" t="s">
        <v>2524</v>
      </c>
      <c r="L44" s="5" t="s">
        <v>2522</v>
      </c>
      <c r="M44" s="113">
        <v>4477611.940298507</v>
      </c>
      <c r="N44" s="113">
        <v>2238805.9701492535</v>
      </c>
      <c r="O44" s="5" t="s">
        <v>2525</v>
      </c>
      <c r="P44" s="113">
        <v>4550000</v>
      </c>
      <c r="Q44" s="113">
        <v>5842537.313432836</v>
      </c>
      <c r="R44" s="113">
        <v>5921481</v>
      </c>
      <c r="S44" s="113">
        <v>5921481</v>
      </c>
      <c r="T44" s="114">
        <v>7.9</v>
      </c>
    </row>
    <row r="45" spans="1:20">
      <c r="A45">
        <f t="shared" si="0"/>
        <v>44</v>
      </c>
      <c r="B45" s="112" t="s">
        <v>2081</v>
      </c>
      <c r="C45" s="5" t="s">
        <v>460</v>
      </c>
      <c r="D45" s="5" t="s">
        <v>460</v>
      </c>
      <c r="E45" s="4">
        <v>2018</v>
      </c>
      <c r="F45" s="4" t="s">
        <v>44</v>
      </c>
      <c r="G45" s="4" t="s">
        <v>832</v>
      </c>
      <c r="H45" s="5" t="s">
        <v>1403</v>
      </c>
      <c r="I45" s="39" t="s">
        <v>606</v>
      </c>
      <c r="J45" s="5" t="s">
        <v>2082</v>
      </c>
      <c r="K45" s="5" t="s">
        <v>2084</v>
      </c>
      <c r="L45" s="5" t="s">
        <v>1424</v>
      </c>
      <c r="M45" s="113">
        <v>1492537.3134328357</v>
      </c>
      <c r="N45" s="113">
        <v>1194029.8507462686</v>
      </c>
      <c r="O45" s="5" t="s">
        <v>2085</v>
      </c>
      <c r="P45" s="113">
        <v>500000</v>
      </c>
      <c r="Q45" s="113">
        <v>623880.59701492533</v>
      </c>
      <c r="R45" s="113">
        <v>688869</v>
      </c>
      <c r="S45" s="113">
        <v>688869</v>
      </c>
      <c r="T45" s="114">
        <v>8.6999999999999993</v>
      </c>
    </row>
    <row r="46" spans="1:20">
      <c r="A46">
        <f t="shared" si="0"/>
        <v>45</v>
      </c>
      <c r="B46" s="112" t="s">
        <v>2497</v>
      </c>
      <c r="C46" s="5" t="s">
        <v>1244</v>
      </c>
      <c r="D46" s="5" t="s">
        <v>2498</v>
      </c>
      <c r="E46" s="4">
        <v>2018</v>
      </c>
      <c r="F46" s="4" t="s">
        <v>44</v>
      </c>
      <c r="G46" s="4" t="s">
        <v>2496</v>
      </c>
      <c r="H46" s="5" t="s">
        <v>129</v>
      </c>
      <c r="I46" s="5" t="s">
        <v>606</v>
      </c>
      <c r="J46" s="5" t="s">
        <v>2499</v>
      </c>
      <c r="K46" s="5" t="s">
        <v>2501</v>
      </c>
      <c r="L46" s="5" t="s">
        <v>1442</v>
      </c>
      <c r="M46" s="113">
        <v>8955223</v>
      </c>
      <c r="N46" s="113">
        <v>1666666</v>
      </c>
      <c r="O46" s="5" t="s">
        <v>2502</v>
      </c>
      <c r="P46" s="113">
        <v>42352</v>
      </c>
      <c r="Q46" s="113">
        <v>5525373</v>
      </c>
      <c r="R46" s="113">
        <v>6168544</v>
      </c>
      <c r="S46" s="113">
        <v>6168544</v>
      </c>
      <c r="T46" s="114">
        <v>8</v>
      </c>
    </row>
    <row r="47" spans="1:20">
      <c r="A47">
        <f t="shared" si="0"/>
        <v>46</v>
      </c>
      <c r="B47" s="112" t="s">
        <v>3041</v>
      </c>
      <c r="C47" s="5" t="s">
        <v>1274</v>
      </c>
      <c r="D47" s="5" t="s">
        <v>3042</v>
      </c>
      <c r="E47" s="4">
        <v>2017</v>
      </c>
      <c r="F47" s="4" t="s">
        <v>44</v>
      </c>
      <c r="G47" s="4" t="s">
        <v>1089</v>
      </c>
      <c r="H47" s="5" t="s">
        <v>127</v>
      </c>
      <c r="I47" s="5" t="s">
        <v>606</v>
      </c>
      <c r="J47" s="5" t="s">
        <v>2557</v>
      </c>
      <c r="K47" s="5" t="s">
        <v>2558</v>
      </c>
      <c r="L47" s="5" t="s">
        <v>2554</v>
      </c>
      <c r="M47" s="113">
        <v>4477611.940298507</v>
      </c>
      <c r="N47" s="113">
        <v>1492537.3134328357</v>
      </c>
      <c r="O47" s="5" t="s">
        <v>2559</v>
      </c>
      <c r="P47" s="115">
        <v>760000</v>
      </c>
      <c r="Q47" s="113">
        <v>14449253.731343282</v>
      </c>
      <c r="R47" s="113">
        <v>15874097</v>
      </c>
      <c r="S47" s="113">
        <v>15874097</v>
      </c>
      <c r="T47" s="117">
        <v>7.8</v>
      </c>
    </row>
    <row r="48" spans="1:20">
      <c r="A48">
        <f t="shared" si="0"/>
        <v>47</v>
      </c>
      <c r="B48" s="112" t="s">
        <v>2505</v>
      </c>
      <c r="C48" s="5" t="s">
        <v>450</v>
      </c>
      <c r="D48" s="5" t="s">
        <v>2506</v>
      </c>
      <c r="E48" s="4">
        <v>2017</v>
      </c>
      <c r="F48" s="4" t="s">
        <v>44</v>
      </c>
      <c r="G48" s="4" t="s">
        <v>2503</v>
      </c>
      <c r="H48" s="5" t="s">
        <v>127</v>
      </c>
      <c r="I48" s="5" t="s">
        <v>606</v>
      </c>
      <c r="J48" s="5" t="s">
        <v>2507</v>
      </c>
      <c r="K48" s="5" t="s">
        <v>2509</v>
      </c>
      <c r="L48" s="5" t="s">
        <v>2504</v>
      </c>
      <c r="M48" s="113">
        <v>7462686.5671641789</v>
      </c>
      <c r="N48" s="113">
        <v>1194029.8507462686</v>
      </c>
      <c r="O48" s="5" t="s">
        <v>2510</v>
      </c>
      <c r="P48" s="113">
        <v>423431</v>
      </c>
      <c r="Q48" s="113">
        <v>862686.56716417905</v>
      </c>
      <c r="R48" s="113">
        <v>933589</v>
      </c>
      <c r="S48" s="113">
        <v>933589</v>
      </c>
      <c r="T48" s="117">
        <v>7.9</v>
      </c>
    </row>
    <row r="49" spans="1:20">
      <c r="A49">
        <f t="shared" si="0"/>
        <v>48</v>
      </c>
      <c r="B49" s="112" t="s">
        <v>2538</v>
      </c>
      <c r="C49" s="5" t="s">
        <v>1265</v>
      </c>
      <c r="D49" s="39" t="s">
        <v>2539</v>
      </c>
      <c r="E49" s="4">
        <v>2017</v>
      </c>
      <c r="F49" s="4" t="s">
        <v>44</v>
      </c>
      <c r="G49" s="56" t="s">
        <v>1896</v>
      </c>
      <c r="H49" s="5" t="s">
        <v>1405</v>
      </c>
      <c r="I49" s="5" t="s">
        <v>606</v>
      </c>
      <c r="J49" s="5" t="s">
        <v>2540</v>
      </c>
      <c r="K49" s="5" t="s">
        <v>2501</v>
      </c>
      <c r="L49" s="5" t="s">
        <v>2504</v>
      </c>
      <c r="M49" s="113">
        <v>4477611</v>
      </c>
      <c r="N49" s="113">
        <v>1492537</v>
      </c>
      <c r="O49" s="5" t="s">
        <v>2504</v>
      </c>
      <c r="P49" s="113">
        <v>2210000</v>
      </c>
      <c r="Q49" s="113">
        <v>3383582</v>
      </c>
      <c r="R49" s="113">
        <v>3667477</v>
      </c>
      <c r="S49" s="113">
        <v>3667477</v>
      </c>
      <c r="T49" s="114">
        <v>7.9</v>
      </c>
    </row>
    <row r="50" spans="1:20">
      <c r="A50">
        <f t="shared" si="0"/>
        <v>49</v>
      </c>
      <c r="B50" s="112" t="s">
        <v>2211</v>
      </c>
      <c r="C50" s="5" t="s">
        <v>419</v>
      </c>
      <c r="D50" s="39" t="s">
        <v>2212</v>
      </c>
      <c r="E50" s="4">
        <v>2018</v>
      </c>
      <c r="F50" s="4" t="s">
        <v>44</v>
      </c>
      <c r="G50" s="56" t="s">
        <v>2209</v>
      </c>
      <c r="H50" s="5" t="s">
        <v>1405</v>
      </c>
      <c r="I50" s="5" t="s">
        <v>606</v>
      </c>
      <c r="J50" s="5" t="s">
        <v>2213</v>
      </c>
      <c r="K50" s="39" t="s">
        <v>2216</v>
      </c>
      <c r="L50" s="39" t="s">
        <v>2210</v>
      </c>
      <c r="M50" s="113">
        <v>4477611</v>
      </c>
      <c r="N50" s="113">
        <v>2238805</v>
      </c>
      <c r="O50" s="39" t="s">
        <v>1585</v>
      </c>
      <c r="P50" s="113">
        <v>49372</v>
      </c>
      <c r="Q50" s="113">
        <v>4843283</v>
      </c>
      <c r="R50" s="113">
        <v>5504562</v>
      </c>
      <c r="S50" s="113">
        <v>5504562</v>
      </c>
      <c r="T50" s="114">
        <v>8.5</v>
      </c>
    </row>
    <row r="51" spans="1:20">
      <c r="A51">
        <f t="shared" si="0"/>
        <v>50</v>
      </c>
      <c r="B51" s="112" t="s">
        <v>2028</v>
      </c>
      <c r="C51" s="5" t="s">
        <v>412</v>
      </c>
      <c r="D51" s="5" t="s">
        <v>412</v>
      </c>
      <c r="E51" s="4">
        <v>2018</v>
      </c>
      <c r="F51" s="4" t="s">
        <v>44</v>
      </c>
      <c r="G51" s="4" t="s">
        <v>813</v>
      </c>
      <c r="H51" s="5" t="s">
        <v>129</v>
      </c>
      <c r="I51" s="5" t="s">
        <v>606</v>
      </c>
      <c r="J51" s="5" t="s">
        <v>2029</v>
      </c>
      <c r="K51" s="5" t="s">
        <v>2030</v>
      </c>
      <c r="L51" s="5" t="s">
        <v>861</v>
      </c>
      <c r="M51" s="113">
        <v>17910447</v>
      </c>
      <c r="N51" s="113">
        <v>2985074</v>
      </c>
      <c r="O51" s="5" t="s">
        <v>861</v>
      </c>
      <c r="P51" s="113">
        <v>6183665</v>
      </c>
      <c r="Q51" s="113">
        <v>7029850</v>
      </c>
      <c r="R51" s="113">
        <v>7835554</v>
      </c>
      <c r="S51" s="113">
        <v>7835554</v>
      </c>
      <c r="T51" s="114">
        <v>8.9</v>
      </c>
    </row>
    <row r="52" spans="1:20">
      <c r="A52">
        <f t="shared" si="0"/>
        <v>51</v>
      </c>
      <c r="B52" s="112" t="s">
        <v>2561</v>
      </c>
      <c r="C52" s="5" t="s">
        <v>1279</v>
      </c>
      <c r="D52" s="5" t="s">
        <v>1279</v>
      </c>
      <c r="E52" s="4">
        <v>2017</v>
      </c>
      <c r="F52" s="4" t="s">
        <v>44</v>
      </c>
      <c r="G52" s="4" t="s">
        <v>2309</v>
      </c>
      <c r="H52" s="5" t="s">
        <v>136</v>
      </c>
      <c r="I52" s="5" t="s">
        <v>606</v>
      </c>
      <c r="J52" s="5" t="s">
        <v>2562</v>
      </c>
      <c r="K52" s="5" t="s">
        <v>2564</v>
      </c>
      <c r="L52" s="5" t="s">
        <v>2560</v>
      </c>
      <c r="M52" s="113">
        <v>11940298</v>
      </c>
      <c r="N52" s="113">
        <v>8955223</v>
      </c>
      <c r="O52" s="27" t="s">
        <v>2560</v>
      </c>
      <c r="P52" s="113">
        <v>46732917</v>
      </c>
      <c r="Q52" s="113">
        <v>308507462</v>
      </c>
      <c r="R52" s="113">
        <v>334536622</v>
      </c>
      <c r="S52" s="113">
        <v>334536622</v>
      </c>
      <c r="T52" s="114">
        <v>7.7</v>
      </c>
    </row>
    <row r="53" spans="1:20">
      <c r="A53">
        <f t="shared" si="0"/>
        <v>52</v>
      </c>
      <c r="B53" s="112" t="s">
        <v>2723</v>
      </c>
      <c r="C53" s="5" t="s">
        <v>1347</v>
      </c>
      <c r="D53" s="5" t="s">
        <v>2724</v>
      </c>
      <c r="E53" s="4">
        <v>2017</v>
      </c>
      <c r="F53" s="4" t="s">
        <v>44</v>
      </c>
      <c r="G53" s="56" t="s">
        <v>2721</v>
      </c>
      <c r="H53" s="5" t="s">
        <v>129</v>
      </c>
      <c r="I53" s="5" t="s">
        <v>606</v>
      </c>
      <c r="J53" s="5" t="s">
        <v>2283</v>
      </c>
      <c r="K53" s="5" t="s">
        <v>2726</v>
      </c>
      <c r="L53" s="5" t="s">
        <v>2722</v>
      </c>
      <c r="M53" s="113">
        <v>14925373</v>
      </c>
      <c r="N53" s="113">
        <v>4477611</v>
      </c>
      <c r="O53" s="5" t="s">
        <v>2722</v>
      </c>
      <c r="P53" s="113">
        <v>24270000</v>
      </c>
      <c r="Q53" s="113">
        <v>43134328</v>
      </c>
      <c r="R53" s="113">
        <v>45698504</v>
      </c>
      <c r="S53" s="113">
        <v>45698504</v>
      </c>
      <c r="T53" s="114">
        <v>6.7</v>
      </c>
    </row>
    <row r="54" spans="1:20">
      <c r="A54">
        <f t="shared" si="0"/>
        <v>53</v>
      </c>
      <c r="B54" s="112" t="s">
        <v>2251</v>
      </c>
      <c r="C54" s="5" t="s">
        <v>387</v>
      </c>
      <c r="D54" s="5" t="s">
        <v>2252</v>
      </c>
      <c r="E54" s="4">
        <v>2018</v>
      </c>
      <c r="F54" s="4" t="s">
        <v>44</v>
      </c>
      <c r="G54" s="4" t="s">
        <v>2250</v>
      </c>
      <c r="H54" s="5" t="s">
        <v>127</v>
      </c>
      <c r="I54" s="5" t="s">
        <v>606</v>
      </c>
      <c r="J54" s="5" t="s">
        <v>2253</v>
      </c>
      <c r="K54" s="5" t="s">
        <v>2253</v>
      </c>
      <c r="L54" s="5" t="s">
        <v>1446</v>
      </c>
      <c r="M54" s="113">
        <v>4477611</v>
      </c>
      <c r="N54" s="113">
        <v>2238805</v>
      </c>
      <c r="O54" s="5" t="s">
        <v>1970</v>
      </c>
      <c r="P54" s="113">
        <v>10070000</v>
      </c>
      <c r="Q54" s="113">
        <v>2761194</v>
      </c>
      <c r="R54" s="113">
        <v>30355804</v>
      </c>
      <c r="S54" s="113">
        <v>30355804</v>
      </c>
      <c r="T54" s="114">
        <v>8.4</v>
      </c>
    </row>
    <row r="55" spans="1:20">
      <c r="A55">
        <f t="shared" si="0"/>
        <v>54</v>
      </c>
      <c r="B55" s="112" t="s">
        <v>2490</v>
      </c>
      <c r="C55" s="5" t="s">
        <v>1232</v>
      </c>
      <c r="D55" s="5" t="s">
        <v>2491</v>
      </c>
      <c r="E55" s="4">
        <v>2017</v>
      </c>
      <c r="F55" s="4" t="s">
        <v>44</v>
      </c>
      <c r="G55" s="56" t="s">
        <v>2488</v>
      </c>
      <c r="H55" s="5" t="s">
        <v>1405</v>
      </c>
      <c r="I55" s="5" t="s">
        <v>606</v>
      </c>
      <c r="J55" s="5" t="s">
        <v>2492</v>
      </c>
      <c r="K55" s="5" t="s">
        <v>2494</v>
      </c>
      <c r="L55" s="5" t="s">
        <v>2489</v>
      </c>
      <c r="M55" s="113">
        <v>4477611</v>
      </c>
      <c r="N55" s="113">
        <v>1492537</v>
      </c>
      <c r="O55" s="5" t="s">
        <v>2495</v>
      </c>
      <c r="P55" s="113">
        <v>1420000</v>
      </c>
      <c r="Q55" s="113">
        <v>3697014</v>
      </c>
      <c r="R55" s="113">
        <v>3957193</v>
      </c>
      <c r="S55" s="113">
        <v>3957193</v>
      </c>
      <c r="T55" s="114">
        <v>8</v>
      </c>
    </row>
    <row r="56" spans="1:20">
      <c r="A56">
        <f t="shared" si="0"/>
        <v>55</v>
      </c>
      <c r="B56" s="112" t="s">
        <v>2236</v>
      </c>
      <c r="C56" s="5" t="s">
        <v>422</v>
      </c>
      <c r="D56" s="5" t="s">
        <v>2237</v>
      </c>
      <c r="E56" s="4">
        <v>2018</v>
      </c>
      <c r="F56" s="4" t="s">
        <v>44</v>
      </c>
      <c r="G56" s="4" t="s">
        <v>2235</v>
      </c>
      <c r="H56" s="5" t="s">
        <v>1405</v>
      </c>
      <c r="I56" s="5" t="s">
        <v>606</v>
      </c>
      <c r="J56" s="5" t="s">
        <v>1973</v>
      </c>
      <c r="K56" s="5" t="s">
        <v>2239</v>
      </c>
      <c r="L56" s="5" t="s">
        <v>1444</v>
      </c>
      <c r="M56" s="113">
        <v>5970149</v>
      </c>
      <c r="N56" s="113">
        <v>2238805</v>
      </c>
      <c r="O56" s="5" t="s">
        <v>2241</v>
      </c>
      <c r="P56" s="113">
        <v>1320000</v>
      </c>
      <c r="Q56" s="113">
        <v>4349253</v>
      </c>
      <c r="R56" s="113">
        <v>4778869</v>
      </c>
      <c r="S56" s="113">
        <v>4778869</v>
      </c>
      <c r="T56" s="114">
        <v>8.5</v>
      </c>
    </row>
    <row r="57" spans="1:20">
      <c r="A57">
        <f t="shared" si="0"/>
        <v>56</v>
      </c>
      <c r="B57" s="112" t="s">
        <v>2406</v>
      </c>
      <c r="C57" s="5" t="s">
        <v>1163</v>
      </c>
      <c r="D57" s="5" t="s">
        <v>2407</v>
      </c>
      <c r="E57" s="4">
        <v>2018</v>
      </c>
      <c r="F57" s="4" t="s">
        <v>44</v>
      </c>
      <c r="G57" s="4" t="s">
        <v>2064</v>
      </c>
      <c r="H57" s="5" t="s">
        <v>127</v>
      </c>
      <c r="I57" s="5" t="s">
        <v>602</v>
      </c>
      <c r="J57" s="5" t="s">
        <v>2408</v>
      </c>
      <c r="K57" s="5" t="s">
        <v>1744</v>
      </c>
      <c r="L57" s="5" t="s">
        <v>2405</v>
      </c>
      <c r="M57" s="113">
        <v>2985074</v>
      </c>
      <c r="N57" s="113">
        <v>1194029</v>
      </c>
      <c r="O57" s="5" t="s">
        <v>1746</v>
      </c>
      <c r="P57" s="113">
        <v>153225</v>
      </c>
      <c r="Q57" s="113">
        <v>10079104</v>
      </c>
      <c r="R57" s="113">
        <v>11264408</v>
      </c>
      <c r="S57" s="113">
        <v>11264408</v>
      </c>
      <c r="T57" s="114">
        <v>8.1999999999999993</v>
      </c>
    </row>
    <row r="58" spans="1:20">
      <c r="A58">
        <f t="shared" si="0"/>
        <v>57</v>
      </c>
      <c r="B58" s="112" t="s">
        <v>2417</v>
      </c>
      <c r="C58" s="5" t="s">
        <v>409</v>
      </c>
      <c r="D58" s="5" t="s">
        <v>2418</v>
      </c>
      <c r="E58" s="4">
        <v>2018</v>
      </c>
      <c r="F58" s="4" t="s">
        <v>44</v>
      </c>
      <c r="G58" s="4" t="s">
        <v>2397</v>
      </c>
      <c r="H58" s="5" t="s">
        <v>129</v>
      </c>
      <c r="I58" s="5" t="s">
        <v>606</v>
      </c>
      <c r="J58" s="5" t="s">
        <v>2328</v>
      </c>
      <c r="K58" s="5" t="s">
        <v>2420</v>
      </c>
      <c r="L58" s="5" t="s">
        <v>2276</v>
      </c>
      <c r="M58" s="113">
        <v>14925373</v>
      </c>
      <c r="N58" s="113">
        <v>5522388</v>
      </c>
      <c r="O58" s="5" t="s">
        <v>1488</v>
      </c>
      <c r="P58" s="113">
        <v>6465642</v>
      </c>
      <c r="Q58" s="113">
        <v>8992537</v>
      </c>
      <c r="R58" s="113">
        <v>10079961</v>
      </c>
      <c r="S58" s="113">
        <v>10079961</v>
      </c>
      <c r="T58" s="114">
        <v>8.1</v>
      </c>
    </row>
    <row r="59" spans="1:20">
      <c r="A59">
        <f t="shared" si="0"/>
        <v>58</v>
      </c>
      <c r="B59" s="112" t="s">
        <v>2217</v>
      </c>
      <c r="C59" s="5" t="s">
        <v>135</v>
      </c>
      <c r="D59" s="5" t="s">
        <v>2218</v>
      </c>
      <c r="E59" s="4">
        <v>2019</v>
      </c>
      <c r="F59" s="4" t="s">
        <v>44</v>
      </c>
      <c r="G59" s="4" t="s">
        <v>604</v>
      </c>
      <c r="H59" s="5" t="s">
        <v>136</v>
      </c>
      <c r="I59" s="5" t="s">
        <v>606</v>
      </c>
      <c r="J59" s="5" t="s">
        <v>2219</v>
      </c>
      <c r="K59" s="5" t="s">
        <v>2221</v>
      </c>
      <c r="L59" s="5" t="s">
        <v>1441</v>
      </c>
      <c r="M59" s="113">
        <v>60000000</v>
      </c>
      <c r="N59" s="113">
        <v>35000000</v>
      </c>
      <c r="O59" s="5" t="s">
        <v>2222</v>
      </c>
      <c r="P59" s="113">
        <v>77099702</v>
      </c>
      <c r="Q59" s="113">
        <v>328507643</v>
      </c>
      <c r="R59" s="113">
        <v>326150303</v>
      </c>
      <c r="S59" s="113">
        <v>326150303</v>
      </c>
      <c r="T59" s="114">
        <v>8.5</v>
      </c>
    </row>
    <row r="60" spans="1:20">
      <c r="A60">
        <f t="shared" si="0"/>
        <v>59</v>
      </c>
      <c r="B60" s="112" t="s">
        <v>2017</v>
      </c>
      <c r="C60" s="5" t="s">
        <v>858</v>
      </c>
      <c r="D60" s="5" t="s">
        <v>2018</v>
      </c>
      <c r="E60" s="4">
        <v>2018</v>
      </c>
      <c r="F60" s="4" t="s">
        <v>44</v>
      </c>
      <c r="G60" s="4" t="s">
        <v>857</v>
      </c>
      <c r="H60" s="5" t="s">
        <v>129</v>
      </c>
      <c r="I60" s="5" t="s">
        <v>606</v>
      </c>
      <c r="J60" s="5" t="s">
        <v>1656</v>
      </c>
      <c r="K60" s="5" t="s">
        <v>2020</v>
      </c>
      <c r="L60" s="5" t="s">
        <v>1419</v>
      </c>
      <c r="M60" s="113">
        <v>14925373.134328358</v>
      </c>
      <c r="N60" s="113">
        <v>4477611.940298507</v>
      </c>
      <c r="O60" s="5" t="s">
        <v>1991</v>
      </c>
      <c r="P60" s="115">
        <v>179845</v>
      </c>
      <c r="Q60" s="113">
        <v>21940298.507462688</v>
      </c>
      <c r="R60" s="113">
        <v>22682660</v>
      </c>
      <c r="S60" s="113">
        <v>22682660</v>
      </c>
      <c r="T60" s="114">
        <v>9</v>
      </c>
    </row>
    <row r="61" spans="1:20">
      <c r="A61">
        <f t="shared" si="0"/>
        <v>60</v>
      </c>
      <c r="B61" s="112" t="s">
        <v>2186</v>
      </c>
      <c r="C61" s="5" t="s">
        <v>463</v>
      </c>
      <c r="D61" s="5" t="s">
        <v>2187</v>
      </c>
      <c r="E61" s="4">
        <v>2018</v>
      </c>
      <c r="F61" s="4" t="s">
        <v>44</v>
      </c>
      <c r="G61" s="56" t="s">
        <v>832</v>
      </c>
      <c r="H61" s="5" t="s">
        <v>131</v>
      </c>
      <c r="I61" s="39" t="s">
        <v>606</v>
      </c>
      <c r="J61" s="5" t="s">
        <v>2188</v>
      </c>
      <c r="K61" s="5" t="s">
        <v>2190</v>
      </c>
      <c r="L61" s="5" t="s">
        <v>1438</v>
      </c>
      <c r="M61" s="113">
        <v>5970149.253731343</v>
      </c>
      <c r="N61" s="113">
        <v>1492537.3134328357</v>
      </c>
      <c r="O61" s="5" t="s">
        <v>2191</v>
      </c>
      <c r="P61" s="113">
        <v>458375</v>
      </c>
      <c r="Q61" s="113">
        <v>579104.47761194024</v>
      </c>
      <c r="R61" s="113">
        <v>630896</v>
      </c>
      <c r="S61" s="113">
        <v>630896</v>
      </c>
      <c r="T61" s="114">
        <v>8.6</v>
      </c>
    </row>
    <row r="62" spans="1:20">
      <c r="A62">
        <f t="shared" si="0"/>
        <v>61</v>
      </c>
      <c r="B62" s="112" t="s">
        <v>2567</v>
      </c>
      <c r="C62" s="5" t="s">
        <v>1282</v>
      </c>
      <c r="D62" s="5" t="s">
        <v>2568</v>
      </c>
      <c r="E62" s="4">
        <v>2017</v>
      </c>
      <c r="F62" s="4" t="s">
        <v>44</v>
      </c>
      <c r="G62" s="56" t="s">
        <v>874</v>
      </c>
      <c r="H62" s="5" t="s">
        <v>129</v>
      </c>
      <c r="I62" s="5" t="s">
        <v>602</v>
      </c>
      <c r="J62" s="5" t="s">
        <v>2569</v>
      </c>
      <c r="K62" s="5" t="s">
        <v>2571</v>
      </c>
      <c r="L62" s="5" t="s">
        <v>1658</v>
      </c>
      <c r="M62" s="113">
        <v>29850746</v>
      </c>
      <c r="N62" s="113">
        <v>7462686</v>
      </c>
      <c r="O62" s="5" t="s">
        <v>2572</v>
      </c>
      <c r="P62" s="113">
        <v>11150837</v>
      </c>
      <c r="Q62" s="113">
        <v>14925373</v>
      </c>
      <c r="R62" s="113">
        <v>18339343</v>
      </c>
      <c r="S62" s="113">
        <v>18339343</v>
      </c>
      <c r="T62" s="114">
        <v>7.7</v>
      </c>
    </row>
    <row r="63" spans="1:20">
      <c r="A63">
        <f t="shared" si="0"/>
        <v>62</v>
      </c>
      <c r="B63" s="112" t="s">
        <v>2679</v>
      </c>
      <c r="C63" s="5" t="s">
        <v>1327</v>
      </c>
      <c r="D63" s="5" t="s">
        <v>2680</v>
      </c>
      <c r="E63" s="4">
        <v>2017</v>
      </c>
      <c r="F63" s="4" t="s">
        <v>44</v>
      </c>
      <c r="G63" s="56" t="s">
        <v>1084</v>
      </c>
      <c r="H63" s="5" t="s">
        <v>129</v>
      </c>
      <c r="I63" s="5" t="s">
        <v>606</v>
      </c>
      <c r="J63" s="39" t="s">
        <v>2681</v>
      </c>
      <c r="K63" s="5" t="s">
        <v>3043</v>
      </c>
      <c r="L63" s="5" t="s">
        <v>1658</v>
      </c>
      <c r="M63" s="113">
        <v>29850746</v>
      </c>
      <c r="N63" s="113">
        <v>8955223</v>
      </c>
      <c r="O63" s="5" t="s">
        <v>2684</v>
      </c>
      <c r="P63" s="113">
        <v>12995928</v>
      </c>
      <c r="Q63" s="113">
        <v>45970149</v>
      </c>
      <c r="R63" s="113">
        <v>48069252</v>
      </c>
      <c r="S63" s="113">
        <v>48069252</v>
      </c>
      <c r="T63" s="114">
        <v>7.1</v>
      </c>
    </row>
    <row r="64" spans="1:20">
      <c r="A64">
        <f t="shared" si="0"/>
        <v>63</v>
      </c>
      <c r="B64" s="112" t="s">
        <v>2616</v>
      </c>
      <c r="C64" s="5" t="s">
        <v>1302</v>
      </c>
      <c r="D64" s="5" t="s">
        <v>2617</v>
      </c>
      <c r="E64" s="4">
        <v>2017</v>
      </c>
      <c r="F64" s="4" t="s">
        <v>44</v>
      </c>
      <c r="G64" s="56" t="s">
        <v>2615</v>
      </c>
      <c r="H64" s="5" t="s">
        <v>131</v>
      </c>
      <c r="I64" s="5" t="s">
        <v>606</v>
      </c>
      <c r="J64" s="5" t="s">
        <v>2618</v>
      </c>
      <c r="K64" s="5" t="s">
        <v>2620</v>
      </c>
      <c r="L64" s="5" t="s">
        <v>1658</v>
      </c>
      <c r="M64" s="113">
        <v>1492537</v>
      </c>
      <c r="N64" s="113">
        <v>746268</v>
      </c>
      <c r="O64" s="5" t="s">
        <v>1658</v>
      </c>
      <c r="P64" s="113">
        <v>5090000</v>
      </c>
      <c r="Q64" s="113">
        <v>15970149</v>
      </c>
      <c r="R64" s="113">
        <v>16444489</v>
      </c>
      <c r="S64" s="113">
        <v>16444489</v>
      </c>
      <c r="T64" s="114">
        <v>7.5</v>
      </c>
    </row>
    <row r="65" spans="1:20">
      <c r="A65">
        <f t="shared" si="0"/>
        <v>64</v>
      </c>
      <c r="B65" s="112" t="s">
        <v>2462</v>
      </c>
      <c r="C65" s="18" t="s">
        <v>1215</v>
      </c>
      <c r="D65" s="5" t="s">
        <v>2463</v>
      </c>
      <c r="E65" s="17">
        <v>2017</v>
      </c>
      <c r="F65" s="4" t="s">
        <v>44</v>
      </c>
      <c r="G65" s="56" t="s">
        <v>2461</v>
      </c>
      <c r="H65" s="18" t="s">
        <v>1404</v>
      </c>
      <c r="I65" s="5" t="s">
        <v>606</v>
      </c>
      <c r="J65" s="5" t="s">
        <v>1647</v>
      </c>
      <c r="K65" s="5" t="s">
        <v>2464</v>
      </c>
      <c r="L65" s="5" t="s">
        <v>1658</v>
      </c>
      <c r="M65" s="119">
        <v>7462686.5671641789</v>
      </c>
      <c r="N65" s="119">
        <v>2985074.6268656715</v>
      </c>
      <c r="O65" s="5" t="s">
        <v>2465</v>
      </c>
      <c r="P65" s="113">
        <v>5690000</v>
      </c>
      <c r="Q65" s="113">
        <v>7680860.5341246286</v>
      </c>
      <c r="R65" s="119">
        <v>8595808</v>
      </c>
      <c r="S65" s="119">
        <v>8595808</v>
      </c>
      <c r="T65" s="114">
        <v>8</v>
      </c>
    </row>
    <row r="66" spans="1:20">
      <c r="A66">
        <f t="shared" si="0"/>
        <v>65</v>
      </c>
      <c r="B66" s="112" t="s">
        <v>2665</v>
      </c>
      <c r="C66" s="5" t="s">
        <v>1325</v>
      </c>
      <c r="D66" s="5" t="s">
        <v>2666</v>
      </c>
      <c r="E66" s="4">
        <v>2017</v>
      </c>
      <c r="F66" s="4" t="s">
        <v>44</v>
      </c>
      <c r="G66" s="56" t="s">
        <v>2663</v>
      </c>
      <c r="H66" s="5" t="s">
        <v>129</v>
      </c>
      <c r="I66" s="5" t="s">
        <v>606</v>
      </c>
      <c r="J66" s="5" t="s">
        <v>1891</v>
      </c>
      <c r="K66" s="5" t="s">
        <v>2669</v>
      </c>
      <c r="L66" s="5" t="s">
        <v>2664</v>
      </c>
      <c r="M66" s="113">
        <v>4477611.940298507</v>
      </c>
      <c r="N66" s="113">
        <v>1492537.3134328357</v>
      </c>
      <c r="O66" s="5" t="s">
        <v>2670</v>
      </c>
      <c r="P66" s="113">
        <v>2820000</v>
      </c>
      <c r="Q66" s="113">
        <v>4612835.8208955219</v>
      </c>
      <c r="R66" s="113">
        <v>5029820</v>
      </c>
      <c r="S66" s="113">
        <v>5029820</v>
      </c>
      <c r="T66" s="114">
        <v>7.2</v>
      </c>
    </row>
    <row r="67" spans="1:20">
      <c r="A67">
        <f t="shared" si="0"/>
        <v>66</v>
      </c>
      <c r="B67" s="112" t="s">
        <v>2711</v>
      </c>
      <c r="C67" s="5" t="s">
        <v>418</v>
      </c>
      <c r="D67" s="5" t="s">
        <v>2712</v>
      </c>
      <c r="E67" s="4">
        <v>2018</v>
      </c>
      <c r="F67" s="4" t="s">
        <v>44</v>
      </c>
      <c r="G67" s="4" t="s">
        <v>2710</v>
      </c>
      <c r="H67" s="5" t="s">
        <v>136</v>
      </c>
      <c r="I67" s="5" t="s">
        <v>606</v>
      </c>
      <c r="J67" s="5" t="s">
        <v>2170</v>
      </c>
      <c r="K67" s="5" t="s">
        <v>2714</v>
      </c>
      <c r="L67" s="5" t="s">
        <v>2664</v>
      </c>
      <c r="M67" s="113">
        <v>7462686</v>
      </c>
      <c r="N67" s="113">
        <v>1492537</v>
      </c>
      <c r="O67" s="5" t="s">
        <v>2670</v>
      </c>
      <c r="P67" s="113">
        <v>82699</v>
      </c>
      <c r="Q67" s="113">
        <v>5125373</v>
      </c>
      <c r="R67" s="113">
        <v>5748970</v>
      </c>
      <c r="S67" s="113">
        <v>5748970</v>
      </c>
      <c r="T67" s="114">
        <v>6.9</v>
      </c>
    </row>
    <row r="68" spans="1:20">
      <c r="A68">
        <f t="shared" ref="A68:A112" si="1">A67+1</f>
        <v>67</v>
      </c>
      <c r="B68" s="112" t="s">
        <v>2036</v>
      </c>
      <c r="C68" s="5" t="s">
        <v>864</v>
      </c>
      <c r="D68" s="5" t="s">
        <v>2037</v>
      </c>
      <c r="E68" s="4">
        <v>2018</v>
      </c>
      <c r="F68" s="4" t="s">
        <v>44</v>
      </c>
      <c r="G68" s="4" t="s">
        <v>863</v>
      </c>
      <c r="H68" s="5" t="s">
        <v>131</v>
      </c>
      <c r="I68" s="5" t="s">
        <v>606</v>
      </c>
      <c r="J68" s="5" t="s">
        <v>2031</v>
      </c>
      <c r="K68" s="5" t="s">
        <v>2039</v>
      </c>
      <c r="L68" s="5" t="s">
        <v>596</v>
      </c>
      <c r="M68" s="113">
        <v>746268</v>
      </c>
      <c r="N68" s="113">
        <v>447761</v>
      </c>
      <c r="O68" s="5" t="s">
        <v>1991</v>
      </c>
      <c r="P68" s="113">
        <v>1920000</v>
      </c>
      <c r="Q68" s="113">
        <v>3065671</v>
      </c>
      <c r="R68" s="113">
        <v>3375245</v>
      </c>
      <c r="S68" s="113">
        <v>3375245</v>
      </c>
      <c r="T68" s="114">
        <v>8.9</v>
      </c>
    </row>
    <row r="69" spans="1:20">
      <c r="A69">
        <f t="shared" si="1"/>
        <v>68</v>
      </c>
      <c r="B69" s="112" t="s">
        <v>2687</v>
      </c>
      <c r="C69" s="5" t="s">
        <v>1332</v>
      </c>
      <c r="D69" s="5" t="s">
        <v>2688</v>
      </c>
      <c r="E69" s="4">
        <v>2017</v>
      </c>
      <c r="F69" s="4" t="s">
        <v>44</v>
      </c>
      <c r="G69" s="56" t="s">
        <v>2685</v>
      </c>
      <c r="H69" s="5" t="s">
        <v>131</v>
      </c>
      <c r="I69" s="5" t="s">
        <v>606</v>
      </c>
      <c r="J69" s="5" t="s">
        <v>2019</v>
      </c>
      <c r="K69" s="5" t="s">
        <v>2690</v>
      </c>
      <c r="L69" s="5" t="s">
        <v>2686</v>
      </c>
      <c r="M69" s="113">
        <v>7462686.5671641789</v>
      </c>
      <c r="N69" s="113">
        <v>1492537.3134328357</v>
      </c>
      <c r="O69" s="5" t="s">
        <v>2691</v>
      </c>
      <c r="P69" s="113">
        <v>3308567</v>
      </c>
      <c r="Q69" s="113">
        <v>3793283.5820895522</v>
      </c>
      <c r="R69" s="113">
        <v>4964366</v>
      </c>
      <c r="S69" s="113">
        <v>4964366</v>
      </c>
      <c r="T69" s="114">
        <v>7.1</v>
      </c>
    </row>
    <row r="70" spans="1:20">
      <c r="A70">
        <f t="shared" si="1"/>
        <v>69</v>
      </c>
      <c r="B70" s="112" t="s">
        <v>1960</v>
      </c>
      <c r="C70" s="5" t="s">
        <v>362</v>
      </c>
      <c r="D70" s="5" t="s">
        <v>1961</v>
      </c>
      <c r="E70" s="4">
        <v>2018</v>
      </c>
      <c r="F70" s="4" t="s">
        <v>44</v>
      </c>
      <c r="G70" s="4" t="s">
        <v>811</v>
      </c>
      <c r="H70" s="5" t="s">
        <v>127</v>
      </c>
      <c r="I70" s="5" t="s">
        <v>606</v>
      </c>
      <c r="J70" s="5" t="s">
        <v>1962</v>
      </c>
      <c r="K70" s="5" t="s">
        <v>1964</v>
      </c>
      <c r="L70" s="5" t="s">
        <v>764</v>
      </c>
      <c r="M70" s="113">
        <v>89552238</v>
      </c>
      <c r="N70" s="113">
        <v>22388059</v>
      </c>
      <c r="O70" s="5" t="s">
        <v>1965</v>
      </c>
      <c r="P70" s="113">
        <v>341834</v>
      </c>
      <c r="Q70" s="113">
        <v>316567164</v>
      </c>
      <c r="R70" s="113">
        <v>360977662</v>
      </c>
      <c r="S70" s="113">
        <v>361683815</v>
      </c>
      <c r="T70" s="114">
        <v>9.1999999999999993</v>
      </c>
    </row>
    <row r="71" spans="1:20">
      <c r="A71">
        <f t="shared" si="1"/>
        <v>70</v>
      </c>
      <c r="B71" s="112" t="s">
        <v>2517</v>
      </c>
      <c r="C71" s="5" t="s">
        <v>430</v>
      </c>
      <c r="D71" s="5" t="s">
        <v>2518</v>
      </c>
      <c r="E71" s="4">
        <v>2017</v>
      </c>
      <c r="F71" s="4" t="s">
        <v>44</v>
      </c>
      <c r="G71" s="4" t="s">
        <v>2515</v>
      </c>
      <c r="H71" s="5" t="s">
        <v>136</v>
      </c>
      <c r="I71" s="5" t="s">
        <v>606</v>
      </c>
      <c r="J71" s="5" t="s">
        <v>2253</v>
      </c>
      <c r="K71" s="5" t="s">
        <v>2520</v>
      </c>
      <c r="L71" s="5" t="s">
        <v>2516</v>
      </c>
      <c r="M71" s="113">
        <v>4477611.940298507</v>
      </c>
      <c r="N71" s="113">
        <v>1194029.8507462686</v>
      </c>
      <c r="O71" s="5" t="s">
        <v>2521</v>
      </c>
      <c r="P71" s="113">
        <v>1790000</v>
      </c>
      <c r="Q71" s="113">
        <v>2498507.4626865671</v>
      </c>
      <c r="R71" s="113">
        <v>2814977</v>
      </c>
      <c r="S71" s="113">
        <v>2814977</v>
      </c>
      <c r="T71" s="114">
        <v>7.9</v>
      </c>
    </row>
    <row r="72" spans="1:20">
      <c r="A72">
        <f t="shared" si="1"/>
        <v>71</v>
      </c>
      <c r="B72" s="112" t="s">
        <v>2511</v>
      </c>
      <c r="C72" s="5" t="s">
        <v>427</v>
      </c>
      <c r="D72" s="5" t="s">
        <v>2512</v>
      </c>
      <c r="E72" s="4">
        <v>2017</v>
      </c>
      <c r="F72" s="4" t="s">
        <v>44</v>
      </c>
      <c r="G72" s="4" t="s">
        <v>865</v>
      </c>
      <c r="H72" s="5" t="s">
        <v>1405</v>
      </c>
      <c r="I72" s="5" t="s">
        <v>606</v>
      </c>
      <c r="J72" s="5" t="s">
        <v>2513</v>
      </c>
      <c r="K72" s="5" t="s">
        <v>2513</v>
      </c>
      <c r="L72" s="39" t="s">
        <v>1501</v>
      </c>
      <c r="M72" s="113">
        <v>4477611.940298507</v>
      </c>
      <c r="N72" s="113">
        <v>1194029.8507462686</v>
      </c>
      <c r="O72" s="5" t="s">
        <v>2514</v>
      </c>
      <c r="P72" s="113">
        <v>2080000</v>
      </c>
      <c r="Q72" s="113">
        <v>2689552.2388059702</v>
      </c>
      <c r="R72" s="113">
        <v>3026917</v>
      </c>
      <c r="S72" s="113">
        <v>3026917</v>
      </c>
      <c r="T72" s="114">
        <v>7.9</v>
      </c>
    </row>
    <row r="73" spans="1:20">
      <c r="A73">
        <f t="shared" si="1"/>
        <v>72</v>
      </c>
      <c r="B73" s="112" t="s">
        <v>2623</v>
      </c>
      <c r="C73" s="5" t="s">
        <v>1303</v>
      </c>
      <c r="D73" s="5" t="s">
        <v>2624</v>
      </c>
      <c r="E73" s="4">
        <v>2017</v>
      </c>
      <c r="F73" s="4" t="s">
        <v>44</v>
      </c>
      <c r="G73" s="46" t="s">
        <v>2621</v>
      </c>
      <c r="H73" s="5" t="s">
        <v>131</v>
      </c>
      <c r="I73" s="5" t="s">
        <v>606</v>
      </c>
      <c r="J73" s="5" t="s">
        <v>1905</v>
      </c>
      <c r="K73" s="5" t="s">
        <v>2626</v>
      </c>
      <c r="L73" s="39" t="s">
        <v>2622</v>
      </c>
      <c r="M73" s="113">
        <v>11940298.5</v>
      </c>
      <c r="N73" s="113">
        <v>295074.63</v>
      </c>
      <c r="O73" s="39" t="s">
        <v>2627</v>
      </c>
      <c r="P73" s="115">
        <v>7450000</v>
      </c>
      <c r="Q73" s="113">
        <v>11088059.699999999</v>
      </c>
      <c r="R73" s="113">
        <v>11170000</v>
      </c>
      <c r="S73" s="113">
        <v>11170000</v>
      </c>
      <c r="T73" s="114">
        <v>7.5</v>
      </c>
    </row>
    <row r="74" spans="1:20">
      <c r="A74">
        <f t="shared" si="1"/>
        <v>73</v>
      </c>
      <c r="B74" s="112" t="s">
        <v>2716</v>
      </c>
      <c r="C74" s="5" t="s">
        <v>1342</v>
      </c>
      <c r="D74" s="5" t="s">
        <v>1342</v>
      </c>
      <c r="E74" s="4">
        <v>2017</v>
      </c>
      <c r="F74" s="4" t="s">
        <v>44</v>
      </c>
      <c r="G74" s="56" t="s">
        <v>2022</v>
      </c>
      <c r="H74" s="5" t="s">
        <v>129</v>
      </c>
      <c r="I74" s="5" t="s">
        <v>606</v>
      </c>
      <c r="J74" s="5" t="s">
        <v>2717</v>
      </c>
      <c r="K74" s="5" t="s">
        <v>2719</v>
      </c>
      <c r="L74" s="5" t="s">
        <v>2715</v>
      </c>
      <c r="M74" s="113">
        <v>7462686.5671641789</v>
      </c>
      <c r="N74" s="113">
        <v>2238805.9701492535</v>
      </c>
      <c r="O74" s="5" t="s">
        <v>2720</v>
      </c>
      <c r="P74" s="113">
        <v>1530000</v>
      </c>
      <c r="Q74" s="113">
        <v>4193731.343283582</v>
      </c>
      <c r="R74" s="113">
        <v>4433919</v>
      </c>
      <c r="S74" s="113">
        <v>4433919</v>
      </c>
      <c r="T74" s="116">
        <v>6.8</v>
      </c>
    </row>
    <row r="75" spans="1:20">
      <c r="A75">
        <f t="shared" si="1"/>
        <v>74</v>
      </c>
      <c r="B75" s="112" t="s">
        <v>2192</v>
      </c>
      <c r="C75" s="5" t="s">
        <v>137</v>
      </c>
      <c r="D75" s="5" t="s">
        <v>2193</v>
      </c>
      <c r="E75" s="4">
        <v>2018</v>
      </c>
      <c r="F75" s="4" t="s">
        <v>44</v>
      </c>
      <c r="G75" s="56" t="s">
        <v>604</v>
      </c>
      <c r="H75" s="5" t="s">
        <v>136</v>
      </c>
      <c r="I75" s="5" t="s">
        <v>606</v>
      </c>
      <c r="J75" s="5" t="s">
        <v>1974</v>
      </c>
      <c r="K75" s="5" t="s">
        <v>2195</v>
      </c>
      <c r="L75" s="5" t="s">
        <v>1431</v>
      </c>
      <c r="M75" s="113">
        <v>53000000</v>
      </c>
      <c r="N75" s="113">
        <v>12000000</v>
      </c>
      <c r="O75" s="5" t="s">
        <v>2196</v>
      </c>
      <c r="P75" s="113">
        <v>194917</v>
      </c>
      <c r="Q75" s="113">
        <v>256119403</v>
      </c>
      <c r="R75" s="113">
        <v>255832826</v>
      </c>
      <c r="S75" s="113">
        <v>255832826</v>
      </c>
      <c r="T75" s="114">
        <v>8.5</v>
      </c>
    </row>
    <row r="76" spans="1:20">
      <c r="A76">
        <f t="shared" si="1"/>
        <v>75</v>
      </c>
      <c r="B76" s="112" t="s">
        <v>2149</v>
      </c>
      <c r="C76" s="5" t="s">
        <v>420</v>
      </c>
      <c r="D76" s="5" t="s">
        <v>2150</v>
      </c>
      <c r="E76" s="4">
        <v>2018</v>
      </c>
      <c r="F76" s="4" t="s">
        <v>44</v>
      </c>
      <c r="G76" s="4" t="s">
        <v>2148</v>
      </c>
      <c r="H76" s="5" t="s">
        <v>1404</v>
      </c>
      <c r="I76" s="39" t="s">
        <v>606</v>
      </c>
      <c r="J76" s="5" t="s">
        <v>1860</v>
      </c>
      <c r="K76" s="5" t="s">
        <v>1860</v>
      </c>
      <c r="L76" s="5" t="s">
        <v>1431</v>
      </c>
      <c r="M76" s="113">
        <v>19402985</v>
      </c>
      <c r="N76" s="113">
        <v>2238805</v>
      </c>
      <c r="O76" s="5" t="s">
        <v>2152</v>
      </c>
      <c r="P76" s="113">
        <v>2817583</v>
      </c>
      <c r="Q76" s="113">
        <v>4902985</v>
      </c>
      <c r="R76" s="113">
        <v>5483241</v>
      </c>
      <c r="S76" s="113">
        <v>5483241</v>
      </c>
      <c r="T76" s="114">
        <v>8.6</v>
      </c>
    </row>
    <row r="77" spans="1:20">
      <c r="A77">
        <f t="shared" si="1"/>
        <v>76</v>
      </c>
      <c r="B77" s="112" t="s">
        <v>2527</v>
      </c>
      <c r="C77" s="18" t="s">
        <v>1256</v>
      </c>
      <c r="D77" s="5" t="s">
        <v>3044</v>
      </c>
      <c r="E77" s="17">
        <v>2017</v>
      </c>
      <c r="F77" s="4" t="s">
        <v>44</v>
      </c>
      <c r="G77" s="17" t="s">
        <v>1066</v>
      </c>
      <c r="H77" s="18" t="s">
        <v>127</v>
      </c>
      <c r="I77" s="5" t="s">
        <v>606</v>
      </c>
      <c r="J77" s="5" t="s">
        <v>2528</v>
      </c>
      <c r="K77" s="5" t="s">
        <v>2530</v>
      </c>
      <c r="L77" s="5" t="s">
        <v>2526</v>
      </c>
      <c r="M77" s="119">
        <v>1492537.3134328357</v>
      </c>
      <c r="N77" s="119">
        <v>746268.65671641787</v>
      </c>
      <c r="O77" s="5" t="s">
        <v>2531</v>
      </c>
      <c r="P77" s="113">
        <v>590000</v>
      </c>
      <c r="Q77" s="113">
        <v>6065074.626865671</v>
      </c>
      <c r="R77" s="119">
        <v>6000000</v>
      </c>
      <c r="S77" s="119">
        <v>6000000</v>
      </c>
      <c r="T77" s="114">
        <v>7.9</v>
      </c>
    </row>
    <row r="78" spans="1:20">
      <c r="A78">
        <f t="shared" si="1"/>
        <v>77</v>
      </c>
      <c r="B78" s="112" t="s">
        <v>2023</v>
      </c>
      <c r="C78" s="5" t="s">
        <v>860</v>
      </c>
      <c r="D78" s="5" t="s">
        <v>2024</v>
      </c>
      <c r="E78" s="4">
        <v>2018</v>
      </c>
      <c r="F78" s="4" t="s">
        <v>44</v>
      </c>
      <c r="G78" s="4" t="s">
        <v>2022</v>
      </c>
      <c r="H78" s="5" t="s">
        <v>129</v>
      </c>
      <c r="I78" s="5" t="s">
        <v>666</v>
      </c>
      <c r="J78" s="5" t="s">
        <v>2025</v>
      </c>
      <c r="K78" s="5" t="s">
        <v>2027</v>
      </c>
      <c r="L78" s="5" t="s">
        <v>1420</v>
      </c>
      <c r="M78" s="113">
        <v>29850746.268656716</v>
      </c>
      <c r="N78" s="113">
        <v>8955223.880597014</v>
      </c>
      <c r="O78" s="5" t="s">
        <v>1911</v>
      </c>
      <c r="P78" s="115">
        <v>42160000</v>
      </c>
      <c r="Q78" s="113">
        <v>97313432.835820898</v>
      </c>
      <c r="R78" s="113">
        <v>103651195</v>
      </c>
      <c r="S78" s="113">
        <v>103651195</v>
      </c>
      <c r="T78" s="114">
        <v>9</v>
      </c>
    </row>
    <row r="79" spans="1:20">
      <c r="A79">
        <f t="shared" si="1"/>
        <v>78</v>
      </c>
      <c r="B79" s="112" t="s">
        <v>2729</v>
      </c>
      <c r="C79" s="5" t="s">
        <v>1351</v>
      </c>
      <c r="D79" s="5" t="s">
        <v>1351</v>
      </c>
      <c r="E79" s="4">
        <v>2017</v>
      </c>
      <c r="F79" s="4" t="s">
        <v>45</v>
      </c>
      <c r="G79" s="56" t="s">
        <v>2603</v>
      </c>
      <c r="H79" s="5" t="s">
        <v>127</v>
      </c>
      <c r="I79" s="5" t="s">
        <v>606</v>
      </c>
      <c r="J79" s="5" t="s">
        <v>1646</v>
      </c>
      <c r="K79" s="5" t="s">
        <v>2731</v>
      </c>
      <c r="L79" s="5" t="s">
        <v>1437</v>
      </c>
      <c r="M79" s="113">
        <v>10447761.194029851</v>
      </c>
      <c r="N79" s="113">
        <v>2238805.9701492535</v>
      </c>
      <c r="O79" s="5" t="s">
        <v>2365</v>
      </c>
      <c r="P79" s="113">
        <v>4580967</v>
      </c>
      <c r="Q79" s="113">
        <v>6290746.2686567167</v>
      </c>
      <c r="R79" s="113">
        <v>6651494</v>
      </c>
      <c r="S79" s="113">
        <v>6651494</v>
      </c>
      <c r="T79" s="114">
        <v>6.7</v>
      </c>
    </row>
    <row r="80" spans="1:20">
      <c r="A80">
        <f t="shared" si="1"/>
        <v>79</v>
      </c>
      <c r="B80" s="112" t="s">
        <v>2323</v>
      </c>
      <c r="C80" s="5" t="s">
        <v>1069</v>
      </c>
      <c r="D80" s="5" t="s">
        <v>2324</v>
      </c>
      <c r="E80" s="4">
        <v>2017</v>
      </c>
      <c r="F80" s="4" t="s">
        <v>44</v>
      </c>
      <c r="G80" s="4" t="s">
        <v>1068</v>
      </c>
      <c r="H80" s="5" t="s">
        <v>129</v>
      </c>
      <c r="I80" s="5" t="s">
        <v>606</v>
      </c>
      <c r="J80" s="5" t="s">
        <v>2325</v>
      </c>
      <c r="K80" s="5" t="s">
        <v>2326</v>
      </c>
      <c r="L80" s="5" t="s">
        <v>641</v>
      </c>
      <c r="M80" s="113">
        <v>65671641</v>
      </c>
      <c r="N80" s="113">
        <v>11940298</v>
      </c>
      <c r="O80" s="5" t="s">
        <v>1948</v>
      </c>
      <c r="P80" s="113">
        <v>463883</v>
      </c>
      <c r="Q80" s="113">
        <v>233134328</v>
      </c>
      <c r="R80" s="113">
        <v>247924803</v>
      </c>
      <c r="S80" s="113">
        <v>248805149</v>
      </c>
      <c r="T80" s="116">
        <v>8.4</v>
      </c>
    </row>
    <row r="81" spans="1:20">
      <c r="A81">
        <f t="shared" si="1"/>
        <v>80</v>
      </c>
      <c r="B81" s="112" t="s">
        <v>2310</v>
      </c>
      <c r="C81" s="5" t="s">
        <v>1060</v>
      </c>
      <c r="D81" s="5" t="s">
        <v>1060</v>
      </c>
      <c r="E81" s="4">
        <v>2017</v>
      </c>
      <c r="F81" s="4" t="s">
        <v>44</v>
      </c>
      <c r="G81" s="4" t="s">
        <v>2309</v>
      </c>
      <c r="H81" s="5" t="s">
        <v>129</v>
      </c>
      <c r="I81" s="5" t="s">
        <v>602</v>
      </c>
      <c r="J81" s="5" t="s">
        <v>2008</v>
      </c>
      <c r="K81" s="5" t="s">
        <v>2311</v>
      </c>
      <c r="L81" s="5" t="s">
        <v>609</v>
      </c>
      <c r="M81" s="113">
        <v>29850746.268656716</v>
      </c>
      <c r="N81" s="113">
        <v>8955223.880597014</v>
      </c>
      <c r="O81" s="5" t="s">
        <v>2312</v>
      </c>
      <c r="P81" s="113">
        <v>13113024</v>
      </c>
      <c r="Q81" s="113">
        <v>76567164.179104477</v>
      </c>
      <c r="R81" s="113">
        <v>106389853</v>
      </c>
      <c r="S81" s="113">
        <v>140783360</v>
      </c>
      <c r="T81" s="114">
        <v>8.4</v>
      </c>
    </row>
    <row r="82" spans="1:20">
      <c r="A82">
        <f t="shared" si="1"/>
        <v>81</v>
      </c>
      <c r="B82" s="112" t="s">
        <v>2319</v>
      </c>
      <c r="C82" s="5" t="s">
        <v>8</v>
      </c>
      <c r="D82" s="5" t="s">
        <v>2320</v>
      </c>
      <c r="E82" s="4">
        <v>2017</v>
      </c>
      <c r="F82" s="4" t="s">
        <v>44</v>
      </c>
      <c r="G82" s="4" t="s">
        <v>1066</v>
      </c>
      <c r="H82" s="5" t="s">
        <v>129</v>
      </c>
      <c r="I82" s="5" t="s">
        <v>606</v>
      </c>
      <c r="J82" s="5" t="s">
        <v>2321</v>
      </c>
      <c r="K82" s="5" t="s">
        <v>2321</v>
      </c>
      <c r="L82" s="5" t="s">
        <v>1067</v>
      </c>
      <c r="M82" s="113">
        <v>29850746.300000001</v>
      </c>
      <c r="N82" s="113">
        <v>14925373.1</v>
      </c>
      <c r="O82" s="5" t="s">
        <v>2322</v>
      </c>
      <c r="P82" s="113">
        <v>219022</v>
      </c>
      <c r="Q82" s="113">
        <v>792537313</v>
      </c>
      <c r="R82" s="113">
        <v>832753071</v>
      </c>
      <c r="S82" s="113">
        <v>835474171</v>
      </c>
      <c r="T82" s="114">
        <v>8.4</v>
      </c>
    </row>
    <row r="83" spans="1:20">
      <c r="A83">
        <f t="shared" si="1"/>
        <v>82</v>
      </c>
      <c r="B83" s="112" t="s">
        <v>2591</v>
      </c>
      <c r="C83" s="5" t="s">
        <v>1291</v>
      </c>
      <c r="D83" s="39" t="s">
        <v>2592</v>
      </c>
      <c r="E83" s="4">
        <v>2017</v>
      </c>
      <c r="F83" s="4" t="s">
        <v>44</v>
      </c>
      <c r="G83" s="56" t="s">
        <v>2022</v>
      </c>
      <c r="H83" s="5" t="s">
        <v>127</v>
      </c>
      <c r="I83" s="5" t="s">
        <v>606</v>
      </c>
      <c r="J83" s="5" t="s">
        <v>2593</v>
      </c>
      <c r="K83" s="5" t="s">
        <v>2596</v>
      </c>
      <c r="L83" s="5" t="s">
        <v>1428</v>
      </c>
      <c r="M83" s="113">
        <v>2238805.9700000002</v>
      </c>
      <c r="N83" s="113">
        <v>1492537.31</v>
      </c>
      <c r="O83" s="5" t="s">
        <v>1449</v>
      </c>
      <c r="P83" s="113">
        <v>3780000</v>
      </c>
      <c r="Q83" s="113">
        <v>12307164.199999999</v>
      </c>
      <c r="R83" s="113">
        <v>13006233</v>
      </c>
      <c r="S83" s="113">
        <v>13006233</v>
      </c>
      <c r="T83" s="114">
        <v>7.6</v>
      </c>
    </row>
    <row r="84" spans="1:20">
      <c r="A84">
        <f t="shared" si="1"/>
        <v>83</v>
      </c>
      <c r="B84" s="112" t="s">
        <v>2574</v>
      </c>
      <c r="C84" s="5" t="s">
        <v>1283</v>
      </c>
      <c r="D84" s="5" t="s">
        <v>1283</v>
      </c>
      <c r="E84" s="4">
        <v>2017</v>
      </c>
      <c r="F84" s="4" t="s">
        <v>44</v>
      </c>
      <c r="G84" s="56" t="s">
        <v>2573</v>
      </c>
      <c r="H84" s="5" t="s">
        <v>136</v>
      </c>
      <c r="I84" s="5" t="s">
        <v>1398</v>
      </c>
      <c r="J84" s="5" t="s">
        <v>2169</v>
      </c>
      <c r="K84" s="5" t="s">
        <v>2169</v>
      </c>
      <c r="L84" s="5" t="s">
        <v>1428</v>
      </c>
      <c r="M84" s="113">
        <v>5970149.253731343</v>
      </c>
      <c r="N84" s="113">
        <v>1492537.3134328357</v>
      </c>
      <c r="O84" s="5" t="s">
        <v>2575</v>
      </c>
      <c r="P84" s="113">
        <v>2741992</v>
      </c>
      <c r="Q84" s="113">
        <v>4578059.7014925368</v>
      </c>
      <c r="R84" s="113">
        <v>4681992</v>
      </c>
      <c r="S84" s="113">
        <v>4681992</v>
      </c>
      <c r="T84" s="114">
        <v>7.7</v>
      </c>
    </row>
    <row r="85" spans="1:20">
      <c r="A85">
        <f t="shared" si="1"/>
        <v>84</v>
      </c>
      <c r="B85" s="112" t="s">
        <v>2120</v>
      </c>
      <c r="C85" s="5" t="s">
        <v>363</v>
      </c>
      <c r="D85" s="5" t="s">
        <v>2121</v>
      </c>
      <c r="E85" s="4">
        <v>2018</v>
      </c>
      <c r="F85" s="4" t="s">
        <v>44</v>
      </c>
      <c r="G85" s="56" t="s">
        <v>825</v>
      </c>
      <c r="H85" s="5" t="s">
        <v>1405</v>
      </c>
      <c r="I85" s="39" t="s">
        <v>606</v>
      </c>
      <c r="J85" s="5" t="s">
        <v>1963</v>
      </c>
      <c r="K85" s="5" t="s">
        <v>2123</v>
      </c>
      <c r="L85" s="5" t="s">
        <v>1428</v>
      </c>
      <c r="M85" s="113">
        <v>11940298</v>
      </c>
      <c r="N85" s="113">
        <v>8955223</v>
      </c>
      <c r="O85" s="5" t="s">
        <v>1420</v>
      </c>
      <c r="P85" s="113">
        <v>88210000</v>
      </c>
      <c r="Q85" s="113">
        <v>189104477</v>
      </c>
      <c r="R85" s="113">
        <v>209221328</v>
      </c>
      <c r="S85" s="113">
        <v>209221328</v>
      </c>
      <c r="T85" s="114">
        <v>8.6</v>
      </c>
    </row>
    <row r="86" spans="1:20">
      <c r="A86">
        <f t="shared" si="1"/>
        <v>85</v>
      </c>
      <c r="B86" s="112" t="s">
        <v>2636</v>
      </c>
      <c r="C86" s="5" t="s">
        <v>1311</v>
      </c>
      <c r="D86" s="5" t="s">
        <v>2637</v>
      </c>
      <c r="E86" s="4">
        <v>2017</v>
      </c>
      <c r="F86" s="4" t="s">
        <v>44</v>
      </c>
      <c r="G86" s="56" t="s">
        <v>2635</v>
      </c>
      <c r="H86" s="5" t="s">
        <v>191</v>
      </c>
      <c r="I86" s="5" t="s">
        <v>597</v>
      </c>
      <c r="J86" s="5" t="s">
        <v>2638</v>
      </c>
      <c r="K86" s="5" t="s">
        <v>2639</v>
      </c>
      <c r="L86" s="5" t="s">
        <v>1428</v>
      </c>
      <c r="M86" s="113">
        <v>1492537.3134328357</v>
      </c>
      <c r="N86" s="113">
        <v>1492537.3134328357</v>
      </c>
      <c r="O86" s="5" t="s">
        <v>2640</v>
      </c>
      <c r="P86" s="113">
        <v>62577</v>
      </c>
      <c r="Q86" s="113">
        <v>4591194.0298507465</v>
      </c>
      <c r="R86" s="113">
        <v>4886088</v>
      </c>
      <c r="S86" s="113">
        <v>4886088</v>
      </c>
      <c r="T86" s="114">
        <v>7.4</v>
      </c>
    </row>
    <row r="87" spans="1:20">
      <c r="A87">
        <f t="shared" si="1"/>
        <v>86</v>
      </c>
      <c r="B87" s="112" t="s">
        <v>2587</v>
      </c>
      <c r="C87" s="5" t="s">
        <v>1289</v>
      </c>
      <c r="D87" s="5" t="s">
        <v>2588</v>
      </c>
      <c r="E87" s="4">
        <v>2017</v>
      </c>
      <c r="F87" s="4" t="s">
        <v>44</v>
      </c>
      <c r="G87" s="56" t="s">
        <v>1093</v>
      </c>
      <c r="H87" s="5" t="s">
        <v>136</v>
      </c>
      <c r="I87" s="5" t="s">
        <v>606</v>
      </c>
      <c r="J87" s="5" t="s">
        <v>2589</v>
      </c>
      <c r="K87" s="5" t="s">
        <v>2589</v>
      </c>
      <c r="L87" s="5" t="s">
        <v>1428</v>
      </c>
      <c r="M87" s="113">
        <v>13333333</v>
      </c>
      <c r="N87" s="113">
        <v>7462686</v>
      </c>
      <c r="O87" s="5" t="s">
        <v>2590</v>
      </c>
      <c r="P87" s="115">
        <v>772788</v>
      </c>
      <c r="Q87" s="113">
        <v>14217910</v>
      </c>
      <c r="R87" s="113">
        <v>14897163</v>
      </c>
      <c r="S87" s="113">
        <v>14897163</v>
      </c>
      <c r="T87" s="114">
        <v>7.6</v>
      </c>
    </row>
    <row r="88" spans="1:20">
      <c r="A88">
        <f t="shared" si="1"/>
        <v>87</v>
      </c>
      <c r="B88" s="112" t="s">
        <v>2450</v>
      </c>
      <c r="C88" s="5" t="s">
        <v>1204</v>
      </c>
      <c r="D88" s="5" t="s">
        <v>1204</v>
      </c>
      <c r="E88" s="4">
        <v>2017</v>
      </c>
      <c r="F88" s="4" t="s">
        <v>44</v>
      </c>
      <c r="G88" s="4" t="s">
        <v>1126</v>
      </c>
      <c r="H88" s="5" t="s">
        <v>127</v>
      </c>
      <c r="I88" s="5" t="s">
        <v>606</v>
      </c>
      <c r="J88" s="5" t="s">
        <v>2451</v>
      </c>
      <c r="K88" s="5" t="s">
        <v>2453</v>
      </c>
      <c r="L88" s="5" t="s">
        <v>2449</v>
      </c>
      <c r="M88" s="113">
        <v>4477611.940298507</v>
      </c>
      <c r="N88" s="113">
        <v>1194029.8507462686</v>
      </c>
      <c r="O88" s="5" t="s">
        <v>2454</v>
      </c>
      <c r="P88" s="113">
        <v>570000</v>
      </c>
      <c r="Q88" s="113">
        <v>7264776.1194029851</v>
      </c>
      <c r="R88" s="113">
        <v>1110000</v>
      </c>
      <c r="S88" s="113">
        <v>1110000</v>
      </c>
      <c r="T88" s="114">
        <v>8.1</v>
      </c>
    </row>
    <row r="89" spans="1:20">
      <c r="A89">
        <f t="shared" si="1"/>
        <v>88</v>
      </c>
      <c r="B89" s="112" t="s">
        <v>2000</v>
      </c>
      <c r="C89" s="5" t="s">
        <v>849</v>
      </c>
      <c r="D89" s="5" t="s">
        <v>2001</v>
      </c>
      <c r="E89" s="4">
        <v>2018</v>
      </c>
      <c r="F89" s="4" t="s">
        <v>44</v>
      </c>
      <c r="G89" s="4" t="s">
        <v>848</v>
      </c>
      <c r="H89" s="5" t="s">
        <v>131</v>
      </c>
      <c r="I89" s="5" t="s">
        <v>606</v>
      </c>
      <c r="J89" s="5" t="s">
        <v>2002</v>
      </c>
      <c r="K89" s="5" t="s">
        <v>2003</v>
      </c>
      <c r="L89" s="5" t="s">
        <v>653</v>
      </c>
      <c r="M89" s="113">
        <v>11940298</v>
      </c>
      <c r="N89" s="113">
        <v>2985074</v>
      </c>
      <c r="O89" s="5" t="s">
        <v>2004</v>
      </c>
      <c r="P89" s="113">
        <v>1519978</v>
      </c>
      <c r="Q89" s="113">
        <v>2483582</v>
      </c>
      <c r="R89" s="113">
        <v>2669935</v>
      </c>
      <c r="S89" s="113">
        <v>2669935</v>
      </c>
      <c r="T89" s="114">
        <v>9</v>
      </c>
    </row>
    <row r="90" spans="1:20">
      <c r="A90">
        <f t="shared" si="1"/>
        <v>89</v>
      </c>
      <c r="B90" s="112" t="s">
        <v>3045</v>
      </c>
      <c r="C90" s="5" t="s">
        <v>633</v>
      </c>
      <c r="D90" s="5" t="s">
        <v>633</v>
      </c>
      <c r="E90" s="4">
        <v>2019</v>
      </c>
      <c r="F90" s="4" t="s">
        <v>44</v>
      </c>
      <c r="G90" s="4" t="s">
        <v>1559</v>
      </c>
      <c r="H90" s="5" t="s">
        <v>127</v>
      </c>
      <c r="I90" s="5" t="s">
        <v>606</v>
      </c>
      <c r="J90" s="5" t="s">
        <v>1561</v>
      </c>
      <c r="K90" s="5" t="s">
        <v>1563</v>
      </c>
      <c r="L90" s="5" t="s">
        <v>634</v>
      </c>
      <c r="M90" s="113">
        <v>7462686.5671641789</v>
      </c>
      <c r="N90" s="113">
        <v>4477611.940298507</v>
      </c>
      <c r="O90" s="5" t="s">
        <v>1564</v>
      </c>
      <c r="P90" s="113">
        <v>59300000</v>
      </c>
      <c r="Q90" s="113">
        <v>72686567.164179102</v>
      </c>
      <c r="R90" s="113">
        <v>77072065</v>
      </c>
      <c r="S90" s="113">
        <v>77072065</v>
      </c>
      <c r="T90" s="114">
        <v>9.6999999999999993</v>
      </c>
    </row>
    <row r="91" spans="1:20">
      <c r="A91">
        <f t="shared" si="1"/>
        <v>90</v>
      </c>
      <c r="B91" s="112" t="s">
        <v>1944</v>
      </c>
      <c r="C91" s="5" t="s">
        <v>7</v>
      </c>
      <c r="D91" s="5" t="s">
        <v>1945</v>
      </c>
      <c r="E91" s="4">
        <v>2018</v>
      </c>
      <c r="F91" s="4" t="s">
        <v>44</v>
      </c>
      <c r="G91" s="4" t="s">
        <v>811</v>
      </c>
      <c r="H91" s="5" t="s">
        <v>129</v>
      </c>
      <c r="I91" s="5" t="s">
        <v>606</v>
      </c>
      <c r="J91" s="5" t="s">
        <v>1946</v>
      </c>
      <c r="K91" s="5" t="s">
        <v>1947</v>
      </c>
      <c r="L91" s="5" t="s">
        <v>812</v>
      </c>
      <c r="M91" s="113">
        <v>59701492</v>
      </c>
      <c r="N91" s="113">
        <v>22388059</v>
      </c>
      <c r="O91" s="5" t="s">
        <v>1948</v>
      </c>
      <c r="P91" s="113">
        <v>704047</v>
      </c>
      <c r="Q91" s="113">
        <v>475970149</v>
      </c>
      <c r="R91" s="113">
        <v>542084590</v>
      </c>
      <c r="S91" s="113">
        <v>544068574</v>
      </c>
      <c r="T91" s="114">
        <v>9.1999999999999993</v>
      </c>
    </row>
    <row r="92" spans="1:20">
      <c r="A92">
        <f t="shared" si="1"/>
        <v>91</v>
      </c>
      <c r="B92" s="112" t="s">
        <v>1987</v>
      </c>
      <c r="C92" s="5" t="s">
        <v>407</v>
      </c>
      <c r="D92" s="39" t="s">
        <v>1988</v>
      </c>
      <c r="E92" s="4">
        <v>2018</v>
      </c>
      <c r="F92" s="4" t="s">
        <v>44</v>
      </c>
      <c r="G92" s="4" t="s">
        <v>828</v>
      </c>
      <c r="H92" s="5" t="s">
        <v>136</v>
      </c>
      <c r="I92" s="5" t="s">
        <v>606</v>
      </c>
      <c r="J92" s="5" t="s">
        <v>1921</v>
      </c>
      <c r="K92" s="5" t="s">
        <v>1990</v>
      </c>
      <c r="L92" s="5" t="s">
        <v>601</v>
      </c>
      <c r="M92" s="113">
        <v>7462686</v>
      </c>
      <c r="N92" s="113">
        <v>2238805</v>
      </c>
      <c r="O92" s="5" t="s">
        <v>1991</v>
      </c>
      <c r="P92" s="115">
        <v>7740000</v>
      </c>
      <c r="Q92" s="113">
        <v>9061194</v>
      </c>
      <c r="R92" s="113">
        <v>10244720</v>
      </c>
      <c r="S92" s="113">
        <v>10281835</v>
      </c>
      <c r="T92" s="114">
        <v>9.1</v>
      </c>
    </row>
    <row r="93" spans="1:20">
      <c r="A93">
        <f t="shared" si="1"/>
        <v>92</v>
      </c>
      <c r="B93" s="112" t="s">
        <v>2355</v>
      </c>
      <c r="C93" s="5" t="s">
        <v>1085</v>
      </c>
      <c r="D93" s="5" t="s">
        <v>2356</v>
      </c>
      <c r="E93" s="4">
        <v>2017</v>
      </c>
      <c r="F93" s="4" t="s">
        <v>44</v>
      </c>
      <c r="G93" s="4" t="s">
        <v>1084</v>
      </c>
      <c r="H93" s="5" t="s">
        <v>3034</v>
      </c>
      <c r="I93" s="5" t="s">
        <v>606</v>
      </c>
      <c r="J93" s="5" t="s">
        <v>2357</v>
      </c>
      <c r="K93" s="5" t="s">
        <v>2357</v>
      </c>
      <c r="L93" s="5" t="s">
        <v>601</v>
      </c>
      <c r="M93" s="113">
        <v>10447761</v>
      </c>
      <c r="N93" s="113">
        <v>7462686</v>
      </c>
      <c r="O93" s="5" t="s">
        <v>2358</v>
      </c>
      <c r="P93" s="113">
        <v>115524</v>
      </c>
      <c r="Q93" s="113">
        <v>64328358</v>
      </c>
      <c r="R93" s="113">
        <v>68409784</v>
      </c>
      <c r="S93" s="113">
        <v>68722321</v>
      </c>
      <c r="T93" s="114">
        <v>8.4</v>
      </c>
    </row>
    <row r="94" spans="1:20">
      <c r="A94">
        <f t="shared" si="1"/>
        <v>93</v>
      </c>
      <c r="B94" s="112" t="s">
        <v>1949</v>
      </c>
      <c r="C94" s="5" t="s">
        <v>359</v>
      </c>
      <c r="D94" s="5" t="s">
        <v>1950</v>
      </c>
      <c r="E94" s="4">
        <v>2018</v>
      </c>
      <c r="F94" s="4" t="s">
        <v>44</v>
      </c>
      <c r="G94" s="4" t="s">
        <v>813</v>
      </c>
      <c r="H94" s="5" t="s">
        <v>129</v>
      </c>
      <c r="I94" s="5" t="s">
        <v>606</v>
      </c>
      <c r="J94" s="5" t="s">
        <v>1951</v>
      </c>
      <c r="K94" s="5" t="s">
        <v>1953</v>
      </c>
      <c r="L94" s="5" t="s">
        <v>601</v>
      </c>
      <c r="M94" s="113">
        <v>74626865.671641782</v>
      </c>
      <c r="N94" s="113">
        <v>11940298.507462686</v>
      </c>
      <c r="O94" s="5" t="s">
        <v>1954</v>
      </c>
      <c r="P94" s="113">
        <v>436059</v>
      </c>
      <c r="Q94" s="113">
        <v>510597014.92537314</v>
      </c>
      <c r="R94" s="113">
        <v>532057988</v>
      </c>
      <c r="S94" s="113">
        <v>533601535</v>
      </c>
      <c r="T94" s="114">
        <v>9.1999999999999993</v>
      </c>
    </row>
    <row r="95" spans="1:20">
      <c r="A95">
        <f t="shared" si="1"/>
        <v>94</v>
      </c>
      <c r="B95" s="112" t="s">
        <v>2351</v>
      </c>
      <c r="C95" s="5" t="s">
        <v>1083</v>
      </c>
      <c r="D95" s="5" t="s">
        <v>1083</v>
      </c>
      <c r="E95" s="4">
        <v>2017</v>
      </c>
      <c r="F95" s="4" t="s">
        <v>44</v>
      </c>
      <c r="G95" s="4" t="s">
        <v>1082</v>
      </c>
      <c r="H95" s="5" t="s">
        <v>136</v>
      </c>
      <c r="I95" s="5" t="s">
        <v>606</v>
      </c>
      <c r="J95" s="5" t="s">
        <v>2352</v>
      </c>
      <c r="K95" s="5" t="s">
        <v>2353</v>
      </c>
      <c r="L95" s="5" t="s">
        <v>601</v>
      </c>
      <c r="M95" s="113">
        <v>10447761.194029851</v>
      </c>
      <c r="N95" s="113">
        <v>5970149.253731343</v>
      </c>
      <c r="O95" s="5" t="s">
        <v>2354</v>
      </c>
      <c r="P95" s="113">
        <v>135252</v>
      </c>
      <c r="Q95" s="113">
        <v>29552238.805970147</v>
      </c>
      <c r="R95" s="113">
        <v>30658944</v>
      </c>
      <c r="S95" s="113">
        <v>30996614</v>
      </c>
      <c r="T95" s="114">
        <v>8.4</v>
      </c>
    </row>
    <row r="96" spans="1:20">
      <c r="A96">
        <f t="shared" si="1"/>
        <v>95</v>
      </c>
      <c r="B96" s="112" t="s">
        <v>2376</v>
      </c>
      <c r="C96" s="5" t="s">
        <v>1098</v>
      </c>
      <c r="D96" s="5" t="s">
        <v>2377</v>
      </c>
      <c r="E96" s="4">
        <v>2017</v>
      </c>
      <c r="F96" s="4" t="s">
        <v>44</v>
      </c>
      <c r="G96" s="4" t="s">
        <v>1097</v>
      </c>
      <c r="H96" s="5" t="s">
        <v>129</v>
      </c>
      <c r="I96" s="5" t="s">
        <v>606</v>
      </c>
      <c r="J96" s="5" t="s">
        <v>2378</v>
      </c>
      <c r="K96" s="5" t="s">
        <v>2380</v>
      </c>
      <c r="L96" s="5" t="s">
        <v>601</v>
      </c>
      <c r="M96" s="113">
        <v>14925373.134328358</v>
      </c>
      <c r="N96" s="113">
        <v>2985074.6268656715</v>
      </c>
      <c r="O96" s="5" t="s">
        <v>1954</v>
      </c>
      <c r="P96" s="113">
        <v>23912</v>
      </c>
      <c r="Q96" s="113">
        <v>9089402.9850746263</v>
      </c>
      <c r="R96" s="113">
        <v>9506524</v>
      </c>
      <c r="S96" s="113">
        <v>9560020</v>
      </c>
      <c r="T96" s="114">
        <v>8.3000000000000007</v>
      </c>
    </row>
    <row r="97" spans="1:20">
      <c r="A97">
        <f t="shared" si="1"/>
        <v>96</v>
      </c>
      <c r="B97" s="112" t="s">
        <v>2388</v>
      </c>
      <c r="C97" s="5" t="s">
        <v>1108</v>
      </c>
      <c r="D97" s="5" t="s">
        <v>2389</v>
      </c>
      <c r="E97" s="4">
        <v>2017</v>
      </c>
      <c r="F97" s="4" t="s">
        <v>44</v>
      </c>
      <c r="G97" s="4" t="s">
        <v>1107</v>
      </c>
      <c r="H97" s="5" t="s">
        <v>129</v>
      </c>
      <c r="I97" s="5" t="s">
        <v>606</v>
      </c>
      <c r="J97" s="5" t="s">
        <v>2289</v>
      </c>
      <c r="K97" s="5" t="s">
        <v>2390</v>
      </c>
      <c r="L97" s="5" t="s">
        <v>601</v>
      </c>
      <c r="M97" s="113">
        <v>17910447</v>
      </c>
      <c r="N97" s="113">
        <v>2985074</v>
      </c>
      <c r="O97" s="5" t="s">
        <v>2048</v>
      </c>
      <c r="P97" s="113">
        <v>5122</v>
      </c>
      <c r="Q97" s="113">
        <v>16119402</v>
      </c>
      <c r="R97" s="113">
        <v>17269548</v>
      </c>
      <c r="S97" s="113">
        <v>17283136</v>
      </c>
      <c r="T97" s="114">
        <v>8.1999999999999993</v>
      </c>
    </row>
    <row r="98" spans="1:20">
      <c r="A98">
        <f t="shared" si="1"/>
        <v>97</v>
      </c>
      <c r="B98" s="112" t="s">
        <v>2550</v>
      </c>
      <c r="C98" s="5" t="s">
        <v>1273</v>
      </c>
      <c r="D98" s="5" t="s">
        <v>2551</v>
      </c>
      <c r="E98" s="4">
        <v>2017</v>
      </c>
      <c r="F98" s="4" t="s">
        <v>44</v>
      </c>
      <c r="G98" s="4" t="s">
        <v>1272</v>
      </c>
      <c r="H98" s="5" t="s">
        <v>129</v>
      </c>
      <c r="I98" s="5" t="s">
        <v>606</v>
      </c>
      <c r="J98" s="5" t="s">
        <v>2507</v>
      </c>
      <c r="K98" s="5" t="s">
        <v>2552</v>
      </c>
      <c r="L98" s="5" t="s">
        <v>601</v>
      </c>
      <c r="M98" s="113">
        <v>14925373</v>
      </c>
      <c r="N98" s="113">
        <v>4477611</v>
      </c>
      <c r="O98" s="5" t="s">
        <v>2553</v>
      </c>
      <c r="P98" s="113">
        <v>5296</v>
      </c>
      <c r="Q98" s="113">
        <v>36716417</v>
      </c>
      <c r="R98" s="113">
        <v>39951588</v>
      </c>
      <c r="S98" s="113">
        <v>39965792</v>
      </c>
      <c r="T98" s="114">
        <v>7.8</v>
      </c>
    </row>
    <row r="99" spans="1:20">
      <c r="A99">
        <f t="shared" si="1"/>
        <v>98</v>
      </c>
      <c r="B99" s="112" t="s">
        <v>1966</v>
      </c>
      <c r="C99" s="5" t="s">
        <v>368</v>
      </c>
      <c r="D99" s="5" t="s">
        <v>1967</v>
      </c>
      <c r="E99" s="4">
        <v>2018</v>
      </c>
      <c r="F99" s="4" t="s">
        <v>44</v>
      </c>
      <c r="G99" s="4" t="s">
        <v>811</v>
      </c>
      <c r="H99" s="5" t="s">
        <v>129</v>
      </c>
      <c r="I99" s="5" t="s">
        <v>602</v>
      </c>
      <c r="J99" s="5" t="s">
        <v>1905</v>
      </c>
      <c r="K99" s="5" t="s">
        <v>1969</v>
      </c>
      <c r="L99" s="5" t="s">
        <v>601</v>
      </c>
      <c r="M99" s="113">
        <v>59701492</v>
      </c>
      <c r="N99" s="113">
        <v>8955223</v>
      </c>
      <c r="O99" s="5" t="s">
        <v>1970</v>
      </c>
      <c r="P99" s="113">
        <v>95577</v>
      </c>
      <c r="Q99" s="113">
        <v>102537313</v>
      </c>
      <c r="R99" s="113">
        <v>114902870</v>
      </c>
      <c r="S99" s="113">
        <v>115089944</v>
      </c>
      <c r="T99" s="114">
        <v>9.1999999999999993</v>
      </c>
    </row>
    <row r="100" spans="1:20">
      <c r="A100">
        <f t="shared" si="1"/>
        <v>99</v>
      </c>
      <c r="B100" s="112" t="s">
        <v>1971</v>
      </c>
      <c r="C100" s="5" t="s">
        <v>819</v>
      </c>
      <c r="D100" s="5" t="s">
        <v>1972</v>
      </c>
      <c r="E100" s="4">
        <v>2018</v>
      </c>
      <c r="F100" s="4" t="s">
        <v>44</v>
      </c>
      <c r="G100" s="4" t="s">
        <v>818</v>
      </c>
      <c r="H100" s="5" t="s">
        <v>136</v>
      </c>
      <c r="I100" s="5" t="s">
        <v>606</v>
      </c>
      <c r="J100" s="5" t="s">
        <v>1973</v>
      </c>
      <c r="K100" s="5" t="s">
        <v>1973</v>
      </c>
      <c r="L100" s="5" t="s">
        <v>601</v>
      </c>
      <c r="M100" s="113">
        <v>10447761</v>
      </c>
      <c r="N100" s="113">
        <v>5970149</v>
      </c>
      <c r="O100" s="5" t="s">
        <v>1975</v>
      </c>
      <c r="P100" s="113">
        <v>79180</v>
      </c>
      <c r="Q100" s="113">
        <v>50746268</v>
      </c>
      <c r="R100" s="113">
        <v>57442237</v>
      </c>
      <c r="S100" s="113">
        <v>57628372</v>
      </c>
      <c r="T100" s="114">
        <v>9.1</v>
      </c>
    </row>
    <row r="101" spans="1:20">
      <c r="A101">
        <f t="shared" si="1"/>
        <v>100</v>
      </c>
      <c r="B101" s="112" t="s">
        <v>2347</v>
      </c>
      <c r="C101" s="5" t="s">
        <v>1081</v>
      </c>
      <c r="D101" s="5" t="s">
        <v>2348</v>
      </c>
      <c r="E101" s="4">
        <v>2017</v>
      </c>
      <c r="F101" s="4" t="s">
        <v>44</v>
      </c>
      <c r="G101" s="4" t="s">
        <v>1080</v>
      </c>
      <c r="H101" s="5" t="s">
        <v>129</v>
      </c>
      <c r="I101" s="5" t="s">
        <v>606</v>
      </c>
      <c r="J101" s="5" t="s">
        <v>2008</v>
      </c>
      <c r="K101" s="5" t="s">
        <v>2349</v>
      </c>
      <c r="L101" s="5" t="s">
        <v>601</v>
      </c>
      <c r="M101" s="113">
        <v>59701492</v>
      </c>
      <c r="N101" s="113">
        <v>11940298</v>
      </c>
      <c r="O101" s="5" t="s">
        <v>2350</v>
      </c>
      <c r="P101" s="113">
        <v>111979</v>
      </c>
      <c r="Q101" s="119">
        <v>245373134</v>
      </c>
      <c r="R101" s="113">
        <v>255641470</v>
      </c>
      <c r="S101" s="113">
        <v>256004127</v>
      </c>
      <c r="T101" s="114">
        <v>8.4</v>
      </c>
    </row>
    <row r="102" spans="1:20">
      <c r="A102">
        <f t="shared" si="1"/>
        <v>101</v>
      </c>
      <c r="B102" s="112" t="s">
        <v>2361</v>
      </c>
      <c r="C102" s="5" t="s">
        <v>1090</v>
      </c>
      <c r="D102" s="5" t="s">
        <v>1090</v>
      </c>
      <c r="E102" s="4">
        <v>2017</v>
      </c>
      <c r="F102" s="4" t="s">
        <v>44</v>
      </c>
      <c r="G102" s="4" t="s">
        <v>1089</v>
      </c>
      <c r="H102" s="5" t="s">
        <v>1404</v>
      </c>
      <c r="I102" s="5" t="s">
        <v>606</v>
      </c>
      <c r="J102" s="5" t="s">
        <v>2362</v>
      </c>
      <c r="K102" s="5" t="s">
        <v>2364</v>
      </c>
      <c r="L102" s="5" t="s">
        <v>601</v>
      </c>
      <c r="M102" s="113">
        <v>11940298.507462686</v>
      </c>
      <c r="N102" s="113">
        <v>2985074.6268656715</v>
      </c>
      <c r="O102" s="5" t="s">
        <v>2365</v>
      </c>
      <c r="P102" s="115">
        <v>22180000</v>
      </c>
      <c r="Q102" s="113">
        <v>32686567.164179105</v>
      </c>
      <c r="R102" s="113">
        <v>36585148</v>
      </c>
      <c r="S102" s="113">
        <v>36801704</v>
      </c>
      <c r="T102" s="114">
        <v>8.3000000000000007</v>
      </c>
    </row>
    <row r="103" spans="1:20">
      <c r="A103">
        <f t="shared" si="1"/>
        <v>102</v>
      </c>
      <c r="B103" s="112" t="s">
        <v>1955</v>
      </c>
      <c r="C103" s="5" t="s">
        <v>365</v>
      </c>
      <c r="D103" s="5" t="s">
        <v>365</v>
      </c>
      <c r="E103" s="4">
        <v>2018</v>
      </c>
      <c r="F103" s="4" t="s">
        <v>44</v>
      </c>
      <c r="G103" s="4" t="s">
        <v>814</v>
      </c>
      <c r="H103" s="5" t="s">
        <v>3034</v>
      </c>
      <c r="I103" s="5" t="s">
        <v>1398</v>
      </c>
      <c r="J103" s="5" t="s">
        <v>1956</v>
      </c>
      <c r="K103" s="5" t="s">
        <v>1958</v>
      </c>
      <c r="L103" s="5" t="s">
        <v>601</v>
      </c>
      <c r="M103" s="113">
        <v>5970149</v>
      </c>
      <c r="N103" s="113">
        <v>3731343</v>
      </c>
      <c r="O103" s="5" t="s">
        <v>1959</v>
      </c>
      <c r="P103" s="113">
        <v>204733</v>
      </c>
      <c r="Q103" s="113">
        <v>124179104</v>
      </c>
      <c r="R103" s="113">
        <v>132903651</v>
      </c>
      <c r="S103" s="113">
        <v>133650584</v>
      </c>
      <c r="T103" s="114">
        <v>9.1999999999999993</v>
      </c>
    </row>
    <row r="104" spans="1:20">
      <c r="A104">
        <f t="shared" si="1"/>
        <v>103</v>
      </c>
      <c r="B104" s="112" t="s">
        <v>2370</v>
      </c>
      <c r="C104" s="5" t="s">
        <v>1096</v>
      </c>
      <c r="D104" s="5" t="s">
        <v>2371</v>
      </c>
      <c r="E104" s="4">
        <v>2017</v>
      </c>
      <c r="F104" s="4" t="s">
        <v>44</v>
      </c>
      <c r="G104" s="4" t="s">
        <v>1095</v>
      </c>
      <c r="H104" s="5" t="s">
        <v>129</v>
      </c>
      <c r="I104" s="5" t="s">
        <v>606</v>
      </c>
      <c r="J104" s="5" t="s">
        <v>2372</v>
      </c>
      <c r="K104" s="5" t="s">
        <v>2374</v>
      </c>
      <c r="L104" s="5" t="s">
        <v>601</v>
      </c>
      <c r="M104" s="113">
        <v>11940298</v>
      </c>
      <c r="N104" s="113">
        <v>4477611</v>
      </c>
      <c r="O104" s="5" t="s">
        <v>2375</v>
      </c>
      <c r="P104" s="113">
        <v>54276</v>
      </c>
      <c r="Q104" s="113">
        <v>16119402</v>
      </c>
      <c r="R104" s="113">
        <v>29836276</v>
      </c>
      <c r="S104" s="113">
        <v>29945246</v>
      </c>
      <c r="T104" s="114">
        <v>8.3000000000000007</v>
      </c>
    </row>
    <row r="105" spans="1:20">
      <c r="A105">
        <f t="shared" si="1"/>
        <v>104</v>
      </c>
      <c r="B105" s="112" t="s">
        <v>2340</v>
      </c>
      <c r="C105" s="5" t="s">
        <v>1075</v>
      </c>
      <c r="D105" s="5" t="s">
        <v>1075</v>
      </c>
      <c r="E105" s="4">
        <v>2017</v>
      </c>
      <c r="F105" s="4" t="s">
        <v>44</v>
      </c>
      <c r="G105" s="101" t="s">
        <v>2339</v>
      </c>
      <c r="H105" s="5" t="s">
        <v>131</v>
      </c>
      <c r="I105" s="5" t="s">
        <v>602</v>
      </c>
      <c r="J105" s="5" t="s">
        <v>2014</v>
      </c>
      <c r="K105" s="5" t="s">
        <v>2342</v>
      </c>
      <c r="L105" s="5" t="s">
        <v>601</v>
      </c>
      <c r="M105" s="113">
        <v>29850746.268656716</v>
      </c>
      <c r="N105" s="113">
        <v>14925373.134328358</v>
      </c>
      <c r="O105" s="5" t="s">
        <v>2344</v>
      </c>
      <c r="P105" s="113">
        <v>249933</v>
      </c>
      <c r="Q105" s="113">
        <v>74776119.402985066</v>
      </c>
      <c r="R105" s="113">
        <v>82406221</v>
      </c>
      <c r="S105" s="113">
        <v>82891949</v>
      </c>
      <c r="T105" s="114">
        <v>8.4</v>
      </c>
    </row>
    <row r="106" spans="1:20">
      <c r="A106">
        <f t="shared" si="1"/>
        <v>105</v>
      </c>
      <c r="B106" s="112" t="s">
        <v>1654</v>
      </c>
      <c r="C106" s="5" t="s">
        <v>57</v>
      </c>
      <c r="D106" s="5" t="s">
        <v>1655</v>
      </c>
      <c r="E106" s="4">
        <v>2019</v>
      </c>
      <c r="F106" s="4" t="s">
        <v>44</v>
      </c>
      <c r="G106" s="4" t="s">
        <v>1653</v>
      </c>
      <c r="H106" s="5" t="s">
        <v>131</v>
      </c>
      <c r="I106" s="5" t="s">
        <v>602</v>
      </c>
      <c r="J106" s="5" t="s">
        <v>1656</v>
      </c>
      <c r="K106" s="5" t="s">
        <v>1642</v>
      </c>
      <c r="L106" s="5" t="s">
        <v>1408</v>
      </c>
      <c r="M106" s="113">
        <v>44776119</v>
      </c>
      <c r="N106" s="113">
        <v>8955223</v>
      </c>
      <c r="O106" s="5" t="s">
        <v>1658</v>
      </c>
      <c r="P106" s="113">
        <v>39959722</v>
      </c>
      <c r="Q106" s="113">
        <v>74477611</v>
      </c>
      <c r="R106" s="113">
        <v>97033612</v>
      </c>
      <c r="S106" s="113">
        <v>97033612</v>
      </c>
      <c r="T106" s="114">
        <v>9.4</v>
      </c>
    </row>
    <row r="107" spans="1:20">
      <c r="A107">
        <f t="shared" si="1"/>
        <v>106</v>
      </c>
      <c r="B107" s="120" t="s">
        <v>1897</v>
      </c>
      <c r="C107" s="5" t="s">
        <v>776</v>
      </c>
      <c r="D107" s="39" t="s">
        <v>1898</v>
      </c>
      <c r="E107" s="4">
        <v>2019</v>
      </c>
      <c r="F107" s="4" t="s">
        <v>45</v>
      </c>
      <c r="G107" s="4" t="s">
        <v>1896</v>
      </c>
      <c r="H107" s="5" t="s">
        <v>129</v>
      </c>
      <c r="I107" s="5" t="s">
        <v>606</v>
      </c>
      <c r="J107" s="39" t="s">
        <v>1899</v>
      </c>
      <c r="K107" s="39" t="s">
        <v>1900</v>
      </c>
      <c r="L107" s="5" t="s">
        <v>1408</v>
      </c>
      <c r="M107" s="113">
        <v>11940298.5</v>
      </c>
      <c r="N107" s="113">
        <v>4477611.9400000004</v>
      </c>
      <c r="O107" s="5" t="s">
        <v>1901</v>
      </c>
      <c r="P107" s="115">
        <v>6830000</v>
      </c>
      <c r="Q107" s="113">
        <v>9498656.7200000007</v>
      </c>
      <c r="R107" s="113">
        <v>10217493</v>
      </c>
      <c r="S107" s="113">
        <v>10217493</v>
      </c>
      <c r="T107" s="114">
        <v>9.1999999999999993</v>
      </c>
    </row>
    <row r="108" spans="1:20">
      <c r="A108">
        <f t="shared" si="1"/>
        <v>107</v>
      </c>
      <c r="B108" s="112" t="s">
        <v>2041</v>
      </c>
      <c r="C108" s="5" t="s">
        <v>875</v>
      </c>
      <c r="D108" s="5" t="s">
        <v>2042</v>
      </c>
      <c r="E108" s="4">
        <v>2018</v>
      </c>
      <c r="F108" s="4" t="s">
        <v>44</v>
      </c>
      <c r="G108" s="4" t="s">
        <v>2040</v>
      </c>
      <c r="H108" s="5" t="s">
        <v>129</v>
      </c>
      <c r="I108" s="5" t="s">
        <v>606</v>
      </c>
      <c r="J108" s="5" t="s">
        <v>1646</v>
      </c>
      <c r="K108" s="5" t="s">
        <v>1879</v>
      </c>
      <c r="L108" s="5" t="s">
        <v>1408</v>
      </c>
      <c r="M108" s="113">
        <v>14925373</v>
      </c>
      <c r="N108" s="113">
        <v>7462686</v>
      </c>
      <c r="O108" s="5" t="s">
        <v>1888</v>
      </c>
      <c r="P108" s="113">
        <v>32200000</v>
      </c>
      <c r="Q108" s="113">
        <v>72537313</v>
      </c>
      <c r="R108" s="113">
        <v>79214896</v>
      </c>
      <c r="S108" s="113">
        <v>79214896</v>
      </c>
      <c r="T108" s="114">
        <v>8.9</v>
      </c>
    </row>
    <row r="109" spans="1:20">
      <c r="A109">
        <f t="shared" si="1"/>
        <v>108</v>
      </c>
      <c r="B109" s="112" t="s">
        <v>2604</v>
      </c>
      <c r="C109" s="5" t="s">
        <v>1294</v>
      </c>
      <c r="D109" s="5" t="s">
        <v>2605</v>
      </c>
      <c r="E109" s="4">
        <v>2017</v>
      </c>
      <c r="F109" s="4" t="s">
        <v>44</v>
      </c>
      <c r="G109" s="56" t="s">
        <v>2603</v>
      </c>
      <c r="H109" s="5" t="s">
        <v>3034</v>
      </c>
      <c r="I109" s="5" t="s">
        <v>606</v>
      </c>
      <c r="J109" s="5" t="s">
        <v>2357</v>
      </c>
      <c r="K109" s="5" t="s">
        <v>2607</v>
      </c>
      <c r="L109" s="5" t="s">
        <v>1410</v>
      </c>
      <c r="M109" s="113">
        <v>11940298</v>
      </c>
      <c r="N109" s="113">
        <v>2985074</v>
      </c>
      <c r="O109" s="5" t="s">
        <v>1948</v>
      </c>
      <c r="P109" s="113">
        <v>790000</v>
      </c>
      <c r="Q109" s="113">
        <v>26865671</v>
      </c>
      <c r="R109" s="113">
        <v>18764048</v>
      </c>
      <c r="S109" s="113">
        <v>18764048</v>
      </c>
      <c r="T109" s="114">
        <v>7.6</v>
      </c>
    </row>
    <row r="110" spans="1:20">
      <c r="A110">
        <f t="shared" si="1"/>
        <v>109</v>
      </c>
      <c r="B110" s="112" t="s">
        <v>2435</v>
      </c>
      <c r="C110" s="5" t="s">
        <v>446</v>
      </c>
      <c r="D110" s="5" t="s">
        <v>2436</v>
      </c>
      <c r="E110" s="4">
        <v>2017</v>
      </c>
      <c r="F110" s="4" t="s">
        <v>44</v>
      </c>
      <c r="G110" s="4" t="s">
        <v>863</v>
      </c>
      <c r="H110" s="5" t="s">
        <v>131</v>
      </c>
      <c r="I110" s="5" t="s">
        <v>597</v>
      </c>
      <c r="J110" s="5" t="s">
        <v>2437</v>
      </c>
      <c r="K110" s="5" t="s">
        <v>2440</v>
      </c>
      <c r="L110" s="5" t="s">
        <v>2434</v>
      </c>
      <c r="M110" s="113">
        <v>8955223.880597014</v>
      </c>
      <c r="N110" s="113">
        <v>1194029.8507462686</v>
      </c>
      <c r="O110" s="5" t="s">
        <v>2441</v>
      </c>
      <c r="P110" s="113">
        <v>8323</v>
      </c>
      <c r="Q110" s="113">
        <v>992537.31343283574</v>
      </c>
      <c r="R110" s="113">
        <v>1034623</v>
      </c>
      <c r="S110" s="113">
        <v>1034623</v>
      </c>
      <c r="T110" s="114">
        <v>8.1</v>
      </c>
    </row>
    <row r="111" spans="1:20">
      <c r="A111">
        <f t="shared" si="1"/>
        <v>110</v>
      </c>
      <c r="B111" s="112" t="s">
        <v>2143</v>
      </c>
      <c r="C111" s="5" t="s">
        <v>976</v>
      </c>
      <c r="D111" s="5" t="s">
        <v>3046</v>
      </c>
      <c r="E111" s="4">
        <v>2017</v>
      </c>
      <c r="F111" s="4" t="s">
        <v>44</v>
      </c>
      <c r="G111" s="4" t="s">
        <v>1896</v>
      </c>
      <c r="H111" s="5" t="s">
        <v>131</v>
      </c>
      <c r="I111" s="5" t="s">
        <v>606</v>
      </c>
      <c r="J111" s="5" t="s">
        <v>2014</v>
      </c>
      <c r="K111" s="5" t="s">
        <v>2146</v>
      </c>
      <c r="L111" s="5" t="s">
        <v>1433</v>
      </c>
      <c r="M111" s="113">
        <v>11940298.507462686</v>
      </c>
      <c r="N111" s="113">
        <v>4477611.940298507</v>
      </c>
      <c r="O111" s="5" t="s">
        <v>2147</v>
      </c>
      <c r="P111" s="115">
        <v>1950000</v>
      </c>
      <c r="Q111" s="113">
        <v>4322388.0597014921</v>
      </c>
      <c r="R111" s="113">
        <v>4447734</v>
      </c>
      <c r="S111" s="113">
        <v>4447734</v>
      </c>
      <c r="T111" s="114">
        <v>8.6</v>
      </c>
    </row>
    <row r="112" spans="1:20">
      <c r="A112">
        <f t="shared" si="1"/>
        <v>111</v>
      </c>
      <c r="B112" s="112" t="s">
        <v>2198</v>
      </c>
      <c r="C112" s="5" t="s">
        <v>461</v>
      </c>
      <c r="D112" s="5" t="s">
        <v>2199</v>
      </c>
      <c r="E112" s="4">
        <v>2018</v>
      </c>
      <c r="F112" s="4" t="s">
        <v>44</v>
      </c>
      <c r="G112" s="4" t="s">
        <v>2197</v>
      </c>
      <c r="H112" s="5" t="s">
        <v>3034</v>
      </c>
      <c r="I112" s="39" t="s">
        <v>597</v>
      </c>
      <c r="J112" s="5" t="s">
        <v>2200</v>
      </c>
      <c r="K112" s="5" t="s">
        <v>2202</v>
      </c>
      <c r="L112" s="5" t="s">
        <v>1439</v>
      </c>
      <c r="M112" s="113">
        <v>1492537.3134328357</v>
      </c>
      <c r="N112" s="113">
        <v>1194029.8507462686</v>
      </c>
      <c r="O112" s="5" t="s">
        <v>2203</v>
      </c>
      <c r="P112" s="113">
        <v>2743</v>
      </c>
      <c r="Q112" s="113">
        <v>623880.59701492533</v>
      </c>
      <c r="R112" s="113">
        <v>678553</v>
      </c>
      <c r="S112" s="113">
        <v>678553</v>
      </c>
      <c r="T112" s="114">
        <v>8.5</v>
      </c>
    </row>
    <row r="1048381" spans="2:19" ht="14.6">
      <c r="B1048381"/>
      <c r="M1048381"/>
      <c r="N1048381"/>
      <c r="P1048381"/>
      <c r="Q1048381" s="109"/>
      <c r="R1048381"/>
      <c r="S1048381"/>
    </row>
    <row r="1048382" spans="2:19" ht="14.6">
      <c r="B1048382"/>
      <c r="M1048382"/>
      <c r="N1048382"/>
      <c r="P1048382"/>
      <c r="Q1048382" s="113"/>
      <c r="R1048382"/>
      <c r="S1048382"/>
    </row>
    <row r="1048383" spans="2:19" ht="14.6">
      <c r="B1048383"/>
      <c r="M1048383"/>
      <c r="N1048383"/>
      <c r="P1048383"/>
      <c r="Q1048383" s="113"/>
      <c r="R1048383"/>
      <c r="S1048383"/>
    </row>
    <row r="1048384" spans="2:19" ht="14.6">
      <c r="B1048384"/>
      <c r="M1048384"/>
      <c r="N1048384"/>
      <c r="P1048384"/>
      <c r="Q1048384" s="113"/>
      <c r="R1048384"/>
      <c r="S1048384"/>
    </row>
    <row r="1048385" spans="2:19" ht="14.6">
      <c r="B1048385"/>
      <c r="M1048385"/>
      <c r="N1048385"/>
      <c r="P1048385"/>
      <c r="Q1048385" s="113"/>
      <c r="R1048385"/>
      <c r="S1048385"/>
    </row>
    <row r="1048386" spans="2:19" ht="14.6">
      <c r="B1048386"/>
      <c r="M1048386"/>
      <c r="N1048386"/>
      <c r="P1048386"/>
      <c r="Q1048386" s="113"/>
      <c r="R1048386"/>
      <c r="S1048386"/>
    </row>
    <row r="1048387" spans="2:19" ht="14.6">
      <c r="B1048387"/>
      <c r="M1048387"/>
      <c r="N1048387"/>
      <c r="P1048387"/>
      <c r="Q1048387" s="113"/>
      <c r="R1048387"/>
      <c r="S1048387"/>
    </row>
    <row r="1048388" spans="2:19" ht="14.6">
      <c r="B1048388"/>
      <c r="M1048388"/>
      <c r="N1048388"/>
      <c r="P1048388"/>
      <c r="Q1048388" s="113"/>
      <c r="R1048388"/>
      <c r="S1048388"/>
    </row>
    <row r="1048389" spans="2:19" ht="14.6">
      <c r="B1048389"/>
      <c r="M1048389"/>
      <c r="N1048389"/>
      <c r="P1048389"/>
      <c r="Q1048389" s="113"/>
      <c r="R1048389"/>
      <c r="S1048389"/>
    </row>
    <row r="1048390" spans="2:19" ht="14.6">
      <c r="B1048390"/>
      <c r="M1048390"/>
      <c r="N1048390"/>
      <c r="P1048390"/>
      <c r="Q1048390" s="113"/>
      <c r="R1048390"/>
      <c r="S1048390"/>
    </row>
    <row r="1048391" spans="2:19" ht="14.6">
      <c r="B1048391"/>
      <c r="M1048391"/>
      <c r="N1048391"/>
      <c r="P1048391"/>
      <c r="Q1048391" s="113"/>
      <c r="R1048391"/>
      <c r="S1048391"/>
    </row>
    <row r="1048392" spans="2:19" ht="14.6">
      <c r="B1048392"/>
      <c r="M1048392"/>
      <c r="N1048392"/>
      <c r="P1048392"/>
      <c r="Q1048392" s="113"/>
      <c r="R1048392"/>
      <c r="S1048392"/>
    </row>
    <row r="1048393" spans="2:19" ht="14.6">
      <c r="B1048393"/>
      <c r="M1048393"/>
      <c r="N1048393"/>
      <c r="P1048393"/>
      <c r="Q1048393" s="113"/>
      <c r="R1048393"/>
      <c r="S1048393"/>
    </row>
    <row r="1048394" spans="2:19" ht="14.6">
      <c r="B1048394"/>
      <c r="M1048394"/>
      <c r="N1048394"/>
      <c r="P1048394"/>
      <c r="Q1048394" s="113"/>
      <c r="R1048394"/>
      <c r="S1048394"/>
    </row>
    <row r="1048395" spans="2:19" ht="14.6">
      <c r="B1048395"/>
      <c r="M1048395"/>
      <c r="N1048395"/>
      <c r="P1048395"/>
      <c r="Q1048395" s="113"/>
      <c r="R1048395"/>
      <c r="S1048395"/>
    </row>
    <row r="1048396" spans="2:19" ht="14.6">
      <c r="B1048396"/>
      <c r="M1048396"/>
      <c r="N1048396"/>
      <c r="P1048396"/>
      <c r="Q1048396" s="113"/>
      <c r="R1048396"/>
      <c r="S1048396"/>
    </row>
    <row r="1048397" spans="2:19" ht="14.6">
      <c r="B1048397"/>
      <c r="M1048397"/>
      <c r="N1048397"/>
      <c r="P1048397"/>
      <c r="Q1048397" s="113"/>
      <c r="R1048397"/>
      <c r="S1048397"/>
    </row>
    <row r="1048398" spans="2:19" ht="14.6">
      <c r="B1048398"/>
      <c r="M1048398"/>
      <c r="N1048398"/>
      <c r="P1048398"/>
      <c r="Q1048398" s="113"/>
      <c r="R1048398"/>
      <c r="S1048398"/>
    </row>
    <row r="1048399" spans="2:19" ht="14.6">
      <c r="B1048399"/>
      <c r="M1048399"/>
      <c r="N1048399"/>
      <c r="P1048399"/>
      <c r="Q1048399" s="113"/>
      <c r="R1048399"/>
      <c r="S1048399"/>
    </row>
    <row r="1048400" spans="2:19" ht="14.6">
      <c r="B1048400"/>
      <c r="M1048400"/>
      <c r="N1048400"/>
      <c r="P1048400"/>
      <c r="Q1048400" s="113"/>
      <c r="R1048400"/>
      <c r="S1048400"/>
    </row>
    <row r="1048401" spans="2:19" ht="14.6">
      <c r="B1048401"/>
      <c r="M1048401"/>
      <c r="N1048401"/>
      <c r="P1048401"/>
      <c r="Q1048401" s="113"/>
      <c r="R1048401"/>
      <c r="S1048401"/>
    </row>
    <row r="1048402" spans="2:19" ht="14.6">
      <c r="B1048402"/>
      <c r="M1048402"/>
      <c r="N1048402"/>
      <c r="P1048402"/>
      <c r="Q1048402" s="113"/>
      <c r="R1048402"/>
      <c r="S1048402"/>
    </row>
    <row r="1048403" spans="2:19" ht="14.6">
      <c r="B1048403"/>
      <c r="M1048403"/>
      <c r="N1048403"/>
      <c r="P1048403"/>
      <c r="Q1048403" s="113"/>
      <c r="R1048403"/>
      <c r="S1048403"/>
    </row>
    <row r="1048404" spans="2:19" ht="14.6">
      <c r="B1048404"/>
      <c r="M1048404"/>
      <c r="N1048404"/>
      <c r="P1048404"/>
      <c r="Q1048404" s="113"/>
      <c r="R1048404"/>
      <c r="S1048404"/>
    </row>
    <row r="1048405" spans="2:19" ht="14.6">
      <c r="B1048405"/>
      <c r="M1048405"/>
      <c r="N1048405"/>
      <c r="P1048405"/>
      <c r="Q1048405" s="113"/>
      <c r="R1048405"/>
      <c r="S1048405"/>
    </row>
    <row r="1048406" spans="2:19" ht="14.6">
      <c r="B1048406"/>
      <c r="M1048406"/>
      <c r="N1048406"/>
      <c r="P1048406"/>
      <c r="Q1048406" s="113"/>
      <c r="R1048406"/>
      <c r="S1048406"/>
    </row>
    <row r="1048407" spans="2:19" ht="14.6">
      <c r="B1048407"/>
      <c r="M1048407"/>
      <c r="N1048407"/>
      <c r="P1048407"/>
      <c r="Q1048407" s="113"/>
      <c r="R1048407"/>
      <c r="S1048407"/>
    </row>
    <row r="1048408" spans="2:19" ht="14.6">
      <c r="B1048408"/>
      <c r="M1048408"/>
      <c r="N1048408"/>
      <c r="P1048408"/>
      <c r="Q1048408" s="113"/>
      <c r="R1048408"/>
      <c r="S1048408"/>
    </row>
    <row r="1048409" spans="2:19" ht="14.6">
      <c r="B1048409"/>
      <c r="M1048409"/>
      <c r="N1048409"/>
      <c r="P1048409"/>
      <c r="Q1048409" s="113"/>
      <c r="R1048409"/>
      <c r="S1048409"/>
    </row>
    <row r="1048410" spans="2:19" ht="14.6">
      <c r="B1048410"/>
      <c r="M1048410"/>
      <c r="N1048410"/>
      <c r="P1048410"/>
      <c r="Q1048410" s="113"/>
      <c r="R1048410"/>
      <c r="S1048410"/>
    </row>
    <row r="1048411" spans="2:19" ht="14.6">
      <c r="B1048411"/>
      <c r="M1048411"/>
      <c r="N1048411"/>
      <c r="P1048411"/>
      <c r="Q1048411" s="113"/>
      <c r="R1048411"/>
      <c r="S1048411"/>
    </row>
    <row r="1048412" spans="2:19" ht="14.6">
      <c r="B1048412"/>
      <c r="M1048412"/>
      <c r="N1048412"/>
      <c r="P1048412"/>
      <c r="Q1048412" s="113"/>
      <c r="R1048412"/>
      <c r="S1048412"/>
    </row>
    <row r="1048413" spans="2:19" ht="14.6">
      <c r="B1048413"/>
      <c r="M1048413"/>
      <c r="N1048413"/>
      <c r="P1048413"/>
      <c r="Q1048413" s="113"/>
      <c r="R1048413"/>
      <c r="S1048413"/>
    </row>
    <row r="1048414" spans="2:19" ht="14.6">
      <c r="B1048414"/>
      <c r="M1048414"/>
      <c r="N1048414"/>
      <c r="P1048414"/>
      <c r="Q1048414" s="113"/>
      <c r="R1048414"/>
      <c r="S1048414"/>
    </row>
    <row r="1048415" spans="2:19" ht="14.6">
      <c r="B1048415"/>
      <c r="M1048415"/>
      <c r="N1048415"/>
      <c r="P1048415"/>
      <c r="Q1048415" s="113"/>
      <c r="R1048415"/>
      <c r="S1048415"/>
    </row>
    <row r="1048416" spans="2:19" ht="14.6">
      <c r="B1048416"/>
      <c r="M1048416"/>
      <c r="N1048416"/>
      <c r="P1048416"/>
      <c r="Q1048416" s="113"/>
      <c r="R1048416"/>
      <c r="S1048416"/>
    </row>
    <row r="1048417" spans="2:19" ht="14.6">
      <c r="B1048417"/>
      <c r="M1048417"/>
      <c r="N1048417"/>
      <c r="P1048417"/>
      <c r="Q1048417" s="113"/>
      <c r="R1048417"/>
      <c r="S1048417"/>
    </row>
    <row r="1048418" spans="2:19" ht="14.6">
      <c r="B1048418"/>
      <c r="M1048418"/>
      <c r="N1048418"/>
      <c r="P1048418"/>
      <c r="Q1048418" s="113"/>
      <c r="R1048418"/>
      <c r="S1048418"/>
    </row>
    <row r="1048419" spans="2:19" ht="14.6">
      <c r="B1048419"/>
      <c r="M1048419"/>
      <c r="N1048419"/>
      <c r="P1048419"/>
      <c r="Q1048419" s="113"/>
      <c r="R1048419"/>
      <c r="S1048419"/>
    </row>
    <row r="1048420" spans="2:19" ht="14.6">
      <c r="B1048420"/>
      <c r="M1048420"/>
      <c r="N1048420"/>
      <c r="P1048420"/>
      <c r="Q1048420" s="113"/>
      <c r="R1048420"/>
      <c r="S1048420"/>
    </row>
    <row r="1048421" spans="2:19" ht="14.6">
      <c r="B1048421"/>
      <c r="M1048421"/>
      <c r="N1048421"/>
      <c r="P1048421"/>
      <c r="Q1048421" s="113"/>
      <c r="R1048421"/>
      <c r="S1048421"/>
    </row>
    <row r="1048422" spans="2:19" ht="14.6">
      <c r="B1048422"/>
      <c r="M1048422"/>
      <c r="N1048422"/>
      <c r="P1048422"/>
      <c r="Q1048422" s="113"/>
      <c r="R1048422"/>
      <c r="S1048422"/>
    </row>
    <row r="1048423" spans="2:19" ht="14.6">
      <c r="B1048423"/>
      <c r="M1048423"/>
      <c r="N1048423"/>
      <c r="P1048423"/>
      <c r="Q1048423" s="113"/>
      <c r="R1048423"/>
      <c r="S1048423"/>
    </row>
    <row r="1048424" spans="2:19" ht="14.6">
      <c r="B1048424"/>
      <c r="M1048424"/>
      <c r="N1048424"/>
      <c r="P1048424"/>
      <c r="Q1048424" s="113"/>
      <c r="R1048424"/>
      <c r="S1048424"/>
    </row>
    <row r="1048425" spans="2:19" ht="14.6">
      <c r="B1048425"/>
      <c r="M1048425"/>
      <c r="N1048425"/>
      <c r="P1048425"/>
      <c r="Q1048425" s="113"/>
      <c r="R1048425"/>
      <c r="S1048425"/>
    </row>
    <row r="1048426" spans="2:19" ht="14.6">
      <c r="B1048426"/>
      <c r="M1048426"/>
      <c r="N1048426"/>
      <c r="P1048426"/>
      <c r="Q1048426" s="113"/>
      <c r="R1048426"/>
      <c r="S1048426"/>
    </row>
    <row r="1048427" spans="2:19" ht="14.6">
      <c r="B1048427"/>
      <c r="M1048427"/>
      <c r="N1048427"/>
      <c r="P1048427"/>
      <c r="Q1048427" s="113"/>
      <c r="R1048427"/>
      <c r="S1048427"/>
    </row>
    <row r="1048428" spans="2:19" ht="14.6">
      <c r="B1048428"/>
      <c r="M1048428"/>
      <c r="N1048428"/>
      <c r="P1048428"/>
      <c r="Q1048428" s="113"/>
      <c r="R1048428"/>
      <c r="S1048428"/>
    </row>
    <row r="1048429" spans="2:19" ht="14.6">
      <c r="B1048429"/>
      <c r="M1048429"/>
      <c r="N1048429"/>
      <c r="P1048429"/>
      <c r="Q1048429" s="113"/>
      <c r="R1048429"/>
      <c r="S1048429"/>
    </row>
    <row r="1048430" spans="2:19" ht="14.6">
      <c r="B1048430"/>
      <c r="M1048430"/>
      <c r="N1048430"/>
      <c r="P1048430"/>
      <c r="Q1048430" s="113"/>
      <c r="R1048430"/>
      <c r="S1048430"/>
    </row>
    <row r="1048431" spans="2:19" ht="14.6">
      <c r="B1048431"/>
      <c r="M1048431"/>
      <c r="N1048431"/>
      <c r="P1048431"/>
      <c r="Q1048431" s="113"/>
      <c r="R1048431"/>
      <c r="S1048431"/>
    </row>
    <row r="1048432" spans="2:19" ht="14.6">
      <c r="B1048432"/>
      <c r="M1048432"/>
      <c r="N1048432"/>
      <c r="P1048432"/>
      <c r="Q1048432" s="113"/>
      <c r="R1048432"/>
      <c r="S1048432"/>
    </row>
    <row r="1048433" spans="2:19" ht="14.6">
      <c r="B1048433"/>
      <c r="M1048433"/>
      <c r="N1048433"/>
      <c r="P1048433"/>
      <c r="Q1048433" s="113"/>
      <c r="R1048433"/>
      <c r="S1048433"/>
    </row>
    <row r="1048434" spans="2:19" ht="14.6">
      <c r="B1048434"/>
      <c r="M1048434"/>
      <c r="N1048434"/>
      <c r="P1048434"/>
      <c r="Q1048434" s="113"/>
      <c r="R1048434"/>
      <c r="S1048434"/>
    </row>
    <row r="1048435" spans="2:19" ht="14.6">
      <c r="B1048435"/>
      <c r="M1048435"/>
      <c r="N1048435"/>
      <c r="P1048435"/>
      <c r="Q1048435" s="113"/>
      <c r="R1048435"/>
      <c r="S1048435"/>
    </row>
    <row r="1048436" spans="2:19" ht="14.6">
      <c r="B1048436"/>
      <c r="M1048436"/>
      <c r="N1048436"/>
      <c r="P1048436"/>
      <c r="Q1048436" s="113"/>
      <c r="R1048436"/>
      <c r="S1048436"/>
    </row>
    <row r="1048437" spans="2:19" ht="14.6">
      <c r="B1048437"/>
      <c r="M1048437"/>
      <c r="N1048437"/>
      <c r="P1048437"/>
      <c r="Q1048437" s="113"/>
      <c r="R1048437"/>
      <c r="S1048437"/>
    </row>
    <row r="1048438" spans="2:19" ht="14.6">
      <c r="B1048438"/>
      <c r="M1048438"/>
      <c r="N1048438"/>
      <c r="P1048438"/>
      <c r="Q1048438" s="113"/>
      <c r="R1048438"/>
      <c r="S1048438"/>
    </row>
    <row r="1048439" spans="2:19" ht="14.6">
      <c r="B1048439"/>
      <c r="M1048439"/>
      <c r="N1048439"/>
      <c r="P1048439"/>
      <c r="Q1048439" s="113"/>
      <c r="R1048439"/>
      <c r="S1048439"/>
    </row>
    <row r="1048440" spans="2:19" ht="14.6">
      <c r="B1048440"/>
      <c r="M1048440"/>
      <c r="N1048440"/>
      <c r="P1048440"/>
      <c r="Q1048440" s="113"/>
      <c r="R1048440"/>
      <c r="S1048440"/>
    </row>
    <row r="1048441" spans="2:19" ht="14.6">
      <c r="B1048441"/>
      <c r="M1048441"/>
      <c r="N1048441"/>
      <c r="P1048441"/>
      <c r="Q1048441" s="113"/>
      <c r="R1048441"/>
      <c r="S1048441"/>
    </row>
  </sheetData>
  <autoFilter ref="A1:T112" xr:uid="{E1C9FF16-627D-4DE0-8738-8B249D3B2C5D}"/>
  <conditionalFormatting sqref="C40:C112">
    <cfRule type="duplicateValues" dxfId="2" priority="1"/>
  </conditionalFormatting>
  <hyperlinks>
    <hyperlink ref="J85" r:id="rId1" tooltip="https://baike.baidu.com/item/%E4%BA%95%E6%9F%8F%E7%84%B6/3974108" xr:uid="{C462E332-D6E1-4708-88BD-5BC6C2A624F8}"/>
    <hyperlink ref="J26" r:id="rId2" tooltip="https://baike.baidu.com/item/%E5%91%A8%E8%8B%B1%E7%94%B7" xr:uid="{681302CB-38C7-4968-BA3F-6F57FB690899}"/>
    <hyperlink ref="K26" r:id="rId3" tooltip="https://baike.baidu.com/item/%E5%91%A8%E8%8B%B1%E7%94%B7" xr:uid="{69F7C017-74C5-4145-BEB0-3E17BDB19B06}"/>
    <hyperlink ref="J15" r:id="rId4" tooltip="https://baike.baidu.com/item/%E5%BE%90%E5%B3%A5/2966629" xr:uid="{A6D07C43-70C6-40D8-B216-7AEF85525A1A}"/>
    <hyperlink ref="K109" r:id="rId5" tooltip="https://baike.baidu.com/item/%E8%A2%81%E5%8D%AB%E4%B8%9C/6711412" xr:uid="{542373A9-87C2-4F66-B8EC-DE60BF29E42F}"/>
    <hyperlink ref="J69" r:id="rId6" tooltip="https://baike.baidu.com/item/%E6%AE%B5%E5%A5%95%E5%AE%8F/6910242" xr:uid="{B62F0889-6BFE-4F72-B0EA-7E1EC79E758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A4BF-0D2C-4801-8A47-CAF7788A9DF5}">
  <sheetPr>
    <tabColor rgb="FF00B050"/>
  </sheetPr>
  <dimension ref="A1:V119"/>
  <sheetViews>
    <sheetView tabSelected="1" zoomScale="90" zoomScaleNormal="90" workbookViewId="0">
      <pane xSplit="2" ySplit="1" topLeftCell="L98" activePane="bottomRight" state="frozen"/>
      <selection pane="topRight" activeCell="C1" sqref="C1"/>
      <selection pane="bottomLeft" activeCell="A2" sqref="A2"/>
      <selection pane="bottomRight" activeCell="M118" sqref="M118"/>
    </sheetView>
  </sheetViews>
  <sheetFormatPr defaultRowHeight="14.6" outlineLevelCol="1"/>
  <cols>
    <col min="1" max="1" width="5.3828125" bestFit="1" customWidth="1"/>
    <col min="2" max="2" width="15.23046875" customWidth="1"/>
    <col min="3" max="3" width="32.07421875" bestFit="1" customWidth="1"/>
    <col min="4" max="4" width="46.69140625" bestFit="1" customWidth="1"/>
    <col min="5" max="7" width="16.23046875" customWidth="1"/>
    <col min="8" max="8" width="11.53515625" bestFit="1" customWidth="1"/>
    <col min="9" max="9" width="15.23046875" bestFit="1" customWidth="1"/>
    <col min="10" max="13" width="28.69140625" customWidth="1"/>
    <col min="14" max="14" width="32.84375" customWidth="1"/>
    <col min="15" max="16" width="28.69140625" customWidth="1"/>
    <col min="17" max="17" width="19.23046875" customWidth="1"/>
    <col min="18" max="18" width="16.07421875" hidden="1" customWidth="1" outlineLevel="1"/>
    <col min="19" max="19" width="16.07421875" customWidth="1" collapsed="1"/>
    <col min="20" max="20" width="16.07421875" customWidth="1"/>
    <col min="21" max="21" width="11.61328125" customWidth="1"/>
    <col min="22" max="22" width="10.61328125" bestFit="1" customWidth="1"/>
  </cols>
  <sheetData>
    <row r="1" spans="1:22" ht="29.15">
      <c r="A1" s="32" t="s">
        <v>3050</v>
      </c>
      <c r="B1" s="102" t="s">
        <v>3028</v>
      </c>
      <c r="C1" s="103" t="s">
        <v>3029</v>
      </c>
      <c r="D1" s="103" t="s">
        <v>3030</v>
      </c>
      <c r="E1" s="104" t="s">
        <v>0</v>
      </c>
      <c r="F1" s="104" t="s">
        <v>1457</v>
      </c>
      <c r="G1" s="105" t="s">
        <v>3071</v>
      </c>
      <c r="H1" s="104" t="s">
        <v>3031</v>
      </c>
      <c r="I1" s="104" t="s">
        <v>3032</v>
      </c>
      <c r="J1" s="105" t="s">
        <v>591</v>
      </c>
      <c r="K1" s="133" t="s">
        <v>1467</v>
      </c>
      <c r="L1" s="133" t="s">
        <v>1470</v>
      </c>
      <c r="M1" s="104" t="s">
        <v>3033</v>
      </c>
      <c r="N1" s="133" t="s">
        <v>1472</v>
      </c>
      <c r="O1" s="107" t="s">
        <v>1461</v>
      </c>
      <c r="P1" s="107" t="s">
        <v>1462</v>
      </c>
      <c r="Q1" s="107" t="s">
        <v>588</v>
      </c>
      <c r="R1" s="109" t="s">
        <v>1464</v>
      </c>
      <c r="S1" s="109" t="s">
        <v>589</v>
      </c>
      <c r="T1" s="109" t="s">
        <v>590</v>
      </c>
      <c r="U1" s="110" t="s">
        <v>1473</v>
      </c>
      <c r="V1" s="83" t="s">
        <v>3021</v>
      </c>
    </row>
    <row r="2" spans="1:22">
      <c r="A2">
        <v>1</v>
      </c>
      <c r="B2" s="5" t="s">
        <v>1484</v>
      </c>
      <c r="C2" s="5" t="s">
        <v>128</v>
      </c>
      <c r="D2" s="5" t="s">
        <v>1485</v>
      </c>
      <c r="E2" s="4">
        <v>2019</v>
      </c>
      <c r="F2" s="4" t="s">
        <v>44</v>
      </c>
      <c r="G2" s="4">
        <v>2</v>
      </c>
      <c r="H2" s="3" t="s">
        <v>604</v>
      </c>
      <c r="I2" s="5" t="s">
        <v>129</v>
      </c>
      <c r="J2" s="5" t="s">
        <v>606</v>
      </c>
      <c r="K2" s="5" t="s">
        <v>1486</v>
      </c>
      <c r="L2" s="5" t="s">
        <v>1487</v>
      </c>
      <c r="M2" s="5" t="s">
        <v>605</v>
      </c>
      <c r="N2" s="5" t="s">
        <v>1488</v>
      </c>
      <c r="O2" s="7">
        <v>50000000</v>
      </c>
      <c r="P2" s="7">
        <v>3000000</v>
      </c>
      <c r="Q2" s="7">
        <v>1685287</v>
      </c>
      <c r="R2" s="7">
        <v>694626865</v>
      </c>
      <c r="S2" s="7">
        <v>683059335</v>
      </c>
      <c r="T2" s="7">
        <v>688934822</v>
      </c>
      <c r="U2" s="62">
        <v>9.1999999999999993</v>
      </c>
      <c r="V2" s="123">
        <f>T2-S2</f>
        <v>5875487</v>
      </c>
    </row>
    <row r="3" spans="1:22" ht="15">
      <c r="A3">
        <f>A2+1</f>
        <v>2</v>
      </c>
      <c r="B3" s="45" t="s">
        <v>1560</v>
      </c>
      <c r="C3" s="5" t="s">
        <v>633</v>
      </c>
      <c r="D3" s="5" t="s">
        <v>633</v>
      </c>
      <c r="E3" s="4">
        <v>2019</v>
      </c>
      <c r="F3" s="4" t="s">
        <v>44</v>
      </c>
      <c r="G3" s="4">
        <v>1</v>
      </c>
      <c r="H3" s="3" t="s">
        <v>1559</v>
      </c>
      <c r="I3" s="5" t="s">
        <v>127</v>
      </c>
      <c r="J3" s="5" t="s">
        <v>606</v>
      </c>
      <c r="K3" s="5" t="s">
        <v>1561</v>
      </c>
      <c r="L3" s="5" t="s">
        <v>1563</v>
      </c>
      <c r="M3" s="5" t="s">
        <v>634</v>
      </c>
      <c r="N3" s="5" t="s">
        <v>1564</v>
      </c>
      <c r="O3" s="7">
        <v>7462686.5671641789</v>
      </c>
      <c r="P3" s="7">
        <v>4477611.940298507</v>
      </c>
      <c r="Q3" s="7">
        <v>59300000</v>
      </c>
      <c r="R3" s="7">
        <v>72686567.164179102</v>
      </c>
      <c r="S3" s="7">
        <v>77072065</v>
      </c>
      <c r="T3" s="7">
        <v>77072065</v>
      </c>
      <c r="U3" s="62">
        <v>9.1</v>
      </c>
      <c r="V3" s="123">
        <f t="shared" ref="V3:V66" si="0">T3-S3</f>
        <v>0</v>
      </c>
    </row>
    <row r="4" spans="1:22">
      <c r="A4">
        <f t="shared" ref="A4:A67" si="1">A3+1</f>
        <v>3</v>
      </c>
      <c r="B4" s="5" t="s">
        <v>1654</v>
      </c>
      <c r="C4" s="5" t="s">
        <v>57</v>
      </c>
      <c r="D4" s="5" t="s">
        <v>1655</v>
      </c>
      <c r="E4" s="4">
        <v>2019</v>
      </c>
      <c r="F4" s="4" t="s">
        <v>44</v>
      </c>
      <c r="G4" s="4">
        <v>12</v>
      </c>
      <c r="H4" s="3" t="s">
        <v>1653</v>
      </c>
      <c r="I4" s="5" t="s">
        <v>131</v>
      </c>
      <c r="J4" s="5" t="s">
        <v>602</v>
      </c>
      <c r="K4" s="5" t="s">
        <v>1656</v>
      </c>
      <c r="L4" s="5" t="s">
        <v>1642</v>
      </c>
      <c r="M4" s="5" t="s">
        <v>601</v>
      </c>
      <c r="N4" s="5" t="s">
        <v>1658</v>
      </c>
      <c r="O4" s="7">
        <v>44776119</v>
      </c>
      <c r="P4" s="7">
        <v>8955223</v>
      </c>
      <c r="Q4" s="7">
        <v>39959722</v>
      </c>
      <c r="R4" s="7">
        <v>74477611</v>
      </c>
      <c r="S4" s="7">
        <v>97033612</v>
      </c>
      <c r="T4" s="7">
        <v>97033612</v>
      </c>
      <c r="U4" s="62">
        <v>7.5</v>
      </c>
      <c r="V4" s="123">
        <f t="shared" si="0"/>
        <v>0</v>
      </c>
    </row>
    <row r="5" spans="1:22">
      <c r="A5">
        <f t="shared" si="1"/>
        <v>4</v>
      </c>
      <c r="B5" s="39" t="s">
        <v>1897</v>
      </c>
      <c r="C5" s="5" t="s">
        <v>776</v>
      </c>
      <c r="D5" s="39" t="s">
        <v>1898</v>
      </c>
      <c r="E5" s="4">
        <v>2019</v>
      </c>
      <c r="F5" s="4" t="s">
        <v>45</v>
      </c>
      <c r="G5" s="4">
        <v>11</v>
      </c>
      <c r="H5" s="3" t="s">
        <v>1896</v>
      </c>
      <c r="I5" s="5" t="s">
        <v>129</v>
      </c>
      <c r="J5" s="5" t="s">
        <v>606</v>
      </c>
      <c r="K5" s="39" t="s">
        <v>1899</v>
      </c>
      <c r="L5" s="39" t="s">
        <v>1900</v>
      </c>
      <c r="M5" s="39" t="s">
        <v>601</v>
      </c>
      <c r="N5" s="5" t="s">
        <v>1901</v>
      </c>
      <c r="O5" s="7">
        <v>11940298.5</v>
      </c>
      <c r="P5" s="7">
        <v>4477611.9400000004</v>
      </c>
      <c r="Q5" s="42">
        <v>6830000</v>
      </c>
      <c r="R5" s="7">
        <v>9498656.7200000007</v>
      </c>
      <c r="S5" s="7">
        <v>10217493</v>
      </c>
      <c r="T5" s="7">
        <v>10217493</v>
      </c>
      <c r="U5" s="59">
        <v>7.9</v>
      </c>
      <c r="V5" s="123">
        <f t="shared" si="0"/>
        <v>0</v>
      </c>
    </row>
    <row r="6" spans="1:22">
      <c r="A6">
        <f t="shared" si="1"/>
        <v>5</v>
      </c>
      <c r="B6" s="5" t="s">
        <v>1944</v>
      </c>
      <c r="C6" s="5" t="s">
        <v>7</v>
      </c>
      <c r="D6" s="5" t="s">
        <v>1945</v>
      </c>
      <c r="E6" s="4">
        <v>2018</v>
      </c>
      <c r="F6" s="4" t="s">
        <v>44</v>
      </c>
      <c r="G6" s="4">
        <v>2</v>
      </c>
      <c r="H6" s="3" t="s">
        <v>811</v>
      </c>
      <c r="I6" s="5" t="s">
        <v>129</v>
      </c>
      <c r="J6" s="5" t="s">
        <v>606</v>
      </c>
      <c r="K6" s="5" t="s">
        <v>1946</v>
      </c>
      <c r="L6" s="5" t="s">
        <v>1947</v>
      </c>
      <c r="M6" s="5" t="s">
        <v>812</v>
      </c>
      <c r="N6" s="5" t="s">
        <v>1948</v>
      </c>
      <c r="O6" s="7">
        <v>59701492</v>
      </c>
      <c r="P6" s="7">
        <v>22388059</v>
      </c>
      <c r="Q6" s="7">
        <v>704047</v>
      </c>
      <c r="R6" s="7">
        <v>475970149</v>
      </c>
      <c r="S6" s="7">
        <v>542084590</v>
      </c>
      <c r="T6" s="7">
        <v>544068574</v>
      </c>
      <c r="U6" s="62">
        <v>9</v>
      </c>
      <c r="V6" s="123">
        <f t="shared" si="0"/>
        <v>1983984</v>
      </c>
    </row>
    <row r="7" spans="1:22">
      <c r="A7">
        <f t="shared" si="1"/>
        <v>6</v>
      </c>
      <c r="B7" s="5" t="s">
        <v>1949</v>
      </c>
      <c r="C7" s="5" t="s">
        <v>359</v>
      </c>
      <c r="D7" s="5" t="s">
        <v>1950</v>
      </c>
      <c r="E7" s="4">
        <v>2018</v>
      </c>
      <c r="F7" s="4" t="s">
        <v>44</v>
      </c>
      <c r="G7" s="4">
        <v>2</v>
      </c>
      <c r="H7" s="3" t="s">
        <v>813</v>
      </c>
      <c r="I7" s="5" t="s">
        <v>129</v>
      </c>
      <c r="J7" s="5" t="s">
        <v>606</v>
      </c>
      <c r="K7" s="5" t="s">
        <v>1951</v>
      </c>
      <c r="L7" s="5" t="s">
        <v>1953</v>
      </c>
      <c r="M7" s="5" t="s">
        <v>601</v>
      </c>
      <c r="N7" s="5" t="s">
        <v>1954</v>
      </c>
      <c r="O7" s="7">
        <v>74626865.671641782</v>
      </c>
      <c r="P7" s="7">
        <v>11940298.507462686</v>
      </c>
      <c r="Q7" s="7">
        <v>436059</v>
      </c>
      <c r="R7" s="7">
        <v>510597014.92537314</v>
      </c>
      <c r="S7" s="7">
        <v>532057988</v>
      </c>
      <c r="T7" s="7">
        <v>533601535</v>
      </c>
      <c r="U7" s="62">
        <v>9.4</v>
      </c>
      <c r="V7" s="123">
        <f t="shared" si="0"/>
        <v>1543547</v>
      </c>
    </row>
    <row r="8" spans="1:22">
      <c r="A8">
        <f t="shared" si="1"/>
        <v>7</v>
      </c>
      <c r="B8" s="5" t="s">
        <v>1955</v>
      </c>
      <c r="C8" s="5" t="s">
        <v>365</v>
      </c>
      <c r="D8" s="5" t="s">
        <v>365</v>
      </c>
      <c r="E8" s="4">
        <v>2018</v>
      </c>
      <c r="F8" s="4" t="s">
        <v>44</v>
      </c>
      <c r="G8" s="4">
        <v>5</v>
      </c>
      <c r="H8" s="3" t="s">
        <v>814</v>
      </c>
      <c r="I8" s="5" t="s">
        <v>148</v>
      </c>
      <c r="J8" s="5" t="s">
        <v>1398</v>
      </c>
      <c r="K8" s="5" t="s">
        <v>1956</v>
      </c>
      <c r="L8" s="5" t="s">
        <v>1958</v>
      </c>
      <c r="M8" s="5" t="s">
        <v>601</v>
      </c>
      <c r="N8" s="5" t="s">
        <v>1959</v>
      </c>
      <c r="O8" s="7">
        <v>5970149</v>
      </c>
      <c r="P8" s="7">
        <v>3731343</v>
      </c>
      <c r="Q8" s="7">
        <v>204733</v>
      </c>
      <c r="R8" s="7">
        <v>124179104</v>
      </c>
      <c r="S8" s="7">
        <v>132903651</v>
      </c>
      <c r="T8" s="7">
        <v>133650584</v>
      </c>
      <c r="U8" s="62">
        <v>8.6999999999999993</v>
      </c>
      <c r="V8" s="123">
        <f t="shared" si="0"/>
        <v>746933</v>
      </c>
    </row>
    <row r="9" spans="1:22">
      <c r="A9">
        <f t="shared" si="1"/>
        <v>8</v>
      </c>
      <c r="B9" s="5" t="s">
        <v>1960</v>
      </c>
      <c r="C9" s="5" t="s">
        <v>362</v>
      </c>
      <c r="D9" s="5" t="s">
        <v>1961</v>
      </c>
      <c r="E9" s="4">
        <v>2018</v>
      </c>
      <c r="F9" s="4" t="s">
        <v>44</v>
      </c>
      <c r="G9" s="4">
        <v>2</v>
      </c>
      <c r="H9" s="3" t="s">
        <v>811</v>
      </c>
      <c r="I9" s="5" t="s">
        <v>127</v>
      </c>
      <c r="J9" s="5" t="s">
        <v>606</v>
      </c>
      <c r="K9" s="5" t="s">
        <v>1962</v>
      </c>
      <c r="L9" s="5" t="s">
        <v>1964</v>
      </c>
      <c r="M9" s="5" t="s">
        <v>764</v>
      </c>
      <c r="N9" s="5" t="s">
        <v>1965</v>
      </c>
      <c r="O9" s="7">
        <v>89552238</v>
      </c>
      <c r="P9" s="7">
        <v>22388059</v>
      </c>
      <c r="Q9" s="7">
        <v>341834</v>
      </c>
      <c r="R9" s="7">
        <v>316567164</v>
      </c>
      <c r="S9" s="7">
        <v>360977662</v>
      </c>
      <c r="T9" s="7">
        <v>361683815</v>
      </c>
      <c r="U9" s="62">
        <v>8.1999999999999993</v>
      </c>
      <c r="V9" s="123">
        <f t="shared" si="0"/>
        <v>706153</v>
      </c>
    </row>
    <row r="10" spans="1:22">
      <c r="A10">
        <f t="shared" si="1"/>
        <v>9</v>
      </c>
      <c r="B10" s="5" t="s">
        <v>1966</v>
      </c>
      <c r="C10" s="5" t="s">
        <v>368</v>
      </c>
      <c r="D10" s="5" t="s">
        <v>1967</v>
      </c>
      <c r="E10" s="4">
        <v>2018</v>
      </c>
      <c r="F10" s="4" t="s">
        <v>44</v>
      </c>
      <c r="G10" s="4">
        <v>2</v>
      </c>
      <c r="H10" s="3" t="s">
        <v>811</v>
      </c>
      <c r="I10" s="5" t="s">
        <v>129</v>
      </c>
      <c r="J10" s="5" t="s">
        <v>602</v>
      </c>
      <c r="K10" s="5" t="s">
        <v>1905</v>
      </c>
      <c r="L10" s="5" t="s">
        <v>1969</v>
      </c>
      <c r="M10" s="5" t="s">
        <v>601</v>
      </c>
      <c r="N10" s="5" t="s">
        <v>1970</v>
      </c>
      <c r="O10" s="7">
        <v>59701492</v>
      </c>
      <c r="P10" s="7">
        <v>8955223</v>
      </c>
      <c r="Q10" s="7">
        <v>95577</v>
      </c>
      <c r="R10" s="7">
        <v>102537313</v>
      </c>
      <c r="S10" s="7">
        <v>114902870</v>
      </c>
      <c r="T10" s="7">
        <v>115089944</v>
      </c>
      <c r="U10" s="62">
        <v>7.9</v>
      </c>
      <c r="V10" s="123">
        <f t="shared" si="0"/>
        <v>187074</v>
      </c>
    </row>
    <row r="11" spans="1:22">
      <c r="A11">
        <f t="shared" si="1"/>
        <v>10</v>
      </c>
      <c r="B11" s="5" t="s">
        <v>1971</v>
      </c>
      <c r="C11" s="5" t="s">
        <v>819</v>
      </c>
      <c r="D11" s="5" t="s">
        <v>1972</v>
      </c>
      <c r="E11" s="4">
        <v>2018</v>
      </c>
      <c r="F11" s="4" t="s">
        <v>44</v>
      </c>
      <c r="G11" s="4">
        <v>1</v>
      </c>
      <c r="H11" s="3" t="s">
        <v>818</v>
      </c>
      <c r="I11" s="5" t="s">
        <v>136</v>
      </c>
      <c r="J11" s="5" t="s">
        <v>606</v>
      </c>
      <c r="K11" s="5" t="s">
        <v>1973</v>
      </c>
      <c r="L11" s="5" t="s">
        <v>1973</v>
      </c>
      <c r="M11" s="5" t="s">
        <v>601</v>
      </c>
      <c r="N11" s="5" t="s">
        <v>1975</v>
      </c>
      <c r="O11" s="7">
        <v>10447761</v>
      </c>
      <c r="P11" s="7">
        <v>5970149</v>
      </c>
      <c r="Q11" s="7">
        <v>79180</v>
      </c>
      <c r="R11" s="7">
        <v>50746268</v>
      </c>
      <c r="S11" s="7">
        <v>57442237</v>
      </c>
      <c r="T11" s="7">
        <v>57628372</v>
      </c>
      <c r="U11" s="62">
        <v>6.9</v>
      </c>
      <c r="V11" s="123">
        <f t="shared" si="0"/>
        <v>186135</v>
      </c>
    </row>
    <row r="12" spans="1:22">
      <c r="A12">
        <f t="shared" si="1"/>
        <v>11</v>
      </c>
      <c r="B12" s="5" t="s">
        <v>1976</v>
      </c>
      <c r="C12" s="5" t="s">
        <v>386</v>
      </c>
      <c r="D12" s="5" t="s">
        <v>1977</v>
      </c>
      <c r="E12" s="4">
        <v>2018</v>
      </c>
      <c r="F12" s="4" t="s">
        <v>44</v>
      </c>
      <c r="G12" s="4">
        <v>2</v>
      </c>
      <c r="H12" s="3" t="s">
        <v>824</v>
      </c>
      <c r="I12" s="5" t="s">
        <v>127</v>
      </c>
      <c r="J12" s="5" t="s">
        <v>606</v>
      </c>
      <c r="K12" s="5" t="s">
        <v>1978</v>
      </c>
      <c r="L12" s="5" t="s">
        <v>1980</v>
      </c>
      <c r="M12" s="5" t="s">
        <v>626</v>
      </c>
      <c r="N12" s="5" t="s">
        <v>1981</v>
      </c>
      <c r="O12" s="7">
        <v>11940298</v>
      </c>
      <c r="P12" s="7">
        <v>2985074</v>
      </c>
      <c r="Q12" s="7">
        <v>57713</v>
      </c>
      <c r="R12" s="7">
        <v>32238805</v>
      </c>
      <c r="S12" s="7">
        <v>36895078</v>
      </c>
      <c r="T12" s="7">
        <v>37013430</v>
      </c>
      <c r="U12" s="62">
        <v>8.9</v>
      </c>
      <c r="V12" s="123">
        <f t="shared" si="0"/>
        <v>118352</v>
      </c>
    </row>
    <row r="13" spans="1:22">
      <c r="A13">
        <f t="shared" si="1"/>
        <v>12</v>
      </c>
      <c r="B13" s="5" t="s">
        <v>1982</v>
      </c>
      <c r="C13" s="5" t="s">
        <v>406</v>
      </c>
      <c r="D13" s="5" t="s">
        <v>1983</v>
      </c>
      <c r="E13" s="4">
        <v>2018</v>
      </c>
      <c r="F13" s="4" t="s">
        <v>44</v>
      </c>
      <c r="G13" s="4">
        <v>6</v>
      </c>
      <c r="H13" s="3" t="s">
        <v>825</v>
      </c>
      <c r="I13" s="5" t="s">
        <v>129</v>
      </c>
      <c r="J13" s="5" t="s">
        <v>606</v>
      </c>
      <c r="K13" s="5" t="s">
        <v>1984</v>
      </c>
      <c r="L13" s="5" t="s">
        <v>1986</v>
      </c>
      <c r="M13" s="5" t="s">
        <v>626</v>
      </c>
      <c r="N13" s="5" t="s">
        <v>1948</v>
      </c>
      <c r="O13" s="7">
        <v>8955223</v>
      </c>
      <c r="P13" s="7">
        <v>3731343</v>
      </c>
      <c r="Q13" s="7">
        <v>35015</v>
      </c>
      <c r="R13" s="7">
        <v>9485074</v>
      </c>
      <c r="S13" s="7">
        <v>10295882</v>
      </c>
      <c r="T13" s="7">
        <v>10381054</v>
      </c>
      <c r="U13" s="62">
        <v>7.8</v>
      </c>
      <c r="V13" s="123">
        <f t="shared" si="0"/>
        <v>85172</v>
      </c>
    </row>
    <row r="14" spans="1:22">
      <c r="A14">
        <f t="shared" si="1"/>
        <v>13</v>
      </c>
      <c r="B14" s="5" t="s">
        <v>1987</v>
      </c>
      <c r="C14" s="5" t="s">
        <v>407</v>
      </c>
      <c r="D14" s="39" t="s">
        <v>1988</v>
      </c>
      <c r="E14" s="4">
        <v>2018</v>
      </c>
      <c r="F14" s="4" t="s">
        <v>44</v>
      </c>
      <c r="G14" s="4">
        <v>3</v>
      </c>
      <c r="H14" s="3" t="s">
        <v>828</v>
      </c>
      <c r="I14" s="5" t="s">
        <v>136</v>
      </c>
      <c r="J14" s="5" t="s">
        <v>606</v>
      </c>
      <c r="K14" s="5" t="s">
        <v>1921</v>
      </c>
      <c r="L14" s="5" t="s">
        <v>1990</v>
      </c>
      <c r="M14" s="5" t="s">
        <v>601</v>
      </c>
      <c r="N14" s="5" t="s">
        <v>1991</v>
      </c>
      <c r="O14" s="7">
        <v>7462686</v>
      </c>
      <c r="P14" s="7">
        <v>2238805</v>
      </c>
      <c r="Q14" s="42">
        <v>7740000</v>
      </c>
      <c r="R14" s="7">
        <v>9061194</v>
      </c>
      <c r="S14" s="7">
        <v>10244720</v>
      </c>
      <c r="T14" s="7">
        <v>10281835</v>
      </c>
      <c r="U14" s="62">
        <v>6.6</v>
      </c>
      <c r="V14" s="123">
        <f t="shared" si="0"/>
        <v>37115</v>
      </c>
    </row>
    <row r="15" spans="1:22">
      <c r="A15">
        <f t="shared" si="1"/>
        <v>14</v>
      </c>
      <c r="B15" s="5" t="s">
        <v>1992</v>
      </c>
      <c r="C15" s="5" t="s">
        <v>836</v>
      </c>
      <c r="D15" s="5" t="s">
        <v>1993</v>
      </c>
      <c r="E15" s="4">
        <v>2018</v>
      </c>
      <c r="F15" s="4" t="s">
        <v>44</v>
      </c>
      <c r="G15" s="4">
        <v>3</v>
      </c>
      <c r="H15" s="22" t="s">
        <v>835</v>
      </c>
      <c r="I15" s="39" t="s">
        <v>136</v>
      </c>
      <c r="J15" s="39" t="s">
        <v>1399</v>
      </c>
      <c r="K15" s="5" t="s">
        <v>1994</v>
      </c>
      <c r="L15" s="5" t="s">
        <v>1995</v>
      </c>
      <c r="M15" s="5" t="s">
        <v>626</v>
      </c>
      <c r="N15" s="5" t="s">
        <v>1996</v>
      </c>
      <c r="O15" s="7">
        <v>2985074.6268656715</v>
      </c>
      <c r="P15" s="7">
        <v>746268.65671641787</v>
      </c>
      <c r="Q15" s="7">
        <v>1012175</v>
      </c>
      <c r="R15" s="7">
        <v>13331</v>
      </c>
      <c r="S15" s="42">
        <v>1264734</v>
      </c>
      <c r="T15" s="42">
        <v>1278065</v>
      </c>
      <c r="U15" s="62">
        <v>7</v>
      </c>
      <c r="V15" s="123">
        <f t="shared" si="0"/>
        <v>13331</v>
      </c>
    </row>
    <row r="16" spans="1:22">
      <c r="A16">
        <f t="shared" si="1"/>
        <v>15</v>
      </c>
      <c r="B16" s="5" t="s">
        <v>1997</v>
      </c>
      <c r="C16" s="5" t="s">
        <v>844</v>
      </c>
      <c r="D16" s="5" t="s">
        <v>844</v>
      </c>
      <c r="E16" s="4">
        <v>2018</v>
      </c>
      <c r="F16" s="4" t="s">
        <v>44</v>
      </c>
      <c r="G16" s="4">
        <v>8</v>
      </c>
      <c r="H16" s="3" t="s">
        <v>843</v>
      </c>
      <c r="I16" s="5" t="s">
        <v>129</v>
      </c>
      <c r="J16" s="5" t="s">
        <v>606</v>
      </c>
      <c r="K16" s="5" t="s">
        <v>1905</v>
      </c>
      <c r="L16" s="5" t="s">
        <v>1999</v>
      </c>
      <c r="M16" s="5" t="s">
        <v>1418</v>
      </c>
      <c r="N16" s="5" t="s">
        <v>1981</v>
      </c>
      <c r="O16" s="7">
        <v>746268.65671641787</v>
      </c>
      <c r="P16" s="7">
        <v>298507.46268656716</v>
      </c>
      <c r="Q16" s="7">
        <v>4210000</v>
      </c>
      <c r="R16" s="7">
        <v>9117611.940298507</v>
      </c>
      <c r="S16" s="7">
        <v>9796094</v>
      </c>
      <c r="T16" s="7">
        <v>9796094</v>
      </c>
      <c r="U16" s="62">
        <v>8.4</v>
      </c>
      <c r="V16" s="123">
        <f t="shared" si="0"/>
        <v>0</v>
      </c>
    </row>
    <row r="17" spans="1:22">
      <c r="A17">
        <f t="shared" si="1"/>
        <v>16</v>
      </c>
      <c r="B17" s="5" t="s">
        <v>2000</v>
      </c>
      <c r="C17" s="5" t="s">
        <v>849</v>
      </c>
      <c r="D17" s="5" t="s">
        <v>2001</v>
      </c>
      <c r="E17" s="4">
        <v>2018</v>
      </c>
      <c r="F17" s="4" t="s">
        <v>44</v>
      </c>
      <c r="G17" s="4">
        <v>8</v>
      </c>
      <c r="H17" s="3" t="s">
        <v>848</v>
      </c>
      <c r="I17" s="5" t="s">
        <v>131</v>
      </c>
      <c r="J17" s="5" t="s">
        <v>606</v>
      </c>
      <c r="K17" s="5" t="s">
        <v>2002</v>
      </c>
      <c r="L17" s="5" t="s">
        <v>2003</v>
      </c>
      <c r="M17" s="5" t="s">
        <v>653</v>
      </c>
      <c r="N17" s="5" t="s">
        <v>2004</v>
      </c>
      <c r="O17" s="7">
        <v>11940298</v>
      </c>
      <c r="P17" s="7">
        <v>2985074</v>
      </c>
      <c r="Q17" s="7">
        <v>1519978</v>
      </c>
      <c r="R17" s="7">
        <v>2483582</v>
      </c>
      <c r="S17" s="7">
        <v>2669935</v>
      </c>
      <c r="T17" s="7">
        <v>2669935</v>
      </c>
      <c r="U17" s="62">
        <v>6.9</v>
      </c>
      <c r="V17" s="123">
        <f t="shared" si="0"/>
        <v>0</v>
      </c>
    </row>
    <row r="18" spans="1:22">
      <c r="A18">
        <f t="shared" si="1"/>
        <v>17</v>
      </c>
      <c r="B18" s="5" t="s">
        <v>2017</v>
      </c>
      <c r="C18" s="5" t="s">
        <v>858</v>
      </c>
      <c r="D18" s="5" t="s">
        <v>2018</v>
      </c>
      <c r="E18" s="4">
        <v>2018</v>
      </c>
      <c r="F18" s="4" t="s">
        <v>44</v>
      </c>
      <c r="G18" s="4">
        <v>2</v>
      </c>
      <c r="H18" s="3" t="s">
        <v>857</v>
      </c>
      <c r="I18" s="5" t="s">
        <v>129</v>
      </c>
      <c r="J18" s="5" t="s">
        <v>606</v>
      </c>
      <c r="K18" s="5" t="s">
        <v>1656</v>
      </c>
      <c r="L18" s="5" t="s">
        <v>2020</v>
      </c>
      <c r="M18" s="5" t="s">
        <v>1419</v>
      </c>
      <c r="N18" s="5" t="s">
        <v>1991</v>
      </c>
      <c r="O18" s="7">
        <v>14925373.134328358</v>
      </c>
      <c r="P18" s="7">
        <v>4477611.940298507</v>
      </c>
      <c r="Q18" s="42">
        <v>179845</v>
      </c>
      <c r="R18" s="7">
        <v>21940298.507462688</v>
      </c>
      <c r="S18" s="7">
        <v>22682660</v>
      </c>
      <c r="T18" s="7">
        <v>22682660</v>
      </c>
      <c r="U18" s="62">
        <v>8.6999999999999993</v>
      </c>
      <c r="V18" s="123">
        <f t="shared" si="0"/>
        <v>0</v>
      </c>
    </row>
    <row r="19" spans="1:22">
      <c r="A19">
        <f t="shared" si="1"/>
        <v>18</v>
      </c>
      <c r="B19" s="5" t="s">
        <v>2023</v>
      </c>
      <c r="C19" s="5" t="s">
        <v>860</v>
      </c>
      <c r="D19" s="5" t="s">
        <v>2024</v>
      </c>
      <c r="E19" s="4">
        <v>2018</v>
      </c>
      <c r="F19" s="4" t="s">
        <v>44</v>
      </c>
      <c r="G19" s="4">
        <v>7</v>
      </c>
      <c r="H19" s="3" t="s">
        <v>2022</v>
      </c>
      <c r="I19" s="5" t="s">
        <v>129</v>
      </c>
      <c r="J19" s="5" t="s">
        <v>666</v>
      </c>
      <c r="K19" s="5" t="s">
        <v>2025</v>
      </c>
      <c r="L19" s="5" t="s">
        <v>2027</v>
      </c>
      <c r="M19" s="5" t="s">
        <v>1420</v>
      </c>
      <c r="N19" s="5" t="s">
        <v>1911</v>
      </c>
      <c r="O19" s="7">
        <v>29850746.268656716</v>
      </c>
      <c r="P19" s="7">
        <v>8955223.880597014</v>
      </c>
      <c r="Q19" s="42">
        <v>42160000</v>
      </c>
      <c r="R19" s="7">
        <v>97313432.835820898</v>
      </c>
      <c r="S19" s="7">
        <v>103651195</v>
      </c>
      <c r="T19" s="7">
        <v>103651195</v>
      </c>
      <c r="U19" s="62">
        <v>7.7</v>
      </c>
      <c r="V19" s="123">
        <f t="shared" si="0"/>
        <v>0</v>
      </c>
    </row>
    <row r="20" spans="1:22">
      <c r="A20">
        <f t="shared" si="1"/>
        <v>19</v>
      </c>
      <c r="B20" s="5" t="s">
        <v>2028</v>
      </c>
      <c r="C20" s="5" t="s">
        <v>412</v>
      </c>
      <c r="D20" s="5" t="s">
        <v>412</v>
      </c>
      <c r="E20" s="4">
        <v>2018</v>
      </c>
      <c r="F20" s="4" t="s">
        <v>44</v>
      </c>
      <c r="G20" s="4">
        <v>2</v>
      </c>
      <c r="H20" s="3" t="s">
        <v>813</v>
      </c>
      <c r="I20" s="5" t="s">
        <v>129</v>
      </c>
      <c r="J20" s="5" t="s">
        <v>606</v>
      </c>
      <c r="K20" s="5" t="s">
        <v>2029</v>
      </c>
      <c r="L20" s="5" t="s">
        <v>2030</v>
      </c>
      <c r="M20" s="5" t="s">
        <v>861</v>
      </c>
      <c r="N20" s="5" t="s">
        <v>861</v>
      </c>
      <c r="O20" s="7">
        <v>17910447</v>
      </c>
      <c r="P20" s="7">
        <v>2985074</v>
      </c>
      <c r="Q20" s="7">
        <v>6183665</v>
      </c>
      <c r="R20" s="7">
        <v>7029850</v>
      </c>
      <c r="S20" s="7">
        <v>7835554</v>
      </c>
      <c r="T20" s="7">
        <v>7835554</v>
      </c>
      <c r="U20" s="62">
        <v>7</v>
      </c>
      <c r="V20" s="123">
        <f t="shared" si="0"/>
        <v>0</v>
      </c>
    </row>
    <row r="21" spans="1:22">
      <c r="A21">
        <f t="shared" si="1"/>
        <v>20</v>
      </c>
      <c r="B21" s="5" t="s">
        <v>2036</v>
      </c>
      <c r="C21" s="5" t="s">
        <v>864</v>
      </c>
      <c r="D21" s="5" t="s">
        <v>2037</v>
      </c>
      <c r="E21" s="4">
        <v>2018</v>
      </c>
      <c r="F21" s="4" t="s">
        <v>44</v>
      </c>
      <c r="G21" s="4">
        <v>5</v>
      </c>
      <c r="H21" s="3" t="s">
        <v>863</v>
      </c>
      <c r="I21" s="5" t="s">
        <v>131</v>
      </c>
      <c r="J21" s="5" t="s">
        <v>606</v>
      </c>
      <c r="K21" s="5" t="s">
        <v>2031</v>
      </c>
      <c r="L21" s="5" t="s">
        <v>2039</v>
      </c>
      <c r="M21" s="39" t="s">
        <v>1500</v>
      </c>
      <c r="N21" s="5" t="s">
        <v>1991</v>
      </c>
      <c r="O21" s="7">
        <v>746268</v>
      </c>
      <c r="P21" s="7">
        <v>447761</v>
      </c>
      <c r="Q21" s="7">
        <v>1920000</v>
      </c>
      <c r="R21" s="7">
        <v>3065671</v>
      </c>
      <c r="S21" s="7">
        <v>3375245</v>
      </c>
      <c r="T21" s="7">
        <v>3375245</v>
      </c>
      <c r="U21" s="62">
        <v>8</v>
      </c>
      <c r="V21" s="123">
        <f t="shared" si="0"/>
        <v>0</v>
      </c>
    </row>
    <row r="22" spans="1:22">
      <c r="A22">
        <f t="shared" si="1"/>
        <v>21</v>
      </c>
      <c r="B22" s="5" t="s">
        <v>2041</v>
      </c>
      <c r="C22" s="5" t="s">
        <v>875</v>
      </c>
      <c r="D22" s="5" t="s">
        <v>2042</v>
      </c>
      <c r="E22" s="4">
        <v>2018</v>
      </c>
      <c r="F22" s="4" t="s">
        <v>44</v>
      </c>
      <c r="G22" s="4">
        <v>7</v>
      </c>
      <c r="H22" s="3" t="s">
        <v>2040</v>
      </c>
      <c r="I22" s="5" t="s">
        <v>129</v>
      </c>
      <c r="J22" s="5" t="s">
        <v>606</v>
      </c>
      <c r="K22" s="5" t="s">
        <v>1646</v>
      </c>
      <c r="L22" s="5" t="s">
        <v>1879</v>
      </c>
      <c r="M22" s="5" t="s">
        <v>601</v>
      </c>
      <c r="N22" s="5" t="s">
        <v>1888</v>
      </c>
      <c r="O22" s="7">
        <v>14925373</v>
      </c>
      <c r="P22" s="7">
        <v>7462686</v>
      </c>
      <c r="Q22" s="7">
        <v>32200000</v>
      </c>
      <c r="R22" s="7">
        <v>72537313</v>
      </c>
      <c r="S22" s="7">
        <v>79214896</v>
      </c>
      <c r="T22" s="7">
        <v>79214896</v>
      </c>
      <c r="U22" s="62">
        <v>8.5</v>
      </c>
      <c r="V22" s="123">
        <f t="shared" si="0"/>
        <v>0</v>
      </c>
    </row>
    <row r="23" spans="1:22">
      <c r="A23">
        <f t="shared" si="1"/>
        <v>22</v>
      </c>
      <c r="B23" s="5" t="s">
        <v>2043</v>
      </c>
      <c r="C23" s="5" t="s">
        <v>881</v>
      </c>
      <c r="D23" s="5" t="s">
        <v>2044</v>
      </c>
      <c r="E23" s="4">
        <v>2018</v>
      </c>
      <c r="F23" s="4" t="s">
        <v>44</v>
      </c>
      <c r="G23" s="4">
        <v>9</v>
      </c>
      <c r="H23" s="3" t="s">
        <v>880</v>
      </c>
      <c r="I23" s="39" t="s">
        <v>1404</v>
      </c>
      <c r="J23" s="5" t="s">
        <v>602</v>
      </c>
      <c r="K23" s="5" t="s">
        <v>2045</v>
      </c>
      <c r="L23" s="5" t="s">
        <v>2047</v>
      </c>
      <c r="M23" s="5" t="s">
        <v>1418</v>
      </c>
      <c r="N23" s="5" t="s">
        <v>2048</v>
      </c>
      <c r="O23" s="7">
        <v>14925373</v>
      </c>
      <c r="P23" s="7">
        <v>7462686</v>
      </c>
      <c r="Q23" s="7">
        <v>21549210</v>
      </c>
      <c r="R23" s="7">
        <v>31492537</v>
      </c>
      <c r="S23" s="7">
        <v>35045171</v>
      </c>
      <c r="T23" s="7">
        <v>35045171</v>
      </c>
      <c r="U23" s="62">
        <v>8.6999999999999993</v>
      </c>
      <c r="V23" s="123">
        <f t="shared" si="0"/>
        <v>0</v>
      </c>
    </row>
    <row r="24" spans="1:22">
      <c r="A24">
        <f t="shared" si="1"/>
        <v>23</v>
      </c>
      <c r="B24" s="5" t="s">
        <v>2049</v>
      </c>
      <c r="C24" s="5" t="s">
        <v>423</v>
      </c>
      <c r="D24" s="5" t="s">
        <v>488</v>
      </c>
      <c r="E24" s="4">
        <v>2018</v>
      </c>
      <c r="F24" s="4" t="s">
        <v>44</v>
      </c>
      <c r="G24" s="4">
        <v>2</v>
      </c>
      <c r="H24" s="3" t="s">
        <v>824</v>
      </c>
      <c r="I24" s="5" t="s">
        <v>127</v>
      </c>
      <c r="J24" s="5" t="s">
        <v>606</v>
      </c>
      <c r="K24" s="5" t="s">
        <v>2050</v>
      </c>
      <c r="L24" s="5" t="s">
        <v>2053</v>
      </c>
      <c r="M24" s="5" t="s">
        <v>1421</v>
      </c>
      <c r="N24" s="5" t="s">
        <v>2054</v>
      </c>
      <c r="O24" s="7">
        <v>2985074.6268656715</v>
      </c>
      <c r="P24" s="7">
        <v>746268.65671641787</v>
      </c>
      <c r="Q24" s="7">
        <v>192492</v>
      </c>
      <c r="R24" s="7">
        <v>3865671.6417910447</v>
      </c>
      <c r="S24" s="7">
        <v>4668484</v>
      </c>
      <c r="T24" s="7">
        <v>4668484</v>
      </c>
      <c r="U24" s="62">
        <v>8.5</v>
      </c>
      <c r="V24" s="123">
        <f t="shared" si="0"/>
        <v>0</v>
      </c>
    </row>
    <row r="25" spans="1:22">
      <c r="A25">
        <f t="shared" si="1"/>
        <v>24</v>
      </c>
      <c r="B25" s="5" t="s">
        <v>2061</v>
      </c>
      <c r="C25" s="5" t="s">
        <v>906</v>
      </c>
      <c r="D25" s="5" t="s">
        <v>906</v>
      </c>
      <c r="E25" s="4">
        <v>2018</v>
      </c>
      <c r="F25" s="4" t="s">
        <v>44</v>
      </c>
      <c r="G25" s="4">
        <v>5</v>
      </c>
      <c r="H25" s="3" t="s">
        <v>2060</v>
      </c>
      <c r="I25" s="5" t="s">
        <v>127</v>
      </c>
      <c r="J25" s="39" t="s">
        <v>606</v>
      </c>
      <c r="K25" s="39" t="s">
        <v>1402</v>
      </c>
      <c r="L25" s="5" t="s">
        <v>2062</v>
      </c>
      <c r="M25" s="5" t="s">
        <v>1422</v>
      </c>
      <c r="N25" s="5" t="s">
        <v>2063</v>
      </c>
      <c r="O25" s="7">
        <v>1492537.3134328357</v>
      </c>
      <c r="P25" s="7">
        <v>746268.65671641787</v>
      </c>
      <c r="Q25" s="7">
        <v>101150</v>
      </c>
      <c r="R25" s="7">
        <v>917910.44776119397</v>
      </c>
      <c r="S25" s="7">
        <v>1021930</v>
      </c>
      <c r="T25" s="7">
        <v>1021930</v>
      </c>
      <c r="U25" s="64">
        <v>6.8</v>
      </c>
      <c r="V25" s="123">
        <f t="shared" si="0"/>
        <v>0</v>
      </c>
    </row>
    <row r="26" spans="1:22" ht="15">
      <c r="A26">
        <f t="shared" si="1"/>
        <v>25</v>
      </c>
      <c r="B26" s="45" t="s">
        <v>2065</v>
      </c>
      <c r="C26" s="5" t="s">
        <v>919</v>
      </c>
      <c r="D26" s="5" t="s">
        <v>919</v>
      </c>
      <c r="E26" s="4">
        <v>2018</v>
      </c>
      <c r="F26" s="4" t="s">
        <v>44</v>
      </c>
      <c r="G26" s="4">
        <v>6</v>
      </c>
      <c r="H26" s="3" t="s">
        <v>2064</v>
      </c>
      <c r="I26" s="39" t="s">
        <v>1402</v>
      </c>
      <c r="J26" s="5" t="s">
        <v>606</v>
      </c>
      <c r="K26" s="39" t="s">
        <v>1402</v>
      </c>
      <c r="L26" s="5" t="s">
        <v>2066</v>
      </c>
      <c r="M26" s="5" t="s">
        <v>1422</v>
      </c>
      <c r="N26" s="5" t="s">
        <v>2067</v>
      </c>
      <c r="O26" s="7">
        <v>1492537.3134328357</v>
      </c>
      <c r="P26" s="7">
        <v>746268.65671641787</v>
      </c>
      <c r="Q26" s="7">
        <v>2580000</v>
      </c>
      <c r="R26" s="7">
        <v>2883582.0895522386</v>
      </c>
      <c r="S26" s="7">
        <v>3161317</v>
      </c>
      <c r="T26" s="7">
        <v>3161317</v>
      </c>
      <c r="U26" s="62">
        <v>7.9</v>
      </c>
      <c r="V26" s="123">
        <f t="shared" si="0"/>
        <v>0</v>
      </c>
    </row>
    <row r="27" spans="1:22">
      <c r="A27">
        <f t="shared" si="1"/>
        <v>26</v>
      </c>
      <c r="B27" s="5" t="s">
        <v>2075</v>
      </c>
      <c r="C27" s="5" t="s">
        <v>456</v>
      </c>
      <c r="D27" s="5" t="s">
        <v>456</v>
      </c>
      <c r="E27" s="4">
        <v>2018</v>
      </c>
      <c r="F27" s="4" t="s">
        <v>44</v>
      </c>
      <c r="G27" s="4">
        <v>6</v>
      </c>
      <c r="H27" s="3" t="s">
        <v>2074</v>
      </c>
      <c r="I27" s="5" t="s">
        <v>127</v>
      </c>
      <c r="J27" s="5" t="s">
        <v>606</v>
      </c>
      <c r="K27" s="5" t="s">
        <v>2076</v>
      </c>
      <c r="L27" s="5" t="s">
        <v>2079</v>
      </c>
      <c r="M27" s="5" t="s">
        <v>1423</v>
      </c>
      <c r="N27" s="5" t="s">
        <v>2080</v>
      </c>
      <c r="O27" s="7">
        <v>2985074.6268656715</v>
      </c>
      <c r="P27" s="7">
        <v>1194029.8507462686</v>
      </c>
      <c r="Q27" s="7">
        <v>470000</v>
      </c>
      <c r="R27" s="7">
        <v>664179.10447761195</v>
      </c>
      <c r="S27" s="7">
        <v>726371</v>
      </c>
      <c r="T27" s="7">
        <v>726371</v>
      </c>
      <c r="U27" s="62">
        <v>8</v>
      </c>
      <c r="V27" s="123">
        <f t="shared" si="0"/>
        <v>0</v>
      </c>
    </row>
    <row r="28" spans="1:22">
      <c r="A28">
        <f t="shared" si="1"/>
        <v>27</v>
      </c>
      <c r="B28" s="5" t="s">
        <v>2081</v>
      </c>
      <c r="C28" s="5" t="s">
        <v>460</v>
      </c>
      <c r="D28" s="5" t="s">
        <v>460</v>
      </c>
      <c r="E28" s="4">
        <v>2018</v>
      </c>
      <c r="F28" s="4" t="s">
        <v>44</v>
      </c>
      <c r="G28" s="4">
        <v>4</v>
      </c>
      <c r="H28" s="3" t="s">
        <v>832</v>
      </c>
      <c r="I28" s="5" t="s">
        <v>1403</v>
      </c>
      <c r="J28" s="39" t="s">
        <v>606</v>
      </c>
      <c r="K28" s="5" t="s">
        <v>2082</v>
      </c>
      <c r="L28" s="5" t="s">
        <v>2084</v>
      </c>
      <c r="M28" s="5" t="s">
        <v>1424</v>
      </c>
      <c r="N28" s="5" t="s">
        <v>2085</v>
      </c>
      <c r="O28" s="7">
        <v>1492537.3134328357</v>
      </c>
      <c r="P28" s="7">
        <v>1194029.8507462686</v>
      </c>
      <c r="Q28" s="7">
        <v>500000</v>
      </c>
      <c r="R28" s="7">
        <v>623880.59701492533</v>
      </c>
      <c r="S28" s="7">
        <v>688869</v>
      </c>
      <c r="T28" s="7">
        <v>688869</v>
      </c>
      <c r="U28" s="62">
        <v>7.6</v>
      </c>
      <c r="V28" s="123">
        <f t="shared" si="0"/>
        <v>0</v>
      </c>
    </row>
    <row r="29" spans="1:22">
      <c r="A29">
        <f t="shared" si="1"/>
        <v>28</v>
      </c>
      <c r="B29" s="5" t="s">
        <v>2093</v>
      </c>
      <c r="C29" s="5" t="s">
        <v>464</v>
      </c>
      <c r="D29" s="5" t="s">
        <v>2094</v>
      </c>
      <c r="E29" s="4">
        <v>2018</v>
      </c>
      <c r="F29" s="4" t="s">
        <v>44</v>
      </c>
      <c r="G29" s="4">
        <v>4</v>
      </c>
      <c r="H29" s="3" t="s">
        <v>832</v>
      </c>
      <c r="I29" s="5" t="s">
        <v>131</v>
      </c>
      <c r="J29" s="39" t="s">
        <v>606</v>
      </c>
      <c r="K29" s="5" t="s">
        <v>2095</v>
      </c>
      <c r="L29" s="5" t="s">
        <v>2096</v>
      </c>
      <c r="M29" s="5" t="s">
        <v>1426</v>
      </c>
      <c r="N29" s="5" t="s">
        <v>2097</v>
      </c>
      <c r="O29" s="7">
        <v>4477611.940298507</v>
      </c>
      <c r="P29" s="7">
        <v>2985074.6268656715</v>
      </c>
      <c r="Q29" s="42">
        <v>475952</v>
      </c>
      <c r="R29" s="7">
        <v>571641.7910447761</v>
      </c>
      <c r="S29" s="7">
        <v>625975</v>
      </c>
      <c r="T29" s="7">
        <v>625975</v>
      </c>
      <c r="U29" s="62">
        <v>7.1</v>
      </c>
      <c r="V29" s="123">
        <f t="shared" si="0"/>
        <v>0</v>
      </c>
    </row>
    <row r="30" spans="1:22">
      <c r="A30">
        <f t="shared" si="1"/>
        <v>29</v>
      </c>
      <c r="B30" s="5" t="s">
        <v>2120</v>
      </c>
      <c r="C30" s="5" t="s">
        <v>363</v>
      </c>
      <c r="D30" s="5" t="s">
        <v>2121</v>
      </c>
      <c r="E30" s="4">
        <v>2018</v>
      </c>
      <c r="F30" s="4" t="s">
        <v>44</v>
      </c>
      <c r="G30" s="4">
        <v>6</v>
      </c>
      <c r="H30" s="56" t="s">
        <v>825</v>
      </c>
      <c r="I30" s="5" t="s">
        <v>148</v>
      </c>
      <c r="J30" s="39" t="s">
        <v>606</v>
      </c>
      <c r="K30" s="5" t="s">
        <v>1963</v>
      </c>
      <c r="L30" s="5" t="s">
        <v>2123</v>
      </c>
      <c r="M30" s="5" t="s">
        <v>1428</v>
      </c>
      <c r="N30" s="5" t="s">
        <v>1420</v>
      </c>
      <c r="O30" s="7">
        <v>11940298</v>
      </c>
      <c r="P30" s="7">
        <v>8955223</v>
      </c>
      <c r="Q30" s="7">
        <v>88210000</v>
      </c>
      <c r="R30" s="7">
        <v>189104477</v>
      </c>
      <c r="S30" s="7">
        <v>209221328</v>
      </c>
      <c r="T30" s="7">
        <v>209221328</v>
      </c>
      <c r="U30" s="62">
        <v>8.3000000000000007</v>
      </c>
      <c r="V30" s="123">
        <f t="shared" si="0"/>
        <v>0</v>
      </c>
    </row>
    <row r="31" spans="1:22" ht="15">
      <c r="A31">
        <f t="shared" si="1"/>
        <v>30</v>
      </c>
      <c r="B31" s="5" t="s">
        <v>2143</v>
      </c>
      <c r="C31" s="5" t="s">
        <v>976</v>
      </c>
      <c r="D31" s="5" t="s">
        <v>2144</v>
      </c>
      <c r="E31" s="4">
        <v>2017</v>
      </c>
      <c r="F31" s="4" t="s">
        <v>44</v>
      </c>
      <c r="G31" s="4">
        <v>11</v>
      </c>
      <c r="H31" s="3" t="s">
        <v>1896</v>
      </c>
      <c r="I31" s="5" t="s">
        <v>131</v>
      </c>
      <c r="J31" s="5" t="s">
        <v>606</v>
      </c>
      <c r="K31" s="5" t="s">
        <v>2014</v>
      </c>
      <c r="L31" s="5" t="s">
        <v>2146</v>
      </c>
      <c r="M31" s="5" t="s">
        <v>1433</v>
      </c>
      <c r="N31" s="5" t="s">
        <v>2147</v>
      </c>
      <c r="O31" s="7">
        <v>11940298.507462686</v>
      </c>
      <c r="P31" s="7">
        <v>4477611.940298507</v>
      </c>
      <c r="Q31" s="42">
        <v>1950000</v>
      </c>
      <c r="R31" s="7">
        <v>4322388.0597014921</v>
      </c>
      <c r="S31" s="7">
        <v>4447734</v>
      </c>
      <c r="T31" s="7">
        <v>4447734</v>
      </c>
      <c r="U31" s="62">
        <v>8</v>
      </c>
      <c r="V31" s="123">
        <f t="shared" si="0"/>
        <v>0</v>
      </c>
    </row>
    <row r="32" spans="1:22">
      <c r="A32">
        <f t="shared" si="1"/>
        <v>31</v>
      </c>
      <c r="B32" s="5" t="s">
        <v>2149</v>
      </c>
      <c r="C32" s="5" t="s">
        <v>420</v>
      </c>
      <c r="D32" s="5" t="s">
        <v>2150</v>
      </c>
      <c r="E32" s="4">
        <v>2018</v>
      </c>
      <c r="F32" s="4" t="s">
        <v>44</v>
      </c>
      <c r="G32" s="4">
        <v>4</v>
      </c>
      <c r="H32" s="3" t="s">
        <v>2148</v>
      </c>
      <c r="I32" s="5" t="s">
        <v>1404</v>
      </c>
      <c r="J32" s="39" t="s">
        <v>606</v>
      </c>
      <c r="K32" s="5" t="s">
        <v>1860</v>
      </c>
      <c r="L32" s="5" t="s">
        <v>1860</v>
      </c>
      <c r="M32" s="5" t="s">
        <v>1431</v>
      </c>
      <c r="N32" s="5" t="s">
        <v>2152</v>
      </c>
      <c r="O32" s="7">
        <v>19402985</v>
      </c>
      <c r="P32" s="7">
        <v>2238805</v>
      </c>
      <c r="Q32" s="7">
        <v>2817583</v>
      </c>
      <c r="R32" s="7">
        <v>4902985</v>
      </c>
      <c r="S32" s="7">
        <v>5483241</v>
      </c>
      <c r="T32" s="7">
        <v>5483241</v>
      </c>
      <c r="U32" s="62">
        <v>7.2</v>
      </c>
      <c r="V32" s="123">
        <f t="shared" si="0"/>
        <v>0</v>
      </c>
    </row>
    <row r="33" spans="1:22">
      <c r="A33">
        <f t="shared" si="1"/>
        <v>32</v>
      </c>
      <c r="B33" s="5" t="s">
        <v>2154</v>
      </c>
      <c r="C33" s="5" t="s">
        <v>397</v>
      </c>
      <c r="D33" s="39" t="s">
        <v>2155</v>
      </c>
      <c r="E33" s="4">
        <v>2018</v>
      </c>
      <c r="F33" s="4" t="s">
        <v>44</v>
      </c>
      <c r="G33" s="4">
        <v>6</v>
      </c>
      <c r="H33" s="3" t="s">
        <v>2153</v>
      </c>
      <c r="I33" s="5" t="s">
        <v>136</v>
      </c>
      <c r="J33" s="5" t="s">
        <v>606</v>
      </c>
      <c r="K33" s="39" t="s">
        <v>2156</v>
      </c>
      <c r="L33" s="5" t="s">
        <v>2159</v>
      </c>
      <c r="M33" s="5" t="s">
        <v>1434</v>
      </c>
      <c r="N33" s="39" t="s">
        <v>2160</v>
      </c>
      <c r="O33" s="7">
        <v>4477611</v>
      </c>
      <c r="P33" s="7">
        <v>1194029</v>
      </c>
      <c r="Q33" s="7">
        <v>7070000</v>
      </c>
      <c r="R33" s="7">
        <v>10680597</v>
      </c>
      <c r="S33" s="7">
        <v>14798770</v>
      </c>
      <c r="T33" s="7">
        <v>14798770</v>
      </c>
      <c r="U33" s="62">
        <v>7.2</v>
      </c>
      <c r="V33" s="123">
        <f t="shared" si="0"/>
        <v>0</v>
      </c>
    </row>
    <row r="34" spans="1:22">
      <c r="A34">
        <f t="shared" si="1"/>
        <v>33</v>
      </c>
      <c r="B34" s="5" t="s">
        <v>2186</v>
      </c>
      <c r="C34" s="5" t="s">
        <v>463</v>
      </c>
      <c r="D34" s="5" t="s">
        <v>2187</v>
      </c>
      <c r="E34" s="4">
        <v>2018</v>
      </c>
      <c r="F34" s="4" t="s">
        <v>44</v>
      </c>
      <c r="G34" s="4">
        <v>4</v>
      </c>
      <c r="H34" s="56" t="s">
        <v>832</v>
      </c>
      <c r="I34" s="5" t="s">
        <v>131</v>
      </c>
      <c r="J34" s="39" t="s">
        <v>606</v>
      </c>
      <c r="K34" s="5" t="s">
        <v>2188</v>
      </c>
      <c r="L34" s="5" t="s">
        <v>2190</v>
      </c>
      <c r="M34" s="5" t="s">
        <v>1438</v>
      </c>
      <c r="N34" s="5" t="s">
        <v>2191</v>
      </c>
      <c r="O34" s="7">
        <v>5970149.253731343</v>
      </c>
      <c r="P34" s="7">
        <v>1492537.3134328357</v>
      </c>
      <c r="Q34" s="7">
        <v>458375</v>
      </c>
      <c r="R34" s="7">
        <v>579104.47761194024</v>
      </c>
      <c r="S34" s="7">
        <v>630896</v>
      </c>
      <c r="T34" s="7">
        <v>630896</v>
      </c>
      <c r="U34" s="62">
        <v>6.7</v>
      </c>
      <c r="V34" s="123">
        <f t="shared" si="0"/>
        <v>0</v>
      </c>
    </row>
    <row r="35" spans="1:22">
      <c r="A35">
        <f t="shared" si="1"/>
        <v>34</v>
      </c>
      <c r="B35" s="5" t="s">
        <v>2192</v>
      </c>
      <c r="C35" s="5" t="s">
        <v>137</v>
      </c>
      <c r="D35" s="5" t="s">
        <v>2193</v>
      </c>
      <c r="E35" s="4">
        <v>2018</v>
      </c>
      <c r="F35" s="4" t="s">
        <v>44</v>
      </c>
      <c r="G35" s="4">
        <v>2</v>
      </c>
      <c r="H35" s="56" t="s">
        <v>604</v>
      </c>
      <c r="I35" s="5" t="s">
        <v>136</v>
      </c>
      <c r="J35" s="5" t="s">
        <v>606</v>
      </c>
      <c r="K35" s="5" t="s">
        <v>1974</v>
      </c>
      <c r="L35" s="5" t="s">
        <v>2195</v>
      </c>
      <c r="M35" s="5" t="s">
        <v>1431</v>
      </c>
      <c r="N35" s="5" t="s">
        <v>2196</v>
      </c>
      <c r="O35" s="7">
        <v>53000000</v>
      </c>
      <c r="P35" s="7">
        <v>12000000</v>
      </c>
      <c r="Q35" s="7">
        <v>194917</v>
      </c>
      <c r="R35" s="7">
        <v>256119403</v>
      </c>
      <c r="S35" s="7">
        <v>255832826</v>
      </c>
      <c r="T35" s="7">
        <v>255832826</v>
      </c>
      <c r="U35" s="65">
        <v>8.8000000000000007</v>
      </c>
      <c r="V35" s="123">
        <f t="shared" si="0"/>
        <v>0</v>
      </c>
    </row>
    <row r="36" spans="1:22">
      <c r="A36">
        <f t="shared" si="1"/>
        <v>35</v>
      </c>
      <c r="B36" s="5" t="s">
        <v>2198</v>
      </c>
      <c r="C36" s="5" t="s">
        <v>461</v>
      </c>
      <c r="D36" s="5" t="s">
        <v>2199</v>
      </c>
      <c r="E36" s="4">
        <v>2018</v>
      </c>
      <c r="F36" s="4" t="s">
        <v>44</v>
      </c>
      <c r="G36" s="4">
        <v>5</v>
      </c>
      <c r="H36" s="3" t="s">
        <v>2197</v>
      </c>
      <c r="I36" s="39" t="s">
        <v>148</v>
      </c>
      <c r="J36" s="39" t="s">
        <v>597</v>
      </c>
      <c r="K36" s="5" t="s">
        <v>2200</v>
      </c>
      <c r="L36" s="5" t="s">
        <v>2202</v>
      </c>
      <c r="M36" s="5" t="s">
        <v>1439</v>
      </c>
      <c r="N36" s="5" t="s">
        <v>2203</v>
      </c>
      <c r="O36" s="7">
        <v>1492537.3134328357</v>
      </c>
      <c r="P36" s="7">
        <v>1194029.8507462686</v>
      </c>
      <c r="Q36" s="7">
        <v>2743</v>
      </c>
      <c r="R36" s="7">
        <v>623880.59701492533</v>
      </c>
      <c r="S36" s="7">
        <v>678553</v>
      </c>
      <c r="T36" s="7">
        <v>678553</v>
      </c>
      <c r="U36" s="62">
        <v>8.1</v>
      </c>
      <c r="V36" s="123">
        <f t="shared" si="0"/>
        <v>0</v>
      </c>
    </row>
    <row r="37" spans="1:22">
      <c r="A37">
        <f t="shared" si="1"/>
        <v>36</v>
      </c>
      <c r="B37" s="5" t="s">
        <v>2211</v>
      </c>
      <c r="C37" s="5" t="s">
        <v>419</v>
      </c>
      <c r="D37" s="39" t="s">
        <v>2212</v>
      </c>
      <c r="E37" s="4">
        <v>2018</v>
      </c>
      <c r="F37" s="4" t="s">
        <v>44</v>
      </c>
      <c r="G37" s="4">
        <v>4</v>
      </c>
      <c r="H37" s="56" t="s">
        <v>2209</v>
      </c>
      <c r="I37" s="5" t="s">
        <v>148</v>
      </c>
      <c r="J37" s="5" t="s">
        <v>606</v>
      </c>
      <c r="K37" s="5" t="s">
        <v>2213</v>
      </c>
      <c r="L37" s="39" t="s">
        <v>2216</v>
      </c>
      <c r="M37" s="39" t="s">
        <v>2210</v>
      </c>
      <c r="N37" s="39" t="s">
        <v>1585</v>
      </c>
      <c r="O37" s="7">
        <v>4477611</v>
      </c>
      <c r="P37" s="7">
        <v>2238805</v>
      </c>
      <c r="Q37" s="7">
        <v>49372</v>
      </c>
      <c r="R37" s="7">
        <v>4843283</v>
      </c>
      <c r="S37" s="7">
        <v>5504562</v>
      </c>
      <c r="T37" s="7">
        <v>5504562</v>
      </c>
      <c r="U37" s="62">
        <v>8.4</v>
      </c>
      <c r="V37" s="123">
        <f t="shared" si="0"/>
        <v>0</v>
      </c>
    </row>
    <row r="38" spans="1:22">
      <c r="A38">
        <f t="shared" si="1"/>
        <v>37</v>
      </c>
      <c r="B38" s="5" t="s">
        <v>2217</v>
      </c>
      <c r="C38" s="5" t="s">
        <v>135</v>
      </c>
      <c r="D38" s="5" t="s">
        <v>2218</v>
      </c>
      <c r="E38" s="4">
        <v>2019</v>
      </c>
      <c r="F38" s="4" t="s">
        <v>44</v>
      </c>
      <c r="G38" s="4">
        <v>2</v>
      </c>
      <c r="H38" s="3" t="s">
        <v>604</v>
      </c>
      <c r="I38" s="5" t="s">
        <v>136</v>
      </c>
      <c r="J38" s="5" t="s">
        <v>606</v>
      </c>
      <c r="K38" s="5" t="s">
        <v>2219</v>
      </c>
      <c r="L38" s="5" t="s">
        <v>2221</v>
      </c>
      <c r="M38" s="39" t="s">
        <v>2276</v>
      </c>
      <c r="N38" s="5" t="s">
        <v>2222</v>
      </c>
      <c r="O38" s="7">
        <v>60000000</v>
      </c>
      <c r="P38" s="7">
        <v>35000000</v>
      </c>
      <c r="Q38" s="7">
        <v>77099702</v>
      </c>
      <c r="R38" s="7">
        <v>328507643</v>
      </c>
      <c r="S38" s="7">
        <v>326150303</v>
      </c>
      <c r="T38" s="7">
        <v>326150303</v>
      </c>
      <c r="U38" s="65">
        <v>8.5</v>
      </c>
      <c r="V38" s="123">
        <f t="shared" si="0"/>
        <v>0</v>
      </c>
    </row>
    <row r="39" spans="1:22">
      <c r="A39">
        <f t="shared" si="1"/>
        <v>38</v>
      </c>
      <c r="B39" s="5" t="s">
        <v>2236</v>
      </c>
      <c r="C39" s="5" t="s">
        <v>422</v>
      </c>
      <c r="D39" s="39" t="s">
        <v>3026</v>
      </c>
      <c r="E39" s="4">
        <v>2018</v>
      </c>
      <c r="F39" s="4" t="s">
        <v>44</v>
      </c>
      <c r="G39" s="4">
        <v>4</v>
      </c>
      <c r="H39" s="3" t="s">
        <v>2229</v>
      </c>
      <c r="I39" s="5" t="s">
        <v>148</v>
      </c>
      <c r="J39" s="5" t="s">
        <v>606</v>
      </c>
      <c r="K39" s="5" t="s">
        <v>1973</v>
      </c>
      <c r="L39" s="5" t="s">
        <v>2239</v>
      </c>
      <c r="M39" s="5" t="s">
        <v>1444</v>
      </c>
      <c r="N39" s="5" t="s">
        <v>2241</v>
      </c>
      <c r="O39" s="7">
        <v>5970149</v>
      </c>
      <c r="P39" s="7">
        <v>2238805</v>
      </c>
      <c r="Q39" s="7">
        <v>1320000</v>
      </c>
      <c r="R39" s="7">
        <v>4349253</v>
      </c>
      <c r="S39" s="7">
        <v>4778869</v>
      </c>
      <c r="T39" s="7">
        <v>4778869</v>
      </c>
      <c r="U39" s="62">
        <v>8</v>
      </c>
      <c r="V39" s="123">
        <f t="shared" si="0"/>
        <v>0</v>
      </c>
    </row>
    <row r="40" spans="1:22">
      <c r="A40">
        <f t="shared" si="1"/>
        <v>39</v>
      </c>
      <c r="B40" s="5" t="s">
        <v>2243</v>
      </c>
      <c r="C40" s="5" t="s">
        <v>1024</v>
      </c>
      <c r="D40" s="5" t="s">
        <v>2244</v>
      </c>
      <c r="E40" s="4">
        <v>2018</v>
      </c>
      <c r="F40" s="4" t="s">
        <v>44</v>
      </c>
      <c r="G40" s="4">
        <v>4</v>
      </c>
      <c r="H40" s="3" t="s">
        <v>2242</v>
      </c>
      <c r="I40" s="5" t="s">
        <v>136</v>
      </c>
      <c r="J40" s="39" t="s">
        <v>606</v>
      </c>
      <c r="K40" s="5" t="s">
        <v>2245</v>
      </c>
      <c r="L40" s="5" t="s">
        <v>2248</v>
      </c>
      <c r="M40" s="5" t="s">
        <v>1445</v>
      </c>
      <c r="N40" s="5" t="s">
        <v>1445</v>
      </c>
      <c r="O40" s="7">
        <v>1194029.8507462686</v>
      </c>
      <c r="P40" s="7">
        <v>746268.65671641787</v>
      </c>
      <c r="Q40" s="7">
        <v>110000</v>
      </c>
      <c r="R40" s="7">
        <v>458208.95522388059</v>
      </c>
      <c r="S40" s="7">
        <v>469140</v>
      </c>
      <c r="T40" s="7">
        <v>469140</v>
      </c>
      <c r="U40" s="62">
        <v>7.5</v>
      </c>
      <c r="V40" s="123">
        <f t="shared" si="0"/>
        <v>0</v>
      </c>
    </row>
    <row r="41" spans="1:22">
      <c r="A41">
        <f t="shared" si="1"/>
        <v>40</v>
      </c>
      <c r="B41" s="5" t="s">
        <v>2251</v>
      </c>
      <c r="C41" s="5" t="s">
        <v>387</v>
      </c>
      <c r="D41" s="5" t="s">
        <v>2252</v>
      </c>
      <c r="E41" s="4">
        <v>2018</v>
      </c>
      <c r="F41" s="4" t="s">
        <v>44</v>
      </c>
      <c r="G41" s="4">
        <v>7</v>
      </c>
      <c r="H41" s="3" t="s">
        <v>2250</v>
      </c>
      <c r="I41" s="5" t="s">
        <v>127</v>
      </c>
      <c r="J41" s="5" t="s">
        <v>606</v>
      </c>
      <c r="K41" s="5" t="s">
        <v>2253</v>
      </c>
      <c r="L41" s="5" t="s">
        <v>2253</v>
      </c>
      <c r="M41" s="5" t="s">
        <v>1446</v>
      </c>
      <c r="N41" s="5" t="s">
        <v>1970</v>
      </c>
      <c r="O41" s="7">
        <v>4477611</v>
      </c>
      <c r="P41" s="7">
        <v>2238805</v>
      </c>
      <c r="Q41" s="7">
        <v>10070000</v>
      </c>
      <c r="R41" s="7">
        <v>2761194</v>
      </c>
      <c r="S41" s="7">
        <v>30355804</v>
      </c>
      <c r="T41" s="7">
        <v>30355804</v>
      </c>
      <c r="U41" s="62">
        <v>8.1</v>
      </c>
      <c r="V41" s="123">
        <f t="shared" si="0"/>
        <v>0</v>
      </c>
    </row>
    <row r="42" spans="1:22">
      <c r="A42">
        <f t="shared" si="1"/>
        <v>41</v>
      </c>
      <c r="B42" s="5" t="s">
        <v>2270</v>
      </c>
      <c r="C42" s="5" t="s">
        <v>1028</v>
      </c>
      <c r="D42" s="5" t="s">
        <v>2271</v>
      </c>
      <c r="E42" s="4">
        <v>2018</v>
      </c>
      <c r="F42" s="4" t="s">
        <v>44</v>
      </c>
      <c r="G42" s="4">
        <v>12</v>
      </c>
      <c r="H42" s="3" t="s">
        <v>975</v>
      </c>
      <c r="I42" s="5" t="s">
        <v>193</v>
      </c>
      <c r="J42" s="5" t="s">
        <v>597</v>
      </c>
      <c r="K42" s="5" t="s">
        <v>2272</v>
      </c>
      <c r="L42" s="5" t="s">
        <v>2274</v>
      </c>
      <c r="M42" s="5" t="s">
        <v>1448</v>
      </c>
      <c r="N42" s="5" t="s">
        <v>1948</v>
      </c>
      <c r="O42" s="7">
        <v>11940298</v>
      </c>
      <c r="P42" s="7">
        <v>4477611</v>
      </c>
      <c r="Q42" s="7">
        <v>14718449</v>
      </c>
      <c r="R42" s="7">
        <v>30597014</v>
      </c>
      <c r="S42" s="7">
        <v>32449600</v>
      </c>
      <c r="T42" s="7">
        <v>32449600</v>
      </c>
      <c r="U42" s="62">
        <v>5.9</v>
      </c>
      <c r="V42" s="123">
        <f t="shared" si="0"/>
        <v>0</v>
      </c>
    </row>
    <row r="43" spans="1:22">
      <c r="A43">
        <f t="shared" si="1"/>
        <v>42</v>
      </c>
      <c r="B43" s="5" t="s">
        <v>2281</v>
      </c>
      <c r="C43" s="5" t="s">
        <v>377</v>
      </c>
      <c r="D43" s="5" t="s">
        <v>2282</v>
      </c>
      <c r="E43" s="4">
        <v>2018</v>
      </c>
      <c r="F43" s="4" t="s">
        <v>44</v>
      </c>
      <c r="G43" s="4">
        <v>6</v>
      </c>
      <c r="H43" s="3" t="s">
        <v>854</v>
      </c>
      <c r="I43" s="5" t="s">
        <v>127</v>
      </c>
      <c r="J43" s="5" t="s">
        <v>1397</v>
      </c>
      <c r="K43" s="5" t="s">
        <v>2283</v>
      </c>
      <c r="L43" s="5" t="s">
        <v>2284</v>
      </c>
      <c r="M43" s="5" t="s">
        <v>1449</v>
      </c>
      <c r="N43" s="5" t="s">
        <v>2285</v>
      </c>
      <c r="O43" s="7">
        <v>29850746</v>
      </c>
      <c r="P43" s="7">
        <v>5970149</v>
      </c>
      <c r="Q43" s="7">
        <v>3241628</v>
      </c>
      <c r="R43" s="7">
        <v>74626865</v>
      </c>
      <c r="S43" s="7">
        <v>74842075</v>
      </c>
      <c r="T43" s="7">
        <v>74842075</v>
      </c>
      <c r="U43" s="62">
        <v>8.5</v>
      </c>
      <c r="V43" s="123">
        <f t="shared" si="0"/>
        <v>0</v>
      </c>
    </row>
    <row r="44" spans="1:22">
      <c r="A44">
        <f t="shared" si="1"/>
        <v>43</v>
      </c>
      <c r="B44" s="5" t="s">
        <v>2310</v>
      </c>
      <c r="C44" s="5" t="s">
        <v>1060</v>
      </c>
      <c r="D44" s="5" t="s">
        <v>1060</v>
      </c>
      <c r="E44" s="4">
        <v>2017</v>
      </c>
      <c r="F44" s="4" t="s">
        <v>44</v>
      </c>
      <c r="G44" s="4">
        <v>9</v>
      </c>
      <c r="H44" s="3" t="s">
        <v>2309</v>
      </c>
      <c r="I44" s="5" t="s">
        <v>129</v>
      </c>
      <c r="J44" s="5" t="s">
        <v>602</v>
      </c>
      <c r="K44" s="5" t="s">
        <v>2008</v>
      </c>
      <c r="L44" s="5" t="s">
        <v>2311</v>
      </c>
      <c r="M44" s="5" t="s">
        <v>609</v>
      </c>
      <c r="N44" s="5" t="s">
        <v>2312</v>
      </c>
      <c r="O44" s="7">
        <v>29850746.268656716</v>
      </c>
      <c r="P44" s="7">
        <v>8955223.880597014</v>
      </c>
      <c r="Q44" s="7">
        <v>13113024</v>
      </c>
      <c r="R44" s="7">
        <v>76567164.179104477</v>
      </c>
      <c r="S44" s="7">
        <v>106389853</v>
      </c>
      <c r="T44" s="7">
        <v>140783360</v>
      </c>
      <c r="U44" s="62">
        <v>8.4</v>
      </c>
      <c r="V44" s="123">
        <f t="shared" si="0"/>
        <v>34393507</v>
      </c>
    </row>
    <row r="45" spans="1:22">
      <c r="A45">
        <f t="shared" si="1"/>
        <v>44</v>
      </c>
      <c r="B45" s="5" t="s">
        <v>2319</v>
      </c>
      <c r="C45" s="5" t="s">
        <v>8</v>
      </c>
      <c r="D45" s="5" t="s">
        <v>2320</v>
      </c>
      <c r="E45" s="4">
        <v>2017</v>
      </c>
      <c r="F45" s="4" t="s">
        <v>44</v>
      </c>
      <c r="G45" s="4">
        <v>7</v>
      </c>
      <c r="H45" s="3" t="s">
        <v>1066</v>
      </c>
      <c r="I45" s="5" t="s">
        <v>129</v>
      </c>
      <c r="J45" s="5" t="s">
        <v>606</v>
      </c>
      <c r="K45" s="5" t="s">
        <v>2321</v>
      </c>
      <c r="L45" s="5" t="s">
        <v>2321</v>
      </c>
      <c r="M45" s="5" t="s">
        <v>1067</v>
      </c>
      <c r="N45" s="5" t="s">
        <v>2322</v>
      </c>
      <c r="O45" s="7">
        <v>29850746.300000001</v>
      </c>
      <c r="P45" s="7">
        <v>14925373.1</v>
      </c>
      <c r="Q45" s="7">
        <v>219022</v>
      </c>
      <c r="R45" s="7">
        <v>792537313</v>
      </c>
      <c r="S45" s="7">
        <v>832753071</v>
      </c>
      <c r="T45" s="7">
        <v>835474171</v>
      </c>
      <c r="U45" s="62">
        <v>9.6999999999999993</v>
      </c>
      <c r="V45" s="123">
        <f t="shared" si="0"/>
        <v>2721100</v>
      </c>
    </row>
    <row r="46" spans="1:22">
      <c r="A46">
        <f t="shared" si="1"/>
        <v>45</v>
      </c>
      <c r="B46" s="5" t="s">
        <v>2323</v>
      </c>
      <c r="C46" s="5" t="s">
        <v>1069</v>
      </c>
      <c r="D46" s="5" t="s">
        <v>2324</v>
      </c>
      <c r="E46" s="4">
        <v>2017</v>
      </c>
      <c r="F46" s="4" t="s">
        <v>44</v>
      </c>
      <c r="G46" s="4">
        <v>2</v>
      </c>
      <c r="H46" s="3" t="s">
        <v>1068</v>
      </c>
      <c r="I46" s="5" t="s">
        <v>129</v>
      </c>
      <c r="J46" s="5" t="s">
        <v>606</v>
      </c>
      <c r="K46" s="5" t="s">
        <v>2325</v>
      </c>
      <c r="L46" s="5" t="s">
        <v>2326</v>
      </c>
      <c r="M46" s="5" t="s">
        <v>641</v>
      </c>
      <c r="N46" s="5" t="s">
        <v>1948</v>
      </c>
      <c r="O46" s="7">
        <v>65671641</v>
      </c>
      <c r="P46" s="7">
        <v>11940298</v>
      </c>
      <c r="Q46" s="7">
        <v>463883</v>
      </c>
      <c r="R46" s="7">
        <v>233134328</v>
      </c>
      <c r="S46" s="7">
        <v>247924803</v>
      </c>
      <c r="T46" s="7">
        <v>248805149</v>
      </c>
      <c r="U46" s="62">
        <v>7.7</v>
      </c>
      <c r="V46" s="123">
        <f t="shared" si="0"/>
        <v>880346</v>
      </c>
    </row>
    <row r="47" spans="1:22" ht="15">
      <c r="A47">
        <f t="shared" si="1"/>
        <v>46</v>
      </c>
      <c r="B47" s="5" t="s">
        <v>2327</v>
      </c>
      <c r="C47" s="5" t="s">
        <v>1071</v>
      </c>
      <c r="D47" s="5" t="s">
        <v>1071</v>
      </c>
      <c r="E47" s="4">
        <v>2017</v>
      </c>
      <c r="F47" s="4" t="s">
        <v>44</v>
      </c>
      <c r="G47" s="4">
        <v>3</v>
      </c>
      <c r="H47" s="3" t="s">
        <v>1070</v>
      </c>
      <c r="I47" s="39" t="s">
        <v>1404</v>
      </c>
      <c r="J47" s="5" t="s">
        <v>602</v>
      </c>
      <c r="K47" s="5" t="s">
        <v>2328</v>
      </c>
      <c r="L47" s="5" t="s">
        <v>2331</v>
      </c>
      <c r="M47" s="5" t="s">
        <v>626</v>
      </c>
      <c r="N47" s="5" t="s">
        <v>2332</v>
      </c>
      <c r="O47" s="7">
        <v>5970149.253731343</v>
      </c>
      <c r="P47" s="7">
        <v>11940298.507462686</v>
      </c>
      <c r="Q47" s="7">
        <v>323207</v>
      </c>
      <c r="R47" s="7">
        <v>56417910.447761193</v>
      </c>
      <c r="S47" s="7">
        <v>58576718</v>
      </c>
      <c r="T47" s="7">
        <v>59263153</v>
      </c>
      <c r="U47" s="62">
        <v>8.6</v>
      </c>
      <c r="V47" s="123">
        <f t="shared" si="0"/>
        <v>686435</v>
      </c>
    </row>
    <row r="48" spans="1:22">
      <c r="A48">
        <f t="shared" si="1"/>
        <v>47</v>
      </c>
      <c r="B48" s="5" t="s">
        <v>2340</v>
      </c>
      <c r="C48" s="5" t="s">
        <v>1075</v>
      </c>
      <c r="D48" s="5" t="s">
        <v>1075</v>
      </c>
      <c r="E48" s="4">
        <v>2017</v>
      </c>
      <c r="F48" s="4" t="s">
        <v>44</v>
      </c>
      <c r="G48" s="4">
        <v>8</v>
      </c>
      <c r="H48" s="22" t="s">
        <v>2339</v>
      </c>
      <c r="I48" s="5" t="s">
        <v>131</v>
      </c>
      <c r="J48" s="5" t="s">
        <v>602</v>
      </c>
      <c r="K48" s="5" t="s">
        <v>2014</v>
      </c>
      <c r="L48" s="5" t="s">
        <v>2342</v>
      </c>
      <c r="M48" s="5" t="s">
        <v>601</v>
      </c>
      <c r="N48" s="5" t="s">
        <v>2344</v>
      </c>
      <c r="O48" s="7">
        <v>29850746.268656716</v>
      </c>
      <c r="P48" s="7">
        <v>14925373.134328358</v>
      </c>
      <c r="Q48" s="7">
        <v>249933</v>
      </c>
      <c r="R48" s="7">
        <v>74776119.402985066</v>
      </c>
      <c r="S48" s="7">
        <v>82406221</v>
      </c>
      <c r="T48" s="7">
        <v>82891949</v>
      </c>
      <c r="U48" s="62">
        <v>7.1</v>
      </c>
      <c r="V48" s="123">
        <f t="shared" si="0"/>
        <v>485728</v>
      </c>
    </row>
    <row r="49" spans="1:22">
      <c r="A49">
        <f t="shared" si="1"/>
        <v>48</v>
      </c>
      <c r="B49" s="5" t="s">
        <v>2345</v>
      </c>
      <c r="C49" s="5" t="s">
        <v>1077</v>
      </c>
      <c r="D49" s="5" t="s">
        <v>2346</v>
      </c>
      <c r="E49" s="4">
        <v>2017</v>
      </c>
      <c r="F49" s="4" t="s">
        <v>44</v>
      </c>
      <c r="G49" s="4">
        <v>2</v>
      </c>
      <c r="H49" s="3" t="s">
        <v>1076</v>
      </c>
      <c r="I49" s="5" t="s">
        <v>131</v>
      </c>
      <c r="J49" s="5" t="s">
        <v>606</v>
      </c>
      <c r="K49" s="5" t="s">
        <v>2045</v>
      </c>
      <c r="L49" s="5" t="s">
        <v>2195</v>
      </c>
      <c r="M49" s="5" t="s">
        <v>626</v>
      </c>
      <c r="N49" s="5" t="s">
        <v>2196</v>
      </c>
      <c r="O49" s="7">
        <v>23880597</v>
      </c>
      <c r="P49" s="7">
        <v>8955223</v>
      </c>
      <c r="Q49" s="7">
        <v>160739</v>
      </c>
      <c r="R49" s="7">
        <v>145970149</v>
      </c>
      <c r="S49" s="7">
        <v>152549032</v>
      </c>
      <c r="T49" s="7">
        <v>153018738</v>
      </c>
      <c r="U49" s="62">
        <v>8.6999999999999993</v>
      </c>
      <c r="V49" s="123">
        <f t="shared" si="0"/>
        <v>469706</v>
      </c>
    </row>
    <row r="50" spans="1:22">
      <c r="A50">
        <f t="shared" si="1"/>
        <v>49</v>
      </c>
      <c r="B50" s="5" t="s">
        <v>2347</v>
      </c>
      <c r="C50" s="5" t="s">
        <v>1081</v>
      </c>
      <c r="D50" s="5" t="s">
        <v>2348</v>
      </c>
      <c r="E50" s="4">
        <v>2017</v>
      </c>
      <c r="F50" s="4" t="s">
        <v>44</v>
      </c>
      <c r="G50" s="4">
        <v>1</v>
      </c>
      <c r="H50" s="3" t="s">
        <v>1080</v>
      </c>
      <c r="I50" s="5" t="s">
        <v>129</v>
      </c>
      <c r="J50" s="5" t="s">
        <v>606</v>
      </c>
      <c r="K50" s="5" t="s">
        <v>2008</v>
      </c>
      <c r="L50" s="5" t="s">
        <v>2349</v>
      </c>
      <c r="M50" s="5" t="s">
        <v>601</v>
      </c>
      <c r="N50" s="5" t="s">
        <v>2350</v>
      </c>
      <c r="O50" s="7">
        <v>59701492</v>
      </c>
      <c r="P50" s="7">
        <v>11940298</v>
      </c>
      <c r="Q50" s="7">
        <v>111979</v>
      </c>
      <c r="R50" s="7">
        <v>245373134</v>
      </c>
      <c r="S50" s="7">
        <v>255641470</v>
      </c>
      <c r="T50" s="7">
        <v>256004127</v>
      </c>
      <c r="U50" s="62">
        <v>8.4</v>
      </c>
      <c r="V50" s="123">
        <f t="shared" si="0"/>
        <v>362657</v>
      </c>
    </row>
    <row r="51" spans="1:22">
      <c r="A51">
        <f t="shared" si="1"/>
        <v>50</v>
      </c>
      <c r="B51" s="5" t="s">
        <v>2351</v>
      </c>
      <c r="C51" s="5" t="s">
        <v>1083</v>
      </c>
      <c r="D51" s="5" t="s">
        <v>1083</v>
      </c>
      <c r="E51" s="4">
        <v>2017</v>
      </c>
      <c r="F51" s="4" t="s">
        <v>44</v>
      </c>
      <c r="G51" s="4">
        <v>5</v>
      </c>
      <c r="H51" s="3" t="s">
        <v>1082</v>
      </c>
      <c r="I51" s="5" t="s">
        <v>136</v>
      </c>
      <c r="J51" s="5" t="s">
        <v>606</v>
      </c>
      <c r="K51" s="5" t="s">
        <v>2352</v>
      </c>
      <c r="L51" s="5" t="s">
        <v>2353</v>
      </c>
      <c r="M51" s="5" t="s">
        <v>601</v>
      </c>
      <c r="N51" s="5" t="s">
        <v>2354</v>
      </c>
      <c r="O51" s="7">
        <v>10447761.194029851</v>
      </c>
      <c r="P51" s="7">
        <v>5970149.253731343</v>
      </c>
      <c r="Q51" s="7">
        <v>135252</v>
      </c>
      <c r="R51" s="7">
        <v>29552238.805970147</v>
      </c>
      <c r="S51" s="7">
        <v>30658944</v>
      </c>
      <c r="T51" s="7">
        <v>30996614</v>
      </c>
      <c r="U51" s="62">
        <v>8.9</v>
      </c>
      <c r="V51" s="123">
        <f t="shared" si="0"/>
        <v>337670</v>
      </c>
    </row>
    <row r="52" spans="1:22">
      <c r="A52">
        <f t="shared" si="1"/>
        <v>51</v>
      </c>
      <c r="B52" s="5" t="s">
        <v>2355</v>
      </c>
      <c r="C52" s="5" t="s">
        <v>1085</v>
      </c>
      <c r="D52" s="5" t="s">
        <v>2356</v>
      </c>
      <c r="E52" s="4">
        <v>2017</v>
      </c>
      <c r="F52" s="4" t="s">
        <v>44</v>
      </c>
      <c r="G52" s="4">
        <v>10</v>
      </c>
      <c r="H52" s="3" t="s">
        <v>1084</v>
      </c>
      <c r="I52" s="5" t="s">
        <v>264</v>
      </c>
      <c r="J52" s="5" t="s">
        <v>606</v>
      </c>
      <c r="K52" s="5" t="s">
        <v>2357</v>
      </c>
      <c r="L52" s="5" t="s">
        <v>2357</v>
      </c>
      <c r="M52" s="5" t="s">
        <v>601</v>
      </c>
      <c r="N52" s="5" t="s">
        <v>2358</v>
      </c>
      <c r="O52" s="7">
        <v>10447761</v>
      </c>
      <c r="P52" s="7">
        <v>7462686</v>
      </c>
      <c r="Q52" s="7">
        <v>115524</v>
      </c>
      <c r="R52" s="7">
        <v>64328358</v>
      </c>
      <c r="S52" s="7">
        <v>68409784</v>
      </c>
      <c r="T52" s="7">
        <v>68722321</v>
      </c>
      <c r="U52" s="62">
        <v>9.1999999999999993</v>
      </c>
      <c r="V52" s="123">
        <f t="shared" si="0"/>
        <v>312537</v>
      </c>
    </row>
    <row r="53" spans="1:22">
      <c r="A53">
        <f t="shared" si="1"/>
        <v>52</v>
      </c>
      <c r="B53" s="5" t="s">
        <v>2359</v>
      </c>
      <c r="C53" s="5" t="s">
        <v>1086</v>
      </c>
      <c r="D53" s="5" t="s">
        <v>1086</v>
      </c>
      <c r="E53" s="4">
        <v>2017</v>
      </c>
      <c r="F53" s="4" t="s">
        <v>44</v>
      </c>
      <c r="G53" s="4">
        <v>1</v>
      </c>
      <c r="H53" s="3" t="s">
        <v>1080</v>
      </c>
      <c r="I53" s="5" t="s">
        <v>129</v>
      </c>
      <c r="J53" s="5" t="s">
        <v>606</v>
      </c>
      <c r="K53" s="5" t="s">
        <v>1946</v>
      </c>
      <c r="L53" s="5" t="s">
        <v>1946</v>
      </c>
      <c r="M53" s="5" t="s">
        <v>626</v>
      </c>
      <c r="N53" s="5" t="s">
        <v>2360</v>
      </c>
      <c r="O53" s="7">
        <v>17910447.761194028</v>
      </c>
      <c r="P53" s="7">
        <v>8955223.880597014</v>
      </c>
      <c r="Q53" s="7">
        <v>181705</v>
      </c>
      <c r="R53" s="7">
        <v>107164179.10447761</v>
      </c>
      <c r="S53" s="7">
        <v>109911139</v>
      </c>
      <c r="T53" s="7">
        <v>110203801</v>
      </c>
      <c r="U53" s="62">
        <v>7.4</v>
      </c>
      <c r="V53" s="123">
        <f t="shared" si="0"/>
        <v>292662</v>
      </c>
    </row>
    <row r="54" spans="1:22">
      <c r="A54">
        <f t="shared" si="1"/>
        <v>53</v>
      </c>
      <c r="B54" s="5" t="s">
        <v>2361</v>
      </c>
      <c r="C54" s="5" t="s">
        <v>1090</v>
      </c>
      <c r="D54" s="5" t="s">
        <v>1090</v>
      </c>
      <c r="E54" s="4">
        <v>2017</v>
      </c>
      <c r="F54" s="4" t="s">
        <v>44</v>
      </c>
      <c r="G54" s="4">
        <v>8</v>
      </c>
      <c r="H54" s="3" t="s">
        <v>1089</v>
      </c>
      <c r="I54" s="5" t="s">
        <v>1404</v>
      </c>
      <c r="J54" s="5" t="s">
        <v>606</v>
      </c>
      <c r="K54" s="5" t="s">
        <v>2362</v>
      </c>
      <c r="L54" s="5" t="s">
        <v>2364</v>
      </c>
      <c r="M54" s="5" t="s">
        <v>601</v>
      </c>
      <c r="N54" s="5" t="s">
        <v>2365</v>
      </c>
      <c r="O54" s="7">
        <v>11940298.507462686</v>
      </c>
      <c r="P54" s="7">
        <v>2985074.6268656715</v>
      </c>
      <c r="Q54" s="42">
        <v>22180000</v>
      </c>
      <c r="R54" s="7">
        <v>32686567.164179105</v>
      </c>
      <c r="S54" s="7">
        <v>36585148</v>
      </c>
      <c r="T54" s="7">
        <v>36801704</v>
      </c>
      <c r="U54" s="62">
        <v>8.1</v>
      </c>
      <c r="V54" s="123">
        <f t="shared" si="0"/>
        <v>216556</v>
      </c>
    </row>
    <row r="55" spans="1:22">
      <c r="A55">
        <f t="shared" si="1"/>
        <v>54</v>
      </c>
      <c r="B55" s="5" t="s">
        <v>2366</v>
      </c>
      <c r="C55" s="5" t="s">
        <v>1092</v>
      </c>
      <c r="D55" s="5" t="s">
        <v>2367</v>
      </c>
      <c r="E55" s="4">
        <v>2017</v>
      </c>
      <c r="F55" s="4" t="s">
        <v>44</v>
      </c>
      <c r="G55" s="4">
        <v>11</v>
      </c>
      <c r="H55" s="3" t="s">
        <v>1091</v>
      </c>
      <c r="I55" s="5" t="s">
        <v>129</v>
      </c>
      <c r="J55" s="5" t="s">
        <v>606</v>
      </c>
      <c r="K55" s="5" t="s">
        <v>2019</v>
      </c>
      <c r="L55" s="5" t="s">
        <v>2368</v>
      </c>
      <c r="M55" s="5" t="s">
        <v>626</v>
      </c>
      <c r="N55" s="5" t="s">
        <v>2369</v>
      </c>
      <c r="O55" s="7">
        <v>7462686.5671641789</v>
      </c>
      <c r="P55" s="7">
        <v>2985074.6268656715</v>
      </c>
      <c r="Q55" s="7">
        <v>55307</v>
      </c>
      <c r="R55" s="7">
        <v>6984776.1194029851</v>
      </c>
      <c r="S55" s="7">
        <v>7618024</v>
      </c>
      <c r="T55" s="7">
        <v>7736408</v>
      </c>
      <c r="U55" s="62">
        <v>8.1999999999999993</v>
      </c>
      <c r="V55" s="123">
        <f t="shared" si="0"/>
        <v>118384</v>
      </c>
    </row>
    <row r="56" spans="1:22">
      <c r="A56">
        <f t="shared" si="1"/>
        <v>55</v>
      </c>
      <c r="B56" s="5" t="s">
        <v>2370</v>
      </c>
      <c r="C56" s="5" t="s">
        <v>1096</v>
      </c>
      <c r="D56" s="5" t="s">
        <v>2371</v>
      </c>
      <c r="E56" s="4">
        <v>2017</v>
      </c>
      <c r="F56" s="4" t="s">
        <v>44</v>
      </c>
      <c r="G56" s="4">
        <v>6</v>
      </c>
      <c r="H56" s="3" t="s">
        <v>1095</v>
      </c>
      <c r="I56" s="5" t="s">
        <v>129</v>
      </c>
      <c r="J56" s="5" t="s">
        <v>606</v>
      </c>
      <c r="K56" s="5" t="s">
        <v>2372</v>
      </c>
      <c r="L56" s="5" t="s">
        <v>2374</v>
      </c>
      <c r="M56" s="5" t="s">
        <v>601</v>
      </c>
      <c r="N56" s="5" t="s">
        <v>2375</v>
      </c>
      <c r="O56" s="7">
        <v>11940298</v>
      </c>
      <c r="P56" s="7">
        <v>4477611</v>
      </c>
      <c r="Q56" s="7">
        <v>54276</v>
      </c>
      <c r="R56" s="7">
        <v>16119402</v>
      </c>
      <c r="S56" s="7">
        <v>29836276</v>
      </c>
      <c r="T56" s="7">
        <v>29945246</v>
      </c>
      <c r="U56" s="62">
        <v>7.9</v>
      </c>
      <c r="V56" s="123">
        <f t="shared" si="0"/>
        <v>108970</v>
      </c>
    </row>
    <row r="57" spans="1:22">
      <c r="A57">
        <f t="shared" si="1"/>
        <v>56</v>
      </c>
      <c r="B57" s="5" t="s">
        <v>2376</v>
      </c>
      <c r="C57" s="5" t="s">
        <v>1098</v>
      </c>
      <c r="D57" s="5" t="s">
        <v>2377</v>
      </c>
      <c r="E57" s="4">
        <v>2017</v>
      </c>
      <c r="F57" s="4" t="s">
        <v>44</v>
      </c>
      <c r="G57" s="4">
        <v>6</v>
      </c>
      <c r="H57" s="3" t="s">
        <v>1097</v>
      </c>
      <c r="I57" s="5" t="s">
        <v>129</v>
      </c>
      <c r="J57" s="5" t="s">
        <v>606</v>
      </c>
      <c r="K57" s="5" t="s">
        <v>2378</v>
      </c>
      <c r="L57" s="5" t="s">
        <v>2380</v>
      </c>
      <c r="M57" s="5" t="s">
        <v>601</v>
      </c>
      <c r="N57" s="5" t="s">
        <v>1954</v>
      </c>
      <c r="O57" s="7">
        <v>14925373.134328358</v>
      </c>
      <c r="P57" s="7">
        <v>2985074.6268656715</v>
      </c>
      <c r="Q57" s="7">
        <v>23912</v>
      </c>
      <c r="R57" s="7">
        <v>9089402.9850746263</v>
      </c>
      <c r="S57" s="7">
        <v>9506524</v>
      </c>
      <c r="T57" s="7">
        <v>9560020</v>
      </c>
      <c r="U57" s="62">
        <v>8.3000000000000007</v>
      </c>
      <c r="V57" s="123">
        <f t="shared" si="0"/>
        <v>53496</v>
      </c>
    </row>
    <row r="58" spans="1:22">
      <c r="A58">
        <f t="shared" si="1"/>
        <v>57</v>
      </c>
      <c r="B58" s="5" t="s">
        <v>2381</v>
      </c>
      <c r="C58" s="5" t="s">
        <v>1100</v>
      </c>
      <c r="D58" s="5" t="s">
        <v>2382</v>
      </c>
      <c r="E58" s="4">
        <v>2017</v>
      </c>
      <c r="F58" s="4" t="s">
        <v>44</v>
      </c>
      <c r="G58" s="4">
        <v>6</v>
      </c>
      <c r="H58" s="3" t="s">
        <v>1099</v>
      </c>
      <c r="I58" s="5" t="s">
        <v>131</v>
      </c>
      <c r="J58" s="5" t="s">
        <v>606</v>
      </c>
      <c r="K58" s="5" t="s">
        <v>2383</v>
      </c>
      <c r="L58" s="5" t="s">
        <v>2384</v>
      </c>
      <c r="M58" s="5" t="s">
        <v>626</v>
      </c>
      <c r="N58" s="5" t="s">
        <v>2369</v>
      </c>
      <c r="O58" s="7">
        <v>8955223</v>
      </c>
      <c r="P58" s="7">
        <v>2238805</v>
      </c>
      <c r="Q58" s="7">
        <v>5942</v>
      </c>
      <c r="R58" s="7">
        <v>2480597</v>
      </c>
      <c r="S58" s="7">
        <v>2580320</v>
      </c>
      <c r="T58" s="7">
        <v>2632086</v>
      </c>
      <c r="U58" s="62">
        <v>8.1999999999999993</v>
      </c>
      <c r="V58" s="123">
        <f t="shared" si="0"/>
        <v>51766</v>
      </c>
    </row>
    <row r="59" spans="1:22">
      <c r="A59">
        <f t="shared" si="1"/>
        <v>58</v>
      </c>
      <c r="B59" s="5" t="s">
        <v>2385</v>
      </c>
      <c r="C59" s="5" t="s">
        <v>1106</v>
      </c>
      <c r="D59" s="5" t="s">
        <v>1106</v>
      </c>
      <c r="E59" s="4">
        <v>2017</v>
      </c>
      <c r="F59" s="4" t="s">
        <v>44</v>
      </c>
      <c r="G59" s="4">
        <v>9</v>
      </c>
      <c r="H59" s="3" t="s">
        <v>1105</v>
      </c>
      <c r="I59" s="5" t="s">
        <v>191</v>
      </c>
      <c r="J59" s="5" t="s">
        <v>597</v>
      </c>
      <c r="K59" s="39" t="s">
        <v>3047</v>
      </c>
      <c r="L59" s="5" t="s">
        <v>2386</v>
      </c>
      <c r="M59" s="5" t="s">
        <v>626</v>
      </c>
      <c r="N59" s="5" t="s">
        <v>2387</v>
      </c>
      <c r="O59" s="7">
        <v>447761.19402985071</v>
      </c>
      <c r="P59" s="7">
        <v>119402.98507462686</v>
      </c>
      <c r="Q59" s="7">
        <v>22222</v>
      </c>
      <c r="R59" s="7">
        <v>23283582.089552239</v>
      </c>
      <c r="S59" s="7">
        <v>25711603</v>
      </c>
      <c r="T59" s="7">
        <v>25733825</v>
      </c>
      <c r="U59" s="62">
        <v>9.1999999999999993</v>
      </c>
      <c r="V59" s="123">
        <f t="shared" si="0"/>
        <v>22222</v>
      </c>
    </row>
    <row r="60" spans="1:22">
      <c r="A60">
        <f t="shared" si="1"/>
        <v>59</v>
      </c>
      <c r="B60" s="5" t="s">
        <v>2388</v>
      </c>
      <c r="C60" s="5" t="s">
        <v>1108</v>
      </c>
      <c r="D60" s="5" t="s">
        <v>2389</v>
      </c>
      <c r="E60" s="4">
        <v>2017</v>
      </c>
      <c r="F60" s="4" t="s">
        <v>44</v>
      </c>
      <c r="G60" s="4">
        <v>8</v>
      </c>
      <c r="H60" s="3" t="s">
        <v>1107</v>
      </c>
      <c r="I60" s="5" t="s">
        <v>129</v>
      </c>
      <c r="J60" s="5" t="s">
        <v>606</v>
      </c>
      <c r="K60" s="5" t="s">
        <v>2289</v>
      </c>
      <c r="L60" s="5" t="s">
        <v>2390</v>
      </c>
      <c r="M60" s="5" t="s">
        <v>601</v>
      </c>
      <c r="N60" s="5" t="s">
        <v>2048</v>
      </c>
      <c r="O60" s="7">
        <v>17910447</v>
      </c>
      <c r="P60" s="7">
        <v>2985074</v>
      </c>
      <c r="Q60" s="7">
        <v>5122</v>
      </c>
      <c r="R60" s="7">
        <v>16119402</v>
      </c>
      <c r="S60" s="7">
        <v>17269548</v>
      </c>
      <c r="T60" s="7">
        <v>17283136</v>
      </c>
      <c r="U60" s="62">
        <v>7.9</v>
      </c>
      <c r="V60" s="123">
        <f t="shared" si="0"/>
        <v>13588</v>
      </c>
    </row>
    <row r="61" spans="1:22">
      <c r="A61">
        <f t="shared" si="1"/>
        <v>60</v>
      </c>
      <c r="B61" s="5" t="s">
        <v>2393</v>
      </c>
      <c r="C61" s="5" t="s">
        <v>1138</v>
      </c>
      <c r="D61" s="5" t="s">
        <v>1138</v>
      </c>
      <c r="E61" s="4">
        <v>2017</v>
      </c>
      <c r="F61" s="4" t="s">
        <v>44</v>
      </c>
      <c r="G61" s="4">
        <v>6</v>
      </c>
      <c r="H61" s="3" t="s">
        <v>2391</v>
      </c>
      <c r="I61" s="5" t="s">
        <v>131</v>
      </c>
      <c r="J61" s="5" t="s">
        <v>606</v>
      </c>
      <c r="K61" s="5" t="s">
        <v>2394</v>
      </c>
      <c r="L61" s="5" t="s">
        <v>2396</v>
      </c>
      <c r="M61" s="5" t="s">
        <v>2392</v>
      </c>
      <c r="N61" s="5" t="s">
        <v>2392</v>
      </c>
      <c r="O61" s="7">
        <v>447761.19402985071</v>
      </c>
      <c r="P61" s="7">
        <v>298507.46268656716</v>
      </c>
      <c r="Q61" s="42">
        <v>280000</v>
      </c>
      <c r="R61" s="7">
        <v>3483582.0895522386</v>
      </c>
      <c r="S61" s="7">
        <v>3741863</v>
      </c>
      <c r="T61" s="7">
        <v>3741863</v>
      </c>
      <c r="U61" s="62">
        <v>9.1999999999999993</v>
      </c>
      <c r="V61" s="123">
        <f t="shared" si="0"/>
        <v>0</v>
      </c>
    </row>
    <row r="62" spans="1:22">
      <c r="A62">
        <f t="shared" si="1"/>
        <v>61</v>
      </c>
      <c r="B62" s="5" t="s">
        <v>2406</v>
      </c>
      <c r="C62" s="5" t="s">
        <v>1163</v>
      </c>
      <c r="D62" s="5" t="s">
        <v>2407</v>
      </c>
      <c r="E62" s="4">
        <v>2018</v>
      </c>
      <c r="F62" s="4" t="s">
        <v>44</v>
      </c>
      <c r="G62" s="4">
        <v>6</v>
      </c>
      <c r="H62" s="3" t="s">
        <v>2064</v>
      </c>
      <c r="I62" s="5" t="s">
        <v>127</v>
      </c>
      <c r="J62" s="5" t="s">
        <v>602</v>
      </c>
      <c r="K62" s="5" t="s">
        <v>2408</v>
      </c>
      <c r="L62" s="5" t="s">
        <v>1744</v>
      </c>
      <c r="M62" s="5" t="s">
        <v>2405</v>
      </c>
      <c r="N62" s="5" t="s">
        <v>1746</v>
      </c>
      <c r="O62" s="7">
        <v>2985074</v>
      </c>
      <c r="P62" s="7">
        <v>1194029</v>
      </c>
      <c r="Q62" s="7">
        <v>153225</v>
      </c>
      <c r="R62" s="7">
        <v>10079104</v>
      </c>
      <c r="S62" s="7">
        <v>11264408</v>
      </c>
      <c r="T62" s="7">
        <v>11264408</v>
      </c>
      <c r="U62" s="62">
        <v>8.4</v>
      </c>
      <c r="V62" s="123">
        <f t="shared" si="0"/>
        <v>0</v>
      </c>
    </row>
    <row r="63" spans="1:22">
      <c r="A63">
        <f t="shared" si="1"/>
        <v>62</v>
      </c>
      <c r="B63" s="5" t="s">
        <v>2411</v>
      </c>
      <c r="C63" s="5" t="s">
        <v>1178</v>
      </c>
      <c r="D63" s="5" t="s">
        <v>2412</v>
      </c>
      <c r="E63" s="4">
        <v>2017</v>
      </c>
      <c r="F63" s="4" t="s">
        <v>44</v>
      </c>
      <c r="G63" s="4">
        <v>11</v>
      </c>
      <c r="H63" s="56" t="s">
        <v>668</v>
      </c>
      <c r="I63" s="5" t="s">
        <v>127</v>
      </c>
      <c r="J63" s="5" t="s">
        <v>606</v>
      </c>
      <c r="K63" s="5" t="s">
        <v>2413</v>
      </c>
      <c r="L63" s="39" t="s">
        <v>2416</v>
      </c>
      <c r="M63" s="5" t="s">
        <v>2410</v>
      </c>
      <c r="N63" s="5" t="s">
        <v>1746</v>
      </c>
      <c r="O63" s="7">
        <v>2985074.6268656715</v>
      </c>
      <c r="P63" s="7">
        <v>1492537.3134328357</v>
      </c>
      <c r="Q63" s="7">
        <v>49286</v>
      </c>
      <c r="R63" s="7">
        <v>4556716.4179104473</v>
      </c>
      <c r="S63" s="7">
        <v>4884807</v>
      </c>
      <c r="T63" s="7">
        <v>4884807</v>
      </c>
      <c r="U63" s="62">
        <v>8.6</v>
      </c>
      <c r="V63" s="123">
        <f t="shared" si="0"/>
        <v>0</v>
      </c>
    </row>
    <row r="64" spans="1:22">
      <c r="A64">
        <f t="shared" si="1"/>
        <v>63</v>
      </c>
      <c r="B64" s="5" t="s">
        <v>2417</v>
      </c>
      <c r="C64" s="5" t="s">
        <v>409</v>
      </c>
      <c r="D64" s="5" t="s">
        <v>2418</v>
      </c>
      <c r="E64" s="4">
        <v>2018</v>
      </c>
      <c r="F64" s="4" t="s">
        <v>44</v>
      </c>
      <c r="G64" s="4">
        <v>1</v>
      </c>
      <c r="H64" s="3" t="s">
        <v>2397</v>
      </c>
      <c r="I64" s="5" t="s">
        <v>129</v>
      </c>
      <c r="J64" s="5" t="s">
        <v>606</v>
      </c>
      <c r="K64" s="5" t="s">
        <v>2328</v>
      </c>
      <c r="L64" s="5" t="s">
        <v>2420</v>
      </c>
      <c r="M64" s="39" t="s">
        <v>2276</v>
      </c>
      <c r="N64" s="5" t="s">
        <v>1488</v>
      </c>
      <c r="O64" s="7">
        <v>14925373</v>
      </c>
      <c r="P64" s="7">
        <v>5522388</v>
      </c>
      <c r="Q64" s="7">
        <v>6465642</v>
      </c>
      <c r="R64" s="7">
        <v>8992537</v>
      </c>
      <c r="S64" s="7">
        <v>10079961</v>
      </c>
      <c r="T64" s="7">
        <v>10079961</v>
      </c>
      <c r="U64" s="62">
        <v>7.9</v>
      </c>
      <c r="V64" s="123">
        <f t="shared" si="0"/>
        <v>0</v>
      </c>
    </row>
    <row r="65" spans="1:22">
      <c r="A65">
        <f t="shared" si="1"/>
        <v>64</v>
      </c>
      <c r="B65" s="5" t="s">
        <v>2423</v>
      </c>
      <c r="C65" s="5" t="s">
        <v>388</v>
      </c>
      <c r="D65" s="5" t="s">
        <v>2424</v>
      </c>
      <c r="E65" s="4">
        <v>2018</v>
      </c>
      <c r="F65" s="4" t="s">
        <v>44</v>
      </c>
      <c r="G65" s="4">
        <v>2</v>
      </c>
      <c r="H65" s="3" t="s">
        <v>2421</v>
      </c>
      <c r="I65" s="5" t="s">
        <v>136</v>
      </c>
      <c r="J65" s="5" t="s">
        <v>606</v>
      </c>
      <c r="K65" s="5" t="s">
        <v>2425</v>
      </c>
      <c r="L65" s="5" t="s">
        <v>2427</v>
      </c>
      <c r="M65" s="5" t="s">
        <v>2422</v>
      </c>
      <c r="N65" s="5" t="s">
        <v>2422</v>
      </c>
      <c r="O65" s="7">
        <v>4477611</v>
      </c>
      <c r="P65" s="7">
        <v>2238805</v>
      </c>
      <c r="Q65" s="7">
        <v>7460000</v>
      </c>
      <c r="R65" s="7">
        <v>23432835</v>
      </c>
      <c r="S65" s="7">
        <v>26796280</v>
      </c>
      <c r="T65" s="7">
        <v>26796280</v>
      </c>
      <c r="U65" s="62">
        <v>7.6</v>
      </c>
      <c r="V65" s="123">
        <f t="shared" si="0"/>
        <v>0</v>
      </c>
    </row>
    <row r="66" spans="1:22">
      <c r="A66">
        <f t="shared" si="1"/>
        <v>65</v>
      </c>
      <c r="B66" s="5" t="s">
        <v>2428</v>
      </c>
      <c r="C66" s="5" t="s">
        <v>395</v>
      </c>
      <c r="D66" s="5" t="s">
        <v>2429</v>
      </c>
      <c r="E66" s="4">
        <v>2018</v>
      </c>
      <c r="F66" s="4" t="s">
        <v>44</v>
      </c>
      <c r="G66" s="4">
        <v>4</v>
      </c>
      <c r="H66" s="3" t="s">
        <v>2209</v>
      </c>
      <c r="I66" s="5" t="s">
        <v>148</v>
      </c>
      <c r="J66" s="5" t="s">
        <v>606</v>
      </c>
      <c r="K66" s="5" t="s">
        <v>2430</v>
      </c>
      <c r="L66" s="5" t="s">
        <v>2432</v>
      </c>
      <c r="M66" s="5" t="s">
        <v>1414</v>
      </c>
      <c r="N66" s="5" t="s">
        <v>2433</v>
      </c>
      <c r="O66" s="7">
        <v>3731343</v>
      </c>
      <c r="P66" s="7">
        <v>2238805</v>
      </c>
      <c r="Q66" s="7">
        <v>9920000</v>
      </c>
      <c r="R66" s="7">
        <v>15074626</v>
      </c>
      <c r="S66" s="7">
        <v>17241380</v>
      </c>
      <c r="T66" s="7">
        <v>17241380</v>
      </c>
      <c r="U66" s="62">
        <v>8.3000000000000007</v>
      </c>
      <c r="V66" s="123">
        <f t="shared" si="0"/>
        <v>0</v>
      </c>
    </row>
    <row r="67" spans="1:22">
      <c r="A67">
        <f t="shared" si="1"/>
        <v>66</v>
      </c>
      <c r="B67" s="5" t="s">
        <v>2435</v>
      </c>
      <c r="C67" s="5" t="s">
        <v>446</v>
      </c>
      <c r="D67" s="39" t="s">
        <v>2436</v>
      </c>
      <c r="E67" s="4">
        <v>2017</v>
      </c>
      <c r="F67" s="4" t="s">
        <v>44</v>
      </c>
      <c r="G67" s="4">
        <v>5</v>
      </c>
      <c r="H67" s="3" t="s">
        <v>863</v>
      </c>
      <c r="I67" s="5" t="s">
        <v>131</v>
      </c>
      <c r="J67" s="5" t="s">
        <v>597</v>
      </c>
      <c r="K67" s="5" t="s">
        <v>2437</v>
      </c>
      <c r="L67" s="5" t="s">
        <v>2440</v>
      </c>
      <c r="M67" s="5" t="s">
        <v>2434</v>
      </c>
      <c r="N67" s="5" t="s">
        <v>2441</v>
      </c>
      <c r="O67" s="7">
        <v>8955223.880597014</v>
      </c>
      <c r="P67" s="7">
        <v>1194029.8507462686</v>
      </c>
      <c r="Q67" s="7">
        <v>8323</v>
      </c>
      <c r="R67" s="7">
        <v>992537.31343283574</v>
      </c>
      <c r="S67" s="7">
        <v>1034623</v>
      </c>
      <c r="T67" s="7">
        <v>1034623</v>
      </c>
      <c r="U67" s="62">
        <v>7.6</v>
      </c>
      <c r="V67" s="123">
        <f t="shared" ref="V67:V115" si="2">T67-S67</f>
        <v>0</v>
      </c>
    </row>
    <row r="68" spans="1:22">
      <c r="A68">
        <f t="shared" ref="A68:A115" si="3">A67+1</f>
        <v>67</v>
      </c>
      <c r="B68" s="5" t="s">
        <v>2442</v>
      </c>
      <c r="C68" s="5" t="s">
        <v>1199</v>
      </c>
      <c r="D68" s="5" t="s">
        <v>2443</v>
      </c>
      <c r="E68" s="4">
        <v>2017</v>
      </c>
      <c r="F68" s="4" t="s">
        <v>44</v>
      </c>
      <c r="G68" s="4">
        <v>6</v>
      </c>
      <c r="H68" s="56" t="s">
        <v>1095</v>
      </c>
      <c r="I68" s="5" t="s">
        <v>131</v>
      </c>
      <c r="J68" s="5" t="s">
        <v>597</v>
      </c>
      <c r="K68" s="5" t="s">
        <v>2444</v>
      </c>
      <c r="L68" s="5" t="s">
        <v>2447</v>
      </c>
      <c r="M68" s="5" t="s">
        <v>1417</v>
      </c>
      <c r="N68" s="5" t="s">
        <v>2448</v>
      </c>
      <c r="O68" s="7">
        <v>8955223.8800000008</v>
      </c>
      <c r="P68" s="7">
        <v>2238805.9700000002</v>
      </c>
      <c r="Q68" s="7">
        <v>1860000</v>
      </c>
      <c r="R68" s="7">
        <v>10971343.300000001</v>
      </c>
      <c r="S68" s="7">
        <v>11037772</v>
      </c>
      <c r="T68" s="7">
        <v>11037772</v>
      </c>
      <c r="U68" s="59">
        <v>9.1</v>
      </c>
      <c r="V68" s="123">
        <f t="shared" si="2"/>
        <v>0</v>
      </c>
    </row>
    <row r="69" spans="1:22">
      <c r="A69">
        <f t="shared" si="3"/>
        <v>68</v>
      </c>
      <c r="B69" s="5" t="s">
        <v>2450</v>
      </c>
      <c r="C69" s="5" t="s">
        <v>1204</v>
      </c>
      <c r="D69" s="5" t="s">
        <v>1204</v>
      </c>
      <c r="E69" s="4">
        <v>2017</v>
      </c>
      <c r="F69" s="4" t="s">
        <v>44</v>
      </c>
      <c r="G69" s="4">
        <v>12</v>
      </c>
      <c r="H69" s="3" t="s">
        <v>1126</v>
      </c>
      <c r="I69" s="5" t="s">
        <v>127</v>
      </c>
      <c r="J69" s="5" t="s">
        <v>606</v>
      </c>
      <c r="K69" s="5" t="s">
        <v>2451</v>
      </c>
      <c r="L69" s="5" t="s">
        <v>2453</v>
      </c>
      <c r="M69" s="5" t="s">
        <v>2449</v>
      </c>
      <c r="N69" s="5" t="s">
        <v>2454</v>
      </c>
      <c r="O69" s="7">
        <v>4477611.940298507</v>
      </c>
      <c r="P69" s="7">
        <v>1194029.8507462686</v>
      </c>
      <c r="Q69" s="7">
        <v>570000</v>
      </c>
      <c r="R69" s="7">
        <v>7264776.1194029851</v>
      </c>
      <c r="S69" s="7">
        <v>1110000</v>
      </c>
      <c r="T69" s="7">
        <v>1110000</v>
      </c>
      <c r="U69" s="62">
        <v>8.5</v>
      </c>
      <c r="V69" s="123">
        <f t="shared" si="2"/>
        <v>0</v>
      </c>
    </row>
    <row r="70" spans="1:22">
      <c r="A70">
        <f t="shared" si="3"/>
        <v>69</v>
      </c>
      <c r="B70" s="5" t="s">
        <v>2456</v>
      </c>
      <c r="C70" s="5" t="s">
        <v>1208</v>
      </c>
      <c r="D70" s="5" t="s">
        <v>2457</v>
      </c>
      <c r="E70" s="4">
        <v>2017</v>
      </c>
      <c r="F70" s="4" t="s">
        <v>44</v>
      </c>
      <c r="G70" s="4">
        <v>11</v>
      </c>
      <c r="H70" s="56" t="s">
        <v>1111</v>
      </c>
      <c r="I70" s="5" t="s">
        <v>127</v>
      </c>
      <c r="J70" s="5" t="s">
        <v>606</v>
      </c>
      <c r="K70" s="5" t="s">
        <v>2458</v>
      </c>
      <c r="L70" s="5" t="s">
        <v>2458</v>
      </c>
      <c r="M70" s="5" t="s">
        <v>2455</v>
      </c>
      <c r="N70" s="5" t="s">
        <v>2460</v>
      </c>
      <c r="O70" s="7">
        <v>1492537</v>
      </c>
      <c r="P70" s="7">
        <v>2238805</v>
      </c>
      <c r="Q70" s="7">
        <v>1690000</v>
      </c>
      <c r="R70" s="7">
        <v>14552238</v>
      </c>
      <c r="S70" s="7">
        <v>15988889</v>
      </c>
      <c r="T70" s="7">
        <v>15988889</v>
      </c>
      <c r="U70" s="62">
        <v>8.6</v>
      </c>
      <c r="V70" s="123">
        <f t="shared" si="2"/>
        <v>0</v>
      </c>
    </row>
    <row r="71" spans="1:22">
      <c r="A71">
        <f t="shared" si="3"/>
        <v>70</v>
      </c>
      <c r="B71" s="5" t="s">
        <v>2462</v>
      </c>
      <c r="C71" s="18" t="s">
        <v>1215</v>
      </c>
      <c r="D71" s="5" t="s">
        <v>2463</v>
      </c>
      <c r="E71" s="17">
        <v>2017</v>
      </c>
      <c r="F71" s="4" t="s">
        <v>44</v>
      </c>
      <c r="G71" s="4">
        <v>12</v>
      </c>
      <c r="H71" s="56" t="s">
        <v>2461</v>
      </c>
      <c r="I71" s="18" t="s">
        <v>1404</v>
      </c>
      <c r="J71" s="5" t="s">
        <v>606</v>
      </c>
      <c r="K71" s="5" t="s">
        <v>1647</v>
      </c>
      <c r="L71" s="5" t="s">
        <v>2464</v>
      </c>
      <c r="M71" s="5" t="s">
        <v>1658</v>
      </c>
      <c r="N71" s="5" t="s">
        <v>2465</v>
      </c>
      <c r="O71" s="19">
        <v>7462686.5671641789</v>
      </c>
      <c r="P71" s="19">
        <v>2985074.6268656715</v>
      </c>
      <c r="Q71" s="7">
        <v>5690000</v>
      </c>
      <c r="R71" s="19">
        <v>7680860.5341246286</v>
      </c>
      <c r="S71" s="19">
        <v>8595808</v>
      </c>
      <c r="T71" s="19">
        <v>8595808</v>
      </c>
      <c r="U71" s="64">
        <v>8.4</v>
      </c>
      <c r="V71" s="123">
        <f t="shared" si="2"/>
        <v>0</v>
      </c>
    </row>
    <row r="72" spans="1:22">
      <c r="A72">
        <f t="shared" si="3"/>
        <v>71</v>
      </c>
      <c r="B72" s="5" t="s">
        <v>2466</v>
      </c>
      <c r="C72" s="5" t="s">
        <v>424</v>
      </c>
      <c r="D72" s="5" t="s">
        <v>2467</v>
      </c>
      <c r="E72" s="4">
        <v>2017</v>
      </c>
      <c r="F72" s="4" t="s">
        <v>44</v>
      </c>
      <c r="G72" s="4">
        <v>2</v>
      </c>
      <c r="H72" s="3" t="s">
        <v>824</v>
      </c>
      <c r="I72" s="5" t="s">
        <v>136</v>
      </c>
      <c r="J72" s="5" t="s">
        <v>606</v>
      </c>
      <c r="K72" s="5" t="s">
        <v>1824</v>
      </c>
      <c r="L72" s="5" t="s">
        <v>2470</v>
      </c>
      <c r="M72" s="39" t="s">
        <v>3004</v>
      </c>
      <c r="N72" s="5" t="s">
        <v>2471</v>
      </c>
      <c r="O72" s="7">
        <v>4477611.940298507</v>
      </c>
      <c r="P72" s="7">
        <v>746268.65671641787</v>
      </c>
      <c r="Q72" s="7">
        <v>2292772</v>
      </c>
      <c r="R72" s="7">
        <v>3644776.1194029851</v>
      </c>
      <c r="S72" s="7">
        <v>3791880</v>
      </c>
      <c r="T72" s="7">
        <v>3791880</v>
      </c>
      <c r="U72" s="62">
        <v>8.4</v>
      </c>
      <c r="V72" s="123">
        <f t="shared" si="2"/>
        <v>0</v>
      </c>
    </row>
    <row r="73" spans="1:22">
      <c r="A73">
        <f t="shared" si="3"/>
        <v>72</v>
      </c>
      <c r="B73" s="5" t="s">
        <v>2477</v>
      </c>
      <c r="C73" s="5" t="s">
        <v>1220</v>
      </c>
      <c r="D73" s="5" t="s">
        <v>1220</v>
      </c>
      <c r="E73" s="4">
        <v>2017</v>
      </c>
      <c r="F73" s="4" t="s">
        <v>44</v>
      </c>
      <c r="G73" s="4">
        <v>4</v>
      </c>
      <c r="H73" s="3" t="s">
        <v>1061</v>
      </c>
      <c r="I73" s="5" t="s">
        <v>127</v>
      </c>
      <c r="J73" s="5" t="s">
        <v>606</v>
      </c>
      <c r="K73" s="5" t="s">
        <v>2478</v>
      </c>
      <c r="L73" s="5" t="s">
        <v>2481</v>
      </c>
      <c r="M73" s="5" t="s">
        <v>2476</v>
      </c>
      <c r="N73" s="5" t="s">
        <v>2482</v>
      </c>
      <c r="O73" s="7">
        <v>1044776.1194029851</v>
      </c>
      <c r="P73" s="7">
        <v>447761.19402985071</v>
      </c>
      <c r="Q73" s="42">
        <v>1860000</v>
      </c>
      <c r="R73" s="7">
        <v>3702985.0746268658</v>
      </c>
      <c r="S73" s="7">
        <v>3660871</v>
      </c>
      <c r="T73" s="7">
        <v>3660871</v>
      </c>
      <c r="U73" s="62">
        <v>8.4</v>
      </c>
      <c r="V73" s="123">
        <f t="shared" si="2"/>
        <v>0</v>
      </c>
    </row>
    <row r="74" spans="1:22">
      <c r="A74">
        <f t="shared" si="3"/>
        <v>73</v>
      </c>
      <c r="B74" s="5" t="s">
        <v>2483</v>
      </c>
      <c r="C74" s="5" t="s">
        <v>379</v>
      </c>
      <c r="D74" s="5" t="s">
        <v>2484</v>
      </c>
      <c r="E74" s="4">
        <v>2018</v>
      </c>
      <c r="F74" s="4" t="s">
        <v>44</v>
      </c>
      <c r="G74" s="4">
        <v>4</v>
      </c>
      <c r="H74" s="3" t="s">
        <v>2148</v>
      </c>
      <c r="I74" s="5" t="s">
        <v>131</v>
      </c>
      <c r="J74" s="5" t="s">
        <v>606</v>
      </c>
      <c r="K74" s="5" t="s">
        <v>2220</v>
      </c>
      <c r="L74" s="5" t="s">
        <v>2486</v>
      </c>
      <c r="M74" s="5" t="s">
        <v>2455</v>
      </c>
      <c r="N74" s="5" t="s">
        <v>2487</v>
      </c>
      <c r="O74" s="7">
        <v>11194029</v>
      </c>
      <c r="P74" s="7">
        <v>4477611</v>
      </c>
      <c r="Q74" s="7">
        <v>15041365</v>
      </c>
      <c r="R74" s="7">
        <v>49850746</v>
      </c>
      <c r="S74" s="7">
        <v>56235548</v>
      </c>
      <c r="T74" s="7">
        <v>56235548</v>
      </c>
      <c r="U74" s="62">
        <v>8.4</v>
      </c>
      <c r="V74" s="123">
        <f t="shared" si="2"/>
        <v>0</v>
      </c>
    </row>
    <row r="75" spans="1:22">
      <c r="A75">
        <f t="shared" si="3"/>
        <v>74</v>
      </c>
      <c r="B75" s="5" t="s">
        <v>2490</v>
      </c>
      <c r="C75" s="5" t="s">
        <v>1232</v>
      </c>
      <c r="D75" s="5" t="s">
        <v>2491</v>
      </c>
      <c r="E75" s="4">
        <v>2017</v>
      </c>
      <c r="F75" s="4" t="s">
        <v>44</v>
      </c>
      <c r="G75" s="4">
        <v>8</v>
      </c>
      <c r="H75" s="56" t="s">
        <v>2488</v>
      </c>
      <c r="I75" s="5" t="s">
        <v>148</v>
      </c>
      <c r="J75" s="5" t="s">
        <v>606</v>
      </c>
      <c r="K75" s="5" t="s">
        <v>2492</v>
      </c>
      <c r="L75" s="5" t="s">
        <v>2494</v>
      </c>
      <c r="M75" s="5" t="s">
        <v>2489</v>
      </c>
      <c r="N75" s="5" t="s">
        <v>2495</v>
      </c>
      <c r="O75" s="7">
        <v>4477611</v>
      </c>
      <c r="P75" s="7">
        <v>1492537</v>
      </c>
      <c r="Q75" s="7">
        <v>1420000</v>
      </c>
      <c r="R75" s="7">
        <v>3697014</v>
      </c>
      <c r="S75" s="7">
        <v>3957193</v>
      </c>
      <c r="T75" s="7">
        <v>3957193</v>
      </c>
      <c r="U75" s="62">
        <v>8.4</v>
      </c>
      <c r="V75" s="123">
        <f t="shared" si="2"/>
        <v>0</v>
      </c>
    </row>
    <row r="76" spans="1:22">
      <c r="A76">
        <f t="shared" si="3"/>
        <v>75</v>
      </c>
      <c r="B76" s="5" t="s">
        <v>2497</v>
      </c>
      <c r="C76" s="5" t="s">
        <v>1244</v>
      </c>
      <c r="D76" s="5" t="s">
        <v>2498</v>
      </c>
      <c r="E76" s="4">
        <v>2018</v>
      </c>
      <c r="F76" s="4" t="s">
        <v>44</v>
      </c>
      <c r="G76" s="4">
        <v>1</v>
      </c>
      <c r="H76" s="3" t="s">
        <v>2496</v>
      </c>
      <c r="I76" s="5" t="s">
        <v>129</v>
      </c>
      <c r="J76" s="5" t="s">
        <v>606</v>
      </c>
      <c r="K76" s="5" t="s">
        <v>2499</v>
      </c>
      <c r="L76" s="5" t="s">
        <v>2501</v>
      </c>
      <c r="M76" s="5" t="s">
        <v>1442</v>
      </c>
      <c r="N76" s="5" t="s">
        <v>2502</v>
      </c>
      <c r="O76" s="7">
        <v>8955223</v>
      </c>
      <c r="P76" s="7">
        <v>1666666</v>
      </c>
      <c r="Q76" s="7">
        <v>42352</v>
      </c>
      <c r="R76" s="7">
        <v>5525373</v>
      </c>
      <c r="S76" s="7">
        <v>6168544</v>
      </c>
      <c r="T76" s="7">
        <v>6168544</v>
      </c>
      <c r="U76" s="62">
        <v>6.7</v>
      </c>
      <c r="V76" s="123">
        <f t="shared" si="2"/>
        <v>0</v>
      </c>
    </row>
    <row r="77" spans="1:22">
      <c r="A77">
        <f t="shared" si="3"/>
        <v>76</v>
      </c>
      <c r="B77" s="5" t="s">
        <v>2505</v>
      </c>
      <c r="C77" s="5" t="s">
        <v>450</v>
      </c>
      <c r="D77" s="5" t="s">
        <v>2506</v>
      </c>
      <c r="E77" s="4">
        <v>2017</v>
      </c>
      <c r="F77" s="4" t="s">
        <v>44</v>
      </c>
      <c r="G77" s="4">
        <v>1</v>
      </c>
      <c r="H77" s="3" t="s">
        <v>2503</v>
      </c>
      <c r="I77" s="5" t="s">
        <v>127</v>
      </c>
      <c r="J77" s="5" t="s">
        <v>606</v>
      </c>
      <c r="K77" s="5" t="s">
        <v>2507</v>
      </c>
      <c r="L77" s="5" t="s">
        <v>2509</v>
      </c>
      <c r="M77" s="5" t="s">
        <v>2504</v>
      </c>
      <c r="N77" s="5" t="s">
        <v>2510</v>
      </c>
      <c r="O77" s="7">
        <v>7462686.5671641789</v>
      </c>
      <c r="P77" s="7">
        <v>1194029.8507462686</v>
      </c>
      <c r="Q77" s="7">
        <v>423431</v>
      </c>
      <c r="R77" s="7">
        <v>862686.56716417905</v>
      </c>
      <c r="S77" s="7">
        <v>933589</v>
      </c>
      <c r="T77" s="7">
        <v>933589</v>
      </c>
      <c r="U77" s="62">
        <v>7.4</v>
      </c>
      <c r="V77" s="123">
        <f t="shared" si="2"/>
        <v>0</v>
      </c>
    </row>
    <row r="78" spans="1:22">
      <c r="A78">
        <f t="shared" si="3"/>
        <v>77</v>
      </c>
      <c r="B78" s="5" t="s">
        <v>2511</v>
      </c>
      <c r="C78" s="5" t="s">
        <v>427</v>
      </c>
      <c r="D78" s="5" t="s">
        <v>2512</v>
      </c>
      <c r="E78" s="4">
        <v>2017</v>
      </c>
      <c r="F78" s="4" t="s">
        <v>44</v>
      </c>
      <c r="G78" s="4">
        <v>2</v>
      </c>
      <c r="H78" s="3" t="s">
        <v>865</v>
      </c>
      <c r="I78" s="5" t="s">
        <v>148</v>
      </c>
      <c r="J78" s="5" t="s">
        <v>606</v>
      </c>
      <c r="K78" s="5" t="s">
        <v>2513</v>
      </c>
      <c r="L78" s="5" t="s">
        <v>2513</v>
      </c>
      <c r="M78" s="39" t="s">
        <v>3005</v>
      </c>
      <c r="N78" s="5" t="s">
        <v>2514</v>
      </c>
      <c r="O78" s="7">
        <v>4477611.940298507</v>
      </c>
      <c r="P78" s="7">
        <v>1194029.8507462686</v>
      </c>
      <c r="Q78" s="7">
        <v>2080000</v>
      </c>
      <c r="R78" s="7">
        <v>2689552.2388059702</v>
      </c>
      <c r="S78" s="7">
        <v>3026917</v>
      </c>
      <c r="T78" s="7">
        <v>3026917</v>
      </c>
      <c r="U78" s="62">
        <v>7.4</v>
      </c>
      <c r="V78" s="123">
        <f t="shared" si="2"/>
        <v>0</v>
      </c>
    </row>
    <row r="79" spans="1:22">
      <c r="A79">
        <f t="shared" si="3"/>
        <v>78</v>
      </c>
      <c r="B79" s="5" t="s">
        <v>2517</v>
      </c>
      <c r="C79" s="5" t="s">
        <v>430</v>
      </c>
      <c r="D79" s="5" t="s">
        <v>2518</v>
      </c>
      <c r="E79" s="4">
        <v>2017</v>
      </c>
      <c r="F79" s="4" t="s">
        <v>44</v>
      </c>
      <c r="G79" s="4">
        <v>3</v>
      </c>
      <c r="H79" s="3" t="s">
        <v>2515</v>
      </c>
      <c r="I79" s="5" t="s">
        <v>136</v>
      </c>
      <c r="J79" s="5" t="s">
        <v>606</v>
      </c>
      <c r="K79" s="5" t="s">
        <v>2253</v>
      </c>
      <c r="L79" s="5" t="s">
        <v>2520</v>
      </c>
      <c r="M79" s="5" t="s">
        <v>2516</v>
      </c>
      <c r="N79" s="5" t="s">
        <v>2521</v>
      </c>
      <c r="O79" s="7">
        <v>4477611.940298507</v>
      </c>
      <c r="P79" s="7">
        <v>1194029.8507462686</v>
      </c>
      <c r="Q79" s="7">
        <v>1790000</v>
      </c>
      <c r="R79" s="7">
        <v>2498507.4626865671</v>
      </c>
      <c r="S79" s="7">
        <v>2814977</v>
      </c>
      <c r="T79" s="7">
        <v>2814977</v>
      </c>
      <c r="U79" s="62">
        <v>7.9</v>
      </c>
      <c r="V79" s="123">
        <f t="shared" si="2"/>
        <v>0</v>
      </c>
    </row>
    <row r="80" spans="1:22">
      <c r="A80">
        <f t="shared" si="3"/>
        <v>79</v>
      </c>
      <c r="B80" s="5" t="s">
        <v>2523</v>
      </c>
      <c r="C80" s="5" t="s">
        <v>1255</v>
      </c>
      <c r="D80" s="5" t="s">
        <v>1255</v>
      </c>
      <c r="E80" s="4">
        <v>2017</v>
      </c>
      <c r="F80" s="4" t="s">
        <v>44</v>
      </c>
      <c r="G80" s="4">
        <v>6</v>
      </c>
      <c r="H80" s="56" t="s">
        <v>1099</v>
      </c>
      <c r="I80" s="5" t="s">
        <v>131</v>
      </c>
      <c r="J80" s="5" t="s">
        <v>606</v>
      </c>
      <c r="K80" s="5" t="s">
        <v>2164</v>
      </c>
      <c r="L80" s="5" t="s">
        <v>2524</v>
      </c>
      <c r="M80" s="5" t="s">
        <v>2522</v>
      </c>
      <c r="N80" s="5" t="s">
        <v>2525</v>
      </c>
      <c r="O80" s="7">
        <v>4477611.940298507</v>
      </c>
      <c r="P80" s="7">
        <v>2238805.9701492535</v>
      </c>
      <c r="Q80" s="7">
        <v>4550000</v>
      </c>
      <c r="R80" s="7">
        <v>5842537.313432836</v>
      </c>
      <c r="S80" s="7">
        <v>5921481</v>
      </c>
      <c r="T80" s="7">
        <v>5921481</v>
      </c>
      <c r="U80" s="62">
        <v>7.7</v>
      </c>
      <c r="V80" s="123">
        <f t="shared" si="2"/>
        <v>0</v>
      </c>
    </row>
    <row r="81" spans="1:22">
      <c r="A81">
        <f t="shared" si="3"/>
        <v>80</v>
      </c>
      <c r="B81" s="5" t="s">
        <v>2527</v>
      </c>
      <c r="C81" s="18" t="s">
        <v>1256</v>
      </c>
      <c r="D81" s="39" t="s">
        <v>1256</v>
      </c>
      <c r="E81" s="17">
        <v>2017</v>
      </c>
      <c r="F81" s="4" t="s">
        <v>44</v>
      </c>
      <c r="G81" s="4">
        <v>7</v>
      </c>
      <c r="H81" s="16" t="s">
        <v>1066</v>
      </c>
      <c r="I81" s="18" t="s">
        <v>127</v>
      </c>
      <c r="J81" s="5" t="s">
        <v>606</v>
      </c>
      <c r="K81" s="5" t="s">
        <v>2528</v>
      </c>
      <c r="L81" s="5" t="s">
        <v>2530</v>
      </c>
      <c r="M81" s="5" t="s">
        <v>2526</v>
      </c>
      <c r="N81" s="5" t="s">
        <v>2531</v>
      </c>
      <c r="O81" s="19">
        <v>1492537.3134328357</v>
      </c>
      <c r="P81" s="19">
        <v>746268.65671641787</v>
      </c>
      <c r="Q81" s="7">
        <v>590000</v>
      </c>
      <c r="R81" s="19">
        <v>6065074.626865671</v>
      </c>
      <c r="S81" s="19">
        <v>6000000</v>
      </c>
      <c r="T81" s="19">
        <v>6000000</v>
      </c>
      <c r="U81" s="64">
        <v>8.8000000000000007</v>
      </c>
      <c r="V81" s="123">
        <f t="shared" si="2"/>
        <v>0</v>
      </c>
    </row>
    <row r="82" spans="1:22">
      <c r="A82">
        <f t="shared" si="3"/>
        <v>81</v>
      </c>
      <c r="B82" s="5" t="s">
        <v>2533</v>
      </c>
      <c r="C82" s="5" t="s">
        <v>466</v>
      </c>
      <c r="D82" s="39" t="s">
        <v>2534</v>
      </c>
      <c r="E82" s="4">
        <v>2017</v>
      </c>
      <c r="F82" s="4" t="s">
        <v>44</v>
      </c>
      <c r="G82" s="4">
        <v>1</v>
      </c>
      <c r="H82" s="3" t="s">
        <v>826</v>
      </c>
      <c r="I82" s="5" t="s">
        <v>136</v>
      </c>
      <c r="J82" s="5" t="s">
        <v>606</v>
      </c>
      <c r="K82" s="5" t="s">
        <v>2535</v>
      </c>
      <c r="L82" s="5" t="s">
        <v>2536</v>
      </c>
      <c r="M82" s="5" t="s">
        <v>1422</v>
      </c>
      <c r="N82" s="5" t="s">
        <v>2537</v>
      </c>
      <c r="O82" s="7">
        <v>1492537.3134328357</v>
      </c>
      <c r="P82" s="7">
        <v>746268.65671641787</v>
      </c>
      <c r="Q82" s="7">
        <v>268002</v>
      </c>
      <c r="R82" s="7">
        <v>514925.37313432834</v>
      </c>
      <c r="S82" s="7">
        <v>544914</v>
      </c>
      <c r="T82" s="7">
        <v>544914</v>
      </c>
      <c r="U82" s="62">
        <v>7.9</v>
      </c>
      <c r="V82" s="123">
        <f t="shared" si="2"/>
        <v>0</v>
      </c>
    </row>
    <row r="83" spans="1:22">
      <c r="A83">
        <f t="shared" si="3"/>
        <v>82</v>
      </c>
      <c r="B83" s="5" t="s">
        <v>2538</v>
      </c>
      <c r="C83" s="5" t="s">
        <v>1265</v>
      </c>
      <c r="D83" s="39" t="s">
        <v>2539</v>
      </c>
      <c r="E83" s="4">
        <v>2017</v>
      </c>
      <c r="F83" s="4" t="s">
        <v>44</v>
      </c>
      <c r="G83" s="4">
        <v>11</v>
      </c>
      <c r="H83" s="56" t="s">
        <v>1896</v>
      </c>
      <c r="I83" s="5" t="s">
        <v>148</v>
      </c>
      <c r="J83" s="5" t="s">
        <v>606</v>
      </c>
      <c r="K83" s="5" t="s">
        <v>2540</v>
      </c>
      <c r="L83" s="5" t="s">
        <v>2501</v>
      </c>
      <c r="M83" s="5" t="s">
        <v>2504</v>
      </c>
      <c r="N83" s="5" t="s">
        <v>2504</v>
      </c>
      <c r="O83" s="7">
        <v>4477611</v>
      </c>
      <c r="P83" s="7">
        <v>1492537</v>
      </c>
      <c r="Q83" s="7">
        <v>2210000</v>
      </c>
      <c r="R83" s="7">
        <v>3383582</v>
      </c>
      <c r="S83" s="7">
        <v>3667477</v>
      </c>
      <c r="T83" s="7">
        <v>3667477</v>
      </c>
      <c r="U83" s="62">
        <v>8</v>
      </c>
      <c r="V83" s="123">
        <f t="shared" si="2"/>
        <v>0</v>
      </c>
    </row>
    <row r="84" spans="1:22">
      <c r="A84">
        <f t="shared" si="3"/>
        <v>83</v>
      </c>
      <c r="B84" s="5" t="s">
        <v>2542</v>
      </c>
      <c r="C84" s="5" t="s">
        <v>1268</v>
      </c>
      <c r="D84" s="5" t="s">
        <v>2543</v>
      </c>
      <c r="E84" s="4">
        <v>2017</v>
      </c>
      <c r="F84" s="4" t="s">
        <v>44</v>
      </c>
      <c r="G84" s="4">
        <v>12</v>
      </c>
      <c r="H84" s="3" t="s">
        <v>1267</v>
      </c>
      <c r="I84" s="5" t="s">
        <v>131</v>
      </c>
      <c r="J84" s="5" t="s">
        <v>606</v>
      </c>
      <c r="K84" s="5" t="s">
        <v>1656</v>
      </c>
      <c r="L84" s="5" t="s">
        <v>1695</v>
      </c>
      <c r="M84" s="5" t="s">
        <v>626</v>
      </c>
      <c r="N84" s="5" t="s">
        <v>2545</v>
      </c>
      <c r="O84" s="7">
        <v>14925373</v>
      </c>
      <c r="P84" s="7">
        <v>11940298</v>
      </c>
      <c r="Q84" s="7">
        <v>338604</v>
      </c>
      <c r="R84" s="7">
        <v>198507462</v>
      </c>
      <c r="S84" s="7">
        <v>225197313</v>
      </c>
      <c r="T84" s="7">
        <v>227089269</v>
      </c>
      <c r="U84" s="62">
        <v>9</v>
      </c>
      <c r="V84" s="123">
        <f t="shared" si="2"/>
        <v>1891956</v>
      </c>
    </row>
    <row r="85" spans="1:22">
      <c r="A85">
        <f t="shared" si="3"/>
        <v>84</v>
      </c>
      <c r="B85" s="5" t="s">
        <v>2546</v>
      </c>
      <c r="C85" s="5" t="s">
        <v>1270</v>
      </c>
      <c r="D85" s="5" t="s">
        <v>2547</v>
      </c>
      <c r="E85" s="4">
        <v>2017</v>
      </c>
      <c r="F85" s="4" t="s">
        <v>44</v>
      </c>
      <c r="G85" s="4">
        <v>12</v>
      </c>
      <c r="H85" s="3" t="s">
        <v>1269</v>
      </c>
      <c r="I85" s="5" t="s">
        <v>136</v>
      </c>
      <c r="J85" s="5" t="s">
        <v>606</v>
      </c>
      <c r="K85" s="5" t="s">
        <v>2095</v>
      </c>
      <c r="L85" s="5" t="s">
        <v>2549</v>
      </c>
      <c r="M85" s="5" t="s">
        <v>626</v>
      </c>
      <c r="N85" s="5" t="s">
        <v>2369</v>
      </c>
      <c r="O85" s="7">
        <v>4477611</v>
      </c>
      <c r="P85" s="7">
        <v>7462686</v>
      </c>
      <c r="Q85" s="7">
        <v>180920</v>
      </c>
      <c r="R85" s="7">
        <v>267611940</v>
      </c>
      <c r="S85" s="7">
        <v>306710033</v>
      </c>
      <c r="T85" s="7">
        <v>307547824</v>
      </c>
      <c r="U85" s="62">
        <v>9.1</v>
      </c>
      <c r="V85" s="123">
        <f t="shared" si="2"/>
        <v>837791</v>
      </c>
    </row>
    <row r="86" spans="1:22">
      <c r="A86">
        <f t="shared" si="3"/>
        <v>85</v>
      </c>
      <c r="B86" s="5" t="s">
        <v>2550</v>
      </c>
      <c r="C86" s="5" t="s">
        <v>1273</v>
      </c>
      <c r="D86" s="5" t="s">
        <v>2551</v>
      </c>
      <c r="E86" s="4">
        <v>2017</v>
      </c>
      <c r="F86" s="4" t="s">
        <v>44</v>
      </c>
      <c r="G86" s="4">
        <v>12</v>
      </c>
      <c r="H86" s="3" t="s">
        <v>1272</v>
      </c>
      <c r="I86" s="5" t="s">
        <v>129</v>
      </c>
      <c r="J86" s="5" t="s">
        <v>606</v>
      </c>
      <c r="K86" s="5" t="s">
        <v>2507</v>
      </c>
      <c r="L86" s="5" t="s">
        <v>2552</v>
      </c>
      <c r="M86" s="5" t="s">
        <v>601</v>
      </c>
      <c r="N86" s="5" t="s">
        <v>2553</v>
      </c>
      <c r="O86" s="7">
        <v>14925373</v>
      </c>
      <c r="P86" s="7">
        <v>4477611</v>
      </c>
      <c r="Q86" s="7">
        <v>5296</v>
      </c>
      <c r="R86" s="7">
        <v>36716417</v>
      </c>
      <c r="S86" s="7">
        <v>39951588</v>
      </c>
      <c r="T86" s="7">
        <v>39965792</v>
      </c>
      <c r="U86" s="62">
        <v>8.5</v>
      </c>
      <c r="V86" s="123">
        <f t="shared" si="2"/>
        <v>14204</v>
      </c>
    </row>
    <row r="87" spans="1:22" ht="15">
      <c r="A87">
        <f t="shared" si="3"/>
        <v>86</v>
      </c>
      <c r="B87" s="5" t="s">
        <v>2555</v>
      </c>
      <c r="C87" s="5" t="s">
        <v>1274</v>
      </c>
      <c r="D87" s="5" t="s">
        <v>2556</v>
      </c>
      <c r="E87" s="4">
        <v>2017</v>
      </c>
      <c r="F87" s="4" t="s">
        <v>44</v>
      </c>
      <c r="G87" s="4">
        <v>8</v>
      </c>
      <c r="H87" s="3" t="s">
        <v>1089</v>
      </c>
      <c r="I87" s="5" t="s">
        <v>127</v>
      </c>
      <c r="J87" s="5" t="s">
        <v>606</v>
      </c>
      <c r="K87" s="5" t="s">
        <v>2557</v>
      </c>
      <c r="L87" s="5" t="s">
        <v>2558</v>
      </c>
      <c r="M87" s="5" t="s">
        <v>2554</v>
      </c>
      <c r="N87" s="5" t="s">
        <v>2559</v>
      </c>
      <c r="O87" s="7">
        <v>4477611.940298507</v>
      </c>
      <c r="P87" s="7">
        <v>1492537.3134328357</v>
      </c>
      <c r="Q87" s="42">
        <v>760000</v>
      </c>
      <c r="R87" s="7">
        <v>14449253.731343282</v>
      </c>
      <c r="S87" s="7">
        <v>15874097</v>
      </c>
      <c r="T87" s="7">
        <v>15874097</v>
      </c>
      <c r="U87" s="62">
        <v>8.9</v>
      </c>
      <c r="V87" s="123">
        <f t="shared" si="2"/>
        <v>0</v>
      </c>
    </row>
    <row r="88" spans="1:22">
      <c r="A88">
        <f t="shared" si="3"/>
        <v>87</v>
      </c>
      <c r="B88" s="5" t="s">
        <v>2561</v>
      </c>
      <c r="C88" s="5" t="s">
        <v>1279</v>
      </c>
      <c r="D88" s="5" t="s">
        <v>1279</v>
      </c>
      <c r="E88" s="4">
        <v>2017</v>
      </c>
      <c r="F88" s="4" t="s">
        <v>44</v>
      </c>
      <c r="G88" s="4">
        <v>9</v>
      </c>
      <c r="H88" s="3" t="s">
        <v>2309</v>
      </c>
      <c r="I88" s="5" t="s">
        <v>136</v>
      </c>
      <c r="J88" s="5" t="s">
        <v>606</v>
      </c>
      <c r="K88" s="5" t="s">
        <v>2562</v>
      </c>
      <c r="L88" s="5" t="s">
        <v>2564</v>
      </c>
      <c r="M88" s="5" t="s">
        <v>2560</v>
      </c>
      <c r="N88" s="27" t="s">
        <v>2560</v>
      </c>
      <c r="O88" s="7">
        <v>11940298</v>
      </c>
      <c r="P88" s="7">
        <v>8955223</v>
      </c>
      <c r="Q88" s="7">
        <v>46732917</v>
      </c>
      <c r="R88" s="7">
        <v>308507462</v>
      </c>
      <c r="S88" s="7">
        <v>334536622</v>
      </c>
      <c r="T88" s="7">
        <v>334536622</v>
      </c>
      <c r="U88" s="62">
        <v>9.1</v>
      </c>
      <c r="V88" s="123">
        <f t="shared" si="2"/>
        <v>0</v>
      </c>
    </row>
    <row r="89" spans="1:22">
      <c r="A89">
        <f t="shared" si="3"/>
        <v>88</v>
      </c>
      <c r="B89" s="5" t="s">
        <v>2567</v>
      </c>
      <c r="C89" s="5" t="s">
        <v>1282</v>
      </c>
      <c r="D89" s="5" t="s">
        <v>2568</v>
      </c>
      <c r="E89" s="4">
        <v>2017</v>
      </c>
      <c r="F89" s="4" t="s">
        <v>44</v>
      </c>
      <c r="G89" s="4">
        <v>5</v>
      </c>
      <c r="H89" s="56" t="s">
        <v>874</v>
      </c>
      <c r="I89" s="5" t="s">
        <v>129</v>
      </c>
      <c r="J89" s="5" t="s">
        <v>602</v>
      </c>
      <c r="K89" s="5" t="s">
        <v>2569</v>
      </c>
      <c r="L89" s="5" t="s">
        <v>2571</v>
      </c>
      <c r="M89" s="5" t="s">
        <v>2566</v>
      </c>
      <c r="N89" s="5" t="s">
        <v>2572</v>
      </c>
      <c r="O89" s="7">
        <v>29850746</v>
      </c>
      <c r="P89" s="7">
        <v>7462686</v>
      </c>
      <c r="Q89" s="7">
        <v>11150837</v>
      </c>
      <c r="R89" s="7">
        <v>14925373</v>
      </c>
      <c r="S89" s="7">
        <v>18339343</v>
      </c>
      <c r="T89" s="7">
        <v>18339343</v>
      </c>
      <c r="U89" s="62">
        <v>7.7</v>
      </c>
      <c r="V89" s="123">
        <f t="shared" si="2"/>
        <v>0</v>
      </c>
    </row>
    <row r="90" spans="1:22">
      <c r="A90">
        <f t="shared" si="3"/>
        <v>89</v>
      </c>
      <c r="B90" s="5" t="s">
        <v>2574</v>
      </c>
      <c r="C90" s="5" t="s">
        <v>1283</v>
      </c>
      <c r="D90" s="5" t="s">
        <v>1283</v>
      </c>
      <c r="E90" s="4">
        <v>2017</v>
      </c>
      <c r="F90" s="4" t="s">
        <v>44</v>
      </c>
      <c r="G90" s="4">
        <v>5</v>
      </c>
      <c r="H90" s="56" t="s">
        <v>2573</v>
      </c>
      <c r="I90" s="5" t="s">
        <v>136</v>
      </c>
      <c r="J90" s="5" t="s">
        <v>1398</v>
      </c>
      <c r="K90" s="5" t="s">
        <v>2169</v>
      </c>
      <c r="L90" s="5" t="s">
        <v>2169</v>
      </c>
      <c r="M90" s="5" t="s">
        <v>1428</v>
      </c>
      <c r="N90" s="5" t="s">
        <v>2575</v>
      </c>
      <c r="O90" s="7">
        <v>5970149.253731343</v>
      </c>
      <c r="P90" s="7">
        <v>1492537.3134328357</v>
      </c>
      <c r="Q90" s="7">
        <v>2741992</v>
      </c>
      <c r="R90" s="7">
        <v>4578059.7014925368</v>
      </c>
      <c r="S90" s="7">
        <v>4681992</v>
      </c>
      <c r="T90" s="7">
        <v>4681992</v>
      </c>
      <c r="U90" s="62">
        <v>7.6</v>
      </c>
      <c r="V90" s="123">
        <f t="shared" si="2"/>
        <v>0</v>
      </c>
    </row>
    <row r="91" spans="1:22">
      <c r="A91">
        <f t="shared" si="3"/>
        <v>90</v>
      </c>
      <c r="B91" s="5" t="s">
        <v>2576</v>
      </c>
      <c r="C91" s="5" t="s">
        <v>366</v>
      </c>
      <c r="D91" s="5" t="s">
        <v>2577</v>
      </c>
      <c r="E91" s="4">
        <v>2018</v>
      </c>
      <c r="F91" s="4" t="s">
        <v>44</v>
      </c>
      <c r="G91" s="4">
        <v>1</v>
      </c>
      <c r="H91" s="3" t="s">
        <v>2496</v>
      </c>
      <c r="I91" s="5" t="s">
        <v>131</v>
      </c>
      <c r="J91" s="5" t="s">
        <v>602</v>
      </c>
      <c r="K91" s="5" t="s">
        <v>1633</v>
      </c>
      <c r="L91" s="5" t="s">
        <v>2578</v>
      </c>
      <c r="M91" s="5" t="s">
        <v>1916</v>
      </c>
      <c r="N91" s="5" t="s">
        <v>2579</v>
      </c>
      <c r="O91" s="7">
        <v>14925373</v>
      </c>
      <c r="P91" s="7">
        <v>4477611</v>
      </c>
      <c r="Q91" s="7">
        <v>37050000</v>
      </c>
      <c r="R91" s="7">
        <v>104029850</v>
      </c>
      <c r="S91" s="7">
        <v>119035160</v>
      </c>
      <c r="T91" s="7">
        <v>119035160</v>
      </c>
      <c r="U91" s="62">
        <v>8.6</v>
      </c>
      <c r="V91" s="123">
        <f t="shared" si="2"/>
        <v>0</v>
      </c>
    </row>
    <row r="92" spans="1:22">
      <c r="A92">
        <f t="shared" si="3"/>
        <v>91</v>
      </c>
      <c r="B92" s="5" t="s">
        <v>2587</v>
      </c>
      <c r="C92" s="5" t="s">
        <v>1289</v>
      </c>
      <c r="D92" s="5" t="s">
        <v>2588</v>
      </c>
      <c r="E92" s="4">
        <v>2017</v>
      </c>
      <c r="F92" s="4" t="s">
        <v>44</v>
      </c>
      <c r="G92" s="4">
        <v>7</v>
      </c>
      <c r="H92" s="56" t="s">
        <v>1093</v>
      </c>
      <c r="I92" s="5" t="s">
        <v>136</v>
      </c>
      <c r="J92" s="5" t="s">
        <v>606</v>
      </c>
      <c r="K92" s="5" t="s">
        <v>2589</v>
      </c>
      <c r="L92" s="5" t="s">
        <v>2589</v>
      </c>
      <c r="M92" s="5" t="s">
        <v>1428</v>
      </c>
      <c r="N92" s="5" t="s">
        <v>2590</v>
      </c>
      <c r="O92" s="7">
        <v>13333333</v>
      </c>
      <c r="P92" s="7">
        <v>7462686</v>
      </c>
      <c r="Q92" s="42">
        <v>772788</v>
      </c>
      <c r="R92" s="7">
        <v>14217910</v>
      </c>
      <c r="S92" s="7">
        <v>14897163</v>
      </c>
      <c r="T92" s="7">
        <v>14897163</v>
      </c>
      <c r="U92" s="62">
        <v>7.5</v>
      </c>
      <c r="V92" s="123">
        <f t="shared" si="2"/>
        <v>0</v>
      </c>
    </row>
    <row r="93" spans="1:22">
      <c r="A93">
        <f t="shared" si="3"/>
        <v>92</v>
      </c>
      <c r="B93" s="5" t="s">
        <v>2591</v>
      </c>
      <c r="C93" s="5" t="s">
        <v>1291</v>
      </c>
      <c r="D93" s="39" t="s">
        <v>2592</v>
      </c>
      <c r="E93" s="4">
        <v>2017</v>
      </c>
      <c r="F93" s="4" t="s">
        <v>44</v>
      </c>
      <c r="G93" s="4">
        <v>7</v>
      </c>
      <c r="H93" s="56" t="s">
        <v>2022</v>
      </c>
      <c r="I93" s="5" t="s">
        <v>127</v>
      </c>
      <c r="J93" s="5" t="s">
        <v>606</v>
      </c>
      <c r="K93" s="5" t="s">
        <v>2593</v>
      </c>
      <c r="L93" s="5" t="s">
        <v>2596</v>
      </c>
      <c r="M93" s="5" t="s">
        <v>1428</v>
      </c>
      <c r="N93" s="5" t="s">
        <v>1449</v>
      </c>
      <c r="O93" s="7">
        <v>2238805.9700000002</v>
      </c>
      <c r="P93" s="7">
        <v>1492537.31</v>
      </c>
      <c r="Q93" s="7">
        <v>3780000</v>
      </c>
      <c r="R93" s="7">
        <v>12307164.199999999</v>
      </c>
      <c r="S93" s="7">
        <v>13006233</v>
      </c>
      <c r="T93" s="7">
        <v>13006233</v>
      </c>
      <c r="U93" s="62">
        <v>8.3000000000000007</v>
      </c>
      <c r="V93" s="123">
        <f t="shared" si="2"/>
        <v>0</v>
      </c>
    </row>
    <row r="94" spans="1:22">
      <c r="A94">
        <f t="shared" si="3"/>
        <v>93</v>
      </c>
      <c r="B94" s="5" t="s">
        <v>2604</v>
      </c>
      <c r="C94" s="5" t="s">
        <v>1294</v>
      </c>
      <c r="D94" s="5" t="s">
        <v>2605</v>
      </c>
      <c r="E94" s="4">
        <v>2017</v>
      </c>
      <c r="F94" s="4" t="s">
        <v>44</v>
      </c>
      <c r="G94" s="4">
        <v>7</v>
      </c>
      <c r="H94" s="56" t="s">
        <v>2603</v>
      </c>
      <c r="I94" s="5" t="s">
        <v>148</v>
      </c>
      <c r="J94" s="5" t="s">
        <v>606</v>
      </c>
      <c r="K94" s="5" t="s">
        <v>2357</v>
      </c>
      <c r="L94" s="5" t="s">
        <v>2607</v>
      </c>
      <c r="M94" s="5" t="s">
        <v>1410</v>
      </c>
      <c r="N94" s="5" t="s">
        <v>1948</v>
      </c>
      <c r="O94" s="7">
        <v>11940298</v>
      </c>
      <c r="P94" s="7">
        <v>2985074</v>
      </c>
      <c r="Q94" s="7">
        <v>790000</v>
      </c>
      <c r="R94" s="7">
        <v>26865671</v>
      </c>
      <c r="S94" s="7">
        <v>18764048</v>
      </c>
      <c r="T94" s="7">
        <v>18764048</v>
      </c>
      <c r="U94" s="62">
        <v>8</v>
      </c>
      <c r="V94" s="123">
        <f t="shared" si="2"/>
        <v>0</v>
      </c>
    </row>
    <row r="95" spans="1:22">
      <c r="A95">
        <f t="shared" si="3"/>
        <v>94</v>
      </c>
      <c r="B95" s="5" t="s">
        <v>2610</v>
      </c>
      <c r="C95" s="5" t="s">
        <v>1296</v>
      </c>
      <c r="D95" s="5" t="s">
        <v>1296</v>
      </c>
      <c r="E95" s="4">
        <v>2017</v>
      </c>
      <c r="F95" s="4" t="s">
        <v>44</v>
      </c>
      <c r="G95" s="4">
        <v>8</v>
      </c>
      <c r="H95" s="56" t="s">
        <v>2608</v>
      </c>
      <c r="I95" s="5" t="s">
        <v>129</v>
      </c>
      <c r="J95" s="5" t="s">
        <v>597</v>
      </c>
      <c r="K95" s="5" t="s">
        <v>2611</v>
      </c>
      <c r="L95" s="5" t="s">
        <v>2614</v>
      </c>
      <c r="M95" s="5" t="s">
        <v>2609</v>
      </c>
      <c r="N95" s="5" t="s">
        <v>2465</v>
      </c>
      <c r="O95" s="7">
        <v>7462686.5700000003</v>
      </c>
      <c r="P95" s="7">
        <v>14992537.310000001</v>
      </c>
      <c r="Q95" s="7">
        <v>1580000</v>
      </c>
      <c r="R95" s="7">
        <v>9729104.4800000004</v>
      </c>
      <c r="S95" s="7">
        <v>9782949</v>
      </c>
      <c r="T95" s="7">
        <v>9782949</v>
      </c>
      <c r="U95" s="62">
        <v>8.6</v>
      </c>
      <c r="V95" s="123">
        <f t="shared" si="2"/>
        <v>0</v>
      </c>
    </row>
    <row r="96" spans="1:22">
      <c r="A96">
        <f t="shared" si="3"/>
        <v>95</v>
      </c>
      <c r="B96" s="5" t="s">
        <v>2616</v>
      </c>
      <c r="C96" s="5" t="s">
        <v>1302</v>
      </c>
      <c r="D96" s="5" t="s">
        <v>2617</v>
      </c>
      <c r="E96" s="4">
        <v>2017</v>
      </c>
      <c r="F96" s="4" t="s">
        <v>44</v>
      </c>
      <c r="G96" s="4">
        <v>10</v>
      </c>
      <c r="H96" s="56" t="s">
        <v>2615</v>
      </c>
      <c r="I96" s="5" t="s">
        <v>131</v>
      </c>
      <c r="J96" s="5" t="s">
        <v>606</v>
      </c>
      <c r="K96" s="5" t="s">
        <v>2618</v>
      </c>
      <c r="L96" s="5" t="s">
        <v>2620</v>
      </c>
      <c r="M96" s="5" t="s">
        <v>1658</v>
      </c>
      <c r="N96" s="5" t="s">
        <v>1658</v>
      </c>
      <c r="O96" s="7">
        <v>1492537</v>
      </c>
      <c r="P96" s="7">
        <v>746268</v>
      </c>
      <c r="Q96" s="7">
        <v>5090000</v>
      </c>
      <c r="R96" s="7">
        <v>15970149</v>
      </c>
      <c r="S96" s="7">
        <v>16444489</v>
      </c>
      <c r="T96" s="7">
        <v>16444489</v>
      </c>
      <c r="U96" s="62">
        <v>8.4</v>
      </c>
      <c r="V96" s="123">
        <f t="shared" si="2"/>
        <v>0</v>
      </c>
    </row>
    <row r="97" spans="1:22">
      <c r="A97">
        <f t="shared" si="3"/>
        <v>96</v>
      </c>
      <c r="B97" s="5" t="s">
        <v>2623</v>
      </c>
      <c r="C97" s="5" t="s">
        <v>1303</v>
      </c>
      <c r="D97" s="5" t="s">
        <v>2624</v>
      </c>
      <c r="E97" s="4">
        <v>2017</v>
      </c>
      <c r="F97" s="4" t="s">
        <v>44</v>
      </c>
      <c r="G97" s="4">
        <v>12</v>
      </c>
      <c r="H97" s="46" t="s">
        <v>2621</v>
      </c>
      <c r="I97" s="5" t="s">
        <v>131</v>
      </c>
      <c r="J97" s="5" t="s">
        <v>606</v>
      </c>
      <c r="K97" s="5" t="s">
        <v>1905</v>
      </c>
      <c r="L97" s="5" t="s">
        <v>2626</v>
      </c>
      <c r="M97" s="39" t="s">
        <v>2622</v>
      </c>
      <c r="N97" s="39" t="s">
        <v>2627</v>
      </c>
      <c r="O97" s="7">
        <v>11940298.5</v>
      </c>
      <c r="P97" s="7">
        <v>295074.63</v>
      </c>
      <c r="Q97" s="42">
        <v>7450000</v>
      </c>
      <c r="R97" s="7">
        <v>11088059.699999999</v>
      </c>
      <c r="S97" s="7">
        <v>11170000</v>
      </c>
      <c r="T97" s="7">
        <v>11170000</v>
      </c>
      <c r="U97" s="62">
        <v>8.1999999999999993</v>
      </c>
      <c r="V97" s="123">
        <f t="shared" si="2"/>
        <v>0</v>
      </c>
    </row>
    <row r="98" spans="1:22">
      <c r="A98">
        <f t="shared" si="3"/>
        <v>97</v>
      </c>
      <c r="B98" s="5" t="s">
        <v>2629</v>
      </c>
      <c r="C98" s="5" t="s">
        <v>1308</v>
      </c>
      <c r="D98" s="5" t="s">
        <v>1308</v>
      </c>
      <c r="E98" s="4">
        <v>2017</v>
      </c>
      <c r="F98" s="4" t="s">
        <v>44</v>
      </c>
      <c r="G98" s="4">
        <v>12</v>
      </c>
      <c r="H98" s="46" t="s">
        <v>1272</v>
      </c>
      <c r="I98" s="5" t="s">
        <v>136</v>
      </c>
      <c r="J98" s="5" t="s">
        <v>606</v>
      </c>
      <c r="K98" s="5" t="s">
        <v>2630</v>
      </c>
      <c r="L98" s="5" t="s">
        <v>2633</v>
      </c>
      <c r="M98" s="52" t="s">
        <v>3019</v>
      </c>
      <c r="N98" s="5" t="s">
        <v>2634</v>
      </c>
      <c r="O98" s="7">
        <v>5970149.253731343</v>
      </c>
      <c r="P98" s="7">
        <v>1492537.3134328357</v>
      </c>
      <c r="Q98" s="7">
        <v>4380000</v>
      </c>
      <c r="R98" s="7">
        <v>7670746.2686567158</v>
      </c>
      <c r="S98" s="7">
        <v>8242805</v>
      </c>
      <c r="T98" s="7">
        <v>8242805</v>
      </c>
      <c r="U98" s="62">
        <v>8.1</v>
      </c>
      <c r="V98" s="123">
        <f t="shared" si="2"/>
        <v>0</v>
      </c>
    </row>
    <row r="99" spans="1:22">
      <c r="A99">
        <f t="shared" si="3"/>
        <v>98</v>
      </c>
      <c r="B99" s="5" t="s">
        <v>2636</v>
      </c>
      <c r="C99" s="5" t="s">
        <v>1311</v>
      </c>
      <c r="D99" s="5" t="s">
        <v>2637</v>
      </c>
      <c r="E99" s="4">
        <v>2017</v>
      </c>
      <c r="F99" s="4" t="s">
        <v>44</v>
      </c>
      <c r="G99" s="4">
        <v>6</v>
      </c>
      <c r="H99" s="56" t="s">
        <v>2635</v>
      </c>
      <c r="I99" s="5" t="s">
        <v>191</v>
      </c>
      <c r="J99" s="5" t="s">
        <v>597</v>
      </c>
      <c r="K99" s="5" t="s">
        <v>2638</v>
      </c>
      <c r="L99" s="5" t="s">
        <v>2639</v>
      </c>
      <c r="M99" s="5" t="s">
        <v>1428</v>
      </c>
      <c r="N99" s="5" t="s">
        <v>2640</v>
      </c>
      <c r="O99" s="7">
        <v>1492537.3134328357</v>
      </c>
      <c r="P99" s="7">
        <v>1492537.3134328357</v>
      </c>
      <c r="Q99" s="7">
        <v>62577</v>
      </c>
      <c r="R99" s="7">
        <v>4591194.0298507465</v>
      </c>
      <c r="S99" s="7">
        <v>4886088</v>
      </c>
      <c r="T99" s="7">
        <v>4886088</v>
      </c>
      <c r="U99" s="62">
        <v>9.1999999999999993</v>
      </c>
      <c r="V99" s="123">
        <f t="shared" si="2"/>
        <v>0</v>
      </c>
    </row>
    <row r="100" spans="1:22">
      <c r="A100">
        <f t="shared" si="3"/>
        <v>99</v>
      </c>
      <c r="B100" s="5" t="s">
        <v>2643</v>
      </c>
      <c r="C100" s="5" t="s">
        <v>411</v>
      </c>
      <c r="D100" s="5" t="s">
        <v>2644</v>
      </c>
      <c r="E100" s="4">
        <v>2018</v>
      </c>
      <c r="F100" s="4" t="s">
        <v>44</v>
      </c>
      <c r="G100" s="4">
        <v>3</v>
      </c>
      <c r="H100" s="3" t="s">
        <v>2641</v>
      </c>
      <c r="I100" s="5" t="s">
        <v>131</v>
      </c>
      <c r="J100" s="5" t="s">
        <v>606</v>
      </c>
      <c r="K100" s="5" t="s">
        <v>2645</v>
      </c>
      <c r="L100" s="5" t="s">
        <v>2647</v>
      </c>
      <c r="M100" s="5" t="s">
        <v>2642</v>
      </c>
      <c r="N100" s="5" t="s">
        <v>2369</v>
      </c>
      <c r="O100" s="7">
        <v>11940298</v>
      </c>
      <c r="P100" s="7">
        <v>2985074</v>
      </c>
      <c r="Q100" s="7">
        <v>7372</v>
      </c>
      <c r="R100" s="7">
        <v>7134328</v>
      </c>
      <c r="S100" s="7">
        <v>8051388</v>
      </c>
      <c r="T100" s="7">
        <v>8051388</v>
      </c>
      <c r="U100" s="62">
        <v>8.1</v>
      </c>
      <c r="V100" s="123">
        <f t="shared" si="2"/>
        <v>0</v>
      </c>
    </row>
    <row r="101" spans="1:22">
      <c r="A101">
        <f t="shared" si="3"/>
        <v>100</v>
      </c>
      <c r="B101" s="5" t="s">
        <v>2649</v>
      </c>
      <c r="C101" s="5" t="s">
        <v>1317</v>
      </c>
      <c r="D101" s="5" t="s">
        <v>2650</v>
      </c>
      <c r="E101" s="4">
        <v>2017</v>
      </c>
      <c r="F101" s="4" t="s">
        <v>44</v>
      </c>
      <c r="G101" s="4">
        <v>7</v>
      </c>
      <c r="H101" s="56" t="s">
        <v>2648</v>
      </c>
      <c r="I101" s="5" t="s">
        <v>131</v>
      </c>
      <c r="J101" s="5" t="s">
        <v>606</v>
      </c>
      <c r="K101" s="5" t="s">
        <v>2651</v>
      </c>
      <c r="L101" s="5" t="s">
        <v>2654</v>
      </c>
      <c r="M101" s="5" t="s">
        <v>2575</v>
      </c>
      <c r="N101" s="5" t="s">
        <v>2655</v>
      </c>
      <c r="O101" s="7">
        <v>4477611.9400000004</v>
      </c>
      <c r="P101" s="7">
        <v>1492537.31</v>
      </c>
      <c r="Q101" s="7">
        <v>980000</v>
      </c>
      <c r="R101" s="7">
        <v>8980895.5199999996</v>
      </c>
      <c r="S101" s="7">
        <v>9949926</v>
      </c>
      <c r="T101" s="7">
        <v>9949926</v>
      </c>
      <c r="U101" s="62">
        <v>9.1999999999999993</v>
      </c>
      <c r="V101" s="123">
        <f t="shared" si="2"/>
        <v>0</v>
      </c>
    </row>
    <row r="102" spans="1:22">
      <c r="A102">
        <f t="shared" si="3"/>
        <v>101</v>
      </c>
      <c r="B102" s="5" t="s">
        <v>2658</v>
      </c>
      <c r="C102" s="5" t="s">
        <v>1320</v>
      </c>
      <c r="D102" s="5" t="s">
        <v>2659</v>
      </c>
      <c r="E102" s="4">
        <v>2017</v>
      </c>
      <c r="F102" s="4" t="s">
        <v>44</v>
      </c>
      <c r="G102" s="4">
        <v>7</v>
      </c>
      <c r="H102" s="3" t="s">
        <v>2656</v>
      </c>
      <c r="I102" s="5" t="s">
        <v>129</v>
      </c>
      <c r="J102" s="5" t="s">
        <v>606</v>
      </c>
      <c r="K102" s="5" t="s">
        <v>2660</v>
      </c>
      <c r="L102" s="5" t="s">
        <v>1649</v>
      </c>
      <c r="M102" s="39" t="s">
        <v>2657</v>
      </c>
      <c r="N102" s="39" t="s">
        <v>2662</v>
      </c>
      <c r="O102" s="7">
        <v>14925373.134328358</v>
      </c>
      <c r="P102" s="7">
        <v>7462686.5671641789</v>
      </c>
      <c r="Q102" s="42">
        <v>24520000</v>
      </c>
      <c r="R102" s="7">
        <v>57164179.104477607</v>
      </c>
      <c r="S102" s="7">
        <v>60600360</v>
      </c>
      <c r="T102" s="7">
        <v>60600360</v>
      </c>
      <c r="U102" s="62">
        <v>9.1</v>
      </c>
      <c r="V102" s="123">
        <f t="shared" si="2"/>
        <v>0</v>
      </c>
    </row>
    <row r="103" spans="1:22">
      <c r="A103">
        <f t="shared" si="3"/>
        <v>102</v>
      </c>
      <c r="B103" s="5" t="s">
        <v>2665</v>
      </c>
      <c r="C103" s="5" t="s">
        <v>1325</v>
      </c>
      <c r="D103" s="5" t="s">
        <v>2666</v>
      </c>
      <c r="E103" s="4">
        <v>2017</v>
      </c>
      <c r="F103" s="4" t="s">
        <v>44</v>
      </c>
      <c r="G103" s="4">
        <v>8</v>
      </c>
      <c r="H103" s="56" t="s">
        <v>2663</v>
      </c>
      <c r="I103" s="5" t="s">
        <v>129</v>
      </c>
      <c r="J103" s="5" t="s">
        <v>606</v>
      </c>
      <c r="K103" s="5" t="s">
        <v>1891</v>
      </c>
      <c r="L103" s="5" t="s">
        <v>2669</v>
      </c>
      <c r="M103" s="5" t="s">
        <v>2664</v>
      </c>
      <c r="N103" s="5" t="s">
        <v>2670</v>
      </c>
      <c r="O103" s="7">
        <v>4477611.940298507</v>
      </c>
      <c r="P103" s="7">
        <v>1492537.3134328357</v>
      </c>
      <c r="Q103" s="7">
        <v>2820000</v>
      </c>
      <c r="R103" s="7">
        <v>4612835.8208955219</v>
      </c>
      <c r="S103" s="7">
        <v>5029820</v>
      </c>
      <c r="T103" s="7">
        <v>5029820</v>
      </c>
      <c r="U103" s="62">
        <v>7.9</v>
      </c>
      <c r="V103" s="123">
        <f t="shared" si="2"/>
        <v>0</v>
      </c>
    </row>
    <row r="104" spans="1:22">
      <c r="A104">
        <f t="shared" si="3"/>
        <v>103</v>
      </c>
      <c r="B104" s="5" t="s">
        <v>2672</v>
      </c>
      <c r="C104" s="5" t="s">
        <v>1326</v>
      </c>
      <c r="D104" s="5" t="s">
        <v>2673</v>
      </c>
      <c r="E104" s="4">
        <v>2017</v>
      </c>
      <c r="F104" s="4" t="s">
        <v>44</v>
      </c>
      <c r="G104" s="4">
        <v>2</v>
      </c>
      <c r="H104" s="3" t="s">
        <v>2671</v>
      </c>
      <c r="I104" s="5" t="s">
        <v>136</v>
      </c>
      <c r="J104" s="39" t="s">
        <v>606</v>
      </c>
      <c r="K104" s="5" t="s">
        <v>2674</v>
      </c>
      <c r="L104" s="5" t="s">
        <v>2677</v>
      </c>
      <c r="M104" s="5" t="s">
        <v>2525</v>
      </c>
      <c r="N104" s="5" t="s">
        <v>2678</v>
      </c>
      <c r="O104" s="7">
        <v>2985074.6268656715</v>
      </c>
      <c r="P104" s="7">
        <v>1194029.8507462686</v>
      </c>
      <c r="Q104" s="7">
        <v>195282</v>
      </c>
      <c r="R104" s="7">
        <v>1241791.0447761193</v>
      </c>
      <c r="S104" s="7">
        <v>1327225</v>
      </c>
      <c r="T104" s="7">
        <v>1327225</v>
      </c>
      <c r="U104" s="62">
        <v>8</v>
      </c>
      <c r="V104" s="123">
        <f t="shared" si="2"/>
        <v>0</v>
      </c>
    </row>
    <row r="105" spans="1:22">
      <c r="A105">
        <f t="shared" si="3"/>
        <v>104</v>
      </c>
      <c r="B105" s="5" t="s">
        <v>2679</v>
      </c>
      <c r="C105" s="5" t="s">
        <v>1327</v>
      </c>
      <c r="D105" s="5" t="s">
        <v>2680</v>
      </c>
      <c r="E105" s="4">
        <v>2017</v>
      </c>
      <c r="F105" s="4" t="s">
        <v>44</v>
      </c>
      <c r="G105" s="4">
        <v>10</v>
      </c>
      <c r="H105" s="56" t="s">
        <v>1084</v>
      </c>
      <c r="I105" s="5" t="s">
        <v>129</v>
      </c>
      <c r="J105" s="5" t="s">
        <v>606</v>
      </c>
      <c r="K105" s="39" t="s">
        <v>2681</v>
      </c>
      <c r="L105" s="5" t="s">
        <v>3064</v>
      </c>
      <c r="M105" s="5" t="s">
        <v>1658</v>
      </c>
      <c r="N105" s="5" t="s">
        <v>2684</v>
      </c>
      <c r="O105" s="7">
        <v>29850746</v>
      </c>
      <c r="P105" s="7">
        <v>8955223</v>
      </c>
      <c r="Q105" s="7">
        <v>12995928</v>
      </c>
      <c r="R105" s="7">
        <v>45970149</v>
      </c>
      <c r="S105" s="7">
        <v>48069252</v>
      </c>
      <c r="T105" s="7">
        <v>48069252</v>
      </c>
      <c r="U105" s="62">
        <v>8.6</v>
      </c>
      <c r="V105" s="123">
        <f t="shared" si="2"/>
        <v>0</v>
      </c>
    </row>
    <row r="106" spans="1:22">
      <c r="A106">
        <f t="shared" si="3"/>
        <v>105</v>
      </c>
      <c r="B106" s="5" t="s">
        <v>2687</v>
      </c>
      <c r="C106" s="5" t="s">
        <v>1332</v>
      </c>
      <c r="D106" s="5" t="s">
        <v>2688</v>
      </c>
      <c r="E106" s="4">
        <v>2017</v>
      </c>
      <c r="F106" s="4" t="s">
        <v>44</v>
      </c>
      <c r="G106" s="4">
        <v>11</v>
      </c>
      <c r="H106" s="56" t="s">
        <v>2685</v>
      </c>
      <c r="I106" s="5" t="s">
        <v>131</v>
      </c>
      <c r="J106" s="5" t="s">
        <v>606</v>
      </c>
      <c r="K106" s="5" t="s">
        <v>2019</v>
      </c>
      <c r="L106" s="5" t="s">
        <v>2690</v>
      </c>
      <c r="M106" s="5" t="s">
        <v>2686</v>
      </c>
      <c r="N106" s="5" t="s">
        <v>2691</v>
      </c>
      <c r="O106" s="7">
        <v>7462686.5671641789</v>
      </c>
      <c r="P106" s="7">
        <v>1492537.3134328357</v>
      </c>
      <c r="Q106" s="7">
        <v>3308567</v>
      </c>
      <c r="R106" s="7">
        <v>3793283.5820895522</v>
      </c>
      <c r="S106" s="7">
        <v>4964366</v>
      </c>
      <c r="T106" s="7">
        <v>4964366</v>
      </c>
      <c r="U106" s="62">
        <v>7.2</v>
      </c>
      <c r="V106" s="123">
        <f t="shared" si="2"/>
        <v>0</v>
      </c>
    </row>
    <row r="107" spans="1:22">
      <c r="A107">
        <f t="shared" si="3"/>
        <v>106</v>
      </c>
      <c r="B107" s="5" t="s">
        <v>2693</v>
      </c>
      <c r="C107" s="5" t="s">
        <v>1333</v>
      </c>
      <c r="D107" s="39" t="s">
        <v>2694</v>
      </c>
      <c r="E107" s="4">
        <v>2017</v>
      </c>
      <c r="F107" s="4" t="s">
        <v>44</v>
      </c>
      <c r="G107" s="4">
        <v>4</v>
      </c>
      <c r="H107" s="56" t="s">
        <v>2692</v>
      </c>
      <c r="I107" s="5" t="s">
        <v>148</v>
      </c>
      <c r="J107" s="5" t="s">
        <v>602</v>
      </c>
      <c r="K107" s="5" t="s">
        <v>2431</v>
      </c>
      <c r="L107" s="5" t="s">
        <v>1806</v>
      </c>
      <c r="M107" s="5" t="s">
        <v>1494</v>
      </c>
      <c r="N107" s="5" t="s">
        <v>2344</v>
      </c>
      <c r="O107" s="7">
        <v>7462686.5671641789</v>
      </c>
      <c r="P107" s="7">
        <v>7462686.5671641789</v>
      </c>
      <c r="Q107" s="42">
        <v>219973</v>
      </c>
      <c r="R107" s="7">
        <v>17014925.373134326</v>
      </c>
      <c r="S107" s="7">
        <v>18019652</v>
      </c>
      <c r="T107" s="7">
        <v>18019652</v>
      </c>
      <c r="U107" s="62">
        <v>9</v>
      </c>
      <c r="V107" s="123">
        <f t="shared" si="2"/>
        <v>0</v>
      </c>
    </row>
    <row r="108" spans="1:22">
      <c r="A108">
        <f t="shared" si="3"/>
        <v>107</v>
      </c>
      <c r="B108" s="5" t="s">
        <v>2700</v>
      </c>
      <c r="C108" s="5" t="s">
        <v>410</v>
      </c>
      <c r="D108" s="5" t="s">
        <v>2701</v>
      </c>
      <c r="E108" s="4">
        <v>2018</v>
      </c>
      <c r="F108" s="4" t="s">
        <v>44</v>
      </c>
      <c r="G108" s="4">
        <v>4</v>
      </c>
      <c r="H108" s="3" t="s">
        <v>2275</v>
      </c>
      <c r="I108" s="5" t="s">
        <v>1403</v>
      </c>
      <c r="J108" s="5" t="s">
        <v>606</v>
      </c>
      <c r="K108" s="5" t="s">
        <v>2564</v>
      </c>
      <c r="L108" s="5" t="s">
        <v>2703</v>
      </c>
      <c r="M108" s="5" t="s">
        <v>1916</v>
      </c>
      <c r="N108" s="5" t="s">
        <v>2704</v>
      </c>
      <c r="O108" s="7">
        <v>2985074</v>
      </c>
      <c r="P108" s="7">
        <v>2238805</v>
      </c>
      <c r="Q108" s="7">
        <v>1610</v>
      </c>
      <c r="R108" s="7">
        <v>7479104</v>
      </c>
      <c r="S108" s="7">
        <v>8512220</v>
      </c>
      <c r="T108" s="7">
        <v>8512220</v>
      </c>
      <c r="U108" s="62">
        <v>8.1999999999999993</v>
      </c>
      <c r="V108" s="123">
        <f t="shared" si="2"/>
        <v>0</v>
      </c>
    </row>
    <row r="109" spans="1:22">
      <c r="A109">
        <f t="shared" si="3"/>
        <v>108</v>
      </c>
      <c r="B109" s="5" t="s">
        <v>2705</v>
      </c>
      <c r="C109" s="5" t="s">
        <v>1339</v>
      </c>
      <c r="D109" s="5" t="s">
        <v>2706</v>
      </c>
      <c r="E109" s="4">
        <v>2017</v>
      </c>
      <c r="F109" s="4" t="s">
        <v>44</v>
      </c>
      <c r="G109" s="4">
        <v>6</v>
      </c>
      <c r="H109" s="56" t="s">
        <v>1095</v>
      </c>
      <c r="I109" s="5" t="s">
        <v>136</v>
      </c>
      <c r="J109" s="5" t="s">
        <v>606</v>
      </c>
      <c r="K109" s="5" t="s">
        <v>2707</v>
      </c>
      <c r="L109" s="5" t="s">
        <v>2708</v>
      </c>
      <c r="M109" s="5" t="s">
        <v>2575</v>
      </c>
      <c r="N109" s="5" t="s">
        <v>2709</v>
      </c>
      <c r="O109" s="7">
        <v>7462686.5700000003</v>
      </c>
      <c r="P109" s="7">
        <v>2238805.9700000002</v>
      </c>
      <c r="Q109" s="7">
        <v>5430000</v>
      </c>
      <c r="R109" s="7">
        <v>9583880.5999999996</v>
      </c>
      <c r="S109" s="7">
        <v>10238078</v>
      </c>
      <c r="T109" s="7">
        <v>10238078</v>
      </c>
      <c r="U109" s="62">
        <v>8.1</v>
      </c>
      <c r="V109" s="123">
        <f t="shared" si="2"/>
        <v>0</v>
      </c>
    </row>
    <row r="110" spans="1:22">
      <c r="A110">
        <f t="shared" si="3"/>
        <v>109</v>
      </c>
      <c r="B110" s="5" t="s">
        <v>2711</v>
      </c>
      <c r="C110" s="5" t="s">
        <v>418</v>
      </c>
      <c r="D110" s="5" t="s">
        <v>2712</v>
      </c>
      <c r="E110" s="4">
        <v>2018</v>
      </c>
      <c r="F110" s="4" t="s">
        <v>44</v>
      </c>
      <c r="G110" s="4">
        <v>5</v>
      </c>
      <c r="H110" s="3" t="s">
        <v>2710</v>
      </c>
      <c r="I110" s="5" t="s">
        <v>136</v>
      </c>
      <c r="J110" s="5" t="s">
        <v>606</v>
      </c>
      <c r="K110" s="5" t="s">
        <v>3059</v>
      </c>
      <c r="L110" s="5" t="s">
        <v>2714</v>
      </c>
      <c r="M110" s="5" t="s">
        <v>2664</v>
      </c>
      <c r="N110" s="5" t="s">
        <v>2670</v>
      </c>
      <c r="O110" s="7">
        <v>7462686</v>
      </c>
      <c r="P110" s="7">
        <v>1492537</v>
      </c>
      <c r="Q110" s="7">
        <v>82699</v>
      </c>
      <c r="R110" s="7">
        <v>5125373</v>
      </c>
      <c r="S110" s="7">
        <v>5748970</v>
      </c>
      <c r="T110" s="7">
        <v>5748970</v>
      </c>
      <c r="U110" s="62">
        <v>8.3000000000000007</v>
      </c>
      <c r="V110" s="123">
        <f t="shared" si="2"/>
        <v>0</v>
      </c>
    </row>
    <row r="111" spans="1:22">
      <c r="A111">
        <f t="shared" si="3"/>
        <v>110</v>
      </c>
      <c r="B111" s="5" t="s">
        <v>2716</v>
      </c>
      <c r="C111" s="5" t="s">
        <v>1342</v>
      </c>
      <c r="D111" s="5" t="s">
        <v>1342</v>
      </c>
      <c r="E111" s="4">
        <v>2017</v>
      </c>
      <c r="F111" s="4" t="s">
        <v>44</v>
      </c>
      <c r="G111" s="4">
        <v>7</v>
      </c>
      <c r="H111" s="56" t="s">
        <v>2022</v>
      </c>
      <c r="I111" s="5" t="s">
        <v>129</v>
      </c>
      <c r="J111" s="5" t="s">
        <v>606</v>
      </c>
      <c r="K111" s="5" t="s">
        <v>2717</v>
      </c>
      <c r="L111" s="5" t="s">
        <v>2719</v>
      </c>
      <c r="M111" s="5" t="s">
        <v>2715</v>
      </c>
      <c r="N111" s="5" t="s">
        <v>2720</v>
      </c>
      <c r="O111" s="7">
        <v>7462686.5671641789</v>
      </c>
      <c r="P111" s="7">
        <v>2238805.9701492535</v>
      </c>
      <c r="Q111" s="7">
        <v>1530000</v>
      </c>
      <c r="R111" s="7">
        <v>4193731.343283582</v>
      </c>
      <c r="S111" s="7">
        <v>4433919</v>
      </c>
      <c r="T111" s="7">
        <v>4433919</v>
      </c>
      <c r="U111" s="59">
        <v>7.8</v>
      </c>
      <c r="V111" s="123">
        <f t="shared" si="2"/>
        <v>0</v>
      </c>
    </row>
    <row r="112" spans="1:22">
      <c r="A112">
        <f t="shared" si="3"/>
        <v>111</v>
      </c>
      <c r="B112" s="5" t="s">
        <v>2723</v>
      </c>
      <c r="C112" s="5" t="s">
        <v>1347</v>
      </c>
      <c r="D112" s="5" t="s">
        <v>2724</v>
      </c>
      <c r="E112" s="4">
        <v>2017</v>
      </c>
      <c r="F112" s="4" t="s">
        <v>44</v>
      </c>
      <c r="G112" s="4">
        <v>8</v>
      </c>
      <c r="H112" s="56" t="s">
        <v>2721</v>
      </c>
      <c r="I112" s="5" t="s">
        <v>129</v>
      </c>
      <c r="J112" s="5" t="s">
        <v>606</v>
      </c>
      <c r="K112" s="5" t="s">
        <v>2283</v>
      </c>
      <c r="L112" s="5" t="s">
        <v>2726</v>
      </c>
      <c r="M112" s="5" t="s">
        <v>2722</v>
      </c>
      <c r="N112" s="5" t="s">
        <v>2722</v>
      </c>
      <c r="O112" s="7">
        <v>14925373</v>
      </c>
      <c r="P112" s="7">
        <v>4477611</v>
      </c>
      <c r="Q112" s="7">
        <v>24270000</v>
      </c>
      <c r="R112" s="7">
        <v>43134328</v>
      </c>
      <c r="S112" s="7">
        <v>45698504</v>
      </c>
      <c r="T112" s="7">
        <v>45698504</v>
      </c>
      <c r="U112" s="62">
        <v>8.1999999999999993</v>
      </c>
      <c r="V112" s="123">
        <f t="shared" si="2"/>
        <v>0</v>
      </c>
    </row>
    <row r="113" spans="1:22">
      <c r="A113">
        <f t="shared" si="3"/>
        <v>112</v>
      </c>
      <c r="B113" s="5" t="s">
        <v>2729</v>
      </c>
      <c r="C113" s="5" t="s">
        <v>1351</v>
      </c>
      <c r="D113" s="5" t="s">
        <v>1351</v>
      </c>
      <c r="E113" s="4">
        <v>2017</v>
      </c>
      <c r="F113" s="4" t="s">
        <v>45</v>
      </c>
      <c r="G113" s="4">
        <v>7</v>
      </c>
      <c r="H113" s="56" t="s">
        <v>2603</v>
      </c>
      <c r="I113" s="5" t="s">
        <v>127</v>
      </c>
      <c r="J113" s="5" t="s">
        <v>606</v>
      </c>
      <c r="K113" s="5" t="s">
        <v>1646</v>
      </c>
      <c r="L113" s="5" t="s">
        <v>2731</v>
      </c>
      <c r="M113" s="5" t="s">
        <v>2728</v>
      </c>
      <c r="N113" s="5" t="s">
        <v>2365</v>
      </c>
      <c r="O113" s="7">
        <v>10447761.194029851</v>
      </c>
      <c r="P113" s="7">
        <v>2238805.9701492535</v>
      </c>
      <c r="Q113" s="7">
        <v>4580967</v>
      </c>
      <c r="R113" s="7">
        <v>6290746.2686567167</v>
      </c>
      <c r="S113" s="7">
        <v>6651494</v>
      </c>
      <c r="T113" s="7">
        <v>6651494</v>
      </c>
      <c r="U113" s="62">
        <v>8.4</v>
      </c>
      <c r="V113" s="123">
        <f t="shared" si="2"/>
        <v>0</v>
      </c>
    </row>
    <row r="114" spans="1:22">
      <c r="A114">
        <f t="shared" si="3"/>
        <v>113</v>
      </c>
      <c r="B114" s="5" t="s">
        <v>2732</v>
      </c>
      <c r="C114" s="5" t="s">
        <v>1356</v>
      </c>
      <c r="D114" s="5" t="s">
        <v>2733</v>
      </c>
      <c r="E114" s="4">
        <v>2017</v>
      </c>
      <c r="F114" s="4" t="s">
        <v>45</v>
      </c>
      <c r="G114" s="4">
        <v>5</v>
      </c>
      <c r="H114" s="3" t="s">
        <v>1082</v>
      </c>
      <c r="I114" s="5" t="s">
        <v>129</v>
      </c>
      <c r="J114" s="5" t="s">
        <v>606</v>
      </c>
      <c r="K114" s="5" t="s">
        <v>2727</v>
      </c>
      <c r="L114" s="5" t="s">
        <v>2298</v>
      </c>
      <c r="M114" s="5" t="s">
        <v>1357</v>
      </c>
      <c r="N114" s="5" t="s">
        <v>2735</v>
      </c>
      <c r="O114" s="7">
        <v>14925373</v>
      </c>
      <c r="P114" s="7">
        <v>7462686</v>
      </c>
      <c r="Q114" s="7">
        <v>24538631</v>
      </c>
      <c r="R114" s="7">
        <v>55522388</v>
      </c>
      <c r="S114" s="7">
        <v>58807172</v>
      </c>
      <c r="T114" s="7">
        <v>58807172</v>
      </c>
      <c r="U114" s="62">
        <v>9</v>
      </c>
      <c r="V114" s="123">
        <f t="shared" si="2"/>
        <v>0</v>
      </c>
    </row>
    <row r="115" spans="1:22">
      <c r="A115">
        <f t="shared" si="3"/>
        <v>114</v>
      </c>
      <c r="B115" s="5" t="s">
        <v>2738</v>
      </c>
      <c r="C115" s="5" t="s">
        <v>58</v>
      </c>
      <c r="D115" s="5" t="s">
        <v>2739</v>
      </c>
      <c r="E115" s="4">
        <v>2017</v>
      </c>
      <c r="F115" s="4" t="s">
        <v>46</v>
      </c>
      <c r="G115" s="4">
        <v>5</v>
      </c>
      <c r="H115" s="3" t="s">
        <v>2737</v>
      </c>
      <c r="I115" s="5" t="s">
        <v>131</v>
      </c>
      <c r="J115" s="5" t="s">
        <v>606</v>
      </c>
      <c r="K115" s="5" t="s">
        <v>2740</v>
      </c>
      <c r="L115" s="5" t="s">
        <v>2742</v>
      </c>
      <c r="M115" s="5" t="s">
        <v>1377</v>
      </c>
      <c r="N115" s="5" t="s">
        <v>2743</v>
      </c>
      <c r="O115" s="7">
        <v>5970149.253731343</v>
      </c>
      <c r="P115" s="7">
        <v>2985074.6268656715</v>
      </c>
      <c r="Q115" s="42">
        <v>18228</v>
      </c>
      <c r="R115" s="7">
        <v>3782089.5522388057</v>
      </c>
      <c r="S115" s="7">
        <v>4013033</v>
      </c>
      <c r="T115" s="7">
        <v>4013033</v>
      </c>
      <c r="U115" s="62">
        <v>7.4</v>
      </c>
      <c r="V115" s="123">
        <f t="shared" si="2"/>
        <v>0</v>
      </c>
    </row>
    <row r="116" spans="1:22">
      <c r="A116" s="124"/>
      <c r="B116" s="125" t="s">
        <v>3055</v>
      </c>
      <c r="C116" s="125" t="s">
        <v>3054</v>
      </c>
      <c r="D116" s="128" t="s">
        <v>3068</v>
      </c>
      <c r="E116" s="4">
        <v>2021</v>
      </c>
      <c r="F116" s="129" t="s">
        <v>44</v>
      </c>
      <c r="G116" s="129">
        <v>7</v>
      </c>
      <c r="H116" s="131">
        <v>44378</v>
      </c>
      <c r="I116" s="127" t="s">
        <v>131</v>
      </c>
      <c r="J116" s="127" t="s">
        <v>597</v>
      </c>
      <c r="K116" s="128" t="s">
        <v>2660</v>
      </c>
      <c r="L116" s="128" t="s">
        <v>3063</v>
      </c>
      <c r="M116" s="136" t="s">
        <v>3076</v>
      </c>
      <c r="N116" s="136" t="s">
        <v>3073</v>
      </c>
      <c r="O116" s="134">
        <f>40000000/6.5</f>
        <v>6153846.153846154</v>
      </c>
      <c r="P116" s="134">
        <f>10000000/6.5</f>
        <v>1538461.5384615385</v>
      </c>
      <c r="Q116" s="130"/>
      <c r="R116" s="130"/>
      <c r="S116" s="130"/>
      <c r="T116" s="130"/>
      <c r="U116" s="130"/>
    </row>
    <row r="117" spans="1:22">
      <c r="A117" s="124"/>
      <c r="B117" s="125" t="s">
        <v>3056</v>
      </c>
      <c r="C117" s="125" t="s">
        <v>3051</v>
      </c>
      <c r="D117" s="128" t="s">
        <v>3067</v>
      </c>
      <c r="E117" s="4">
        <v>2021</v>
      </c>
      <c r="F117" s="129" t="s">
        <v>44</v>
      </c>
      <c r="G117" s="129">
        <v>9</v>
      </c>
      <c r="H117" s="131">
        <v>44440</v>
      </c>
      <c r="I117" s="127" t="s">
        <v>136</v>
      </c>
      <c r="J117" s="127" t="s">
        <v>606</v>
      </c>
      <c r="K117" s="128" t="s">
        <v>3061</v>
      </c>
      <c r="L117" s="128" t="s">
        <v>2614</v>
      </c>
      <c r="M117" s="136" t="s">
        <v>3077</v>
      </c>
      <c r="N117" s="135" t="s">
        <v>3066</v>
      </c>
      <c r="O117" s="134">
        <f>(60000000-16200000)/6.5</f>
        <v>6738461.538461538</v>
      </c>
      <c r="P117" s="134">
        <f>16200000/6.5</f>
        <v>2492307.6923076925</v>
      </c>
      <c r="Q117" s="130"/>
      <c r="R117" s="130"/>
      <c r="S117" s="130"/>
      <c r="T117" s="130"/>
      <c r="U117" s="130"/>
    </row>
    <row r="118" spans="1:22">
      <c r="A118" s="124"/>
      <c r="B118" s="126" t="s">
        <v>3057</v>
      </c>
      <c r="C118" s="125" t="s">
        <v>3052</v>
      </c>
      <c r="D118" s="128" t="s">
        <v>3070</v>
      </c>
      <c r="E118" s="4">
        <v>2021</v>
      </c>
      <c r="F118" s="129" t="s">
        <v>44</v>
      </c>
      <c r="G118" s="129">
        <v>12</v>
      </c>
      <c r="H118" s="132">
        <v>44531</v>
      </c>
      <c r="I118" s="127" t="s">
        <v>148</v>
      </c>
      <c r="J118" s="127" t="s">
        <v>606</v>
      </c>
      <c r="K118" s="128" t="s">
        <v>3060</v>
      </c>
      <c r="L118" s="128" t="s">
        <v>3065</v>
      </c>
      <c r="M118" s="136" t="s">
        <v>3075</v>
      </c>
      <c r="N118" s="136" t="s">
        <v>3072</v>
      </c>
      <c r="O118" s="134">
        <f>10000000/6.5</f>
        <v>1538461.5384615385</v>
      </c>
      <c r="P118" s="134">
        <f>2000000/6.5</f>
        <v>307692.30769230769</v>
      </c>
      <c r="Q118" s="130"/>
      <c r="R118" s="130"/>
      <c r="S118" s="130"/>
      <c r="T118" s="130"/>
      <c r="U118" s="130"/>
    </row>
    <row r="119" spans="1:22">
      <c r="A119" s="124"/>
      <c r="B119" s="126" t="s">
        <v>3058</v>
      </c>
      <c r="C119" s="125" t="s">
        <v>3053</v>
      </c>
      <c r="D119" s="128" t="s">
        <v>3069</v>
      </c>
      <c r="E119" s="4">
        <v>2021</v>
      </c>
      <c r="F119" s="129" t="s">
        <v>44</v>
      </c>
      <c r="G119" s="129">
        <v>7</v>
      </c>
      <c r="H119" s="132">
        <v>44378</v>
      </c>
      <c r="I119" s="127" t="s">
        <v>148</v>
      </c>
      <c r="J119" s="127" t="s">
        <v>606</v>
      </c>
      <c r="K119" s="128" t="s">
        <v>2122</v>
      </c>
      <c r="L119" s="128" t="s">
        <v>3062</v>
      </c>
      <c r="M119" s="136" t="s">
        <v>3074</v>
      </c>
      <c r="N119" s="136" t="s">
        <v>3074</v>
      </c>
      <c r="O119" s="134">
        <f>137000000/6.5</f>
        <v>21076923.076923076</v>
      </c>
      <c r="P119" s="134">
        <f>61200000/6.5</f>
        <v>9415384.615384616</v>
      </c>
      <c r="Q119" s="130"/>
      <c r="R119" s="130"/>
      <c r="S119" s="130"/>
      <c r="T119" s="130"/>
      <c r="U119" s="130"/>
    </row>
  </sheetData>
  <autoFilter ref="A1:U119" xr:uid="{F05D9F33-2725-4CEA-9D21-C1729F8037D0}"/>
  <conditionalFormatting sqref="C15:C115">
    <cfRule type="duplicateValues" dxfId="1" priority="2"/>
  </conditionalFormatting>
  <conditionalFormatting sqref="D90">
    <cfRule type="duplicateValues" dxfId="0" priority="1"/>
  </conditionalFormatting>
  <hyperlinks>
    <hyperlink ref="L25" r:id="rId1" tooltip="https://baike.baidu.com/item/%E7%BD%97%E6%B4%8B" xr:uid="{7E192E21-1FC3-4705-BD4B-CBD911F89F91}"/>
    <hyperlink ref="K30" r:id="rId2" tooltip="https://baike.baidu.com/item/%E4%BA%95%E6%9F%8F%E7%84%B6/3974108" xr:uid="{8150DE5A-308A-4A6F-9520-42FAFEE99654}"/>
    <hyperlink ref="K40" r:id="rId3" tooltip="https://baike.baidu.com/item/%E5%91%A8%E8%8B%B1%E7%94%B7" xr:uid="{91D72131-A286-4DF1-BF2F-CCCFB1F6DCD9}"/>
    <hyperlink ref="L40" r:id="rId4" tooltip="https://baike.baidu.com/item/%E5%91%A8%E8%8B%B1%E7%94%B7" xr:uid="{E610DAAE-C699-4476-B8D4-3F3D3697480D}"/>
    <hyperlink ref="K74" r:id="rId5" tooltip="https://baike.baidu.com/item/%E5%BE%90%E5%B3%A5/2966629" xr:uid="{8B8B8A97-9490-496E-B87C-8550718F1FF4}"/>
    <hyperlink ref="K106" r:id="rId6" tooltip="https://baike.baidu.com/item/%E6%AE%B5%E5%A5%95%E5%AE%8F/6910242" xr:uid="{13C3B3B7-0A9C-40C5-BF39-D3001F679501}"/>
    <hyperlink ref="L94" r:id="rId7" tooltip="https://baike.baidu.com/item/%E8%A2%81%E5%8D%AB%E4%B8%9C/6711412" xr:uid="{7E3C3C4C-2EDA-4146-BE91-72F0A8C20321}"/>
  </hyperlinks>
  <pageMargins left="0.7" right="0.7" top="0.75" bottom="0.75" header="0.3" footer="0.3"/>
  <pageSetup paperSize="9" orientation="portrait" horizontalDpi="4294967292" verticalDpi="1200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"/>
  <sheetViews>
    <sheetView workbookViewId="0">
      <selection activeCell="B6" sqref="B6"/>
    </sheetView>
  </sheetViews>
  <sheetFormatPr defaultColWidth="9" defaultRowHeight="14.6"/>
  <cols>
    <col min="1" max="1" width="9.3828125" customWidth="1"/>
    <col min="2" max="2" width="13.69140625" customWidth="1"/>
    <col min="3" max="3" width="23.15234375" customWidth="1"/>
    <col min="4" max="4" width="13.15234375" customWidth="1"/>
    <col min="5" max="5" width="6.3828125" customWidth="1"/>
    <col min="6" max="6" width="28.3828125" customWidth="1"/>
    <col min="8" max="8" width="9.3828125" customWidth="1"/>
    <col min="9" max="9" width="19.3828125" customWidth="1"/>
    <col min="10" max="10" width="23.15234375" customWidth="1"/>
    <col min="11" max="11" width="11.53515625" customWidth="1"/>
    <col min="12" max="12" width="17" customWidth="1"/>
    <col min="13" max="13" width="38" customWidth="1"/>
    <col min="15" max="15" width="6.3828125" customWidth="1"/>
    <col min="16" max="16" width="19.3828125" customWidth="1"/>
    <col min="17" max="17" width="22.3828125" customWidth="1"/>
    <col min="18" max="18" width="23.15234375" customWidth="1"/>
    <col min="19" max="19" width="5.3828125" customWidth="1"/>
    <col min="20" max="20" width="31.3828125" customWidth="1"/>
    <col min="22" max="22" width="8.69140625" customWidth="1"/>
    <col min="23" max="23" width="19.3828125" customWidth="1"/>
    <col min="24" max="25" width="23.15234375" customWidth="1"/>
    <col min="26" max="26" width="5.3828125" customWidth="1"/>
    <col min="27" max="27" width="31" customWidth="1"/>
  </cols>
  <sheetData>
    <row r="1" spans="1:27">
      <c r="A1" s="32" t="s">
        <v>44</v>
      </c>
      <c r="H1" s="32" t="s">
        <v>45</v>
      </c>
      <c r="O1" s="32" t="s">
        <v>46</v>
      </c>
      <c r="V1" s="32" t="s">
        <v>47</v>
      </c>
    </row>
    <row r="2" spans="1:27">
      <c r="A2" s="32" t="s">
        <v>0</v>
      </c>
      <c r="B2" s="32" t="s">
        <v>1</v>
      </c>
      <c r="C2" s="32" t="s">
        <v>48</v>
      </c>
      <c r="D2" s="32" t="s">
        <v>2</v>
      </c>
      <c r="E2" s="32" t="s">
        <v>3</v>
      </c>
      <c r="F2" s="32" t="s">
        <v>4</v>
      </c>
      <c r="H2" s="32" t="s">
        <v>0</v>
      </c>
      <c r="I2" s="32" t="s">
        <v>1</v>
      </c>
      <c r="J2" s="32" t="s">
        <v>48</v>
      </c>
      <c r="K2" s="32" t="s">
        <v>2</v>
      </c>
      <c r="L2" s="32" t="s">
        <v>3</v>
      </c>
      <c r="M2" s="32" t="s">
        <v>4</v>
      </c>
      <c r="O2" s="32" t="s">
        <v>0</v>
      </c>
      <c r="P2" s="32" t="s">
        <v>1</v>
      </c>
      <c r="Q2" s="32" t="s">
        <v>48</v>
      </c>
      <c r="R2" s="32" t="s">
        <v>2</v>
      </c>
      <c r="S2" s="32" t="s">
        <v>3</v>
      </c>
      <c r="T2" s="32" t="s">
        <v>4</v>
      </c>
      <c r="V2" s="32" t="s">
        <v>0</v>
      </c>
      <c r="W2" s="32" t="s">
        <v>1</v>
      </c>
      <c r="X2" s="32" t="s">
        <v>48</v>
      </c>
      <c r="Y2" s="32" t="s">
        <v>2</v>
      </c>
      <c r="Z2" s="32" t="s">
        <v>3</v>
      </c>
      <c r="AA2" s="32" t="s">
        <v>4</v>
      </c>
    </row>
    <row r="3" spans="1:27">
      <c r="A3">
        <v>2021</v>
      </c>
      <c r="B3">
        <v>1</v>
      </c>
      <c r="C3" t="s">
        <v>22</v>
      </c>
      <c r="D3" t="s">
        <v>22</v>
      </c>
      <c r="E3" t="s">
        <v>22</v>
      </c>
      <c r="F3" t="s">
        <v>22</v>
      </c>
      <c r="H3">
        <v>2020</v>
      </c>
      <c r="I3">
        <v>9</v>
      </c>
      <c r="J3" s="33" t="s">
        <v>22</v>
      </c>
      <c r="K3" s="33">
        <v>5305365</v>
      </c>
      <c r="L3" s="37">
        <v>1.0300000000000001E-3</v>
      </c>
      <c r="M3" t="s">
        <v>49</v>
      </c>
      <c r="O3">
        <v>2020</v>
      </c>
      <c r="P3">
        <v>4</v>
      </c>
      <c r="Q3" t="s">
        <v>22</v>
      </c>
      <c r="R3" s="33">
        <v>259960</v>
      </c>
      <c r="S3" s="37">
        <v>5.0000000000000002E-5</v>
      </c>
      <c r="T3" t="s">
        <v>50</v>
      </c>
      <c r="V3">
        <v>2020</v>
      </c>
      <c r="W3">
        <v>2</v>
      </c>
      <c r="X3" t="s">
        <v>22</v>
      </c>
      <c r="Y3" s="33">
        <v>27184</v>
      </c>
      <c r="Z3" s="37">
        <v>1.0000000000000001E-5</v>
      </c>
      <c r="AA3" t="s">
        <v>51</v>
      </c>
    </row>
    <row r="4" spans="1:27">
      <c r="A4">
        <v>2020</v>
      </c>
      <c r="B4">
        <v>99</v>
      </c>
      <c r="C4" s="33">
        <v>200000000</v>
      </c>
      <c r="D4" s="33">
        <v>1525135214</v>
      </c>
      <c r="E4" s="37">
        <v>0.29676000000000002</v>
      </c>
      <c r="F4" t="s">
        <v>5</v>
      </c>
      <c r="H4">
        <v>2019</v>
      </c>
      <c r="I4">
        <v>31</v>
      </c>
      <c r="J4" s="33">
        <v>28000000</v>
      </c>
      <c r="K4" s="33">
        <v>744783972</v>
      </c>
      <c r="L4" s="37">
        <v>1.9869999999999999E-2</v>
      </c>
      <c r="M4" t="s">
        <v>52</v>
      </c>
      <c r="O4">
        <v>2019</v>
      </c>
      <c r="P4">
        <v>9</v>
      </c>
      <c r="Q4" t="s">
        <v>22</v>
      </c>
      <c r="R4" s="33">
        <v>59656954</v>
      </c>
      <c r="S4" s="37">
        <v>1.5900000000000001E-3</v>
      </c>
      <c r="T4" t="s">
        <v>53</v>
      </c>
      <c r="V4">
        <v>2019</v>
      </c>
      <c r="W4">
        <v>3</v>
      </c>
      <c r="X4" t="s">
        <v>22</v>
      </c>
      <c r="Y4" t="s">
        <v>22</v>
      </c>
      <c r="Z4" t="s">
        <v>22</v>
      </c>
      <c r="AA4" t="s">
        <v>22</v>
      </c>
    </row>
    <row r="5" spans="1:27">
      <c r="A5">
        <v>2019</v>
      </c>
      <c r="B5">
        <v>279</v>
      </c>
      <c r="C5" s="33">
        <v>43758750</v>
      </c>
      <c r="D5" s="33">
        <v>6042607688</v>
      </c>
      <c r="E5" s="37">
        <v>0.16117999999999999</v>
      </c>
      <c r="F5" t="s">
        <v>6</v>
      </c>
      <c r="H5">
        <v>2018</v>
      </c>
      <c r="I5">
        <v>24</v>
      </c>
      <c r="J5" s="33" t="s">
        <v>22</v>
      </c>
      <c r="K5" s="33">
        <v>498208964</v>
      </c>
      <c r="L5" s="37">
        <v>1.303E-2</v>
      </c>
      <c r="M5" t="s">
        <v>54</v>
      </c>
      <c r="O5">
        <v>2018</v>
      </c>
      <c r="P5">
        <v>10</v>
      </c>
      <c r="Q5" t="s">
        <v>22</v>
      </c>
      <c r="R5" s="33">
        <v>153903584</v>
      </c>
      <c r="S5" s="37">
        <v>4.0299999999999997E-3</v>
      </c>
      <c r="T5" t="s">
        <v>55</v>
      </c>
      <c r="V5">
        <v>2018</v>
      </c>
      <c r="W5">
        <v>4</v>
      </c>
      <c r="X5" t="s">
        <v>22</v>
      </c>
      <c r="Y5" s="33">
        <v>3730343</v>
      </c>
      <c r="Z5" s="37">
        <v>1E-4</v>
      </c>
      <c r="AA5" t="s">
        <v>56</v>
      </c>
    </row>
    <row r="6" spans="1:27">
      <c r="A6">
        <v>2018</v>
      </c>
      <c r="B6">
        <v>329</v>
      </c>
      <c r="C6" s="33">
        <v>65000000</v>
      </c>
      <c r="D6" s="33">
        <v>4944522613</v>
      </c>
      <c r="E6" s="37">
        <v>0.12937000000000001</v>
      </c>
      <c r="F6" t="s">
        <v>7</v>
      </c>
      <c r="H6">
        <v>2017</v>
      </c>
      <c r="I6">
        <v>39</v>
      </c>
      <c r="J6" s="33">
        <v>23000000</v>
      </c>
      <c r="K6" s="33">
        <v>701620460</v>
      </c>
      <c r="L6" s="37">
        <v>1.8509999999999999E-2</v>
      </c>
      <c r="M6" t="s">
        <v>57</v>
      </c>
      <c r="O6">
        <v>2017</v>
      </c>
      <c r="P6">
        <v>13</v>
      </c>
      <c r="Q6" t="s">
        <v>22</v>
      </c>
      <c r="R6" s="33">
        <v>11997851</v>
      </c>
      <c r="S6" s="37">
        <v>3.2000000000000003E-4</v>
      </c>
      <c r="T6" t="s">
        <v>58</v>
      </c>
      <c r="V6">
        <v>2017</v>
      </c>
      <c r="W6">
        <v>3</v>
      </c>
      <c r="X6" t="s">
        <v>22</v>
      </c>
      <c r="Y6" s="33">
        <v>160531</v>
      </c>
      <c r="Z6" s="37">
        <v>0</v>
      </c>
      <c r="AA6" t="s">
        <v>59</v>
      </c>
    </row>
    <row r="7" spans="1:27">
      <c r="A7">
        <v>2017</v>
      </c>
      <c r="B7">
        <v>278</v>
      </c>
      <c r="C7" s="33">
        <v>18475000</v>
      </c>
      <c r="D7" s="33">
        <v>4614839670</v>
      </c>
      <c r="E7" s="37">
        <v>0.12177</v>
      </c>
      <c r="F7" t="s">
        <v>8</v>
      </c>
      <c r="H7">
        <v>2016</v>
      </c>
      <c r="I7">
        <v>37</v>
      </c>
      <c r="J7" s="33">
        <v>60000000</v>
      </c>
      <c r="K7" s="33">
        <v>901667022</v>
      </c>
      <c r="L7" s="37">
        <v>2.4410000000000001E-2</v>
      </c>
      <c r="M7" t="s">
        <v>60</v>
      </c>
      <c r="O7">
        <v>2016</v>
      </c>
      <c r="P7">
        <v>13</v>
      </c>
      <c r="Q7" t="s">
        <v>22</v>
      </c>
      <c r="R7" s="33">
        <v>12378152</v>
      </c>
      <c r="S7" s="37">
        <v>3.4000000000000002E-4</v>
      </c>
      <c r="T7" t="s">
        <v>61</v>
      </c>
      <c r="V7">
        <v>2016</v>
      </c>
      <c r="W7">
        <v>3</v>
      </c>
      <c r="X7" t="s">
        <v>22</v>
      </c>
      <c r="Y7" s="33">
        <v>2725864</v>
      </c>
      <c r="Z7" s="37">
        <v>6.9999999999999994E-5</v>
      </c>
      <c r="AA7" t="s">
        <v>62</v>
      </c>
    </row>
    <row r="8" spans="1:27">
      <c r="A8">
        <v>2016</v>
      </c>
      <c r="B8">
        <v>309</v>
      </c>
      <c r="C8" s="33">
        <v>69944000</v>
      </c>
      <c r="D8" s="33">
        <v>3858749134</v>
      </c>
      <c r="E8" s="37">
        <v>0.10448</v>
      </c>
      <c r="F8" t="s">
        <v>9</v>
      </c>
      <c r="H8">
        <v>2015</v>
      </c>
      <c r="I8">
        <v>53</v>
      </c>
      <c r="J8" s="33">
        <v>30500000</v>
      </c>
      <c r="K8" s="33">
        <v>589692725</v>
      </c>
      <c r="L8" s="37">
        <v>1.6369999999999999E-2</v>
      </c>
      <c r="M8" t="s">
        <v>63</v>
      </c>
      <c r="O8">
        <v>2015</v>
      </c>
      <c r="P8">
        <v>24</v>
      </c>
      <c r="Q8" s="33">
        <v>15000000</v>
      </c>
      <c r="R8" s="33">
        <v>107268364</v>
      </c>
      <c r="S8" s="37">
        <v>2.98E-3</v>
      </c>
      <c r="T8" t="s">
        <v>64</v>
      </c>
      <c r="V8">
        <v>2015</v>
      </c>
      <c r="W8">
        <v>5</v>
      </c>
      <c r="X8" t="s">
        <v>22</v>
      </c>
      <c r="Y8" s="33">
        <v>335556</v>
      </c>
      <c r="Z8" s="37">
        <v>1.0000000000000001E-5</v>
      </c>
      <c r="AA8">
        <v>3688</v>
      </c>
    </row>
    <row r="9" spans="1:27">
      <c r="A9">
        <v>2015</v>
      </c>
      <c r="B9">
        <v>196</v>
      </c>
      <c r="C9" s="33">
        <v>36571429</v>
      </c>
      <c r="D9" s="33">
        <v>4384252221</v>
      </c>
      <c r="E9" s="37">
        <v>0.12171999999999999</v>
      </c>
      <c r="F9" t="s">
        <v>10</v>
      </c>
      <c r="H9">
        <v>2014</v>
      </c>
      <c r="I9">
        <v>25</v>
      </c>
      <c r="J9" s="33">
        <v>7000000</v>
      </c>
      <c r="K9" s="33">
        <v>475321712</v>
      </c>
      <c r="L9" s="37">
        <v>1.5859999999999999E-2</v>
      </c>
      <c r="M9" t="s">
        <v>65</v>
      </c>
      <c r="O9">
        <v>2014</v>
      </c>
      <c r="P9">
        <v>5</v>
      </c>
      <c r="Q9" t="s">
        <v>22</v>
      </c>
      <c r="R9" s="33">
        <v>10433</v>
      </c>
      <c r="S9" s="37">
        <v>0</v>
      </c>
      <c r="T9" t="s">
        <v>66</v>
      </c>
      <c r="V9">
        <v>2014</v>
      </c>
      <c r="W9">
        <v>1</v>
      </c>
      <c r="X9" t="s">
        <v>22</v>
      </c>
      <c r="Y9" s="33">
        <v>134452</v>
      </c>
      <c r="Z9" s="37">
        <v>0</v>
      </c>
      <c r="AA9" t="s">
        <v>67</v>
      </c>
    </row>
    <row r="10" spans="1:27">
      <c r="A10">
        <v>2014</v>
      </c>
      <c r="B10">
        <v>42</v>
      </c>
      <c r="C10" t="s">
        <v>22</v>
      </c>
      <c r="D10" s="33">
        <v>1683223084</v>
      </c>
      <c r="E10" s="37">
        <v>5.6180000000000001E-2</v>
      </c>
      <c r="F10" t="s">
        <v>68</v>
      </c>
      <c r="H10">
        <v>2013</v>
      </c>
      <c r="I10">
        <v>14</v>
      </c>
      <c r="J10" s="33">
        <v>22000000</v>
      </c>
      <c r="K10" s="33">
        <v>271827366</v>
      </c>
      <c r="L10" s="37">
        <v>9.1299999999999992E-3</v>
      </c>
      <c r="M10" t="s">
        <v>69</v>
      </c>
      <c r="O10">
        <v>2012</v>
      </c>
      <c r="P10">
        <v>4</v>
      </c>
      <c r="Q10" s="33">
        <v>14000000</v>
      </c>
      <c r="R10" s="33">
        <v>45097667</v>
      </c>
      <c r="S10" s="37">
        <v>1.42E-3</v>
      </c>
      <c r="T10" t="s">
        <v>70</v>
      </c>
      <c r="V10">
        <v>2013</v>
      </c>
      <c r="W10">
        <v>2</v>
      </c>
      <c r="X10" t="s">
        <v>22</v>
      </c>
      <c r="Y10" s="33">
        <v>1328680</v>
      </c>
      <c r="Z10" s="37">
        <v>4.0000000000000003E-5</v>
      </c>
      <c r="AA10" t="s">
        <v>71</v>
      </c>
    </row>
    <row r="11" spans="1:27">
      <c r="A11">
        <v>2013</v>
      </c>
      <c r="B11">
        <v>43</v>
      </c>
      <c r="C11" s="33">
        <v>23300000</v>
      </c>
      <c r="D11" s="33">
        <v>1130872833</v>
      </c>
      <c r="E11" s="37">
        <v>3.798E-2</v>
      </c>
      <c r="F11" t="s">
        <v>12</v>
      </c>
      <c r="H11">
        <v>2012</v>
      </c>
      <c r="I11">
        <v>12</v>
      </c>
      <c r="J11" s="33">
        <v>14000000</v>
      </c>
      <c r="K11" s="33">
        <v>441548367</v>
      </c>
      <c r="L11" s="37">
        <v>1.393E-2</v>
      </c>
      <c r="M11" t="s">
        <v>72</v>
      </c>
      <c r="O11">
        <v>2011</v>
      </c>
      <c r="P11">
        <v>3</v>
      </c>
      <c r="Q11" t="s">
        <v>22</v>
      </c>
      <c r="R11" s="33">
        <v>36145525</v>
      </c>
      <c r="S11" s="37">
        <v>1.32E-3</v>
      </c>
      <c r="T11" t="s">
        <v>73</v>
      </c>
      <c r="V11">
        <v>2012</v>
      </c>
      <c r="W11">
        <v>1</v>
      </c>
      <c r="X11" t="s">
        <v>22</v>
      </c>
      <c r="Y11" s="33">
        <v>32588670</v>
      </c>
      <c r="Z11" s="37">
        <v>1.0300000000000001E-3</v>
      </c>
      <c r="AA11" t="s">
        <v>74</v>
      </c>
    </row>
    <row r="12" spans="1:27">
      <c r="A12">
        <v>2012</v>
      </c>
      <c r="B12">
        <v>39</v>
      </c>
      <c r="C12" s="33">
        <v>38366667</v>
      </c>
      <c r="D12" s="33">
        <v>1432786097</v>
      </c>
      <c r="E12" s="37">
        <v>4.5199999999999997E-2</v>
      </c>
      <c r="F12" t="s">
        <v>13</v>
      </c>
      <c r="H12">
        <v>2011</v>
      </c>
      <c r="I12">
        <v>19</v>
      </c>
      <c r="J12" s="33" t="s">
        <v>22</v>
      </c>
      <c r="K12" s="33">
        <v>249309524</v>
      </c>
      <c r="L12" s="37">
        <v>9.1000000000000004E-3</v>
      </c>
      <c r="M12" t="s">
        <v>75</v>
      </c>
      <c r="O12">
        <v>2010</v>
      </c>
      <c r="P12">
        <v>2</v>
      </c>
      <c r="Q12" t="s">
        <v>22</v>
      </c>
      <c r="R12" s="33">
        <v>549240</v>
      </c>
      <c r="S12" s="37">
        <v>2.0000000000000002E-5</v>
      </c>
      <c r="T12" t="s">
        <v>76</v>
      </c>
      <c r="V12">
        <v>2008</v>
      </c>
      <c r="W12">
        <v>1</v>
      </c>
      <c r="X12" t="s">
        <v>22</v>
      </c>
      <c r="Y12" s="33">
        <v>1870552</v>
      </c>
      <c r="Z12" s="37">
        <v>8.0000000000000007E-5</v>
      </c>
      <c r="AA12" t="s">
        <v>77</v>
      </c>
    </row>
    <row r="13" spans="1:27">
      <c r="A13">
        <v>2011</v>
      </c>
      <c r="B13">
        <v>37</v>
      </c>
      <c r="C13" s="33">
        <v>18000000</v>
      </c>
      <c r="D13" s="33">
        <v>342532529</v>
      </c>
      <c r="E13" s="37">
        <v>1.2500000000000001E-2</v>
      </c>
      <c r="F13" t="s">
        <v>14</v>
      </c>
      <c r="H13">
        <v>2010</v>
      </c>
      <c r="I13">
        <v>4</v>
      </c>
      <c r="J13" s="33">
        <v>17500000</v>
      </c>
      <c r="K13" s="33">
        <v>24152930</v>
      </c>
      <c r="L13" s="37">
        <v>9.6000000000000002E-4</v>
      </c>
      <c r="M13" t="s">
        <v>78</v>
      </c>
      <c r="O13">
        <v>2009</v>
      </c>
      <c r="P13">
        <v>1</v>
      </c>
      <c r="Q13" t="s">
        <v>22</v>
      </c>
      <c r="R13" s="33">
        <v>30500000</v>
      </c>
      <c r="S13" s="37">
        <v>1.1800000000000001E-3</v>
      </c>
      <c r="T13" t="s">
        <v>79</v>
      </c>
      <c r="V13">
        <v>2007</v>
      </c>
      <c r="W13">
        <v>1</v>
      </c>
      <c r="X13" t="s">
        <v>22</v>
      </c>
      <c r="Y13" t="s">
        <v>22</v>
      </c>
      <c r="Z13" t="s">
        <v>22</v>
      </c>
      <c r="AA13" t="s">
        <v>22</v>
      </c>
    </row>
    <row r="14" spans="1:27">
      <c r="A14">
        <v>2010</v>
      </c>
      <c r="B14">
        <v>14</v>
      </c>
      <c r="C14" s="33">
        <v>14750000</v>
      </c>
      <c r="D14" s="33">
        <v>185801661</v>
      </c>
      <c r="E14" s="37">
        <v>7.3499999999999998E-3</v>
      </c>
      <c r="F14" t="s">
        <v>15</v>
      </c>
      <c r="H14">
        <v>2009</v>
      </c>
      <c r="I14">
        <v>9</v>
      </c>
      <c r="J14" s="33">
        <v>65000000</v>
      </c>
      <c r="K14" s="33">
        <v>121154688</v>
      </c>
      <c r="L14" s="37">
        <v>4.6699999999999997E-3</v>
      </c>
      <c r="M14" t="s">
        <v>80</v>
      </c>
      <c r="O14">
        <v>2008</v>
      </c>
      <c r="P14">
        <v>4</v>
      </c>
      <c r="Q14" t="s">
        <v>22</v>
      </c>
      <c r="R14" s="33">
        <v>38073922</v>
      </c>
      <c r="S14" s="37">
        <v>1.57E-3</v>
      </c>
      <c r="T14" t="s">
        <v>81</v>
      </c>
      <c r="V14">
        <v>2005</v>
      </c>
      <c r="W14">
        <v>1</v>
      </c>
      <c r="X14" t="s">
        <v>22</v>
      </c>
      <c r="Y14" t="s">
        <v>22</v>
      </c>
      <c r="Z14" t="s">
        <v>22</v>
      </c>
      <c r="AA14" t="s">
        <v>22</v>
      </c>
    </row>
    <row r="15" spans="1:27">
      <c r="A15">
        <v>2009</v>
      </c>
      <c r="B15">
        <v>9</v>
      </c>
      <c r="C15" s="33">
        <v>26000000</v>
      </c>
      <c r="D15" s="33">
        <v>234034701</v>
      </c>
      <c r="E15" s="37">
        <v>9.0299999999999998E-3</v>
      </c>
      <c r="F15" t="s">
        <v>82</v>
      </c>
      <c r="H15">
        <v>2008</v>
      </c>
      <c r="I15">
        <v>13</v>
      </c>
      <c r="J15" s="33">
        <v>16000000</v>
      </c>
      <c r="K15" s="33">
        <v>156015003</v>
      </c>
      <c r="L15" s="37">
        <v>6.4400000000000004E-3</v>
      </c>
      <c r="M15" t="s">
        <v>83</v>
      </c>
      <c r="O15">
        <v>2007</v>
      </c>
      <c r="P15">
        <v>1</v>
      </c>
      <c r="Q15" t="s">
        <v>22</v>
      </c>
      <c r="R15" s="33">
        <v>3887998</v>
      </c>
      <c r="S15" s="37">
        <v>1.7000000000000001E-4</v>
      </c>
      <c r="T15" t="s">
        <v>84</v>
      </c>
      <c r="V15">
        <v>2004</v>
      </c>
      <c r="W15">
        <v>1</v>
      </c>
      <c r="X15" t="s">
        <v>22</v>
      </c>
      <c r="Y15" s="33">
        <v>63262</v>
      </c>
      <c r="Z15" s="37">
        <v>0</v>
      </c>
      <c r="AA15" t="s">
        <v>85</v>
      </c>
    </row>
    <row r="16" spans="1:27">
      <c r="A16">
        <v>2008</v>
      </c>
      <c r="B16">
        <v>22</v>
      </c>
      <c r="C16" s="33">
        <v>24400000</v>
      </c>
      <c r="D16" s="33">
        <v>273889918</v>
      </c>
      <c r="E16" s="37">
        <v>1.1310000000000001E-2</v>
      </c>
      <c r="F16" t="s">
        <v>86</v>
      </c>
      <c r="H16">
        <v>2007</v>
      </c>
      <c r="I16">
        <v>14</v>
      </c>
      <c r="J16" s="33">
        <v>35000000</v>
      </c>
      <c r="K16" s="33">
        <v>114819810</v>
      </c>
      <c r="L16" s="37">
        <v>4.9300000000000004E-3</v>
      </c>
      <c r="M16" t="s">
        <v>87</v>
      </c>
      <c r="O16">
        <v>2006</v>
      </c>
      <c r="P16">
        <v>1</v>
      </c>
      <c r="Q16" t="s">
        <v>22</v>
      </c>
      <c r="R16" s="33">
        <v>151922</v>
      </c>
      <c r="S16" s="37">
        <v>1.0000000000000001E-5</v>
      </c>
      <c r="T16" t="s">
        <v>88</v>
      </c>
      <c r="V16">
        <v>2003</v>
      </c>
      <c r="W16">
        <v>1</v>
      </c>
      <c r="X16" t="s">
        <v>22</v>
      </c>
      <c r="Y16" s="33">
        <v>508195</v>
      </c>
      <c r="Z16" s="37">
        <v>3.0000000000000001E-5</v>
      </c>
      <c r="AA16" t="s">
        <v>89</v>
      </c>
    </row>
    <row r="17" spans="1:20">
      <c r="A17">
        <v>2007</v>
      </c>
      <c r="B17">
        <v>17</v>
      </c>
      <c r="C17" s="33">
        <v>15000000</v>
      </c>
      <c r="D17" s="33">
        <v>135035747</v>
      </c>
      <c r="E17" s="37">
        <v>5.7999999999999996E-3</v>
      </c>
      <c r="F17" t="s">
        <v>18</v>
      </c>
      <c r="H17">
        <v>2006</v>
      </c>
      <c r="I17">
        <v>7</v>
      </c>
      <c r="J17" s="33">
        <v>37500000</v>
      </c>
      <c r="K17" s="33">
        <v>188643327</v>
      </c>
      <c r="L17" s="37">
        <v>9.3699999999999999E-3</v>
      </c>
      <c r="M17" t="s">
        <v>90</v>
      </c>
      <c r="O17">
        <v>2004</v>
      </c>
      <c r="P17">
        <v>2</v>
      </c>
      <c r="Q17" s="33">
        <v>20000000</v>
      </c>
      <c r="R17" s="33">
        <v>5982004</v>
      </c>
      <c r="S17" s="37">
        <v>3.1E-4</v>
      </c>
      <c r="T17" t="s">
        <v>91</v>
      </c>
    </row>
    <row r="18" spans="1:20">
      <c r="A18">
        <v>2006</v>
      </c>
      <c r="B18">
        <v>6</v>
      </c>
      <c r="C18" s="33">
        <v>22750000</v>
      </c>
      <c r="D18" s="33">
        <v>89210886</v>
      </c>
      <c r="E18" s="37">
        <v>4.4299999999999999E-3</v>
      </c>
      <c r="F18" t="s">
        <v>90</v>
      </c>
      <c r="H18">
        <v>2005</v>
      </c>
      <c r="I18">
        <v>3</v>
      </c>
      <c r="J18" s="33">
        <v>12000000</v>
      </c>
      <c r="K18" s="33">
        <v>19464017</v>
      </c>
      <c r="L18" s="37">
        <v>1.06E-3</v>
      </c>
      <c r="M18">
        <v>2046</v>
      </c>
      <c r="O18">
        <v>2003</v>
      </c>
      <c r="P18">
        <v>1</v>
      </c>
      <c r="Q18" t="s">
        <v>22</v>
      </c>
      <c r="R18" s="33">
        <v>6129</v>
      </c>
      <c r="S18" s="37">
        <v>0</v>
      </c>
      <c r="T18" t="s">
        <v>92</v>
      </c>
    </row>
    <row r="19" spans="1:20">
      <c r="A19">
        <v>2005</v>
      </c>
      <c r="B19">
        <v>2</v>
      </c>
      <c r="C19" s="33">
        <v>16000000</v>
      </c>
      <c r="D19" s="33">
        <v>2878229</v>
      </c>
      <c r="E19" s="37">
        <v>1.6000000000000001E-4</v>
      </c>
      <c r="F19" t="s">
        <v>93</v>
      </c>
      <c r="H19">
        <v>2004</v>
      </c>
      <c r="I19">
        <v>7</v>
      </c>
      <c r="J19" s="33">
        <v>15800000</v>
      </c>
      <c r="K19" s="33">
        <v>421218375</v>
      </c>
      <c r="L19" s="37">
        <v>2.2120000000000001E-2</v>
      </c>
      <c r="M19" t="s">
        <v>94</v>
      </c>
      <c r="O19">
        <v>2002</v>
      </c>
      <c r="P19">
        <v>1</v>
      </c>
      <c r="Q19" t="s">
        <v>22</v>
      </c>
      <c r="R19" s="33">
        <v>157279</v>
      </c>
      <c r="S19" s="37">
        <v>1.0000000000000001E-5</v>
      </c>
      <c r="T19" t="s">
        <v>95</v>
      </c>
    </row>
    <row r="20" spans="1:20">
      <c r="A20">
        <v>2004</v>
      </c>
      <c r="B20">
        <v>7</v>
      </c>
      <c r="C20" s="33">
        <v>15800000</v>
      </c>
      <c r="D20" s="33">
        <v>421178104</v>
      </c>
      <c r="E20" s="37">
        <v>2.2120000000000001E-2</v>
      </c>
      <c r="F20" t="s">
        <v>94</v>
      </c>
      <c r="H20">
        <v>2003</v>
      </c>
      <c r="I20">
        <v>3</v>
      </c>
      <c r="J20" s="33">
        <v>41000000</v>
      </c>
      <c r="K20" s="33">
        <v>22617172</v>
      </c>
      <c r="L20" s="37">
        <v>1.2700000000000001E-3</v>
      </c>
      <c r="M20" t="s">
        <v>96</v>
      </c>
      <c r="O20">
        <v>2000</v>
      </c>
      <c r="P20">
        <v>1</v>
      </c>
      <c r="Q20" s="33">
        <v>15000000</v>
      </c>
      <c r="R20" s="33">
        <v>213514672</v>
      </c>
      <c r="S20" s="37">
        <v>1.6060000000000001E-2</v>
      </c>
      <c r="T20" t="s">
        <v>23</v>
      </c>
    </row>
    <row r="21" spans="1:20">
      <c r="A21">
        <v>2003</v>
      </c>
      <c r="B21">
        <v>2</v>
      </c>
      <c r="C21" t="s">
        <v>22</v>
      </c>
      <c r="D21" s="33">
        <v>6353678</v>
      </c>
      <c r="E21" s="37">
        <v>3.6000000000000002E-4</v>
      </c>
      <c r="F21" t="s">
        <v>20</v>
      </c>
      <c r="H21">
        <v>2002</v>
      </c>
      <c r="I21">
        <v>1</v>
      </c>
      <c r="J21" s="33" t="s">
        <v>22</v>
      </c>
      <c r="K21" s="33">
        <v>116192</v>
      </c>
      <c r="L21" s="37">
        <v>1.0000000000000001E-5</v>
      </c>
      <c r="M21" t="s">
        <v>97</v>
      </c>
      <c r="O21">
        <v>1999</v>
      </c>
      <c r="P21">
        <v>1</v>
      </c>
      <c r="Q21" t="s">
        <v>22</v>
      </c>
      <c r="R21" t="s">
        <v>22</v>
      </c>
      <c r="S21" t="s">
        <v>22</v>
      </c>
      <c r="T21" t="s">
        <v>22</v>
      </c>
    </row>
    <row r="22" spans="1:20">
      <c r="A22">
        <v>2002</v>
      </c>
      <c r="B22">
        <v>2</v>
      </c>
      <c r="C22" t="s">
        <v>22</v>
      </c>
      <c r="D22" s="33">
        <v>961479</v>
      </c>
      <c r="E22" s="37">
        <v>6.0000000000000002E-5</v>
      </c>
      <c r="F22" t="s">
        <v>98</v>
      </c>
      <c r="H22">
        <v>2001</v>
      </c>
      <c r="I22">
        <v>2</v>
      </c>
      <c r="J22" t="s">
        <v>22</v>
      </c>
      <c r="K22" s="33">
        <v>14681661</v>
      </c>
      <c r="L22" s="37">
        <v>9.7999999999999997E-4</v>
      </c>
      <c r="M22" t="s">
        <v>99</v>
      </c>
      <c r="O22">
        <v>1998</v>
      </c>
      <c r="P22">
        <v>2</v>
      </c>
      <c r="Q22" t="s">
        <v>22</v>
      </c>
      <c r="R22" s="33">
        <v>9275</v>
      </c>
      <c r="S22" s="37">
        <v>0</v>
      </c>
      <c r="T22" t="s">
        <v>25</v>
      </c>
    </row>
    <row r="23" spans="1:20">
      <c r="A23">
        <v>2001</v>
      </c>
      <c r="B23">
        <v>4</v>
      </c>
      <c r="C23" t="s">
        <v>22</v>
      </c>
      <c r="D23" s="33">
        <v>226501</v>
      </c>
      <c r="E23" s="37">
        <v>2.0000000000000002E-5</v>
      </c>
      <c r="F23" t="s">
        <v>100</v>
      </c>
      <c r="H23">
        <v>2000</v>
      </c>
      <c r="I23">
        <v>2</v>
      </c>
      <c r="J23" s="33">
        <v>12500000</v>
      </c>
      <c r="K23" s="33">
        <v>225061215</v>
      </c>
      <c r="L23" s="37">
        <v>1.6920000000000001E-2</v>
      </c>
      <c r="M23" t="s">
        <v>23</v>
      </c>
      <c r="O23">
        <v>1996</v>
      </c>
      <c r="P23">
        <v>1</v>
      </c>
      <c r="Q23" t="s">
        <v>22</v>
      </c>
      <c r="R23" s="33">
        <v>215152</v>
      </c>
      <c r="S23" s="37">
        <v>2.0000000000000002E-5</v>
      </c>
      <c r="T23" t="s">
        <v>27</v>
      </c>
    </row>
    <row r="24" spans="1:20">
      <c r="A24">
        <v>2000</v>
      </c>
      <c r="B24">
        <v>3</v>
      </c>
      <c r="C24" s="33">
        <v>15000000</v>
      </c>
      <c r="D24" s="33">
        <v>214120445</v>
      </c>
      <c r="E24" s="37">
        <v>1.61E-2</v>
      </c>
      <c r="F24" t="s">
        <v>23</v>
      </c>
      <c r="H24">
        <v>1999</v>
      </c>
      <c r="I24">
        <v>4</v>
      </c>
      <c r="J24" t="s">
        <v>22</v>
      </c>
      <c r="K24" s="33">
        <v>10248287</v>
      </c>
      <c r="L24" s="37">
        <v>7.6000000000000004E-4</v>
      </c>
      <c r="M24" t="s">
        <v>24</v>
      </c>
      <c r="O24">
        <v>1995</v>
      </c>
      <c r="P24">
        <v>1</v>
      </c>
      <c r="Q24" t="s">
        <v>22</v>
      </c>
      <c r="R24" s="33">
        <v>152322</v>
      </c>
      <c r="S24" s="37">
        <v>2.0000000000000002E-5</v>
      </c>
      <c r="T24" t="s">
        <v>101</v>
      </c>
    </row>
    <row r="25" spans="1:20">
      <c r="A25">
        <v>1999</v>
      </c>
      <c r="B25">
        <v>1</v>
      </c>
      <c r="C25" t="s">
        <v>22</v>
      </c>
      <c r="D25" t="s">
        <v>22</v>
      </c>
      <c r="E25" t="s">
        <v>22</v>
      </c>
      <c r="F25" t="s">
        <v>22</v>
      </c>
      <c r="H25">
        <v>1998</v>
      </c>
      <c r="I25">
        <v>2</v>
      </c>
      <c r="J25" s="33">
        <v>20500000</v>
      </c>
      <c r="K25" s="33">
        <v>42036868</v>
      </c>
      <c r="L25" s="37">
        <v>3.62E-3</v>
      </c>
      <c r="M25" t="s">
        <v>102</v>
      </c>
      <c r="O25">
        <v>1991</v>
      </c>
      <c r="P25">
        <v>1</v>
      </c>
      <c r="Q25" t="s">
        <v>22</v>
      </c>
      <c r="R25" s="33">
        <v>111673</v>
      </c>
      <c r="S25" s="37">
        <v>2.0000000000000002E-5</v>
      </c>
      <c r="T25" t="s">
        <v>31</v>
      </c>
    </row>
    <row r="26" spans="1:20">
      <c r="A26">
        <v>1998</v>
      </c>
      <c r="B26">
        <v>1</v>
      </c>
      <c r="C26" t="s">
        <v>22</v>
      </c>
      <c r="D26" s="33">
        <v>49166</v>
      </c>
      <c r="E26" s="37">
        <v>0</v>
      </c>
      <c r="F26" t="s">
        <v>103</v>
      </c>
      <c r="H26">
        <v>1997</v>
      </c>
      <c r="I26">
        <v>1</v>
      </c>
      <c r="J26" s="33" t="s">
        <v>22</v>
      </c>
      <c r="K26" s="33">
        <v>16255</v>
      </c>
      <c r="L26" s="37">
        <v>0</v>
      </c>
      <c r="M26" t="s">
        <v>104</v>
      </c>
      <c r="O26">
        <v>1988</v>
      </c>
      <c r="P26">
        <v>1</v>
      </c>
      <c r="Q26" t="s">
        <v>22</v>
      </c>
      <c r="R26" t="s">
        <v>22</v>
      </c>
      <c r="S26" t="s">
        <v>22</v>
      </c>
      <c r="T26" t="s">
        <v>22</v>
      </c>
    </row>
    <row r="27" spans="1:20">
      <c r="A27">
        <v>1995</v>
      </c>
      <c r="B27">
        <v>2</v>
      </c>
      <c r="C27" t="s">
        <v>22</v>
      </c>
      <c r="D27" s="33">
        <v>4213179</v>
      </c>
      <c r="E27" s="37">
        <v>4.2999999999999999E-4</v>
      </c>
      <c r="F27" t="s">
        <v>105</v>
      </c>
      <c r="H27">
        <v>1996</v>
      </c>
      <c r="I27">
        <v>2</v>
      </c>
      <c r="J27" s="33">
        <v>7500000</v>
      </c>
      <c r="K27" s="33">
        <v>36453904</v>
      </c>
      <c r="L27" s="37">
        <v>3.5999999999999999E-3</v>
      </c>
      <c r="M27" t="s">
        <v>106</v>
      </c>
      <c r="O27">
        <v>1987</v>
      </c>
      <c r="P27">
        <v>1</v>
      </c>
      <c r="Q27" s="33">
        <v>2300000</v>
      </c>
      <c r="R27" t="s">
        <v>22</v>
      </c>
      <c r="S27" t="s">
        <v>22</v>
      </c>
      <c r="T27" t="s">
        <v>22</v>
      </c>
    </row>
    <row r="28" spans="1:20">
      <c r="A28">
        <v>1994</v>
      </c>
      <c r="B28">
        <v>1</v>
      </c>
      <c r="C28" t="s">
        <v>22</v>
      </c>
      <c r="D28" s="33">
        <v>1825</v>
      </c>
      <c r="E28" s="37">
        <v>0</v>
      </c>
      <c r="F28" t="s">
        <v>29</v>
      </c>
      <c r="H28">
        <v>1995</v>
      </c>
      <c r="I28">
        <v>1</v>
      </c>
      <c r="J28" t="s">
        <v>22</v>
      </c>
      <c r="K28" s="33">
        <v>2312675</v>
      </c>
      <c r="L28" s="37">
        <v>2.3000000000000001E-4</v>
      </c>
      <c r="M28" t="s">
        <v>105</v>
      </c>
      <c r="O28">
        <v>1986</v>
      </c>
      <c r="P28">
        <v>1</v>
      </c>
      <c r="Q28" t="s">
        <v>22</v>
      </c>
      <c r="R28" s="33">
        <v>35800</v>
      </c>
      <c r="S28" s="37">
        <v>1.0000000000000001E-5</v>
      </c>
      <c r="T28" t="s">
        <v>107</v>
      </c>
    </row>
    <row r="29" spans="1:20">
      <c r="A29">
        <v>1993</v>
      </c>
      <c r="B29">
        <v>1</v>
      </c>
      <c r="C29" t="s">
        <v>22</v>
      </c>
      <c r="D29" s="33">
        <v>5933746</v>
      </c>
      <c r="E29" s="37">
        <v>6.6E-4</v>
      </c>
      <c r="F29" t="s">
        <v>30</v>
      </c>
      <c r="H29">
        <v>1994</v>
      </c>
      <c r="I29">
        <v>1</v>
      </c>
      <c r="J29" t="s">
        <v>22</v>
      </c>
      <c r="K29" s="33">
        <v>1825</v>
      </c>
      <c r="L29" s="37">
        <v>0</v>
      </c>
      <c r="M29" t="s">
        <v>29</v>
      </c>
      <c r="O29">
        <v>1985</v>
      </c>
      <c r="P29">
        <v>1</v>
      </c>
      <c r="Q29" t="s">
        <v>22</v>
      </c>
      <c r="R29" s="33">
        <v>44900</v>
      </c>
      <c r="S29" s="37">
        <v>1.0000000000000001E-5</v>
      </c>
      <c r="T29" t="s">
        <v>35</v>
      </c>
    </row>
    <row r="30" spans="1:20">
      <c r="A30">
        <v>1989</v>
      </c>
      <c r="B30">
        <v>2</v>
      </c>
      <c r="C30" t="s">
        <v>22</v>
      </c>
      <c r="D30" s="33">
        <v>113716</v>
      </c>
      <c r="E30" s="37">
        <v>2.0000000000000002E-5</v>
      </c>
      <c r="F30" t="s">
        <v>108</v>
      </c>
      <c r="H30">
        <v>1993</v>
      </c>
      <c r="I30">
        <v>3</v>
      </c>
      <c r="J30" t="s">
        <v>22</v>
      </c>
      <c r="K30" s="33">
        <v>5933746</v>
      </c>
      <c r="L30" s="37">
        <v>6.6E-4</v>
      </c>
      <c r="M30" t="s">
        <v>30</v>
      </c>
      <c r="O30">
        <v>1982</v>
      </c>
      <c r="P30">
        <v>2</v>
      </c>
      <c r="Q30" s="33">
        <v>17000000</v>
      </c>
      <c r="R30" s="33">
        <v>26918576</v>
      </c>
      <c r="S30" s="37">
        <v>7.6800000000000002E-3</v>
      </c>
      <c r="T30" t="s">
        <v>109</v>
      </c>
    </row>
    <row r="31" spans="1:20">
      <c r="A31">
        <v>1987</v>
      </c>
      <c r="B31">
        <v>1</v>
      </c>
      <c r="C31" s="33">
        <v>25000000</v>
      </c>
      <c r="D31" s="33">
        <v>44005073</v>
      </c>
      <c r="E31" s="37">
        <v>1.074E-2</v>
      </c>
      <c r="F31" t="s">
        <v>110</v>
      </c>
      <c r="H31">
        <v>1992</v>
      </c>
      <c r="I31">
        <v>1</v>
      </c>
      <c r="J31" t="s">
        <v>22</v>
      </c>
      <c r="K31" s="33">
        <v>73903</v>
      </c>
      <c r="L31" s="37">
        <v>1.0000000000000001E-5</v>
      </c>
      <c r="M31" t="s">
        <v>111</v>
      </c>
      <c r="O31">
        <v>1980</v>
      </c>
      <c r="P31">
        <v>1</v>
      </c>
      <c r="Q31" t="s">
        <v>22</v>
      </c>
      <c r="R31" t="s">
        <v>22</v>
      </c>
      <c r="S31" t="s">
        <v>22</v>
      </c>
      <c r="T31" t="s">
        <v>22</v>
      </c>
    </row>
    <row r="32" spans="1:20">
      <c r="A32">
        <v>1986</v>
      </c>
      <c r="B32">
        <v>1</v>
      </c>
      <c r="C32" t="s">
        <v>22</v>
      </c>
      <c r="D32" t="s">
        <v>22</v>
      </c>
      <c r="E32" t="s">
        <v>22</v>
      </c>
      <c r="F32" t="s">
        <v>22</v>
      </c>
      <c r="H32">
        <v>1991</v>
      </c>
      <c r="I32">
        <v>1</v>
      </c>
      <c r="J32" s="33">
        <v>25000000</v>
      </c>
      <c r="K32" s="33">
        <v>78656813</v>
      </c>
      <c r="L32" s="37">
        <v>1.272E-2</v>
      </c>
      <c r="M32" t="s">
        <v>112</v>
      </c>
      <c r="O32">
        <v>1979</v>
      </c>
      <c r="P32">
        <v>1</v>
      </c>
      <c r="Q32" t="s">
        <v>22</v>
      </c>
      <c r="R32" s="33">
        <v>7639</v>
      </c>
      <c r="S32" s="37">
        <v>0</v>
      </c>
      <c r="T32" t="s">
        <v>38</v>
      </c>
    </row>
    <row r="33" spans="1:20">
      <c r="A33">
        <v>1947</v>
      </c>
      <c r="B33">
        <v>1</v>
      </c>
      <c r="C33" t="s">
        <v>22</v>
      </c>
      <c r="D33" s="33">
        <v>6962</v>
      </c>
      <c r="E33" s="37">
        <v>8.0000000000000007E-5</v>
      </c>
      <c r="F33" t="s">
        <v>43</v>
      </c>
      <c r="H33">
        <v>1990</v>
      </c>
      <c r="I33">
        <v>1</v>
      </c>
      <c r="J33" s="33" t="s">
        <v>22</v>
      </c>
      <c r="K33" s="33">
        <v>3142660</v>
      </c>
      <c r="L33" s="37">
        <v>4.6999999999999999E-4</v>
      </c>
      <c r="M33" t="s">
        <v>32</v>
      </c>
      <c r="O33">
        <v>1976</v>
      </c>
      <c r="P33">
        <v>1</v>
      </c>
      <c r="Q33" t="s">
        <v>22</v>
      </c>
      <c r="R33" s="33">
        <v>20665</v>
      </c>
      <c r="S33" s="37">
        <v>2.0000000000000002E-5</v>
      </c>
      <c r="T33" t="s">
        <v>39</v>
      </c>
    </row>
    <row r="34" spans="1:20">
      <c r="H34">
        <v>1989</v>
      </c>
      <c r="I34">
        <v>1</v>
      </c>
      <c r="J34" t="s">
        <v>22</v>
      </c>
      <c r="K34" s="33">
        <v>108154</v>
      </c>
      <c r="L34" s="37">
        <v>2.0000000000000002E-5</v>
      </c>
      <c r="M34" t="s">
        <v>113</v>
      </c>
      <c r="O34">
        <v>1971</v>
      </c>
      <c r="P34">
        <v>1</v>
      </c>
      <c r="Q34" t="s">
        <v>22</v>
      </c>
      <c r="R34" t="s">
        <v>22</v>
      </c>
      <c r="S34" t="s">
        <v>22</v>
      </c>
      <c r="T34" t="s">
        <v>22</v>
      </c>
    </row>
    <row r="35" spans="1:20">
      <c r="H35">
        <v>1986</v>
      </c>
      <c r="I35">
        <v>2</v>
      </c>
      <c r="J35" t="s">
        <v>22</v>
      </c>
      <c r="K35" s="33">
        <v>7262162</v>
      </c>
      <c r="L35" s="37">
        <v>2.0200000000000001E-3</v>
      </c>
      <c r="M35" t="s">
        <v>34</v>
      </c>
      <c r="O35">
        <v>1967</v>
      </c>
      <c r="P35">
        <v>1</v>
      </c>
      <c r="Q35" t="s">
        <v>22</v>
      </c>
      <c r="R35" t="s">
        <v>22</v>
      </c>
      <c r="S35" t="s">
        <v>22</v>
      </c>
    </row>
    <row r="36" spans="1:20">
      <c r="H36">
        <v>1985</v>
      </c>
      <c r="I36">
        <v>1</v>
      </c>
      <c r="J36" t="s">
        <v>22</v>
      </c>
      <c r="K36" s="33">
        <v>829239</v>
      </c>
      <c r="L36" s="37">
        <v>2.2000000000000001E-4</v>
      </c>
      <c r="M36" t="s">
        <v>114</v>
      </c>
      <c r="O36">
        <v>1988</v>
      </c>
      <c r="P36">
        <v>1</v>
      </c>
      <c r="Q36" t="s">
        <v>22</v>
      </c>
      <c r="R36" t="s">
        <v>22</v>
      </c>
      <c r="S36" t="s">
        <v>22</v>
      </c>
      <c r="T36" t="s">
        <v>22</v>
      </c>
    </row>
    <row r="37" spans="1:20">
      <c r="H37">
        <v>1984</v>
      </c>
      <c r="I37">
        <v>2</v>
      </c>
      <c r="J37" t="s">
        <v>22</v>
      </c>
      <c r="K37" s="33">
        <v>30169000</v>
      </c>
      <c r="L37" s="37">
        <v>7.79E-3</v>
      </c>
      <c r="M37" t="s">
        <v>115</v>
      </c>
      <c r="O37">
        <v>1987</v>
      </c>
      <c r="P37">
        <v>1</v>
      </c>
      <c r="Q37" s="33">
        <v>2300000</v>
      </c>
      <c r="R37" t="s">
        <v>22</v>
      </c>
      <c r="S37" t="s">
        <v>22</v>
      </c>
      <c r="T37" t="s">
        <v>22</v>
      </c>
    </row>
    <row r="38" spans="1:20">
      <c r="H38">
        <v>1983</v>
      </c>
      <c r="I38">
        <v>1</v>
      </c>
      <c r="J38" t="s">
        <v>22</v>
      </c>
      <c r="K38" s="33">
        <v>24164</v>
      </c>
      <c r="L38" s="37">
        <v>1.0000000000000001E-5</v>
      </c>
      <c r="M38" t="s">
        <v>116</v>
      </c>
      <c r="O38">
        <v>1986</v>
      </c>
      <c r="P38">
        <v>1</v>
      </c>
      <c r="Q38" t="s">
        <v>22</v>
      </c>
      <c r="R38" s="33">
        <v>35800</v>
      </c>
      <c r="S38" s="37">
        <v>1.0000000000000001E-5</v>
      </c>
      <c r="T38" t="s">
        <v>107</v>
      </c>
    </row>
    <row r="39" spans="1:20">
      <c r="H39">
        <v>1982</v>
      </c>
      <c r="I39">
        <v>1</v>
      </c>
      <c r="J39" s="33">
        <v>28000000</v>
      </c>
      <c r="K39" s="33">
        <v>39469547</v>
      </c>
      <c r="L39" s="37">
        <v>1.1259999999999999E-2</v>
      </c>
      <c r="M39" t="s">
        <v>117</v>
      </c>
      <c r="O39">
        <v>1985</v>
      </c>
      <c r="P39">
        <v>1</v>
      </c>
      <c r="Q39" t="s">
        <v>22</v>
      </c>
      <c r="R39" s="33">
        <v>44900</v>
      </c>
      <c r="S39" s="37">
        <v>1.0000000000000001E-5</v>
      </c>
      <c r="T39" t="s">
        <v>35</v>
      </c>
    </row>
    <row r="40" spans="1:20">
      <c r="H40">
        <v>1981</v>
      </c>
      <c r="I40">
        <v>2</v>
      </c>
      <c r="J40" t="s">
        <v>22</v>
      </c>
      <c r="K40" s="33">
        <v>59333402</v>
      </c>
      <c r="L40" s="37">
        <v>2.0760000000000001E-2</v>
      </c>
      <c r="M40" t="s">
        <v>118</v>
      </c>
      <c r="O40">
        <v>1982</v>
      </c>
      <c r="P40">
        <v>2</v>
      </c>
      <c r="Q40" s="33">
        <v>17000000</v>
      </c>
      <c r="R40" s="33">
        <v>26918576</v>
      </c>
      <c r="S40" s="37">
        <v>7.6800000000000002E-3</v>
      </c>
      <c r="T40" t="s">
        <v>109</v>
      </c>
    </row>
    <row r="41" spans="1:20">
      <c r="H41">
        <v>1980</v>
      </c>
      <c r="I41">
        <v>3</v>
      </c>
      <c r="J41" t="s">
        <v>22</v>
      </c>
      <c r="K41" s="33">
        <v>8527743</v>
      </c>
      <c r="L41" s="37">
        <v>2.96E-3</v>
      </c>
      <c r="M41" t="s">
        <v>119</v>
      </c>
      <c r="O41">
        <v>1980</v>
      </c>
      <c r="P41">
        <v>1</v>
      </c>
      <c r="Q41" t="s">
        <v>22</v>
      </c>
      <c r="R41" t="s">
        <v>22</v>
      </c>
      <c r="S41" t="s">
        <v>22</v>
      </c>
      <c r="T41" t="s">
        <v>22</v>
      </c>
    </row>
    <row r="42" spans="1:20">
      <c r="H42">
        <v>1979</v>
      </c>
      <c r="I42">
        <v>2</v>
      </c>
      <c r="J42" t="s">
        <v>22</v>
      </c>
      <c r="K42" s="33">
        <v>7639</v>
      </c>
      <c r="L42" s="37">
        <v>0</v>
      </c>
      <c r="M42" t="s">
        <v>38</v>
      </c>
      <c r="O42">
        <v>1979</v>
      </c>
      <c r="P42">
        <v>1</v>
      </c>
      <c r="Q42" t="s">
        <v>22</v>
      </c>
      <c r="R42" s="33">
        <v>7639</v>
      </c>
      <c r="S42" s="37">
        <v>0</v>
      </c>
      <c r="T42" t="s">
        <v>38</v>
      </c>
    </row>
    <row r="43" spans="1:20">
      <c r="H43">
        <v>1976</v>
      </c>
      <c r="I43">
        <v>1</v>
      </c>
      <c r="J43" t="s">
        <v>22</v>
      </c>
      <c r="K43" s="33">
        <v>20665</v>
      </c>
      <c r="L43" s="37">
        <v>2.0000000000000002E-5</v>
      </c>
      <c r="M43" t="s">
        <v>39</v>
      </c>
      <c r="O43">
        <v>1976</v>
      </c>
      <c r="P43">
        <v>1</v>
      </c>
      <c r="Q43" t="s">
        <v>22</v>
      </c>
      <c r="R43" s="33">
        <v>20665</v>
      </c>
      <c r="S43" s="37">
        <v>2.0000000000000002E-5</v>
      </c>
      <c r="T43" t="s">
        <v>39</v>
      </c>
    </row>
    <row r="44" spans="1:20">
      <c r="H44">
        <v>1975</v>
      </c>
      <c r="I44">
        <v>2</v>
      </c>
      <c r="J44" t="s">
        <v>22</v>
      </c>
      <c r="K44" t="s">
        <v>22</v>
      </c>
      <c r="L44" t="s">
        <v>22</v>
      </c>
      <c r="M44" t="s">
        <v>22</v>
      </c>
      <c r="O44">
        <v>1971</v>
      </c>
      <c r="P44">
        <v>1</v>
      </c>
      <c r="Q44" t="s">
        <v>22</v>
      </c>
      <c r="R44" t="s">
        <v>22</v>
      </c>
      <c r="S44" t="s">
        <v>22</v>
      </c>
      <c r="T44" t="s">
        <v>22</v>
      </c>
    </row>
    <row r="45" spans="1:20">
      <c r="H45">
        <v>1973</v>
      </c>
      <c r="I45">
        <v>2</v>
      </c>
      <c r="J45" t="s">
        <v>22</v>
      </c>
      <c r="K45" s="33">
        <v>21487377</v>
      </c>
      <c r="L45" s="37">
        <v>1.6480000000000002E-2</v>
      </c>
      <c r="M45" t="s">
        <v>120</v>
      </c>
      <c r="O45">
        <v>1967</v>
      </c>
      <c r="P45">
        <v>1</v>
      </c>
      <c r="Q45" t="s">
        <v>22</v>
      </c>
      <c r="R45" t="s">
        <v>22</v>
      </c>
      <c r="S45" t="s">
        <v>22</v>
      </c>
    </row>
    <row r="46" spans="1:20">
      <c r="H46">
        <v>1972</v>
      </c>
      <c r="I46">
        <v>1</v>
      </c>
      <c r="J46" t="s">
        <v>22</v>
      </c>
      <c r="K46" t="s">
        <v>22</v>
      </c>
      <c r="L46" t="s">
        <v>22</v>
      </c>
      <c r="M46" t="s">
        <v>22</v>
      </c>
    </row>
    <row r="47" spans="1:20">
      <c r="H47">
        <v>1971</v>
      </c>
      <c r="I47">
        <v>1</v>
      </c>
      <c r="J47" t="s">
        <v>22</v>
      </c>
      <c r="K47" t="s">
        <v>22</v>
      </c>
      <c r="L47" t="s">
        <v>22</v>
      </c>
      <c r="M47" t="s">
        <v>22</v>
      </c>
    </row>
    <row r="48" spans="1:20">
      <c r="H48">
        <v>1967</v>
      </c>
      <c r="I48">
        <v>1</v>
      </c>
      <c r="J48" t="s">
        <v>22</v>
      </c>
      <c r="K48" t="s">
        <v>22</v>
      </c>
      <c r="L48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7"/>
  <sheetViews>
    <sheetView topLeftCell="B1" workbookViewId="0">
      <selection activeCell="C3" sqref="C3"/>
    </sheetView>
  </sheetViews>
  <sheetFormatPr defaultColWidth="9" defaultRowHeight="14.6"/>
  <cols>
    <col min="3" max="3" width="47.3828125" customWidth="1"/>
    <col min="4" max="4" width="15.3828125" customWidth="1"/>
    <col min="5" max="6" width="18" customWidth="1"/>
    <col min="7" max="7" width="17.3828125" customWidth="1"/>
  </cols>
  <sheetData>
    <row r="1" spans="1:8" ht="29.15">
      <c r="A1" s="32" t="s">
        <v>0</v>
      </c>
      <c r="B1" s="32"/>
      <c r="C1" s="36" t="s">
        <v>121</v>
      </c>
      <c r="D1" s="36" t="s">
        <v>122</v>
      </c>
      <c r="E1" s="36" t="s">
        <v>123</v>
      </c>
      <c r="F1" s="36" t="s">
        <v>124</v>
      </c>
      <c r="G1" s="36" t="s">
        <v>125</v>
      </c>
    </row>
    <row r="2" spans="1:8">
      <c r="A2">
        <v>2019</v>
      </c>
      <c r="B2">
        <f>1</f>
        <v>1</v>
      </c>
      <c r="C2" t="s">
        <v>6</v>
      </c>
      <c r="D2" t="s">
        <v>126</v>
      </c>
      <c r="E2" t="s">
        <v>127</v>
      </c>
      <c r="F2" t="s">
        <v>22</v>
      </c>
      <c r="G2" s="33">
        <v>742514069</v>
      </c>
      <c r="H2" t="s">
        <v>22</v>
      </c>
    </row>
    <row r="3" spans="1:8">
      <c r="A3">
        <v>2019</v>
      </c>
      <c r="B3">
        <f>B2+1</f>
        <v>2</v>
      </c>
      <c r="C3" t="s">
        <v>128</v>
      </c>
      <c r="D3" t="s">
        <v>126</v>
      </c>
      <c r="E3" t="s">
        <v>129</v>
      </c>
      <c r="F3" s="33">
        <v>50000000</v>
      </c>
      <c r="G3" s="33">
        <v>688934822</v>
      </c>
      <c r="H3" t="s">
        <v>22</v>
      </c>
    </row>
    <row r="4" spans="1:8">
      <c r="A4">
        <v>2019</v>
      </c>
      <c r="B4">
        <f t="shared" ref="B4:B67" si="0">B3+1</f>
        <v>3</v>
      </c>
      <c r="C4" t="s">
        <v>130</v>
      </c>
      <c r="D4" t="s">
        <v>126</v>
      </c>
      <c r="E4" t="s">
        <v>131</v>
      </c>
      <c r="F4" t="s">
        <v>22</v>
      </c>
      <c r="G4" s="33">
        <v>465418019</v>
      </c>
      <c r="H4" t="s">
        <v>22</v>
      </c>
    </row>
    <row r="5" spans="1:8">
      <c r="A5">
        <v>2019</v>
      </c>
      <c r="B5">
        <f t="shared" si="0"/>
        <v>4</v>
      </c>
      <c r="C5" t="s">
        <v>132</v>
      </c>
      <c r="D5" t="s">
        <v>133</v>
      </c>
    </row>
    <row r="6" spans="1:8">
      <c r="A6">
        <v>2019</v>
      </c>
      <c r="B6">
        <f t="shared" si="0"/>
        <v>5</v>
      </c>
      <c r="C6" t="s">
        <v>134</v>
      </c>
      <c r="D6" t="s">
        <v>131</v>
      </c>
      <c r="E6" t="s">
        <v>22</v>
      </c>
      <c r="F6" s="33">
        <v>417654292</v>
      </c>
      <c r="G6" t="s">
        <v>22</v>
      </c>
    </row>
    <row r="7" spans="1:8">
      <c r="A7">
        <v>2019</v>
      </c>
      <c r="B7">
        <f t="shared" si="0"/>
        <v>6</v>
      </c>
      <c r="C7" t="s">
        <v>135</v>
      </c>
      <c r="D7" t="s">
        <v>126</v>
      </c>
      <c r="E7" t="s">
        <v>136</v>
      </c>
      <c r="F7" t="s">
        <v>22</v>
      </c>
      <c r="G7" s="33">
        <v>326150303</v>
      </c>
      <c r="H7" t="s">
        <v>22</v>
      </c>
    </row>
    <row r="8" spans="1:8">
      <c r="A8">
        <v>2019</v>
      </c>
      <c r="B8">
        <f t="shared" si="0"/>
        <v>7</v>
      </c>
      <c r="C8" t="s">
        <v>137</v>
      </c>
      <c r="D8" t="s">
        <v>126</v>
      </c>
      <c r="E8" t="s">
        <v>136</v>
      </c>
      <c r="F8" t="s">
        <v>22</v>
      </c>
      <c r="G8" s="33">
        <v>255832826</v>
      </c>
      <c r="H8" t="s">
        <v>22</v>
      </c>
    </row>
    <row r="9" spans="1:8">
      <c r="A9">
        <v>2019</v>
      </c>
      <c r="B9">
        <f t="shared" si="0"/>
        <v>8</v>
      </c>
      <c r="C9" t="s">
        <v>138</v>
      </c>
      <c r="D9" t="s">
        <v>126</v>
      </c>
      <c r="E9" t="s">
        <v>131</v>
      </c>
      <c r="F9" t="s">
        <v>22</v>
      </c>
      <c r="G9" s="33">
        <v>245179530</v>
      </c>
      <c r="H9" t="s">
        <v>22</v>
      </c>
    </row>
    <row r="10" spans="1:8">
      <c r="A10">
        <v>2019</v>
      </c>
      <c r="B10">
        <f t="shared" si="0"/>
        <v>9</v>
      </c>
      <c r="C10" t="s">
        <v>139</v>
      </c>
      <c r="D10" t="s">
        <v>126</v>
      </c>
      <c r="E10" t="s">
        <v>131</v>
      </c>
      <c r="F10" t="s">
        <v>22</v>
      </c>
      <c r="G10" s="33">
        <v>230001031</v>
      </c>
      <c r="H10" t="s">
        <v>22</v>
      </c>
    </row>
    <row r="11" spans="1:8">
      <c r="A11">
        <v>2019</v>
      </c>
      <c r="B11">
        <f t="shared" si="0"/>
        <v>10</v>
      </c>
      <c r="C11" t="s">
        <v>140</v>
      </c>
      <c r="D11" t="s">
        <v>126</v>
      </c>
      <c r="E11" t="s">
        <v>131</v>
      </c>
      <c r="F11" t="s">
        <v>22</v>
      </c>
      <c r="G11" s="33">
        <v>199286793</v>
      </c>
      <c r="H11" t="s">
        <v>22</v>
      </c>
    </row>
    <row r="12" spans="1:8">
      <c r="A12">
        <v>2019</v>
      </c>
      <c r="B12">
        <f t="shared" si="0"/>
        <v>11</v>
      </c>
      <c r="C12" t="s">
        <v>141</v>
      </c>
      <c r="D12" t="s">
        <v>126</v>
      </c>
      <c r="E12" t="s">
        <v>127</v>
      </c>
      <c r="F12" t="s">
        <v>22</v>
      </c>
      <c r="G12" s="33">
        <v>163659404</v>
      </c>
      <c r="H12" t="s">
        <v>22</v>
      </c>
    </row>
    <row r="13" spans="1:8">
      <c r="A13">
        <v>2019</v>
      </c>
      <c r="B13">
        <f t="shared" si="0"/>
        <v>12</v>
      </c>
      <c r="C13" t="s">
        <v>142</v>
      </c>
      <c r="D13" t="s">
        <v>126</v>
      </c>
      <c r="E13" t="s">
        <v>131</v>
      </c>
      <c r="F13" t="s">
        <v>22</v>
      </c>
      <c r="G13" s="33">
        <v>127897924</v>
      </c>
      <c r="H13" t="s">
        <v>22</v>
      </c>
    </row>
    <row r="14" spans="1:8">
      <c r="A14">
        <v>2019</v>
      </c>
      <c r="B14">
        <f t="shared" si="0"/>
        <v>13</v>
      </c>
      <c r="C14" t="s">
        <v>143</v>
      </c>
      <c r="D14" t="s">
        <v>144</v>
      </c>
    </row>
    <row r="15" spans="1:8">
      <c r="A15">
        <v>2019</v>
      </c>
      <c r="B15">
        <f t="shared" si="0"/>
        <v>14</v>
      </c>
      <c r="C15" t="s">
        <v>126</v>
      </c>
      <c r="D15" t="s">
        <v>129</v>
      </c>
      <c r="E15" t="s">
        <v>22</v>
      </c>
      <c r="F15" s="33">
        <v>115687407</v>
      </c>
      <c r="G15" t="s">
        <v>22</v>
      </c>
    </row>
    <row r="16" spans="1:8">
      <c r="A16">
        <v>2019</v>
      </c>
      <c r="B16">
        <f t="shared" si="0"/>
        <v>15</v>
      </c>
      <c r="C16" t="s">
        <v>145</v>
      </c>
      <c r="D16" t="s">
        <v>146</v>
      </c>
    </row>
    <row r="17" spans="1:8">
      <c r="A17">
        <v>2019</v>
      </c>
      <c r="B17">
        <f t="shared" si="0"/>
        <v>16</v>
      </c>
      <c r="C17" t="s">
        <v>126</v>
      </c>
      <c r="D17" t="s">
        <v>127</v>
      </c>
      <c r="E17" t="s">
        <v>22</v>
      </c>
      <c r="F17" s="33">
        <v>107906177</v>
      </c>
      <c r="G17" t="s">
        <v>22</v>
      </c>
    </row>
    <row r="18" spans="1:8">
      <c r="A18">
        <v>2019</v>
      </c>
      <c r="B18">
        <f t="shared" si="0"/>
        <v>17</v>
      </c>
      <c r="C18" t="s">
        <v>147</v>
      </c>
      <c r="D18" t="s">
        <v>126</v>
      </c>
      <c r="E18" t="s">
        <v>148</v>
      </c>
      <c r="F18" t="s">
        <v>22</v>
      </c>
      <c r="G18" s="33">
        <v>99539120</v>
      </c>
      <c r="H18" t="s">
        <v>22</v>
      </c>
    </row>
    <row r="19" spans="1:8">
      <c r="A19">
        <v>2019</v>
      </c>
      <c r="B19">
        <f t="shared" si="0"/>
        <v>18</v>
      </c>
      <c r="C19" t="s">
        <v>149</v>
      </c>
      <c r="D19" t="s">
        <v>126</v>
      </c>
      <c r="E19" t="s">
        <v>136</v>
      </c>
      <c r="F19" t="s">
        <v>22</v>
      </c>
      <c r="G19" s="33">
        <v>92796952</v>
      </c>
      <c r="H19" t="s">
        <v>22</v>
      </c>
    </row>
    <row r="20" spans="1:8">
      <c r="A20">
        <v>2019</v>
      </c>
      <c r="B20">
        <f t="shared" si="0"/>
        <v>19</v>
      </c>
      <c r="C20" t="s">
        <v>150</v>
      </c>
      <c r="D20" t="s">
        <v>126</v>
      </c>
      <c r="E20" t="s">
        <v>131</v>
      </c>
      <c r="F20" t="s">
        <v>22</v>
      </c>
      <c r="G20" s="33">
        <v>68364730</v>
      </c>
      <c r="H20" t="s">
        <v>22</v>
      </c>
    </row>
    <row r="21" spans="1:8">
      <c r="A21">
        <v>2019</v>
      </c>
      <c r="B21">
        <f t="shared" si="0"/>
        <v>20</v>
      </c>
      <c r="C21" t="s">
        <v>151</v>
      </c>
      <c r="D21" t="s">
        <v>126</v>
      </c>
      <c r="E21" t="s">
        <v>131</v>
      </c>
      <c r="F21" t="s">
        <v>22</v>
      </c>
      <c r="G21" s="33">
        <v>60006412</v>
      </c>
      <c r="H21" t="s">
        <v>22</v>
      </c>
    </row>
    <row r="22" spans="1:8">
      <c r="A22">
        <v>2019</v>
      </c>
      <c r="B22">
        <f t="shared" si="0"/>
        <v>21</v>
      </c>
      <c r="C22" t="s">
        <v>152</v>
      </c>
      <c r="D22" t="s">
        <v>126</v>
      </c>
      <c r="E22" t="s">
        <v>129</v>
      </c>
      <c r="F22" t="s">
        <v>22</v>
      </c>
      <c r="G22" s="33">
        <v>56911144</v>
      </c>
      <c r="H22" t="s">
        <v>22</v>
      </c>
    </row>
    <row r="23" spans="1:8">
      <c r="A23">
        <v>2019</v>
      </c>
      <c r="B23">
        <f t="shared" si="0"/>
        <v>22</v>
      </c>
      <c r="C23" t="s">
        <v>153</v>
      </c>
      <c r="D23" t="s">
        <v>126</v>
      </c>
      <c r="E23" t="s">
        <v>154</v>
      </c>
      <c r="F23" t="s">
        <v>22</v>
      </c>
      <c r="G23" s="33">
        <v>56040680</v>
      </c>
      <c r="H23" t="s">
        <v>22</v>
      </c>
    </row>
    <row r="24" spans="1:8">
      <c r="A24">
        <v>2019</v>
      </c>
      <c r="B24">
        <f t="shared" si="0"/>
        <v>23</v>
      </c>
      <c r="C24" t="s">
        <v>155</v>
      </c>
      <c r="D24" t="s">
        <v>126</v>
      </c>
      <c r="E24" t="s">
        <v>131</v>
      </c>
      <c r="F24" t="s">
        <v>22</v>
      </c>
      <c r="G24" s="33">
        <v>50885008</v>
      </c>
      <c r="H24" t="s">
        <v>22</v>
      </c>
    </row>
    <row r="25" spans="1:8">
      <c r="A25">
        <v>2019</v>
      </c>
      <c r="B25">
        <f t="shared" si="0"/>
        <v>24</v>
      </c>
      <c r="C25" t="s">
        <v>156</v>
      </c>
      <c r="D25" t="s">
        <v>126</v>
      </c>
      <c r="E25" t="s">
        <v>127</v>
      </c>
      <c r="F25" t="s">
        <v>22</v>
      </c>
      <c r="G25" s="33">
        <v>44553752</v>
      </c>
      <c r="H25" t="s">
        <v>22</v>
      </c>
    </row>
    <row r="26" spans="1:8">
      <c r="A26">
        <v>2019</v>
      </c>
      <c r="B26">
        <f t="shared" si="0"/>
        <v>25</v>
      </c>
      <c r="C26" t="s">
        <v>157</v>
      </c>
      <c r="D26" t="s">
        <v>126</v>
      </c>
      <c r="E26" t="s">
        <v>131</v>
      </c>
      <c r="F26" t="s">
        <v>22</v>
      </c>
      <c r="G26" s="33">
        <v>39757864</v>
      </c>
      <c r="H26" t="s">
        <v>22</v>
      </c>
    </row>
    <row r="27" spans="1:8">
      <c r="A27">
        <v>2019</v>
      </c>
      <c r="B27">
        <f t="shared" si="0"/>
        <v>26</v>
      </c>
      <c r="C27" t="s">
        <v>158</v>
      </c>
      <c r="D27" t="s">
        <v>126</v>
      </c>
      <c r="E27" t="s">
        <v>131</v>
      </c>
      <c r="F27" t="s">
        <v>22</v>
      </c>
      <c r="G27" s="33">
        <v>36090000</v>
      </c>
      <c r="H27" t="s">
        <v>22</v>
      </c>
    </row>
    <row r="28" spans="1:8">
      <c r="A28">
        <v>2019</v>
      </c>
      <c r="B28">
        <f t="shared" si="0"/>
        <v>27</v>
      </c>
      <c r="C28" t="s">
        <v>159</v>
      </c>
      <c r="D28" t="s">
        <v>126</v>
      </c>
      <c r="E28" t="s">
        <v>131</v>
      </c>
      <c r="F28" t="s">
        <v>22</v>
      </c>
      <c r="G28" s="33">
        <v>32227811</v>
      </c>
      <c r="H28" t="s">
        <v>22</v>
      </c>
    </row>
    <row r="29" spans="1:8">
      <c r="A29">
        <v>2019</v>
      </c>
      <c r="B29">
        <f t="shared" si="0"/>
        <v>28</v>
      </c>
      <c r="C29" t="s">
        <v>160</v>
      </c>
      <c r="D29" t="s">
        <v>126</v>
      </c>
      <c r="E29" t="s">
        <v>161</v>
      </c>
      <c r="F29" t="s">
        <v>22</v>
      </c>
      <c r="G29" s="33">
        <v>32007144</v>
      </c>
      <c r="H29" t="s">
        <v>22</v>
      </c>
    </row>
    <row r="30" spans="1:8">
      <c r="A30">
        <v>2019</v>
      </c>
      <c r="B30">
        <f t="shared" si="0"/>
        <v>29</v>
      </c>
      <c r="C30" t="s">
        <v>162</v>
      </c>
      <c r="D30" t="s">
        <v>126</v>
      </c>
      <c r="E30" t="s">
        <v>131</v>
      </c>
      <c r="F30" t="s">
        <v>22</v>
      </c>
      <c r="G30" s="33">
        <v>31188607</v>
      </c>
      <c r="H30" t="s">
        <v>22</v>
      </c>
    </row>
    <row r="31" spans="1:8">
      <c r="A31">
        <v>2019</v>
      </c>
      <c r="B31">
        <f t="shared" si="0"/>
        <v>30</v>
      </c>
      <c r="C31" t="s">
        <v>163</v>
      </c>
      <c r="D31" t="s">
        <v>126</v>
      </c>
      <c r="E31" t="s">
        <v>154</v>
      </c>
      <c r="F31" t="s">
        <v>22</v>
      </c>
      <c r="G31" s="33">
        <v>31063346</v>
      </c>
      <c r="H31" t="s">
        <v>22</v>
      </c>
    </row>
    <row r="32" spans="1:8">
      <c r="A32">
        <v>2019</v>
      </c>
      <c r="B32">
        <f t="shared" si="0"/>
        <v>31</v>
      </c>
      <c r="C32" t="s">
        <v>53</v>
      </c>
      <c r="D32" t="s">
        <v>126</v>
      </c>
      <c r="E32" t="s">
        <v>148</v>
      </c>
      <c r="F32" t="s">
        <v>22</v>
      </c>
      <c r="G32" s="33">
        <v>28792065</v>
      </c>
      <c r="H32" t="s">
        <v>22</v>
      </c>
    </row>
    <row r="33" spans="1:8">
      <c r="A33">
        <v>2019</v>
      </c>
      <c r="B33">
        <f t="shared" si="0"/>
        <v>32</v>
      </c>
      <c r="C33" t="s">
        <v>164</v>
      </c>
      <c r="D33" t="s">
        <v>126</v>
      </c>
      <c r="E33" t="s">
        <v>148</v>
      </c>
      <c r="F33" t="s">
        <v>22</v>
      </c>
      <c r="G33" s="33">
        <v>27410000</v>
      </c>
      <c r="H33" t="s">
        <v>22</v>
      </c>
    </row>
    <row r="34" spans="1:8">
      <c r="A34">
        <v>2019</v>
      </c>
      <c r="B34">
        <f t="shared" si="0"/>
        <v>33</v>
      </c>
      <c r="C34" t="s">
        <v>165</v>
      </c>
      <c r="D34" t="s">
        <v>144</v>
      </c>
    </row>
    <row r="35" spans="1:8">
      <c r="A35">
        <v>2019</v>
      </c>
      <c r="B35">
        <f t="shared" si="0"/>
        <v>34</v>
      </c>
      <c r="C35" t="s">
        <v>126</v>
      </c>
      <c r="D35" t="s">
        <v>154</v>
      </c>
      <c r="E35" t="s">
        <v>22</v>
      </c>
      <c r="F35" s="33">
        <v>25293852</v>
      </c>
      <c r="G35" t="s">
        <v>22</v>
      </c>
    </row>
    <row r="36" spans="1:8">
      <c r="A36">
        <v>2019</v>
      </c>
      <c r="B36">
        <f t="shared" si="0"/>
        <v>35</v>
      </c>
      <c r="C36" t="s">
        <v>166</v>
      </c>
      <c r="D36" t="s">
        <v>146</v>
      </c>
    </row>
    <row r="37" spans="1:8">
      <c r="A37">
        <v>2019</v>
      </c>
      <c r="B37">
        <f t="shared" si="0"/>
        <v>36</v>
      </c>
      <c r="C37" t="s">
        <v>126</v>
      </c>
      <c r="D37" t="s">
        <v>154</v>
      </c>
      <c r="E37" t="s">
        <v>22</v>
      </c>
      <c r="F37" s="33">
        <v>24750000</v>
      </c>
      <c r="G37" t="s">
        <v>22</v>
      </c>
    </row>
    <row r="38" spans="1:8">
      <c r="A38">
        <v>2019</v>
      </c>
      <c r="B38">
        <f t="shared" si="0"/>
        <v>37</v>
      </c>
      <c r="C38" t="s">
        <v>167</v>
      </c>
      <c r="D38" t="s">
        <v>126</v>
      </c>
      <c r="E38" t="s">
        <v>131</v>
      </c>
      <c r="F38" t="s">
        <v>22</v>
      </c>
      <c r="G38" s="33">
        <v>23417137</v>
      </c>
      <c r="H38" t="s">
        <v>22</v>
      </c>
    </row>
    <row r="39" spans="1:8">
      <c r="A39">
        <v>2019</v>
      </c>
      <c r="B39">
        <f t="shared" si="0"/>
        <v>38</v>
      </c>
      <c r="C39" t="s">
        <v>168</v>
      </c>
      <c r="D39" t="s">
        <v>126</v>
      </c>
      <c r="E39" t="s">
        <v>129</v>
      </c>
      <c r="F39" t="s">
        <v>22</v>
      </c>
      <c r="G39" s="33">
        <v>22687180</v>
      </c>
      <c r="H39" t="s">
        <v>22</v>
      </c>
    </row>
    <row r="40" spans="1:8">
      <c r="A40">
        <v>2019</v>
      </c>
      <c r="B40">
        <f t="shared" si="0"/>
        <v>39</v>
      </c>
      <c r="C40" t="s">
        <v>169</v>
      </c>
      <c r="D40" t="s">
        <v>146</v>
      </c>
    </row>
    <row r="41" spans="1:8">
      <c r="A41">
        <v>2019</v>
      </c>
      <c r="B41">
        <f t="shared" si="0"/>
        <v>40</v>
      </c>
      <c r="C41" t="s">
        <v>170</v>
      </c>
    </row>
    <row r="42" spans="1:8">
      <c r="A42">
        <v>2019</v>
      </c>
      <c r="B42">
        <f t="shared" si="0"/>
        <v>41</v>
      </c>
      <c r="C42" t="s">
        <v>171</v>
      </c>
    </row>
    <row r="43" spans="1:8">
      <c r="A43">
        <v>2019</v>
      </c>
      <c r="B43">
        <f t="shared" si="0"/>
        <v>42</v>
      </c>
      <c r="C43" t="s">
        <v>126</v>
      </c>
      <c r="D43" t="s">
        <v>131</v>
      </c>
      <c r="E43" s="33">
        <v>3000000</v>
      </c>
      <c r="F43" s="33">
        <v>22340409</v>
      </c>
      <c r="G43" t="s">
        <v>22</v>
      </c>
    </row>
    <row r="44" spans="1:8">
      <c r="A44">
        <v>2019</v>
      </c>
      <c r="B44">
        <f t="shared" si="0"/>
        <v>43</v>
      </c>
      <c r="C44" t="s">
        <v>172</v>
      </c>
      <c r="D44" t="s">
        <v>126</v>
      </c>
      <c r="E44" t="s">
        <v>131</v>
      </c>
      <c r="F44" t="s">
        <v>22</v>
      </c>
      <c r="G44" s="33">
        <v>19005956</v>
      </c>
      <c r="H44" t="s">
        <v>22</v>
      </c>
    </row>
    <row r="45" spans="1:8">
      <c r="A45">
        <v>2019</v>
      </c>
      <c r="B45">
        <f t="shared" si="0"/>
        <v>44</v>
      </c>
      <c r="C45" t="s">
        <v>173</v>
      </c>
      <c r="D45" t="s">
        <v>126</v>
      </c>
      <c r="E45" t="s">
        <v>127</v>
      </c>
      <c r="F45" t="s">
        <v>22</v>
      </c>
      <c r="G45" s="33">
        <v>18653041</v>
      </c>
      <c r="H45" t="s">
        <v>22</v>
      </c>
    </row>
    <row r="46" spans="1:8">
      <c r="A46">
        <v>2019</v>
      </c>
      <c r="B46">
        <f t="shared" si="0"/>
        <v>45</v>
      </c>
      <c r="C46" t="s">
        <v>174</v>
      </c>
      <c r="D46" t="s">
        <v>146</v>
      </c>
    </row>
    <row r="47" spans="1:8">
      <c r="A47">
        <v>2019</v>
      </c>
      <c r="B47">
        <f t="shared" si="0"/>
        <v>46</v>
      </c>
      <c r="C47" t="s">
        <v>126</v>
      </c>
      <c r="D47" t="s">
        <v>131</v>
      </c>
      <c r="E47" t="s">
        <v>22</v>
      </c>
      <c r="F47" s="33">
        <v>16923672</v>
      </c>
      <c r="G47" t="s">
        <v>22</v>
      </c>
    </row>
    <row r="48" spans="1:8">
      <c r="A48">
        <v>2019</v>
      </c>
      <c r="B48">
        <f t="shared" si="0"/>
        <v>47</v>
      </c>
      <c r="C48" t="s">
        <v>175</v>
      </c>
      <c r="D48" t="s">
        <v>146</v>
      </c>
    </row>
    <row r="49" spans="1:8">
      <c r="A49">
        <v>2019</v>
      </c>
      <c r="B49">
        <f t="shared" si="0"/>
        <v>48</v>
      </c>
      <c r="C49" t="s">
        <v>126</v>
      </c>
      <c r="D49" t="s">
        <v>131</v>
      </c>
      <c r="E49" t="s">
        <v>22</v>
      </c>
      <c r="F49" s="33">
        <v>16841504</v>
      </c>
      <c r="G49" t="s">
        <v>22</v>
      </c>
    </row>
    <row r="50" spans="1:8">
      <c r="A50">
        <v>2019</v>
      </c>
      <c r="B50">
        <f t="shared" si="0"/>
        <v>49</v>
      </c>
      <c r="C50" t="s">
        <v>176</v>
      </c>
      <c r="D50" t="s">
        <v>144</v>
      </c>
    </row>
    <row r="51" spans="1:8">
      <c r="A51">
        <v>2019</v>
      </c>
      <c r="B51">
        <f t="shared" si="0"/>
        <v>50</v>
      </c>
      <c r="C51" t="s">
        <v>126</v>
      </c>
      <c r="D51" t="s">
        <v>129</v>
      </c>
      <c r="E51" t="s">
        <v>22</v>
      </c>
      <c r="F51" s="33">
        <v>14917516</v>
      </c>
      <c r="G51" t="s">
        <v>22</v>
      </c>
    </row>
    <row r="52" spans="1:8">
      <c r="A52">
        <v>2019</v>
      </c>
      <c r="B52">
        <f t="shared" si="0"/>
        <v>51</v>
      </c>
      <c r="C52" t="s">
        <v>177</v>
      </c>
      <c r="D52" t="s">
        <v>126</v>
      </c>
      <c r="E52" t="s">
        <v>131</v>
      </c>
      <c r="F52" t="s">
        <v>22</v>
      </c>
      <c r="G52" s="33">
        <v>13994187</v>
      </c>
      <c r="H52" t="s">
        <v>22</v>
      </c>
    </row>
    <row r="53" spans="1:8">
      <c r="A53">
        <v>2019</v>
      </c>
      <c r="B53">
        <f t="shared" si="0"/>
        <v>52</v>
      </c>
      <c r="C53" t="s">
        <v>178</v>
      </c>
      <c r="D53" t="s">
        <v>126</v>
      </c>
      <c r="E53" t="s">
        <v>127</v>
      </c>
      <c r="F53" t="s">
        <v>22</v>
      </c>
      <c r="G53" s="33">
        <v>11840495</v>
      </c>
      <c r="H53" t="s">
        <v>22</v>
      </c>
    </row>
    <row r="54" spans="1:8">
      <c r="A54">
        <v>2019</v>
      </c>
      <c r="B54">
        <f t="shared" si="0"/>
        <v>53</v>
      </c>
      <c r="C54" t="s">
        <v>179</v>
      </c>
      <c r="D54" t="s">
        <v>126</v>
      </c>
      <c r="E54" t="s">
        <v>131</v>
      </c>
      <c r="F54" t="s">
        <v>22</v>
      </c>
      <c r="G54" s="33">
        <v>10102949</v>
      </c>
      <c r="H54" t="s">
        <v>22</v>
      </c>
    </row>
    <row r="55" spans="1:8">
      <c r="A55">
        <v>2019</v>
      </c>
      <c r="B55">
        <f t="shared" si="0"/>
        <v>54</v>
      </c>
      <c r="C55" t="s">
        <v>180</v>
      </c>
      <c r="D55" t="s">
        <v>126</v>
      </c>
      <c r="E55" t="s">
        <v>131</v>
      </c>
      <c r="F55" t="s">
        <v>22</v>
      </c>
      <c r="G55" s="33">
        <v>9626679</v>
      </c>
      <c r="H55" t="s">
        <v>22</v>
      </c>
    </row>
    <row r="56" spans="1:8">
      <c r="A56">
        <v>2019</v>
      </c>
      <c r="B56">
        <f t="shared" si="0"/>
        <v>55</v>
      </c>
      <c r="C56" t="s">
        <v>181</v>
      </c>
      <c r="D56" t="s">
        <v>182</v>
      </c>
    </row>
    <row r="57" spans="1:8">
      <c r="A57">
        <v>2019</v>
      </c>
      <c r="B57">
        <f t="shared" si="0"/>
        <v>56</v>
      </c>
      <c r="C57" t="s">
        <v>183</v>
      </c>
    </row>
    <row r="58" spans="1:8">
      <c r="A58">
        <v>2019</v>
      </c>
      <c r="B58">
        <f t="shared" si="0"/>
        <v>57</v>
      </c>
      <c r="C58" t="s">
        <v>126</v>
      </c>
      <c r="D58" t="s">
        <v>127</v>
      </c>
      <c r="E58" t="s">
        <v>22</v>
      </c>
      <c r="F58" s="33">
        <v>9484078</v>
      </c>
      <c r="G58" t="s">
        <v>22</v>
      </c>
    </row>
    <row r="59" spans="1:8">
      <c r="A59">
        <v>2019</v>
      </c>
      <c r="B59">
        <f t="shared" si="0"/>
        <v>58</v>
      </c>
      <c r="C59" t="s">
        <v>184</v>
      </c>
      <c r="D59" t="s">
        <v>126</v>
      </c>
      <c r="E59" t="s">
        <v>136</v>
      </c>
      <c r="F59" t="s">
        <v>22</v>
      </c>
      <c r="G59" s="33">
        <v>9345649</v>
      </c>
      <c r="H59" t="s">
        <v>22</v>
      </c>
    </row>
    <row r="60" spans="1:8">
      <c r="A60">
        <v>2019</v>
      </c>
      <c r="B60">
        <f t="shared" si="0"/>
        <v>59</v>
      </c>
      <c r="C60" t="s">
        <v>185</v>
      </c>
      <c r="D60" t="s">
        <v>126</v>
      </c>
      <c r="E60" t="s">
        <v>136</v>
      </c>
      <c r="F60" t="s">
        <v>22</v>
      </c>
      <c r="G60" s="33">
        <v>9023944</v>
      </c>
      <c r="H60" t="s">
        <v>22</v>
      </c>
    </row>
    <row r="61" spans="1:8">
      <c r="A61">
        <v>2019</v>
      </c>
      <c r="B61">
        <f t="shared" si="0"/>
        <v>60</v>
      </c>
      <c r="C61" t="s">
        <v>186</v>
      </c>
      <c r="D61" t="s">
        <v>146</v>
      </c>
    </row>
    <row r="62" spans="1:8">
      <c r="A62">
        <v>2019</v>
      </c>
      <c r="B62">
        <f t="shared" si="0"/>
        <v>61</v>
      </c>
      <c r="C62" t="s">
        <v>126</v>
      </c>
      <c r="D62" t="s">
        <v>129</v>
      </c>
      <c r="E62" t="s">
        <v>22</v>
      </c>
      <c r="F62" s="33">
        <v>8719459</v>
      </c>
      <c r="G62" t="s">
        <v>22</v>
      </c>
    </row>
    <row r="63" spans="1:8">
      <c r="A63">
        <v>2019</v>
      </c>
      <c r="B63">
        <f t="shared" si="0"/>
        <v>62</v>
      </c>
      <c r="C63" t="s">
        <v>187</v>
      </c>
      <c r="D63" t="s">
        <v>146</v>
      </c>
    </row>
    <row r="64" spans="1:8">
      <c r="A64">
        <v>2019</v>
      </c>
      <c r="B64">
        <f t="shared" si="0"/>
        <v>63</v>
      </c>
      <c r="C64" t="s">
        <v>133</v>
      </c>
    </row>
    <row r="65" spans="1:8">
      <c r="A65">
        <v>2019</v>
      </c>
      <c r="B65">
        <f t="shared" si="0"/>
        <v>64</v>
      </c>
      <c r="C65" t="s">
        <v>188</v>
      </c>
      <c r="D65" t="s">
        <v>127</v>
      </c>
      <c r="E65" t="s">
        <v>22</v>
      </c>
      <c r="F65" s="33">
        <v>8307698</v>
      </c>
      <c r="G65" t="s">
        <v>22</v>
      </c>
    </row>
    <row r="66" spans="1:8">
      <c r="A66">
        <v>2019</v>
      </c>
      <c r="B66">
        <f t="shared" si="0"/>
        <v>65</v>
      </c>
      <c r="C66" t="s">
        <v>189</v>
      </c>
      <c r="D66" t="s">
        <v>126</v>
      </c>
      <c r="E66" t="s">
        <v>154</v>
      </c>
      <c r="F66" t="s">
        <v>22</v>
      </c>
      <c r="G66" s="33">
        <v>8230634</v>
      </c>
      <c r="H66" t="s">
        <v>22</v>
      </c>
    </row>
    <row r="67" spans="1:8">
      <c r="A67">
        <v>2019</v>
      </c>
      <c r="B67">
        <f t="shared" si="0"/>
        <v>66</v>
      </c>
      <c r="C67" t="s">
        <v>190</v>
      </c>
      <c r="D67" t="s">
        <v>126</v>
      </c>
      <c r="E67" t="s">
        <v>191</v>
      </c>
      <c r="F67" t="s">
        <v>22</v>
      </c>
      <c r="G67" s="33">
        <v>8091941</v>
      </c>
      <c r="H67" t="s">
        <v>22</v>
      </c>
    </row>
    <row r="68" spans="1:8">
      <c r="A68">
        <v>2019</v>
      </c>
      <c r="B68">
        <f t="shared" ref="B68:B131" si="1">B67+1</f>
        <v>67</v>
      </c>
      <c r="C68" t="s">
        <v>192</v>
      </c>
      <c r="D68" t="s">
        <v>126</v>
      </c>
      <c r="E68" t="s">
        <v>193</v>
      </c>
      <c r="F68" t="s">
        <v>22</v>
      </c>
      <c r="G68" s="33">
        <v>7489619</v>
      </c>
      <c r="H68" t="s">
        <v>22</v>
      </c>
    </row>
    <row r="69" spans="1:8">
      <c r="A69">
        <v>2019</v>
      </c>
      <c r="B69">
        <f t="shared" si="1"/>
        <v>68</v>
      </c>
      <c r="C69" t="s">
        <v>194</v>
      </c>
      <c r="D69" t="s">
        <v>126</v>
      </c>
      <c r="E69" t="s">
        <v>148</v>
      </c>
      <c r="F69" t="s">
        <v>22</v>
      </c>
      <c r="G69" s="33">
        <v>7322128</v>
      </c>
      <c r="H69" t="s">
        <v>22</v>
      </c>
    </row>
    <row r="70" spans="1:8">
      <c r="A70">
        <v>2019</v>
      </c>
      <c r="B70">
        <f t="shared" si="1"/>
        <v>69</v>
      </c>
      <c r="C70" t="s">
        <v>195</v>
      </c>
      <c r="D70" t="s">
        <v>126</v>
      </c>
      <c r="E70" t="s">
        <v>196</v>
      </c>
      <c r="F70" t="s">
        <v>22</v>
      </c>
      <c r="G70" s="33">
        <v>7272220</v>
      </c>
      <c r="H70" t="s">
        <v>22</v>
      </c>
    </row>
    <row r="71" spans="1:8">
      <c r="A71">
        <v>2019</v>
      </c>
      <c r="B71">
        <f t="shared" si="1"/>
        <v>70</v>
      </c>
      <c r="C71" t="s">
        <v>197</v>
      </c>
      <c r="D71" t="s">
        <v>126</v>
      </c>
      <c r="E71" t="s">
        <v>154</v>
      </c>
      <c r="F71" t="s">
        <v>22</v>
      </c>
      <c r="G71" s="33">
        <v>7090000</v>
      </c>
      <c r="H71" t="s">
        <v>22</v>
      </c>
    </row>
    <row r="72" spans="1:8">
      <c r="A72">
        <v>2019</v>
      </c>
      <c r="B72">
        <f t="shared" si="1"/>
        <v>71</v>
      </c>
      <c r="C72" t="s">
        <v>198</v>
      </c>
      <c r="D72" t="s">
        <v>126</v>
      </c>
      <c r="E72" t="s">
        <v>131</v>
      </c>
      <c r="F72" t="s">
        <v>22</v>
      </c>
      <c r="G72" s="33">
        <v>6836934</v>
      </c>
      <c r="H72" t="s">
        <v>22</v>
      </c>
    </row>
    <row r="73" spans="1:8">
      <c r="A73">
        <v>2019</v>
      </c>
      <c r="B73">
        <f t="shared" si="1"/>
        <v>72</v>
      </c>
      <c r="C73" t="s">
        <v>199</v>
      </c>
      <c r="D73" t="s">
        <v>126</v>
      </c>
      <c r="E73" t="s">
        <v>131</v>
      </c>
      <c r="F73" t="s">
        <v>22</v>
      </c>
      <c r="G73" s="33">
        <v>6780000</v>
      </c>
      <c r="H73" t="s">
        <v>22</v>
      </c>
    </row>
    <row r="74" spans="1:8">
      <c r="A74">
        <v>2019</v>
      </c>
      <c r="B74">
        <f t="shared" si="1"/>
        <v>73</v>
      </c>
      <c r="C74" t="s">
        <v>200</v>
      </c>
      <c r="D74" t="s">
        <v>126</v>
      </c>
      <c r="E74" t="s">
        <v>131</v>
      </c>
      <c r="F74" t="s">
        <v>22</v>
      </c>
      <c r="G74" s="33">
        <v>6225444</v>
      </c>
      <c r="H74" t="s">
        <v>22</v>
      </c>
    </row>
    <row r="75" spans="1:8">
      <c r="A75">
        <v>2019</v>
      </c>
      <c r="B75">
        <f t="shared" si="1"/>
        <v>74</v>
      </c>
      <c r="C75" t="s">
        <v>201</v>
      </c>
      <c r="D75" t="s">
        <v>126</v>
      </c>
      <c r="E75" t="s">
        <v>131</v>
      </c>
      <c r="F75" t="s">
        <v>22</v>
      </c>
      <c r="G75" s="33">
        <v>6032960</v>
      </c>
      <c r="H75" t="s">
        <v>22</v>
      </c>
    </row>
    <row r="76" spans="1:8">
      <c r="A76">
        <v>2019</v>
      </c>
      <c r="B76">
        <f t="shared" si="1"/>
        <v>75</v>
      </c>
      <c r="C76" t="s">
        <v>202</v>
      </c>
      <c r="D76" t="s">
        <v>126</v>
      </c>
      <c r="E76" t="s">
        <v>131</v>
      </c>
      <c r="F76" t="s">
        <v>22</v>
      </c>
      <c r="G76" s="33">
        <v>5932063</v>
      </c>
      <c r="H76" t="s">
        <v>22</v>
      </c>
    </row>
    <row r="77" spans="1:8">
      <c r="A77">
        <v>2019</v>
      </c>
      <c r="B77">
        <f t="shared" si="1"/>
        <v>76</v>
      </c>
      <c r="C77" t="s">
        <v>203</v>
      </c>
      <c r="D77" t="s">
        <v>126</v>
      </c>
      <c r="E77" t="s">
        <v>129</v>
      </c>
      <c r="F77" t="s">
        <v>22</v>
      </c>
      <c r="G77" s="33">
        <v>5755641</v>
      </c>
      <c r="H77" t="s">
        <v>22</v>
      </c>
    </row>
    <row r="78" spans="1:8">
      <c r="A78">
        <v>2019</v>
      </c>
      <c r="B78">
        <f t="shared" si="1"/>
        <v>77</v>
      </c>
      <c r="C78" t="s">
        <v>204</v>
      </c>
      <c r="D78" t="s">
        <v>126</v>
      </c>
      <c r="E78" t="s">
        <v>136</v>
      </c>
      <c r="F78" t="s">
        <v>22</v>
      </c>
      <c r="G78" s="33">
        <v>5544781</v>
      </c>
      <c r="H78" t="s">
        <v>22</v>
      </c>
    </row>
    <row r="79" spans="1:8">
      <c r="A79">
        <v>2019</v>
      </c>
      <c r="B79">
        <f t="shared" si="1"/>
        <v>78</v>
      </c>
      <c r="C79" t="s">
        <v>205</v>
      </c>
      <c r="D79" t="s">
        <v>126</v>
      </c>
      <c r="E79" t="s">
        <v>127</v>
      </c>
      <c r="F79" t="s">
        <v>22</v>
      </c>
      <c r="G79" s="33">
        <v>4803109</v>
      </c>
      <c r="H79" t="s">
        <v>22</v>
      </c>
    </row>
    <row r="80" spans="1:8">
      <c r="A80">
        <v>2019</v>
      </c>
      <c r="B80">
        <f t="shared" si="1"/>
        <v>79</v>
      </c>
      <c r="C80" t="s">
        <v>206</v>
      </c>
      <c r="D80" t="s">
        <v>146</v>
      </c>
    </row>
    <row r="81" spans="1:8">
      <c r="A81">
        <v>2019</v>
      </c>
      <c r="B81">
        <f t="shared" si="1"/>
        <v>80</v>
      </c>
      <c r="C81" t="s">
        <v>126</v>
      </c>
      <c r="D81" t="s">
        <v>131</v>
      </c>
      <c r="E81" t="s">
        <v>22</v>
      </c>
      <c r="F81" s="33">
        <v>4408165</v>
      </c>
      <c r="G81" t="s">
        <v>22</v>
      </c>
    </row>
    <row r="82" spans="1:8">
      <c r="A82">
        <v>2019</v>
      </c>
      <c r="B82">
        <f t="shared" si="1"/>
        <v>81</v>
      </c>
      <c r="C82" t="s">
        <v>207</v>
      </c>
      <c r="D82" t="s">
        <v>126</v>
      </c>
      <c r="E82" t="s">
        <v>131</v>
      </c>
      <c r="F82" t="s">
        <v>22</v>
      </c>
      <c r="G82" s="33">
        <v>4303111</v>
      </c>
      <c r="H82" t="s">
        <v>22</v>
      </c>
    </row>
    <row r="83" spans="1:8">
      <c r="A83">
        <v>2019</v>
      </c>
      <c r="B83">
        <f t="shared" si="1"/>
        <v>82</v>
      </c>
      <c r="C83" t="s">
        <v>208</v>
      </c>
      <c r="D83" t="s">
        <v>126</v>
      </c>
      <c r="E83" t="s">
        <v>127</v>
      </c>
      <c r="F83" t="s">
        <v>22</v>
      </c>
      <c r="G83" s="33">
        <v>4271262</v>
      </c>
      <c r="H83" t="s">
        <v>22</v>
      </c>
    </row>
    <row r="84" spans="1:8">
      <c r="A84">
        <v>2019</v>
      </c>
      <c r="B84">
        <f t="shared" si="1"/>
        <v>83</v>
      </c>
      <c r="C84" t="s">
        <v>209</v>
      </c>
      <c r="D84" t="s">
        <v>126</v>
      </c>
      <c r="E84" t="s">
        <v>154</v>
      </c>
      <c r="F84" t="s">
        <v>22</v>
      </c>
      <c r="G84" s="33">
        <v>4140502</v>
      </c>
      <c r="H84" t="s">
        <v>22</v>
      </c>
    </row>
    <row r="85" spans="1:8">
      <c r="A85">
        <v>2019</v>
      </c>
      <c r="B85">
        <f t="shared" si="1"/>
        <v>84</v>
      </c>
      <c r="C85" t="s">
        <v>210</v>
      </c>
      <c r="D85" t="s">
        <v>126</v>
      </c>
      <c r="E85" t="s">
        <v>131</v>
      </c>
      <c r="F85" t="s">
        <v>22</v>
      </c>
      <c r="G85" s="33">
        <v>4132253</v>
      </c>
      <c r="H85" t="s">
        <v>22</v>
      </c>
    </row>
    <row r="86" spans="1:8">
      <c r="A86">
        <v>2019</v>
      </c>
      <c r="B86">
        <f t="shared" si="1"/>
        <v>85</v>
      </c>
      <c r="C86" t="s">
        <v>211</v>
      </c>
      <c r="D86" t="s">
        <v>126</v>
      </c>
      <c r="E86" t="s">
        <v>131</v>
      </c>
      <c r="F86" t="s">
        <v>22</v>
      </c>
      <c r="G86" s="33">
        <v>3963494</v>
      </c>
      <c r="H86" t="s">
        <v>22</v>
      </c>
    </row>
    <row r="87" spans="1:8">
      <c r="A87">
        <v>2019</v>
      </c>
      <c r="B87">
        <f t="shared" si="1"/>
        <v>86</v>
      </c>
      <c r="C87" t="s">
        <v>212</v>
      </c>
      <c r="D87" t="s">
        <v>126</v>
      </c>
      <c r="E87" t="s">
        <v>127</v>
      </c>
      <c r="F87" t="s">
        <v>22</v>
      </c>
      <c r="G87" s="33">
        <v>3939436</v>
      </c>
      <c r="H87" t="s">
        <v>22</v>
      </c>
    </row>
    <row r="88" spans="1:8">
      <c r="A88">
        <v>2019</v>
      </c>
      <c r="B88">
        <f t="shared" si="1"/>
        <v>87</v>
      </c>
      <c r="C88" t="s">
        <v>213</v>
      </c>
      <c r="D88" t="s">
        <v>126</v>
      </c>
      <c r="E88" t="s">
        <v>127</v>
      </c>
      <c r="F88" t="s">
        <v>22</v>
      </c>
      <c r="G88" s="33">
        <v>3530000</v>
      </c>
      <c r="H88" t="s">
        <v>22</v>
      </c>
    </row>
    <row r="89" spans="1:8">
      <c r="A89">
        <v>2019</v>
      </c>
      <c r="B89">
        <f t="shared" si="1"/>
        <v>88</v>
      </c>
      <c r="C89" t="s">
        <v>214</v>
      </c>
      <c r="D89" t="s">
        <v>126</v>
      </c>
      <c r="E89" t="s">
        <v>131</v>
      </c>
      <c r="F89" t="s">
        <v>22</v>
      </c>
      <c r="G89" s="33">
        <v>3493631</v>
      </c>
      <c r="H89" t="s">
        <v>22</v>
      </c>
    </row>
    <row r="90" spans="1:8">
      <c r="A90">
        <v>2019</v>
      </c>
      <c r="B90">
        <f t="shared" si="1"/>
        <v>89</v>
      </c>
      <c r="C90" t="s">
        <v>215</v>
      </c>
      <c r="D90" t="s">
        <v>126</v>
      </c>
      <c r="E90" t="s">
        <v>131</v>
      </c>
      <c r="F90" t="s">
        <v>22</v>
      </c>
      <c r="G90" s="33">
        <v>3470000</v>
      </c>
      <c r="H90" t="s">
        <v>22</v>
      </c>
    </row>
    <row r="91" spans="1:8">
      <c r="A91">
        <v>2019</v>
      </c>
      <c r="B91">
        <f t="shared" si="1"/>
        <v>90</v>
      </c>
      <c r="C91" t="s">
        <v>216</v>
      </c>
      <c r="D91" t="s">
        <v>126</v>
      </c>
      <c r="E91" t="s">
        <v>131</v>
      </c>
      <c r="F91" t="s">
        <v>22</v>
      </c>
      <c r="G91" s="33">
        <v>3458555</v>
      </c>
      <c r="H91" t="s">
        <v>22</v>
      </c>
    </row>
    <row r="92" spans="1:8">
      <c r="A92">
        <v>2019</v>
      </c>
      <c r="B92">
        <f t="shared" si="1"/>
        <v>91</v>
      </c>
      <c r="C92" t="s">
        <v>217</v>
      </c>
      <c r="D92" t="s">
        <v>146</v>
      </c>
    </row>
    <row r="93" spans="1:8">
      <c r="A93">
        <v>2019</v>
      </c>
      <c r="B93">
        <f t="shared" si="1"/>
        <v>92</v>
      </c>
      <c r="C93" t="s">
        <v>126</v>
      </c>
      <c r="D93" t="s">
        <v>129</v>
      </c>
      <c r="E93" t="s">
        <v>22</v>
      </c>
      <c r="F93" s="33">
        <v>3283238</v>
      </c>
      <c r="G93" t="s">
        <v>22</v>
      </c>
    </row>
    <row r="94" spans="1:8">
      <c r="A94">
        <v>2019</v>
      </c>
      <c r="B94">
        <f t="shared" si="1"/>
        <v>93</v>
      </c>
      <c r="C94" t="s">
        <v>218</v>
      </c>
      <c r="D94" t="s">
        <v>126</v>
      </c>
      <c r="E94" t="s">
        <v>131</v>
      </c>
      <c r="F94" t="s">
        <v>22</v>
      </c>
      <c r="G94" s="33">
        <v>3282749</v>
      </c>
      <c r="H94" t="s">
        <v>22</v>
      </c>
    </row>
    <row r="95" spans="1:8">
      <c r="A95">
        <v>2019</v>
      </c>
      <c r="B95">
        <f t="shared" si="1"/>
        <v>94</v>
      </c>
      <c r="C95" t="s">
        <v>219</v>
      </c>
      <c r="D95" t="s">
        <v>126</v>
      </c>
      <c r="E95" t="s">
        <v>127</v>
      </c>
      <c r="F95" t="s">
        <v>22</v>
      </c>
      <c r="G95" s="33">
        <v>3190549</v>
      </c>
      <c r="H95" t="s">
        <v>22</v>
      </c>
    </row>
    <row r="96" spans="1:8">
      <c r="A96">
        <v>2019</v>
      </c>
      <c r="B96">
        <f t="shared" si="1"/>
        <v>95</v>
      </c>
      <c r="C96" t="s">
        <v>220</v>
      </c>
      <c r="D96" t="s">
        <v>133</v>
      </c>
    </row>
    <row r="97" spans="1:8">
      <c r="A97">
        <v>2019</v>
      </c>
      <c r="B97">
        <f t="shared" si="1"/>
        <v>96</v>
      </c>
      <c r="C97" t="s">
        <v>188</v>
      </c>
      <c r="D97" t="s">
        <v>136</v>
      </c>
      <c r="E97" t="s">
        <v>22</v>
      </c>
      <c r="F97" s="33">
        <v>3154206</v>
      </c>
      <c r="G97" t="s">
        <v>22</v>
      </c>
    </row>
    <row r="98" spans="1:8">
      <c r="A98">
        <v>2019</v>
      </c>
      <c r="B98">
        <f t="shared" si="1"/>
        <v>97</v>
      </c>
      <c r="C98" t="s">
        <v>221</v>
      </c>
      <c r="D98" t="s">
        <v>126</v>
      </c>
      <c r="E98" t="s">
        <v>154</v>
      </c>
      <c r="F98" t="s">
        <v>22</v>
      </c>
      <c r="G98" s="33">
        <v>2940000</v>
      </c>
      <c r="H98" t="s">
        <v>22</v>
      </c>
    </row>
    <row r="99" spans="1:8">
      <c r="A99">
        <v>2019</v>
      </c>
      <c r="B99">
        <f t="shared" si="1"/>
        <v>98</v>
      </c>
      <c r="C99" t="s">
        <v>222</v>
      </c>
      <c r="D99" t="s">
        <v>126</v>
      </c>
      <c r="E99" t="s">
        <v>131</v>
      </c>
      <c r="F99" t="s">
        <v>22</v>
      </c>
      <c r="G99" s="33">
        <v>2940000</v>
      </c>
      <c r="H99" t="s">
        <v>22</v>
      </c>
    </row>
    <row r="100" spans="1:8">
      <c r="A100">
        <v>2019</v>
      </c>
      <c r="B100">
        <f t="shared" si="1"/>
        <v>99</v>
      </c>
      <c r="C100" t="s">
        <v>223</v>
      </c>
      <c r="D100" t="s">
        <v>126</v>
      </c>
      <c r="E100" t="s">
        <v>154</v>
      </c>
      <c r="F100" t="s">
        <v>22</v>
      </c>
      <c r="G100" s="33">
        <v>2931643</v>
      </c>
      <c r="H100" t="s">
        <v>22</v>
      </c>
    </row>
    <row r="101" spans="1:8">
      <c r="A101">
        <v>2019</v>
      </c>
      <c r="B101">
        <f t="shared" si="1"/>
        <v>100</v>
      </c>
      <c r="C101" t="s">
        <v>224</v>
      </c>
      <c r="D101" t="s">
        <v>126</v>
      </c>
      <c r="E101" t="s">
        <v>131</v>
      </c>
      <c r="F101" t="s">
        <v>22</v>
      </c>
      <c r="G101" s="33">
        <v>2899674</v>
      </c>
      <c r="H101" t="s">
        <v>22</v>
      </c>
    </row>
    <row r="102" spans="1:8">
      <c r="A102">
        <v>2019</v>
      </c>
      <c r="B102">
        <f t="shared" si="1"/>
        <v>101</v>
      </c>
      <c r="C102" t="s">
        <v>225</v>
      </c>
      <c r="D102" t="s">
        <v>126</v>
      </c>
      <c r="E102" t="s">
        <v>129</v>
      </c>
      <c r="F102" t="s">
        <v>22</v>
      </c>
      <c r="G102" s="33">
        <v>2883905</v>
      </c>
      <c r="H102" t="s">
        <v>22</v>
      </c>
    </row>
    <row r="103" spans="1:8">
      <c r="A103">
        <v>2019</v>
      </c>
      <c r="B103">
        <f t="shared" si="1"/>
        <v>102</v>
      </c>
      <c r="C103" t="s">
        <v>226</v>
      </c>
      <c r="D103" t="s">
        <v>126</v>
      </c>
      <c r="E103" t="s">
        <v>131</v>
      </c>
      <c r="F103" t="s">
        <v>22</v>
      </c>
      <c r="G103" s="33">
        <v>2718620</v>
      </c>
      <c r="H103" t="s">
        <v>22</v>
      </c>
    </row>
    <row r="104" spans="1:8">
      <c r="A104">
        <v>2019</v>
      </c>
      <c r="B104">
        <f t="shared" si="1"/>
        <v>103</v>
      </c>
      <c r="C104" t="s">
        <v>227</v>
      </c>
      <c r="D104" t="s">
        <v>126</v>
      </c>
      <c r="E104" t="s">
        <v>148</v>
      </c>
      <c r="F104" t="s">
        <v>22</v>
      </c>
      <c r="G104" s="33">
        <v>2709986</v>
      </c>
      <c r="H104" t="s">
        <v>22</v>
      </c>
    </row>
    <row r="105" spans="1:8">
      <c r="A105">
        <v>2019</v>
      </c>
      <c r="B105">
        <f t="shared" si="1"/>
        <v>104</v>
      </c>
      <c r="C105" t="s">
        <v>228</v>
      </c>
      <c r="D105" t="s">
        <v>126</v>
      </c>
      <c r="E105" t="s">
        <v>136</v>
      </c>
      <c r="F105" t="s">
        <v>22</v>
      </c>
      <c r="G105" s="33">
        <v>2704326</v>
      </c>
      <c r="H105" t="s">
        <v>22</v>
      </c>
    </row>
    <row r="106" spans="1:8">
      <c r="A106">
        <v>2019</v>
      </c>
      <c r="B106">
        <f t="shared" si="1"/>
        <v>105</v>
      </c>
      <c r="C106" t="s">
        <v>229</v>
      </c>
      <c r="D106" t="s">
        <v>126</v>
      </c>
      <c r="E106" t="s">
        <v>131</v>
      </c>
      <c r="F106" t="s">
        <v>22</v>
      </c>
      <c r="G106" s="33">
        <v>2650000</v>
      </c>
      <c r="H106" t="s">
        <v>22</v>
      </c>
    </row>
    <row r="107" spans="1:8">
      <c r="A107">
        <v>2019</v>
      </c>
      <c r="B107">
        <f t="shared" si="1"/>
        <v>106</v>
      </c>
      <c r="C107" t="s">
        <v>230</v>
      </c>
      <c r="D107" t="s">
        <v>126</v>
      </c>
      <c r="E107" t="s">
        <v>148</v>
      </c>
      <c r="F107" t="s">
        <v>22</v>
      </c>
      <c r="G107" s="33">
        <v>2610000</v>
      </c>
      <c r="H107" t="s">
        <v>22</v>
      </c>
    </row>
    <row r="108" spans="1:8">
      <c r="A108">
        <v>2019</v>
      </c>
      <c r="B108">
        <f t="shared" si="1"/>
        <v>107</v>
      </c>
      <c r="C108" t="s">
        <v>231</v>
      </c>
      <c r="D108" t="s">
        <v>126</v>
      </c>
      <c r="E108" t="s">
        <v>131</v>
      </c>
      <c r="F108" t="s">
        <v>22</v>
      </c>
      <c r="G108" s="33">
        <v>2504008</v>
      </c>
      <c r="H108" t="s">
        <v>22</v>
      </c>
    </row>
    <row r="109" spans="1:8">
      <c r="A109">
        <v>2019</v>
      </c>
      <c r="B109">
        <f t="shared" si="1"/>
        <v>108</v>
      </c>
      <c r="C109" t="s">
        <v>232</v>
      </c>
      <c r="D109" t="s">
        <v>126</v>
      </c>
      <c r="E109" t="s">
        <v>136</v>
      </c>
      <c r="F109" t="s">
        <v>22</v>
      </c>
      <c r="G109" s="33">
        <v>2415054</v>
      </c>
      <c r="H109" t="s">
        <v>22</v>
      </c>
    </row>
    <row r="110" spans="1:8">
      <c r="A110">
        <v>2019</v>
      </c>
      <c r="B110">
        <f t="shared" si="1"/>
        <v>109</v>
      </c>
      <c r="C110" t="s">
        <v>233</v>
      </c>
      <c r="D110" t="s">
        <v>126</v>
      </c>
      <c r="E110" t="s">
        <v>193</v>
      </c>
      <c r="F110" t="s">
        <v>22</v>
      </c>
      <c r="G110" s="33">
        <v>2340262</v>
      </c>
      <c r="H110" t="s">
        <v>22</v>
      </c>
    </row>
    <row r="111" spans="1:8">
      <c r="A111">
        <v>2019</v>
      </c>
      <c r="B111">
        <f t="shared" si="1"/>
        <v>110</v>
      </c>
      <c r="C111" t="s">
        <v>234</v>
      </c>
      <c r="D111" t="s">
        <v>126</v>
      </c>
      <c r="E111" t="s">
        <v>131</v>
      </c>
      <c r="F111" t="s">
        <v>22</v>
      </c>
      <c r="G111" s="33">
        <v>2127425</v>
      </c>
      <c r="H111" t="s">
        <v>22</v>
      </c>
    </row>
    <row r="112" spans="1:8">
      <c r="A112">
        <v>2019</v>
      </c>
      <c r="B112">
        <f t="shared" si="1"/>
        <v>111</v>
      </c>
      <c r="C112" t="s">
        <v>235</v>
      </c>
      <c r="D112" t="s">
        <v>183</v>
      </c>
    </row>
    <row r="113" spans="1:8">
      <c r="A113">
        <v>2019</v>
      </c>
      <c r="B113">
        <f t="shared" si="1"/>
        <v>112</v>
      </c>
      <c r="C113" t="s">
        <v>126</v>
      </c>
      <c r="D113" t="s">
        <v>136</v>
      </c>
      <c r="E113" t="s">
        <v>22</v>
      </c>
      <c r="F113" s="33">
        <v>2026873</v>
      </c>
      <c r="G113" t="s">
        <v>22</v>
      </c>
    </row>
    <row r="114" spans="1:8">
      <c r="A114">
        <v>2019</v>
      </c>
      <c r="B114">
        <f t="shared" si="1"/>
        <v>113</v>
      </c>
      <c r="C114" t="s">
        <v>236</v>
      </c>
      <c r="D114" t="s">
        <v>126</v>
      </c>
      <c r="E114" t="s">
        <v>154</v>
      </c>
      <c r="F114" t="s">
        <v>22</v>
      </c>
      <c r="G114" s="33">
        <v>1782513</v>
      </c>
      <c r="H114" t="s">
        <v>22</v>
      </c>
    </row>
    <row r="115" spans="1:8">
      <c r="A115">
        <v>2019</v>
      </c>
      <c r="B115">
        <f t="shared" si="1"/>
        <v>114</v>
      </c>
      <c r="C115" t="s">
        <v>237</v>
      </c>
      <c r="D115" t="s">
        <v>126</v>
      </c>
      <c r="E115" t="s">
        <v>131</v>
      </c>
      <c r="F115" t="s">
        <v>22</v>
      </c>
      <c r="G115" s="33">
        <v>1729565</v>
      </c>
      <c r="H115" t="s">
        <v>22</v>
      </c>
    </row>
    <row r="116" spans="1:8">
      <c r="A116">
        <v>2019</v>
      </c>
      <c r="B116">
        <f t="shared" si="1"/>
        <v>115</v>
      </c>
      <c r="C116" t="s">
        <v>238</v>
      </c>
      <c r="D116" t="s">
        <v>126</v>
      </c>
      <c r="E116" t="s">
        <v>193</v>
      </c>
      <c r="F116" t="s">
        <v>22</v>
      </c>
      <c r="G116" s="33">
        <v>1692572</v>
      </c>
      <c r="H116" t="s">
        <v>22</v>
      </c>
    </row>
    <row r="117" spans="1:8">
      <c r="A117">
        <v>2019</v>
      </c>
      <c r="B117">
        <f t="shared" si="1"/>
        <v>116</v>
      </c>
      <c r="C117" t="s">
        <v>239</v>
      </c>
      <c r="D117" t="s">
        <v>126</v>
      </c>
      <c r="E117" t="s">
        <v>131</v>
      </c>
      <c r="F117" t="s">
        <v>22</v>
      </c>
      <c r="G117" s="33">
        <v>1655606</v>
      </c>
      <c r="H117" t="s">
        <v>22</v>
      </c>
    </row>
    <row r="118" spans="1:8">
      <c r="A118">
        <v>2019</v>
      </c>
      <c r="B118">
        <f t="shared" si="1"/>
        <v>117</v>
      </c>
      <c r="C118" t="s">
        <v>240</v>
      </c>
      <c r="D118" t="s">
        <v>171</v>
      </c>
    </row>
    <row r="119" spans="1:8">
      <c r="A119">
        <v>2019</v>
      </c>
      <c r="B119">
        <f t="shared" si="1"/>
        <v>118</v>
      </c>
      <c r="C119" t="s">
        <v>126</v>
      </c>
      <c r="D119" t="s">
        <v>127</v>
      </c>
      <c r="E119" t="s">
        <v>22</v>
      </c>
      <c r="F119" s="33">
        <v>1562462</v>
      </c>
      <c r="G119" t="s">
        <v>22</v>
      </c>
    </row>
    <row r="120" spans="1:8">
      <c r="A120">
        <v>2019</v>
      </c>
      <c r="B120">
        <f t="shared" si="1"/>
        <v>119</v>
      </c>
      <c r="C120" t="s">
        <v>241</v>
      </c>
      <c r="D120" t="s">
        <v>126</v>
      </c>
      <c r="E120" t="s">
        <v>191</v>
      </c>
      <c r="F120" t="s">
        <v>22</v>
      </c>
      <c r="G120" s="33">
        <v>1561731</v>
      </c>
      <c r="H120" t="s">
        <v>22</v>
      </c>
    </row>
    <row r="121" spans="1:8">
      <c r="A121">
        <v>2019</v>
      </c>
      <c r="B121">
        <f t="shared" si="1"/>
        <v>120</v>
      </c>
      <c r="C121" t="s">
        <v>242</v>
      </c>
      <c r="D121" t="s">
        <v>126</v>
      </c>
      <c r="E121" t="s">
        <v>131</v>
      </c>
      <c r="F121" t="s">
        <v>22</v>
      </c>
      <c r="G121" s="33">
        <v>1487745</v>
      </c>
      <c r="H121" t="s">
        <v>22</v>
      </c>
    </row>
    <row r="122" spans="1:8">
      <c r="A122">
        <v>2019</v>
      </c>
      <c r="B122">
        <f t="shared" si="1"/>
        <v>121</v>
      </c>
      <c r="C122" t="s">
        <v>243</v>
      </c>
      <c r="D122" t="s">
        <v>126</v>
      </c>
      <c r="F122" t="s">
        <v>22</v>
      </c>
      <c r="G122" s="33">
        <v>1470000</v>
      </c>
      <c r="H122" t="s">
        <v>22</v>
      </c>
    </row>
    <row r="123" spans="1:8">
      <c r="A123">
        <v>2019</v>
      </c>
      <c r="B123">
        <f t="shared" si="1"/>
        <v>122</v>
      </c>
      <c r="C123" t="s">
        <v>244</v>
      </c>
      <c r="D123" t="s">
        <v>126</v>
      </c>
      <c r="E123" t="s">
        <v>127</v>
      </c>
      <c r="F123" t="s">
        <v>22</v>
      </c>
      <c r="G123" s="33">
        <v>1456558</v>
      </c>
      <c r="H123" t="s">
        <v>22</v>
      </c>
    </row>
    <row r="124" spans="1:8">
      <c r="A124">
        <v>2019</v>
      </c>
      <c r="B124">
        <f t="shared" si="1"/>
        <v>123</v>
      </c>
      <c r="C124" t="s">
        <v>245</v>
      </c>
      <c r="D124" t="s">
        <v>126</v>
      </c>
      <c r="E124" t="s">
        <v>191</v>
      </c>
      <c r="F124" t="s">
        <v>22</v>
      </c>
      <c r="G124" s="33">
        <v>1380000</v>
      </c>
      <c r="H124" t="s">
        <v>22</v>
      </c>
    </row>
    <row r="125" spans="1:8">
      <c r="A125">
        <v>2019</v>
      </c>
      <c r="B125">
        <f t="shared" si="1"/>
        <v>124</v>
      </c>
      <c r="C125" t="s">
        <v>246</v>
      </c>
      <c r="D125" t="s">
        <v>126</v>
      </c>
      <c r="E125" t="s">
        <v>131</v>
      </c>
      <c r="F125" t="s">
        <v>22</v>
      </c>
      <c r="G125" s="33">
        <v>1330193</v>
      </c>
      <c r="H125" t="s">
        <v>22</v>
      </c>
    </row>
    <row r="126" spans="1:8">
      <c r="A126">
        <v>2019</v>
      </c>
      <c r="B126">
        <f t="shared" si="1"/>
        <v>125</v>
      </c>
      <c r="C126" t="s">
        <v>247</v>
      </c>
      <c r="D126" t="s">
        <v>144</v>
      </c>
    </row>
    <row r="127" spans="1:8">
      <c r="A127">
        <v>2019</v>
      </c>
      <c r="B127">
        <f t="shared" si="1"/>
        <v>126</v>
      </c>
      <c r="C127" t="s">
        <v>126</v>
      </c>
      <c r="D127" t="s">
        <v>191</v>
      </c>
      <c r="E127" t="s">
        <v>22</v>
      </c>
      <c r="F127" s="33">
        <v>1250000</v>
      </c>
      <c r="G127" t="s">
        <v>22</v>
      </c>
    </row>
    <row r="128" spans="1:8">
      <c r="A128">
        <v>2019</v>
      </c>
      <c r="B128">
        <f t="shared" si="1"/>
        <v>127</v>
      </c>
      <c r="C128" t="s">
        <v>248</v>
      </c>
      <c r="D128" t="s">
        <v>126</v>
      </c>
      <c r="E128" t="s">
        <v>191</v>
      </c>
      <c r="F128" t="s">
        <v>22</v>
      </c>
      <c r="G128" s="33">
        <v>1196360</v>
      </c>
      <c r="H128" t="s">
        <v>22</v>
      </c>
    </row>
    <row r="129" spans="1:8">
      <c r="A129">
        <v>2019</v>
      </c>
      <c r="B129">
        <f t="shared" si="1"/>
        <v>128</v>
      </c>
      <c r="C129" t="s">
        <v>249</v>
      </c>
      <c r="D129" t="s">
        <v>126</v>
      </c>
      <c r="E129" t="s">
        <v>131</v>
      </c>
      <c r="F129" t="s">
        <v>22</v>
      </c>
      <c r="G129" s="33">
        <v>1170000</v>
      </c>
      <c r="H129" t="s">
        <v>22</v>
      </c>
    </row>
    <row r="130" spans="1:8">
      <c r="A130">
        <v>2019</v>
      </c>
      <c r="B130">
        <f t="shared" si="1"/>
        <v>129</v>
      </c>
      <c r="C130" t="s">
        <v>250</v>
      </c>
      <c r="D130" t="s">
        <v>126</v>
      </c>
      <c r="E130" t="s">
        <v>154</v>
      </c>
      <c r="F130" t="s">
        <v>22</v>
      </c>
      <c r="G130" s="33">
        <v>1162914</v>
      </c>
      <c r="H130" t="s">
        <v>22</v>
      </c>
    </row>
    <row r="131" spans="1:8">
      <c r="A131">
        <v>2019</v>
      </c>
      <c r="B131">
        <f t="shared" si="1"/>
        <v>130</v>
      </c>
      <c r="C131" t="s">
        <v>251</v>
      </c>
      <c r="D131" t="s">
        <v>126</v>
      </c>
      <c r="E131" t="s">
        <v>154</v>
      </c>
      <c r="F131" t="s">
        <v>22</v>
      </c>
      <c r="G131" s="33">
        <v>1140982</v>
      </c>
      <c r="H131" t="s">
        <v>22</v>
      </c>
    </row>
    <row r="132" spans="1:8">
      <c r="A132">
        <v>2019</v>
      </c>
      <c r="B132">
        <f t="shared" ref="B132:B195" si="2">B131+1</f>
        <v>131</v>
      </c>
      <c r="C132" t="s">
        <v>252</v>
      </c>
      <c r="D132" t="s">
        <v>126</v>
      </c>
      <c r="E132" t="s">
        <v>253</v>
      </c>
      <c r="F132" t="s">
        <v>22</v>
      </c>
      <c r="G132" s="33">
        <v>1106083</v>
      </c>
      <c r="H132" t="s">
        <v>22</v>
      </c>
    </row>
    <row r="133" spans="1:8">
      <c r="A133">
        <v>2019</v>
      </c>
      <c r="B133">
        <f t="shared" si="2"/>
        <v>132</v>
      </c>
      <c r="C133" t="s">
        <v>254</v>
      </c>
      <c r="D133" t="s">
        <v>126</v>
      </c>
      <c r="E133" t="s">
        <v>148</v>
      </c>
      <c r="F133" t="s">
        <v>22</v>
      </c>
      <c r="G133" s="33">
        <v>879592</v>
      </c>
      <c r="H133" t="s">
        <v>22</v>
      </c>
    </row>
    <row r="134" spans="1:8">
      <c r="A134">
        <v>2019</v>
      </c>
      <c r="B134">
        <f t="shared" si="2"/>
        <v>133</v>
      </c>
      <c r="C134" t="s">
        <v>255</v>
      </c>
      <c r="D134" t="s">
        <v>126</v>
      </c>
      <c r="E134" t="s">
        <v>131</v>
      </c>
      <c r="F134" t="s">
        <v>22</v>
      </c>
      <c r="G134" s="33">
        <v>833839</v>
      </c>
      <c r="H134" t="s">
        <v>22</v>
      </c>
    </row>
    <row r="135" spans="1:8">
      <c r="A135">
        <v>2019</v>
      </c>
      <c r="B135">
        <f t="shared" si="2"/>
        <v>134</v>
      </c>
      <c r="C135" t="s">
        <v>256</v>
      </c>
      <c r="D135" t="s">
        <v>126</v>
      </c>
      <c r="E135" t="s">
        <v>148</v>
      </c>
      <c r="F135" t="s">
        <v>22</v>
      </c>
      <c r="G135" s="33">
        <v>810000</v>
      </c>
      <c r="H135" t="s">
        <v>22</v>
      </c>
    </row>
    <row r="136" spans="1:8">
      <c r="A136">
        <v>2019</v>
      </c>
      <c r="B136">
        <f t="shared" si="2"/>
        <v>135</v>
      </c>
      <c r="C136" t="s">
        <v>257</v>
      </c>
      <c r="D136" t="s">
        <v>126</v>
      </c>
      <c r="E136" t="s">
        <v>193</v>
      </c>
      <c r="F136" t="s">
        <v>22</v>
      </c>
      <c r="G136" s="33">
        <v>787747</v>
      </c>
      <c r="H136" t="s">
        <v>22</v>
      </c>
    </row>
    <row r="137" spans="1:8">
      <c r="A137">
        <v>2019</v>
      </c>
      <c r="B137">
        <f t="shared" si="2"/>
        <v>136</v>
      </c>
      <c r="C137" t="s">
        <v>258</v>
      </c>
      <c r="D137" t="s">
        <v>126</v>
      </c>
      <c r="E137" t="s">
        <v>127</v>
      </c>
      <c r="F137" t="s">
        <v>22</v>
      </c>
      <c r="G137" s="33">
        <v>763475</v>
      </c>
      <c r="H137" t="s">
        <v>22</v>
      </c>
    </row>
    <row r="138" spans="1:8">
      <c r="A138">
        <v>2019</v>
      </c>
      <c r="B138">
        <f t="shared" si="2"/>
        <v>137</v>
      </c>
      <c r="C138" t="s">
        <v>259</v>
      </c>
      <c r="D138" t="s">
        <v>126</v>
      </c>
      <c r="E138" t="s">
        <v>131</v>
      </c>
      <c r="F138" t="s">
        <v>22</v>
      </c>
      <c r="G138" s="33">
        <v>738015</v>
      </c>
      <c r="H138" t="s">
        <v>22</v>
      </c>
    </row>
    <row r="139" spans="1:8">
      <c r="A139">
        <v>2019</v>
      </c>
      <c r="B139">
        <f t="shared" si="2"/>
        <v>138</v>
      </c>
      <c r="C139" t="s">
        <v>260</v>
      </c>
      <c r="D139" t="s">
        <v>126</v>
      </c>
      <c r="E139" t="s">
        <v>131</v>
      </c>
      <c r="F139" t="s">
        <v>22</v>
      </c>
      <c r="G139" s="33">
        <v>720000</v>
      </c>
      <c r="H139" t="s">
        <v>22</v>
      </c>
    </row>
    <row r="140" spans="1:8">
      <c r="A140">
        <v>2019</v>
      </c>
      <c r="B140">
        <f t="shared" si="2"/>
        <v>139</v>
      </c>
      <c r="C140" t="s">
        <v>261</v>
      </c>
      <c r="D140" t="s">
        <v>126</v>
      </c>
      <c r="E140" t="s">
        <v>127</v>
      </c>
      <c r="F140" t="s">
        <v>22</v>
      </c>
      <c r="G140" s="33">
        <v>713335</v>
      </c>
      <c r="H140" t="s">
        <v>22</v>
      </c>
    </row>
    <row r="141" spans="1:8">
      <c r="A141">
        <v>2019</v>
      </c>
      <c r="B141">
        <f t="shared" si="2"/>
        <v>140</v>
      </c>
      <c r="C141" t="s">
        <v>262</v>
      </c>
      <c r="D141" t="s">
        <v>126</v>
      </c>
      <c r="E141" t="s">
        <v>131</v>
      </c>
      <c r="F141" t="s">
        <v>22</v>
      </c>
      <c r="G141" s="33">
        <v>710023</v>
      </c>
      <c r="H141" t="s">
        <v>22</v>
      </c>
    </row>
    <row r="142" spans="1:8">
      <c r="A142">
        <v>2019</v>
      </c>
      <c r="B142">
        <f t="shared" si="2"/>
        <v>141</v>
      </c>
      <c r="C142" t="s">
        <v>263</v>
      </c>
      <c r="D142" t="s">
        <v>146</v>
      </c>
    </row>
    <row r="143" spans="1:8">
      <c r="A143">
        <v>2019</v>
      </c>
      <c r="B143">
        <f t="shared" si="2"/>
        <v>142</v>
      </c>
      <c r="C143" t="s">
        <v>126</v>
      </c>
      <c r="D143" t="s">
        <v>264</v>
      </c>
      <c r="E143" t="s">
        <v>22</v>
      </c>
      <c r="F143" s="33">
        <v>696580</v>
      </c>
      <c r="G143" t="s">
        <v>22</v>
      </c>
    </row>
    <row r="144" spans="1:8">
      <c r="A144">
        <v>2019</v>
      </c>
      <c r="B144">
        <f t="shared" si="2"/>
        <v>143</v>
      </c>
      <c r="C144" t="s">
        <v>265</v>
      </c>
      <c r="D144" t="s">
        <v>126</v>
      </c>
      <c r="E144" t="s">
        <v>131</v>
      </c>
      <c r="F144" t="s">
        <v>22</v>
      </c>
      <c r="G144" s="33">
        <v>670573</v>
      </c>
      <c r="H144" t="s">
        <v>22</v>
      </c>
    </row>
    <row r="145" spans="1:8">
      <c r="A145">
        <v>2019</v>
      </c>
      <c r="B145">
        <f t="shared" si="2"/>
        <v>144</v>
      </c>
      <c r="C145" t="s">
        <v>266</v>
      </c>
      <c r="D145" t="s">
        <v>126</v>
      </c>
      <c r="E145" t="s">
        <v>127</v>
      </c>
      <c r="F145" t="s">
        <v>22</v>
      </c>
      <c r="G145" s="33">
        <v>624013</v>
      </c>
      <c r="H145" t="s">
        <v>22</v>
      </c>
    </row>
    <row r="146" spans="1:8">
      <c r="A146">
        <v>2019</v>
      </c>
      <c r="B146">
        <f t="shared" si="2"/>
        <v>145</v>
      </c>
      <c r="C146" t="s">
        <v>267</v>
      </c>
      <c r="D146" t="s">
        <v>126</v>
      </c>
      <c r="E146" t="s">
        <v>193</v>
      </c>
      <c r="F146" t="s">
        <v>22</v>
      </c>
      <c r="G146" s="33">
        <v>605757</v>
      </c>
      <c r="H146" t="s">
        <v>22</v>
      </c>
    </row>
    <row r="147" spans="1:8">
      <c r="A147">
        <v>2019</v>
      </c>
      <c r="B147">
        <f t="shared" si="2"/>
        <v>146</v>
      </c>
      <c r="C147" t="s">
        <v>268</v>
      </c>
      <c r="D147" t="s">
        <v>126</v>
      </c>
      <c r="E147" t="s">
        <v>131</v>
      </c>
      <c r="F147" t="s">
        <v>22</v>
      </c>
      <c r="G147" s="33">
        <v>577923</v>
      </c>
      <c r="H147" t="s">
        <v>22</v>
      </c>
    </row>
    <row r="148" spans="1:8">
      <c r="A148">
        <v>2019</v>
      </c>
      <c r="B148">
        <f t="shared" si="2"/>
        <v>147</v>
      </c>
      <c r="C148" t="s">
        <v>269</v>
      </c>
      <c r="D148" t="s">
        <v>126</v>
      </c>
      <c r="E148" t="s">
        <v>131</v>
      </c>
      <c r="F148" t="s">
        <v>22</v>
      </c>
      <c r="G148" s="33">
        <v>521939</v>
      </c>
      <c r="H148" t="s">
        <v>22</v>
      </c>
    </row>
    <row r="149" spans="1:8">
      <c r="A149">
        <v>2019</v>
      </c>
      <c r="B149">
        <f t="shared" si="2"/>
        <v>148</v>
      </c>
      <c r="C149" t="s">
        <v>270</v>
      </c>
      <c r="D149" t="s">
        <v>126</v>
      </c>
      <c r="E149" t="s">
        <v>136</v>
      </c>
      <c r="F149" t="s">
        <v>22</v>
      </c>
      <c r="G149" s="33">
        <v>519018</v>
      </c>
      <c r="H149" t="s">
        <v>22</v>
      </c>
    </row>
    <row r="150" spans="1:8">
      <c r="A150">
        <v>2019</v>
      </c>
      <c r="B150">
        <f t="shared" si="2"/>
        <v>149</v>
      </c>
      <c r="C150" t="s">
        <v>271</v>
      </c>
      <c r="D150" t="s">
        <v>146</v>
      </c>
    </row>
    <row r="151" spans="1:8">
      <c r="A151">
        <v>2019</v>
      </c>
      <c r="B151">
        <f t="shared" si="2"/>
        <v>150</v>
      </c>
      <c r="C151" t="s">
        <v>171</v>
      </c>
    </row>
    <row r="152" spans="1:8">
      <c r="A152">
        <v>2019</v>
      </c>
      <c r="B152">
        <f t="shared" si="2"/>
        <v>151</v>
      </c>
      <c r="C152" t="s">
        <v>126</v>
      </c>
      <c r="D152" t="s">
        <v>191</v>
      </c>
      <c r="E152" t="s">
        <v>22</v>
      </c>
      <c r="F152" s="33">
        <v>508836</v>
      </c>
      <c r="G152" t="s">
        <v>22</v>
      </c>
    </row>
    <row r="153" spans="1:8">
      <c r="A153">
        <v>2019</v>
      </c>
      <c r="B153">
        <f t="shared" si="2"/>
        <v>152</v>
      </c>
      <c r="C153" t="s">
        <v>272</v>
      </c>
      <c r="D153" t="s">
        <v>126</v>
      </c>
      <c r="E153" t="s">
        <v>136</v>
      </c>
      <c r="F153" t="s">
        <v>22</v>
      </c>
      <c r="G153" s="33">
        <v>480000</v>
      </c>
      <c r="H153" t="s">
        <v>22</v>
      </c>
    </row>
    <row r="154" spans="1:8">
      <c r="A154">
        <v>2019</v>
      </c>
      <c r="B154">
        <f t="shared" si="2"/>
        <v>153</v>
      </c>
      <c r="C154" t="s">
        <v>273</v>
      </c>
      <c r="D154" t="s">
        <v>126</v>
      </c>
      <c r="E154" t="s">
        <v>131</v>
      </c>
      <c r="F154" t="s">
        <v>22</v>
      </c>
      <c r="G154" s="33">
        <v>474656</v>
      </c>
      <c r="H154" t="s">
        <v>22</v>
      </c>
    </row>
    <row r="155" spans="1:8">
      <c r="A155">
        <v>2019</v>
      </c>
      <c r="B155">
        <f t="shared" si="2"/>
        <v>154</v>
      </c>
      <c r="C155" t="s">
        <v>274</v>
      </c>
      <c r="D155" t="s">
        <v>126</v>
      </c>
      <c r="E155" t="s">
        <v>131</v>
      </c>
      <c r="F155" t="s">
        <v>22</v>
      </c>
      <c r="G155" s="33">
        <v>462886</v>
      </c>
      <c r="H155" t="s">
        <v>22</v>
      </c>
    </row>
    <row r="156" spans="1:8">
      <c r="A156">
        <v>2019</v>
      </c>
      <c r="B156">
        <f t="shared" si="2"/>
        <v>155</v>
      </c>
      <c r="C156" t="s">
        <v>275</v>
      </c>
      <c r="D156" t="s">
        <v>126</v>
      </c>
      <c r="E156" t="s">
        <v>136</v>
      </c>
      <c r="F156" t="s">
        <v>22</v>
      </c>
      <c r="G156" s="33">
        <v>461674</v>
      </c>
      <c r="H156" t="s">
        <v>22</v>
      </c>
    </row>
    <row r="157" spans="1:8">
      <c r="A157">
        <v>2019</v>
      </c>
      <c r="B157">
        <f t="shared" si="2"/>
        <v>156</v>
      </c>
      <c r="C157" t="s">
        <v>276</v>
      </c>
      <c r="D157" t="s">
        <v>126</v>
      </c>
      <c r="E157" t="s">
        <v>127</v>
      </c>
      <c r="F157" t="s">
        <v>22</v>
      </c>
      <c r="G157" s="33">
        <v>460000</v>
      </c>
      <c r="H157" t="s">
        <v>22</v>
      </c>
    </row>
    <row r="158" spans="1:8">
      <c r="A158">
        <v>2019</v>
      </c>
      <c r="B158">
        <f t="shared" si="2"/>
        <v>157</v>
      </c>
      <c r="C158" t="s">
        <v>277</v>
      </c>
      <c r="D158" t="s">
        <v>126</v>
      </c>
      <c r="E158" t="s">
        <v>127</v>
      </c>
      <c r="F158" t="s">
        <v>22</v>
      </c>
      <c r="G158" s="33">
        <v>442969</v>
      </c>
      <c r="H158" t="s">
        <v>22</v>
      </c>
    </row>
    <row r="159" spans="1:8">
      <c r="A159">
        <v>2019</v>
      </c>
      <c r="B159">
        <f t="shared" si="2"/>
        <v>158</v>
      </c>
      <c r="C159" t="s">
        <v>278</v>
      </c>
      <c r="D159" t="s">
        <v>126</v>
      </c>
      <c r="E159" t="s">
        <v>154</v>
      </c>
      <c r="F159" t="s">
        <v>22</v>
      </c>
      <c r="G159" s="33">
        <v>435861</v>
      </c>
      <c r="H159" t="s">
        <v>22</v>
      </c>
    </row>
    <row r="160" spans="1:8">
      <c r="A160">
        <v>2019</v>
      </c>
      <c r="B160">
        <f t="shared" si="2"/>
        <v>159</v>
      </c>
      <c r="C160" t="s">
        <v>279</v>
      </c>
      <c r="D160" t="s">
        <v>126</v>
      </c>
      <c r="E160" t="s">
        <v>154</v>
      </c>
      <c r="F160" t="s">
        <v>22</v>
      </c>
      <c r="G160" s="33">
        <v>414112</v>
      </c>
      <c r="H160" t="s">
        <v>22</v>
      </c>
    </row>
    <row r="161" spans="1:8">
      <c r="A161">
        <v>2019</v>
      </c>
      <c r="B161">
        <f t="shared" si="2"/>
        <v>160</v>
      </c>
      <c r="C161" t="s">
        <v>280</v>
      </c>
      <c r="D161" t="s">
        <v>126</v>
      </c>
      <c r="E161" t="s">
        <v>136</v>
      </c>
      <c r="F161" t="s">
        <v>22</v>
      </c>
      <c r="G161" s="33">
        <v>376898</v>
      </c>
      <c r="H161" t="s">
        <v>22</v>
      </c>
    </row>
    <row r="162" spans="1:8">
      <c r="A162">
        <v>2019</v>
      </c>
      <c r="B162">
        <f t="shared" si="2"/>
        <v>161</v>
      </c>
      <c r="C162" t="s">
        <v>281</v>
      </c>
      <c r="D162" t="s">
        <v>126</v>
      </c>
      <c r="E162" t="s">
        <v>131</v>
      </c>
      <c r="F162" t="s">
        <v>22</v>
      </c>
      <c r="G162" s="33">
        <v>371951</v>
      </c>
      <c r="H162" t="s">
        <v>22</v>
      </c>
    </row>
    <row r="163" spans="1:8">
      <c r="A163">
        <v>2019</v>
      </c>
      <c r="B163">
        <f t="shared" si="2"/>
        <v>162</v>
      </c>
      <c r="C163" t="s">
        <v>282</v>
      </c>
      <c r="D163" t="s">
        <v>126</v>
      </c>
      <c r="E163" t="s">
        <v>129</v>
      </c>
      <c r="F163" t="s">
        <v>22</v>
      </c>
      <c r="G163" s="33">
        <v>320000</v>
      </c>
      <c r="H163" t="s">
        <v>22</v>
      </c>
    </row>
    <row r="164" spans="1:8">
      <c r="A164">
        <v>2019</v>
      </c>
      <c r="B164">
        <f t="shared" si="2"/>
        <v>163</v>
      </c>
      <c r="C164" t="s">
        <v>283</v>
      </c>
      <c r="D164" t="s">
        <v>126</v>
      </c>
      <c r="E164" t="s">
        <v>131</v>
      </c>
      <c r="F164" t="s">
        <v>22</v>
      </c>
      <c r="G164" s="33">
        <v>300000</v>
      </c>
      <c r="H164" t="s">
        <v>22</v>
      </c>
    </row>
    <row r="165" spans="1:8">
      <c r="A165">
        <v>2019</v>
      </c>
      <c r="B165">
        <f t="shared" si="2"/>
        <v>164</v>
      </c>
      <c r="C165" t="s">
        <v>284</v>
      </c>
      <c r="D165" t="s">
        <v>144</v>
      </c>
    </row>
    <row r="166" spans="1:8">
      <c r="A166">
        <v>2019</v>
      </c>
      <c r="B166">
        <f t="shared" si="2"/>
        <v>165</v>
      </c>
      <c r="C166" t="s">
        <v>126</v>
      </c>
      <c r="D166" t="s">
        <v>253</v>
      </c>
      <c r="E166" t="s">
        <v>22</v>
      </c>
      <c r="F166" s="33">
        <v>281918</v>
      </c>
      <c r="G166" t="s">
        <v>22</v>
      </c>
    </row>
    <row r="167" spans="1:8">
      <c r="A167">
        <v>2019</v>
      </c>
      <c r="B167">
        <f t="shared" si="2"/>
        <v>166</v>
      </c>
      <c r="C167" t="s">
        <v>285</v>
      </c>
      <c r="D167" t="s">
        <v>126</v>
      </c>
      <c r="E167" t="s">
        <v>193</v>
      </c>
      <c r="F167" t="s">
        <v>22</v>
      </c>
      <c r="G167" s="33">
        <v>276486</v>
      </c>
      <c r="H167" t="s">
        <v>22</v>
      </c>
    </row>
    <row r="168" spans="1:8">
      <c r="A168">
        <v>2019</v>
      </c>
      <c r="B168">
        <f t="shared" si="2"/>
        <v>167</v>
      </c>
      <c r="C168" t="s">
        <v>286</v>
      </c>
      <c r="D168" t="s">
        <v>126</v>
      </c>
      <c r="E168" t="s">
        <v>131</v>
      </c>
      <c r="F168" t="s">
        <v>22</v>
      </c>
      <c r="G168" s="33">
        <v>275315</v>
      </c>
      <c r="H168" t="s">
        <v>22</v>
      </c>
    </row>
    <row r="169" spans="1:8">
      <c r="A169">
        <v>2019</v>
      </c>
      <c r="B169">
        <f t="shared" si="2"/>
        <v>168</v>
      </c>
      <c r="C169" t="s">
        <v>287</v>
      </c>
      <c r="D169" t="s">
        <v>126</v>
      </c>
      <c r="E169" t="s">
        <v>148</v>
      </c>
      <c r="F169" t="s">
        <v>22</v>
      </c>
      <c r="G169" s="33">
        <v>254185</v>
      </c>
      <c r="H169" t="s">
        <v>22</v>
      </c>
    </row>
    <row r="170" spans="1:8">
      <c r="A170">
        <v>2019</v>
      </c>
      <c r="B170">
        <f t="shared" si="2"/>
        <v>169</v>
      </c>
      <c r="C170" t="s">
        <v>288</v>
      </c>
      <c r="D170" t="s">
        <v>126</v>
      </c>
      <c r="E170" t="s">
        <v>136</v>
      </c>
      <c r="F170" t="s">
        <v>22</v>
      </c>
      <c r="G170" s="33">
        <v>223188</v>
      </c>
      <c r="H170" t="s">
        <v>22</v>
      </c>
    </row>
    <row r="171" spans="1:8">
      <c r="A171">
        <v>2019</v>
      </c>
      <c r="B171">
        <f t="shared" si="2"/>
        <v>170</v>
      </c>
      <c r="C171" t="s">
        <v>289</v>
      </c>
      <c r="D171" t="s">
        <v>126</v>
      </c>
      <c r="E171" t="s">
        <v>154</v>
      </c>
      <c r="F171" t="s">
        <v>22</v>
      </c>
      <c r="G171" s="33">
        <v>221774</v>
      </c>
      <c r="H171" t="s">
        <v>22</v>
      </c>
    </row>
    <row r="172" spans="1:8">
      <c r="A172">
        <v>2019</v>
      </c>
      <c r="B172">
        <f t="shared" si="2"/>
        <v>171</v>
      </c>
      <c r="C172" t="s">
        <v>290</v>
      </c>
      <c r="D172" t="s">
        <v>126</v>
      </c>
      <c r="E172" t="s">
        <v>131</v>
      </c>
      <c r="F172" t="s">
        <v>22</v>
      </c>
      <c r="G172" s="33">
        <v>213084</v>
      </c>
      <c r="H172" t="s">
        <v>22</v>
      </c>
    </row>
    <row r="173" spans="1:8">
      <c r="A173">
        <v>2019</v>
      </c>
      <c r="B173">
        <f t="shared" si="2"/>
        <v>172</v>
      </c>
      <c r="C173" t="s">
        <v>291</v>
      </c>
      <c r="D173" t="s">
        <v>126</v>
      </c>
      <c r="E173" t="s">
        <v>148</v>
      </c>
      <c r="F173" t="s">
        <v>22</v>
      </c>
      <c r="G173" s="33">
        <v>202339</v>
      </c>
      <c r="H173" t="s">
        <v>22</v>
      </c>
    </row>
    <row r="174" spans="1:8">
      <c r="A174">
        <v>2019</v>
      </c>
      <c r="B174">
        <f t="shared" si="2"/>
        <v>173</v>
      </c>
      <c r="C174" t="s">
        <v>292</v>
      </c>
      <c r="D174" t="s">
        <v>126</v>
      </c>
      <c r="E174" t="s">
        <v>131</v>
      </c>
      <c r="F174" t="s">
        <v>22</v>
      </c>
      <c r="G174" s="33">
        <v>193338</v>
      </c>
      <c r="H174" t="s">
        <v>22</v>
      </c>
    </row>
    <row r="175" spans="1:8">
      <c r="A175">
        <v>2019</v>
      </c>
      <c r="B175">
        <f t="shared" si="2"/>
        <v>174</v>
      </c>
      <c r="C175" t="s">
        <v>293</v>
      </c>
      <c r="D175" t="s">
        <v>126</v>
      </c>
      <c r="E175" t="s">
        <v>154</v>
      </c>
      <c r="F175" t="s">
        <v>22</v>
      </c>
      <c r="G175" s="33">
        <v>171605</v>
      </c>
      <c r="H175" t="s">
        <v>22</v>
      </c>
    </row>
    <row r="176" spans="1:8">
      <c r="A176">
        <v>2019</v>
      </c>
      <c r="B176">
        <f t="shared" si="2"/>
        <v>175</v>
      </c>
      <c r="C176" t="s">
        <v>294</v>
      </c>
      <c r="D176" t="s">
        <v>126</v>
      </c>
      <c r="E176" t="s">
        <v>131</v>
      </c>
      <c r="F176" t="s">
        <v>22</v>
      </c>
      <c r="G176" s="33">
        <v>159503</v>
      </c>
      <c r="H176" t="s">
        <v>22</v>
      </c>
    </row>
    <row r="177" spans="1:8">
      <c r="A177">
        <v>2019</v>
      </c>
      <c r="B177">
        <f t="shared" si="2"/>
        <v>176</v>
      </c>
      <c r="C177" t="s">
        <v>295</v>
      </c>
      <c r="D177" t="s">
        <v>126</v>
      </c>
      <c r="E177" t="s">
        <v>131</v>
      </c>
      <c r="F177" t="s">
        <v>22</v>
      </c>
      <c r="G177" s="33">
        <v>158737</v>
      </c>
      <c r="H177" t="s">
        <v>22</v>
      </c>
    </row>
    <row r="178" spans="1:8">
      <c r="A178">
        <v>2019</v>
      </c>
      <c r="B178">
        <f t="shared" si="2"/>
        <v>177</v>
      </c>
      <c r="C178" t="s">
        <v>296</v>
      </c>
      <c r="D178" t="s">
        <v>126</v>
      </c>
      <c r="E178" t="s">
        <v>131</v>
      </c>
      <c r="F178" t="s">
        <v>22</v>
      </c>
      <c r="G178" s="33">
        <v>158527</v>
      </c>
      <c r="H178" t="s">
        <v>22</v>
      </c>
    </row>
    <row r="179" spans="1:8">
      <c r="A179">
        <v>2019</v>
      </c>
      <c r="B179">
        <f t="shared" si="2"/>
        <v>178</v>
      </c>
      <c r="C179" t="s">
        <v>297</v>
      </c>
      <c r="D179" t="s">
        <v>126</v>
      </c>
      <c r="E179" t="s">
        <v>131</v>
      </c>
      <c r="F179" t="s">
        <v>22</v>
      </c>
      <c r="G179" s="33">
        <v>147448</v>
      </c>
      <c r="H179" t="s">
        <v>22</v>
      </c>
    </row>
    <row r="180" spans="1:8">
      <c r="A180">
        <v>2019</v>
      </c>
      <c r="B180">
        <f t="shared" si="2"/>
        <v>179</v>
      </c>
      <c r="C180" t="s">
        <v>298</v>
      </c>
      <c r="D180" t="s">
        <v>126</v>
      </c>
      <c r="E180" t="s">
        <v>136</v>
      </c>
      <c r="F180" t="s">
        <v>22</v>
      </c>
      <c r="G180" s="33">
        <v>144214</v>
      </c>
      <c r="H180" t="s">
        <v>22</v>
      </c>
    </row>
    <row r="181" spans="1:8">
      <c r="A181">
        <v>2019</v>
      </c>
      <c r="B181">
        <f t="shared" si="2"/>
        <v>180</v>
      </c>
      <c r="C181" t="s">
        <v>299</v>
      </c>
      <c r="D181" t="s">
        <v>126</v>
      </c>
      <c r="E181" t="s">
        <v>193</v>
      </c>
      <c r="F181" t="s">
        <v>22</v>
      </c>
      <c r="G181" s="33">
        <v>132584</v>
      </c>
      <c r="H181" t="s">
        <v>22</v>
      </c>
    </row>
    <row r="182" spans="1:8">
      <c r="A182">
        <v>2019</v>
      </c>
      <c r="B182">
        <f t="shared" si="2"/>
        <v>181</v>
      </c>
      <c r="C182" t="s">
        <v>300</v>
      </c>
      <c r="D182" t="s">
        <v>301</v>
      </c>
    </row>
    <row r="183" spans="1:8">
      <c r="A183">
        <v>2019</v>
      </c>
      <c r="B183">
        <f t="shared" si="2"/>
        <v>182</v>
      </c>
      <c r="C183" t="s">
        <v>146</v>
      </c>
    </row>
    <row r="184" spans="1:8">
      <c r="A184">
        <v>2019</v>
      </c>
      <c r="B184">
        <f t="shared" si="2"/>
        <v>183</v>
      </c>
      <c r="C184" t="s">
        <v>183</v>
      </c>
    </row>
    <row r="185" spans="1:8">
      <c r="A185">
        <v>2019</v>
      </c>
      <c r="B185">
        <f t="shared" si="2"/>
        <v>184</v>
      </c>
      <c r="C185" t="s">
        <v>126</v>
      </c>
      <c r="D185" t="s">
        <v>131</v>
      </c>
      <c r="E185" t="s">
        <v>22</v>
      </c>
      <c r="F185" s="33">
        <v>130446</v>
      </c>
      <c r="G185" t="s">
        <v>22</v>
      </c>
    </row>
    <row r="186" spans="1:8">
      <c r="A186">
        <v>2019</v>
      </c>
      <c r="B186">
        <f t="shared" si="2"/>
        <v>185</v>
      </c>
      <c r="C186" t="s">
        <v>302</v>
      </c>
      <c r="D186" t="s">
        <v>126</v>
      </c>
      <c r="F186" t="s">
        <v>22</v>
      </c>
      <c r="G186" s="33">
        <v>127410</v>
      </c>
      <c r="H186" t="s">
        <v>22</v>
      </c>
    </row>
    <row r="187" spans="1:8">
      <c r="A187">
        <v>2019</v>
      </c>
      <c r="B187">
        <f t="shared" si="2"/>
        <v>186</v>
      </c>
      <c r="C187" t="s">
        <v>303</v>
      </c>
      <c r="D187" t="s">
        <v>126</v>
      </c>
      <c r="E187" t="s">
        <v>148</v>
      </c>
      <c r="F187" t="s">
        <v>22</v>
      </c>
      <c r="G187" s="33">
        <v>119943</v>
      </c>
      <c r="H187" t="s">
        <v>22</v>
      </c>
    </row>
    <row r="188" spans="1:8">
      <c r="A188">
        <v>2019</v>
      </c>
      <c r="B188">
        <f t="shared" si="2"/>
        <v>187</v>
      </c>
      <c r="C188" t="s">
        <v>304</v>
      </c>
      <c r="D188" t="s">
        <v>144</v>
      </c>
    </row>
    <row r="189" spans="1:8">
      <c r="A189">
        <v>2019</v>
      </c>
      <c r="B189">
        <f t="shared" si="2"/>
        <v>188</v>
      </c>
      <c r="C189" t="s">
        <v>146</v>
      </c>
    </row>
    <row r="190" spans="1:8">
      <c r="A190">
        <v>2019</v>
      </c>
      <c r="B190">
        <f t="shared" si="2"/>
        <v>189</v>
      </c>
      <c r="C190" t="s">
        <v>133</v>
      </c>
    </row>
    <row r="191" spans="1:8">
      <c r="A191">
        <v>2019</v>
      </c>
      <c r="B191">
        <f t="shared" si="2"/>
        <v>190</v>
      </c>
      <c r="C191" t="s">
        <v>305</v>
      </c>
      <c r="D191" t="s">
        <v>306</v>
      </c>
      <c r="E191" t="s">
        <v>22</v>
      </c>
      <c r="F191" s="33">
        <v>112489</v>
      </c>
      <c r="G191" t="s">
        <v>22</v>
      </c>
    </row>
    <row r="192" spans="1:8">
      <c r="A192">
        <v>2019</v>
      </c>
      <c r="B192">
        <f t="shared" si="2"/>
        <v>191</v>
      </c>
      <c r="C192" t="s">
        <v>307</v>
      </c>
      <c r="D192" t="s">
        <v>126</v>
      </c>
      <c r="E192" t="s">
        <v>131</v>
      </c>
      <c r="F192" t="s">
        <v>22</v>
      </c>
      <c r="G192" s="33">
        <v>110000</v>
      </c>
      <c r="H192" t="s">
        <v>22</v>
      </c>
    </row>
    <row r="193" spans="1:8">
      <c r="A193">
        <v>2019</v>
      </c>
      <c r="B193">
        <f t="shared" si="2"/>
        <v>192</v>
      </c>
      <c r="C193" t="s">
        <v>308</v>
      </c>
      <c r="D193" t="s">
        <v>126</v>
      </c>
      <c r="E193" t="s">
        <v>131</v>
      </c>
      <c r="F193" t="s">
        <v>22</v>
      </c>
      <c r="G193" s="33">
        <v>102030</v>
      </c>
      <c r="H193" t="s">
        <v>22</v>
      </c>
    </row>
    <row r="194" spans="1:8">
      <c r="A194">
        <v>2019</v>
      </c>
      <c r="B194">
        <f t="shared" si="2"/>
        <v>193</v>
      </c>
      <c r="C194" t="s">
        <v>309</v>
      </c>
      <c r="D194" t="s">
        <v>126</v>
      </c>
      <c r="E194" t="s">
        <v>127</v>
      </c>
      <c r="F194" t="s">
        <v>22</v>
      </c>
      <c r="G194" s="33">
        <v>100000</v>
      </c>
      <c r="H194" t="s">
        <v>22</v>
      </c>
    </row>
    <row r="195" spans="1:8">
      <c r="A195">
        <v>2019</v>
      </c>
      <c r="B195">
        <f t="shared" si="2"/>
        <v>194</v>
      </c>
      <c r="C195" t="s">
        <v>310</v>
      </c>
      <c r="D195" t="s">
        <v>133</v>
      </c>
    </row>
    <row r="196" spans="1:8">
      <c r="A196">
        <v>2019</v>
      </c>
      <c r="B196">
        <f t="shared" ref="B196:B253" si="3">B195+1</f>
        <v>195</v>
      </c>
      <c r="C196" t="s">
        <v>134</v>
      </c>
      <c r="D196" t="s">
        <v>131</v>
      </c>
      <c r="E196" t="s">
        <v>22</v>
      </c>
      <c r="F196" s="33">
        <v>93338</v>
      </c>
      <c r="G196" t="s">
        <v>22</v>
      </c>
    </row>
    <row r="197" spans="1:8">
      <c r="A197">
        <v>2019</v>
      </c>
      <c r="B197">
        <f t="shared" si="3"/>
        <v>196</v>
      </c>
      <c r="C197" t="s">
        <v>311</v>
      </c>
      <c r="D197" t="s">
        <v>126</v>
      </c>
      <c r="F197" t="s">
        <v>22</v>
      </c>
      <c r="G197" s="33">
        <v>87578</v>
      </c>
      <c r="H197" t="s">
        <v>22</v>
      </c>
    </row>
    <row r="198" spans="1:8">
      <c r="A198">
        <v>2019</v>
      </c>
      <c r="B198">
        <f t="shared" si="3"/>
        <v>197</v>
      </c>
      <c r="C198" t="s">
        <v>312</v>
      </c>
      <c r="D198" t="s">
        <v>144</v>
      </c>
    </row>
    <row r="199" spans="1:8">
      <c r="A199">
        <v>2019</v>
      </c>
      <c r="B199">
        <f t="shared" si="3"/>
        <v>198</v>
      </c>
      <c r="C199" t="s">
        <v>126</v>
      </c>
      <c r="D199" t="s">
        <v>131</v>
      </c>
      <c r="E199" t="s">
        <v>22</v>
      </c>
      <c r="F199" s="33">
        <v>86919</v>
      </c>
      <c r="G199" t="s">
        <v>22</v>
      </c>
    </row>
    <row r="200" spans="1:8">
      <c r="A200">
        <v>2019</v>
      </c>
      <c r="B200">
        <f t="shared" si="3"/>
        <v>199</v>
      </c>
      <c r="C200" t="s">
        <v>313</v>
      </c>
      <c r="D200" t="s">
        <v>126</v>
      </c>
      <c r="E200" t="s">
        <v>148</v>
      </c>
      <c r="F200" t="s">
        <v>22</v>
      </c>
      <c r="G200" s="33">
        <v>75888</v>
      </c>
      <c r="H200" t="s">
        <v>22</v>
      </c>
    </row>
    <row r="201" spans="1:8">
      <c r="A201">
        <v>2019</v>
      </c>
      <c r="B201">
        <f t="shared" si="3"/>
        <v>200</v>
      </c>
      <c r="C201" t="s">
        <v>314</v>
      </c>
      <c r="D201" t="s">
        <v>126</v>
      </c>
      <c r="E201" t="s">
        <v>127</v>
      </c>
      <c r="F201" t="s">
        <v>22</v>
      </c>
      <c r="G201" s="33">
        <v>67838</v>
      </c>
      <c r="H201" t="s">
        <v>22</v>
      </c>
    </row>
    <row r="202" spans="1:8">
      <c r="A202">
        <v>2019</v>
      </c>
      <c r="B202">
        <f t="shared" si="3"/>
        <v>201</v>
      </c>
      <c r="C202" t="s">
        <v>315</v>
      </c>
      <c r="D202" t="s">
        <v>146</v>
      </c>
    </row>
    <row r="203" spans="1:8">
      <c r="A203">
        <v>2019</v>
      </c>
      <c r="B203">
        <f t="shared" si="3"/>
        <v>202</v>
      </c>
      <c r="C203" t="s">
        <v>126</v>
      </c>
      <c r="D203" t="s">
        <v>131</v>
      </c>
      <c r="E203" t="s">
        <v>22</v>
      </c>
      <c r="F203" s="33">
        <v>67678</v>
      </c>
      <c r="G203" t="s">
        <v>22</v>
      </c>
    </row>
    <row r="204" spans="1:8">
      <c r="A204">
        <v>2019</v>
      </c>
      <c r="B204">
        <f t="shared" si="3"/>
        <v>203</v>
      </c>
      <c r="C204" t="s">
        <v>316</v>
      </c>
      <c r="D204" t="s">
        <v>126</v>
      </c>
      <c r="E204" t="s">
        <v>148</v>
      </c>
      <c r="F204" t="s">
        <v>22</v>
      </c>
      <c r="G204" s="33">
        <v>66561</v>
      </c>
      <c r="H204" t="s">
        <v>22</v>
      </c>
    </row>
    <row r="205" spans="1:8">
      <c r="A205">
        <v>2019</v>
      </c>
      <c r="B205">
        <f t="shared" si="3"/>
        <v>204</v>
      </c>
      <c r="C205" t="s">
        <v>317</v>
      </c>
      <c r="D205" t="s">
        <v>126</v>
      </c>
      <c r="E205" t="s">
        <v>129</v>
      </c>
      <c r="F205" t="s">
        <v>22</v>
      </c>
      <c r="G205" s="33">
        <v>64601</v>
      </c>
      <c r="H205" t="s">
        <v>22</v>
      </c>
    </row>
    <row r="206" spans="1:8">
      <c r="A206">
        <v>2019</v>
      </c>
      <c r="B206">
        <f t="shared" si="3"/>
        <v>205</v>
      </c>
      <c r="C206" t="s">
        <v>318</v>
      </c>
      <c r="D206" t="s">
        <v>126</v>
      </c>
      <c r="E206" t="s">
        <v>193</v>
      </c>
      <c r="F206" t="s">
        <v>22</v>
      </c>
      <c r="G206" s="33">
        <v>58408</v>
      </c>
      <c r="H206" t="s">
        <v>22</v>
      </c>
    </row>
    <row r="207" spans="1:8">
      <c r="A207">
        <v>2019</v>
      </c>
      <c r="B207">
        <f t="shared" si="3"/>
        <v>206</v>
      </c>
      <c r="C207" t="s">
        <v>319</v>
      </c>
      <c r="D207" t="s">
        <v>126</v>
      </c>
      <c r="E207" t="s">
        <v>131</v>
      </c>
      <c r="F207" t="s">
        <v>22</v>
      </c>
      <c r="G207" s="33">
        <v>51799</v>
      </c>
      <c r="H207" t="s">
        <v>22</v>
      </c>
    </row>
    <row r="208" spans="1:8">
      <c r="A208">
        <v>2019</v>
      </c>
      <c r="B208">
        <f t="shared" si="3"/>
        <v>207</v>
      </c>
      <c r="C208" t="s">
        <v>320</v>
      </c>
      <c r="D208" t="s">
        <v>126</v>
      </c>
      <c r="E208" t="s">
        <v>131</v>
      </c>
      <c r="F208" t="s">
        <v>22</v>
      </c>
      <c r="G208" s="33">
        <v>45804</v>
      </c>
      <c r="H208" t="s">
        <v>22</v>
      </c>
    </row>
    <row r="209" spans="1:8">
      <c r="A209">
        <v>2019</v>
      </c>
      <c r="B209">
        <f t="shared" si="3"/>
        <v>208</v>
      </c>
      <c r="C209" t="s">
        <v>321</v>
      </c>
      <c r="D209" t="s">
        <v>126</v>
      </c>
      <c r="E209" t="s">
        <v>131</v>
      </c>
      <c r="F209" t="s">
        <v>22</v>
      </c>
      <c r="G209" s="33">
        <v>42815</v>
      </c>
      <c r="H209" t="s">
        <v>22</v>
      </c>
    </row>
    <row r="210" spans="1:8">
      <c r="A210">
        <v>2019</v>
      </c>
      <c r="B210">
        <f t="shared" si="3"/>
        <v>209</v>
      </c>
      <c r="C210" t="s">
        <v>322</v>
      </c>
      <c r="D210" t="s">
        <v>126</v>
      </c>
      <c r="E210" t="s">
        <v>131</v>
      </c>
      <c r="F210" t="s">
        <v>22</v>
      </c>
      <c r="G210" s="33">
        <v>40780</v>
      </c>
      <c r="H210" t="s">
        <v>22</v>
      </c>
    </row>
    <row r="211" spans="1:8">
      <c r="A211">
        <v>2019</v>
      </c>
      <c r="B211">
        <f t="shared" si="3"/>
        <v>210</v>
      </c>
      <c r="C211" t="s">
        <v>323</v>
      </c>
      <c r="D211" t="s">
        <v>126</v>
      </c>
      <c r="F211" t="s">
        <v>22</v>
      </c>
      <c r="G211" s="33">
        <v>34755</v>
      </c>
      <c r="H211" t="s">
        <v>22</v>
      </c>
    </row>
    <row r="212" spans="1:8">
      <c r="A212">
        <v>2019</v>
      </c>
      <c r="B212">
        <f t="shared" si="3"/>
        <v>211</v>
      </c>
      <c r="C212" t="s">
        <v>324</v>
      </c>
      <c r="D212" t="s">
        <v>126</v>
      </c>
      <c r="E212" t="s">
        <v>193</v>
      </c>
      <c r="F212" t="s">
        <v>22</v>
      </c>
      <c r="G212" s="33">
        <v>30778</v>
      </c>
      <c r="H212" t="s">
        <v>22</v>
      </c>
    </row>
    <row r="213" spans="1:8">
      <c r="A213">
        <v>2019</v>
      </c>
      <c r="B213">
        <f t="shared" si="3"/>
        <v>212</v>
      </c>
      <c r="C213" t="s">
        <v>325</v>
      </c>
      <c r="D213" t="s">
        <v>126</v>
      </c>
      <c r="E213" t="s">
        <v>131</v>
      </c>
      <c r="F213" t="s">
        <v>22</v>
      </c>
      <c r="G213" s="33">
        <v>27149</v>
      </c>
      <c r="H213" t="s">
        <v>22</v>
      </c>
    </row>
    <row r="214" spans="1:8">
      <c r="A214">
        <v>2019</v>
      </c>
      <c r="B214">
        <f t="shared" si="3"/>
        <v>213</v>
      </c>
      <c r="C214" t="s">
        <v>326</v>
      </c>
      <c r="D214" t="s">
        <v>126</v>
      </c>
      <c r="E214" t="s">
        <v>129</v>
      </c>
      <c r="F214" t="s">
        <v>22</v>
      </c>
      <c r="G214" s="33">
        <v>24930</v>
      </c>
      <c r="H214" t="s">
        <v>22</v>
      </c>
    </row>
    <row r="215" spans="1:8">
      <c r="A215">
        <v>2019</v>
      </c>
      <c r="B215">
        <f t="shared" si="3"/>
        <v>214</v>
      </c>
      <c r="C215" t="s">
        <v>327</v>
      </c>
      <c r="D215" t="s">
        <v>144</v>
      </c>
    </row>
    <row r="216" spans="1:8">
      <c r="A216">
        <v>2019</v>
      </c>
      <c r="B216">
        <f t="shared" si="3"/>
        <v>215</v>
      </c>
      <c r="C216" t="s">
        <v>126</v>
      </c>
      <c r="D216" t="s">
        <v>136</v>
      </c>
      <c r="E216" t="s">
        <v>22</v>
      </c>
      <c r="F216" s="33">
        <v>24927</v>
      </c>
      <c r="G216" t="s">
        <v>22</v>
      </c>
    </row>
    <row r="217" spans="1:8">
      <c r="A217">
        <v>2019</v>
      </c>
      <c r="B217">
        <f t="shared" si="3"/>
        <v>216</v>
      </c>
      <c r="C217" t="s">
        <v>328</v>
      </c>
      <c r="D217" t="s">
        <v>126</v>
      </c>
      <c r="E217" t="s">
        <v>131</v>
      </c>
      <c r="F217" t="s">
        <v>22</v>
      </c>
      <c r="G217" s="33">
        <v>22917</v>
      </c>
      <c r="H217" t="s">
        <v>22</v>
      </c>
    </row>
    <row r="218" spans="1:8">
      <c r="A218">
        <v>2019</v>
      </c>
      <c r="B218">
        <f t="shared" si="3"/>
        <v>217</v>
      </c>
      <c r="C218" t="s">
        <v>329</v>
      </c>
      <c r="D218" t="s">
        <v>126</v>
      </c>
      <c r="E218" t="s">
        <v>127</v>
      </c>
      <c r="F218" t="s">
        <v>22</v>
      </c>
      <c r="G218" s="33">
        <v>22698</v>
      </c>
      <c r="H218" t="s">
        <v>22</v>
      </c>
    </row>
    <row r="219" spans="1:8">
      <c r="A219">
        <v>2019</v>
      </c>
      <c r="B219">
        <f t="shared" si="3"/>
        <v>218</v>
      </c>
      <c r="C219" t="s">
        <v>330</v>
      </c>
      <c r="D219" t="s">
        <v>126</v>
      </c>
      <c r="E219" t="s">
        <v>131</v>
      </c>
      <c r="F219" t="s">
        <v>22</v>
      </c>
      <c r="G219" s="33">
        <v>22337</v>
      </c>
      <c r="H219" t="s">
        <v>22</v>
      </c>
    </row>
    <row r="220" spans="1:8">
      <c r="A220">
        <v>2019</v>
      </c>
      <c r="B220">
        <f t="shared" si="3"/>
        <v>219</v>
      </c>
      <c r="C220" t="s">
        <v>331</v>
      </c>
      <c r="D220" t="s">
        <v>126</v>
      </c>
      <c r="E220" t="s">
        <v>148</v>
      </c>
      <c r="F220" t="s">
        <v>22</v>
      </c>
      <c r="G220" s="33">
        <v>18466</v>
      </c>
      <c r="H220" t="s">
        <v>22</v>
      </c>
    </row>
    <row r="221" spans="1:8">
      <c r="A221">
        <v>2019</v>
      </c>
      <c r="B221">
        <f t="shared" si="3"/>
        <v>220</v>
      </c>
      <c r="C221" t="s">
        <v>332</v>
      </c>
      <c r="D221" t="s">
        <v>126</v>
      </c>
      <c r="E221" t="s">
        <v>131</v>
      </c>
      <c r="F221" t="s">
        <v>22</v>
      </c>
      <c r="G221" s="33">
        <v>18176</v>
      </c>
      <c r="H221" t="s">
        <v>22</v>
      </c>
    </row>
    <row r="222" spans="1:8">
      <c r="A222">
        <v>2019</v>
      </c>
      <c r="B222">
        <f t="shared" si="3"/>
        <v>221</v>
      </c>
      <c r="C222" t="s">
        <v>333</v>
      </c>
      <c r="D222" t="s">
        <v>146</v>
      </c>
    </row>
    <row r="223" spans="1:8">
      <c r="A223">
        <v>2019</v>
      </c>
      <c r="B223">
        <f t="shared" si="3"/>
        <v>222</v>
      </c>
      <c r="C223" t="s">
        <v>183</v>
      </c>
    </row>
    <row r="224" spans="1:8">
      <c r="A224">
        <v>2019</v>
      </c>
      <c r="B224">
        <f t="shared" si="3"/>
        <v>223</v>
      </c>
      <c r="C224" t="s">
        <v>133</v>
      </c>
    </row>
    <row r="225" spans="1:8">
      <c r="A225">
        <v>2019</v>
      </c>
      <c r="B225">
        <f t="shared" si="3"/>
        <v>224</v>
      </c>
      <c r="C225" t="s">
        <v>334</v>
      </c>
      <c r="D225" t="s">
        <v>191</v>
      </c>
      <c r="E225" t="s">
        <v>22</v>
      </c>
      <c r="F225" s="33">
        <v>16079</v>
      </c>
      <c r="G225" t="s">
        <v>22</v>
      </c>
    </row>
    <row r="226" spans="1:8">
      <c r="A226">
        <v>2019</v>
      </c>
      <c r="B226">
        <f t="shared" si="3"/>
        <v>225</v>
      </c>
      <c r="C226" t="s">
        <v>335</v>
      </c>
      <c r="D226" t="s">
        <v>126</v>
      </c>
      <c r="E226" t="s">
        <v>148</v>
      </c>
      <c r="F226" t="s">
        <v>22</v>
      </c>
      <c r="G226" s="33">
        <v>15410</v>
      </c>
      <c r="H226" t="s">
        <v>22</v>
      </c>
    </row>
    <row r="227" spans="1:8">
      <c r="A227">
        <v>2019</v>
      </c>
      <c r="B227">
        <f t="shared" si="3"/>
        <v>226</v>
      </c>
      <c r="C227" t="s">
        <v>336</v>
      </c>
      <c r="D227" t="s">
        <v>126</v>
      </c>
      <c r="E227" t="s">
        <v>148</v>
      </c>
      <c r="F227" t="s">
        <v>22</v>
      </c>
      <c r="G227" s="33">
        <v>14454</v>
      </c>
      <c r="H227" t="s">
        <v>22</v>
      </c>
    </row>
    <row r="228" spans="1:8">
      <c r="A228">
        <v>2019</v>
      </c>
      <c r="B228">
        <f t="shared" si="3"/>
        <v>227</v>
      </c>
      <c r="C228" t="s">
        <v>337</v>
      </c>
      <c r="D228" t="s">
        <v>126</v>
      </c>
      <c r="E228" t="s">
        <v>131</v>
      </c>
      <c r="F228" t="s">
        <v>22</v>
      </c>
      <c r="G228" s="33">
        <v>12432</v>
      </c>
      <c r="H228" t="s">
        <v>22</v>
      </c>
    </row>
    <row r="229" spans="1:8">
      <c r="A229">
        <v>2019</v>
      </c>
      <c r="B229">
        <f t="shared" si="3"/>
        <v>228</v>
      </c>
      <c r="C229" t="s">
        <v>338</v>
      </c>
      <c r="D229" t="s">
        <v>126</v>
      </c>
      <c r="E229" t="s">
        <v>136</v>
      </c>
      <c r="F229" t="s">
        <v>22</v>
      </c>
      <c r="G229" s="33">
        <v>11412</v>
      </c>
      <c r="H229" t="s">
        <v>22</v>
      </c>
    </row>
    <row r="230" spans="1:8">
      <c r="A230">
        <v>2019</v>
      </c>
      <c r="B230">
        <f t="shared" si="3"/>
        <v>229</v>
      </c>
      <c r="C230" t="s">
        <v>339</v>
      </c>
      <c r="D230" t="s">
        <v>126</v>
      </c>
      <c r="E230" t="s">
        <v>129</v>
      </c>
      <c r="F230" t="s">
        <v>22</v>
      </c>
      <c r="G230" s="33">
        <v>11263</v>
      </c>
      <c r="H230" t="s">
        <v>22</v>
      </c>
    </row>
    <row r="231" spans="1:8">
      <c r="A231">
        <v>2019</v>
      </c>
      <c r="B231">
        <f t="shared" si="3"/>
        <v>230</v>
      </c>
      <c r="C231" t="s">
        <v>340</v>
      </c>
      <c r="D231" t="s">
        <v>126</v>
      </c>
      <c r="E231" t="s">
        <v>131</v>
      </c>
      <c r="F231" t="s">
        <v>22</v>
      </c>
      <c r="G231" s="33">
        <v>11112</v>
      </c>
      <c r="H231" t="s">
        <v>22</v>
      </c>
    </row>
    <row r="232" spans="1:8">
      <c r="A232">
        <v>2019</v>
      </c>
      <c r="B232">
        <f t="shared" si="3"/>
        <v>231</v>
      </c>
      <c r="C232" t="s">
        <v>341</v>
      </c>
      <c r="D232" t="s">
        <v>126</v>
      </c>
      <c r="E232" t="s">
        <v>148</v>
      </c>
      <c r="F232" t="s">
        <v>22</v>
      </c>
      <c r="G232" s="33">
        <v>11039</v>
      </c>
      <c r="H232" t="s">
        <v>22</v>
      </c>
    </row>
    <row r="233" spans="1:8">
      <c r="A233">
        <v>2019</v>
      </c>
      <c r="B233">
        <f t="shared" si="3"/>
        <v>232</v>
      </c>
      <c r="C233" t="s">
        <v>342</v>
      </c>
      <c r="D233" t="s">
        <v>126</v>
      </c>
      <c r="E233" t="s">
        <v>131</v>
      </c>
      <c r="F233" t="s">
        <v>22</v>
      </c>
      <c r="G233" s="33">
        <v>10608</v>
      </c>
      <c r="H233" t="s">
        <v>22</v>
      </c>
    </row>
    <row r="234" spans="1:8">
      <c r="A234">
        <v>2019</v>
      </c>
      <c r="B234">
        <f t="shared" si="3"/>
        <v>233</v>
      </c>
      <c r="C234" t="s">
        <v>343</v>
      </c>
      <c r="D234" t="s">
        <v>126</v>
      </c>
      <c r="E234" t="s">
        <v>131</v>
      </c>
      <c r="F234" t="s">
        <v>22</v>
      </c>
      <c r="G234" s="33">
        <v>10364</v>
      </c>
      <c r="H234" t="s">
        <v>22</v>
      </c>
    </row>
    <row r="235" spans="1:8">
      <c r="A235">
        <v>2019</v>
      </c>
      <c r="B235">
        <f t="shared" si="3"/>
        <v>234</v>
      </c>
      <c r="C235" t="s">
        <v>344</v>
      </c>
      <c r="D235" t="s">
        <v>126</v>
      </c>
      <c r="E235" t="s">
        <v>191</v>
      </c>
      <c r="F235" t="s">
        <v>22</v>
      </c>
      <c r="G235" s="33">
        <v>10188</v>
      </c>
      <c r="H235" t="s">
        <v>22</v>
      </c>
    </row>
    <row r="236" spans="1:8">
      <c r="A236">
        <v>2019</v>
      </c>
      <c r="B236">
        <f t="shared" si="3"/>
        <v>235</v>
      </c>
      <c r="C236" t="s">
        <v>345</v>
      </c>
      <c r="D236" t="s">
        <v>126</v>
      </c>
      <c r="E236" t="s">
        <v>129</v>
      </c>
      <c r="F236" t="s">
        <v>22</v>
      </c>
      <c r="G236" s="33">
        <v>6534</v>
      </c>
      <c r="H236" t="s">
        <v>22</v>
      </c>
    </row>
    <row r="237" spans="1:8">
      <c r="A237">
        <v>2019</v>
      </c>
      <c r="B237">
        <f t="shared" si="3"/>
        <v>236</v>
      </c>
      <c r="C237" t="s">
        <v>346</v>
      </c>
      <c r="D237" t="s">
        <v>126</v>
      </c>
      <c r="E237" t="s">
        <v>131</v>
      </c>
      <c r="F237" t="s">
        <v>22</v>
      </c>
      <c r="G237" s="33">
        <v>2759</v>
      </c>
      <c r="H237" t="s">
        <v>22</v>
      </c>
    </row>
    <row r="238" spans="1:8">
      <c r="A238">
        <v>2019</v>
      </c>
      <c r="B238">
        <f t="shared" si="3"/>
        <v>237</v>
      </c>
      <c r="C238" t="s">
        <v>347</v>
      </c>
      <c r="D238" t="s">
        <v>126</v>
      </c>
      <c r="E238" t="s">
        <v>131</v>
      </c>
      <c r="F238" t="s">
        <v>22</v>
      </c>
      <c r="G238" s="33">
        <v>2508</v>
      </c>
      <c r="H238" t="s">
        <v>22</v>
      </c>
    </row>
    <row r="239" spans="1:8">
      <c r="A239">
        <v>2019</v>
      </c>
      <c r="B239">
        <f t="shared" si="3"/>
        <v>238</v>
      </c>
      <c r="C239" t="s">
        <v>348</v>
      </c>
      <c r="D239" t="s">
        <v>126</v>
      </c>
      <c r="E239" t="s">
        <v>129</v>
      </c>
      <c r="F239" t="s">
        <v>22</v>
      </c>
      <c r="G239" s="33">
        <v>2033</v>
      </c>
      <c r="H239" t="s">
        <v>22</v>
      </c>
    </row>
    <row r="240" spans="1:8">
      <c r="A240">
        <v>2019</v>
      </c>
      <c r="B240">
        <f t="shared" si="3"/>
        <v>239</v>
      </c>
      <c r="C240" t="s">
        <v>349</v>
      </c>
      <c r="D240" t="s">
        <v>133</v>
      </c>
    </row>
    <row r="241" spans="1:8">
      <c r="A241">
        <v>2019</v>
      </c>
      <c r="B241">
        <f t="shared" si="3"/>
        <v>240</v>
      </c>
      <c r="C241" t="s">
        <v>350</v>
      </c>
      <c r="D241" t="s">
        <v>191</v>
      </c>
      <c r="E241" t="s">
        <v>22</v>
      </c>
      <c r="F241" s="33">
        <v>1948</v>
      </c>
      <c r="G241" t="s">
        <v>22</v>
      </c>
    </row>
    <row r="242" spans="1:8">
      <c r="A242">
        <v>2019</v>
      </c>
      <c r="B242">
        <f t="shared" si="3"/>
        <v>241</v>
      </c>
      <c r="C242" t="s">
        <v>351</v>
      </c>
      <c r="D242" t="s">
        <v>126</v>
      </c>
      <c r="E242" t="s">
        <v>129</v>
      </c>
      <c r="F242" t="s">
        <v>22</v>
      </c>
      <c r="G242" s="33">
        <v>0</v>
      </c>
      <c r="H242" t="s">
        <v>22</v>
      </c>
    </row>
    <row r="243" spans="1:8">
      <c r="A243">
        <v>2019</v>
      </c>
      <c r="B243">
        <f t="shared" si="3"/>
        <v>242</v>
      </c>
      <c r="C243" t="s">
        <v>352</v>
      </c>
      <c r="D243" t="s">
        <v>146</v>
      </c>
    </row>
    <row r="244" spans="1:8">
      <c r="A244">
        <v>2019</v>
      </c>
      <c r="B244">
        <f t="shared" si="3"/>
        <v>243</v>
      </c>
      <c r="C244" t="s">
        <v>133</v>
      </c>
    </row>
    <row r="245" spans="1:8">
      <c r="A245">
        <v>2019</v>
      </c>
      <c r="B245">
        <f t="shared" si="3"/>
        <v>244</v>
      </c>
      <c r="C245" t="s">
        <v>353</v>
      </c>
    </row>
    <row r="246" spans="1:8">
      <c r="A246">
        <v>2019</v>
      </c>
      <c r="B246">
        <f t="shared" si="3"/>
        <v>245</v>
      </c>
      <c r="C246" t="s">
        <v>305</v>
      </c>
      <c r="D246" t="s">
        <v>136</v>
      </c>
      <c r="E246" t="s">
        <v>22</v>
      </c>
      <c r="F246" s="33">
        <v>0</v>
      </c>
      <c r="G246" t="s">
        <v>22</v>
      </c>
    </row>
    <row r="247" spans="1:8">
      <c r="A247">
        <v>2019</v>
      </c>
      <c r="B247">
        <f t="shared" si="3"/>
        <v>246</v>
      </c>
      <c r="C247" t="s">
        <v>354</v>
      </c>
      <c r="D247" t="s">
        <v>126</v>
      </c>
      <c r="E247" t="s">
        <v>129</v>
      </c>
      <c r="F247" t="s">
        <v>22</v>
      </c>
      <c r="G247" s="33">
        <v>0</v>
      </c>
      <c r="H247" t="s">
        <v>22</v>
      </c>
    </row>
    <row r="248" spans="1:8">
      <c r="A248">
        <v>2019</v>
      </c>
      <c r="B248">
        <f t="shared" si="3"/>
        <v>247</v>
      </c>
      <c r="C248" t="s">
        <v>355</v>
      </c>
      <c r="D248" t="s">
        <v>144</v>
      </c>
    </row>
    <row r="249" spans="1:8">
      <c r="A249">
        <v>2019</v>
      </c>
      <c r="B249">
        <f t="shared" si="3"/>
        <v>248</v>
      </c>
      <c r="C249" t="s">
        <v>146</v>
      </c>
    </row>
    <row r="250" spans="1:8">
      <c r="A250">
        <v>2019</v>
      </c>
      <c r="B250">
        <f t="shared" si="3"/>
        <v>249</v>
      </c>
      <c r="C250" t="s">
        <v>356</v>
      </c>
    </row>
    <row r="251" spans="1:8">
      <c r="A251">
        <v>2019</v>
      </c>
      <c r="B251">
        <f t="shared" si="3"/>
        <v>250</v>
      </c>
      <c r="C251" t="s">
        <v>126</v>
      </c>
      <c r="D251" t="s">
        <v>129</v>
      </c>
      <c r="E251" s="33">
        <v>35000</v>
      </c>
      <c r="F251" s="33">
        <v>0</v>
      </c>
      <c r="G251" t="s">
        <v>22</v>
      </c>
    </row>
    <row r="252" spans="1:8">
      <c r="A252">
        <v>2019</v>
      </c>
      <c r="B252">
        <f t="shared" si="3"/>
        <v>251</v>
      </c>
      <c r="C252" t="s">
        <v>357</v>
      </c>
      <c r="D252" t="s">
        <v>126</v>
      </c>
      <c r="E252" t="s">
        <v>129</v>
      </c>
      <c r="F252" t="s">
        <v>22</v>
      </c>
      <c r="G252" s="33">
        <v>0</v>
      </c>
      <c r="H252" t="s">
        <v>22</v>
      </c>
    </row>
    <row r="253" spans="1:8">
      <c r="A253">
        <v>2019</v>
      </c>
      <c r="B253">
        <f t="shared" si="3"/>
        <v>252</v>
      </c>
      <c r="C253" t="s">
        <v>358</v>
      </c>
      <c r="D253" t="s">
        <v>126</v>
      </c>
      <c r="E253" t="s">
        <v>131</v>
      </c>
      <c r="F253" t="s">
        <v>22</v>
      </c>
      <c r="G253" s="33">
        <v>0</v>
      </c>
      <c r="H253" t="s">
        <v>22</v>
      </c>
    </row>
    <row r="254" spans="1:8">
      <c r="A254">
        <v>2018</v>
      </c>
      <c r="B254">
        <f>1</f>
        <v>1</v>
      </c>
      <c r="C254" t="s">
        <v>7</v>
      </c>
      <c r="D254" t="s">
        <v>126</v>
      </c>
      <c r="E254" t="s">
        <v>129</v>
      </c>
      <c r="F254" t="s">
        <v>22</v>
      </c>
      <c r="G254" s="33">
        <v>544068574</v>
      </c>
      <c r="H254" t="s">
        <v>22</v>
      </c>
    </row>
    <row r="255" spans="1:8">
      <c r="A255">
        <v>2018</v>
      </c>
      <c r="B255">
        <f>B254+1</f>
        <v>2</v>
      </c>
      <c r="C255" t="s">
        <v>359</v>
      </c>
      <c r="D255" t="s">
        <v>126</v>
      </c>
      <c r="E255" t="s">
        <v>129</v>
      </c>
      <c r="F255" t="s">
        <v>22</v>
      </c>
      <c r="G255" s="33">
        <v>533601535</v>
      </c>
      <c r="H255" t="s">
        <v>22</v>
      </c>
    </row>
    <row r="256" spans="1:8">
      <c r="A256">
        <v>2018</v>
      </c>
      <c r="B256">
        <f t="shared" ref="B256:B319" si="4">B255+1</f>
        <v>3</v>
      </c>
      <c r="C256" t="s">
        <v>360</v>
      </c>
      <c r="D256" t="s">
        <v>126</v>
      </c>
      <c r="E256" t="s">
        <v>131</v>
      </c>
      <c r="F256" t="s">
        <v>22</v>
      </c>
      <c r="G256" s="33">
        <v>451183392</v>
      </c>
      <c r="H256" t="s">
        <v>22</v>
      </c>
    </row>
    <row r="257" spans="1:8">
      <c r="A257">
        <v>2018</v>
      </c>
      <c r="B257">
        <f t="shared" si="4"/>
        <v>4</v>
      </c>
      <c r="C257" t="s">
        <v>361</v>
      </c>
      <c r="D257" t="s">
        <v>126</v>
      </c>
      <c r="E257" t="s">
        <v>148</v>
      </c>
      <c r="F257" t="s">
        <v>22</v>
      </c>
      <c r="G257" s="33">
        <v>366961920</v>
      </c>
      <c r="H257" t="s">
        <v>22</v>
      </c>
    </row>
    <row r="258" spans="1:8">
      <c r="A258">
        <v>2018</v>
      </c>
      <c r="B258">
        <f t="shared" si="4"/>
        <v>5</v>
      </c>
      <c r="C258" t="s">
        <v>362</v>
      </c>
      <c r="D258" t="s">
        <v>126</v>
      </c>
      <c r="E258" t="s">
        <v>127</v>
      </c>
      <c r="F258" t="s">
        <v>22</v>
      </c>
      <c r="G258" s="33">
        <v>361683815</v>
      </c>
      <c r="H258" t="s">
        <v>22</v>
      </c>
    </row>
    <row r="259" spans="1:8">
      <c r="A259">
        <v>2018</v>
      </c>
      <c r="B259">
        <f t="shared" si="4"/>
        <v>6</v>
      </c>
      <c r="C259" t="s">
        <v>363</v>
      </c>
      <c r="D259" t="s">
        <v>126</v>
      </c>
      <c r="E259" t="s">
        <v>148</v>
      </c>
      <c r="F259" t="s">
        <v>22</v>
      </c>
      <c r="G259" s="33">
        <v>209221328</v>
      </c>
      <c r="H259" t="s">
        <v>22</v>
      </c>
    </row>
    <row r="260" spans="1:8">
      <c r="A260">
        <v>2018</v>
      </c>
      <c r="B260">
        <f t="shared" si="4"/>
        <v>7</v>
      </c>
      <c r="C260" t="s">
        <v>364</v>
      </c>
      <c r="D260" t="s">
        <v>126</v>
      </c>
      <c r="E260" t="s">
        <v>136</v>
      </c>
      <c r="F260" t="s">
        <v>22</v>
      </c>
      <c r="G260" s="33">
        <v>198330770</v>
      </c>
      <c r="H260" t="s">
        <v>22</v>
      </c>
    </row>
    <row r="261" spans="1:8">
      <c r="A261">
        <v>2018</v>
      </c>
      <c r="B261">
        <f t="shared" si="4"/>
        <v>8</v>
      </c>
      <c r="C261" t="s">
        <v>55</v>
      </c>
      <c r="D261" t="s">
        <v>126</v>
      </c>
      <c r="E261" t="s">
        <v>131</v>
      </c>
      <c r="F261" t="s">
        <v>22</v>
      </c>
      <c r="G261" s="33">
        <v>151056221</v>
      </c>
      <c r="H261" t="s">
        <v>22</v>
      </c>
    </row>
    <row r="262" spans="1:8">
      <c r="A262">
        <v>2018</v>
      </c>
      <c r="B262">
        <f t="shared" si="4"/>
        <v>9</v>
      </c>
      <c r="C262" t="s">
        <v>365</v>
      </c>
      <c r="D262" t="s">
        <v>126</v>
      </c>
      <c r="E262" t="s">
        <v>148</v>
      </c>
      <c r="F262" t="s">
        <v>22</v>
      </c>
      <c r="G262" s="33">
        <v>133650584</v>
      </c>
      <c r="H262" t="s">
        <v>22</v>
      </c>
    </row>
    <row r="263" spans="1:8">
      <c r="A263">
        <v>2018</v>
      </c>
      <c r="B263">
        <f t="shared" si="4"/>
        <v>10</v>
      </c>
      <c r="C263" t="s">
        <v>366</v>
      </c>
      <c r="D263" t="s">
        <v>126</v>
      </c>
      <c r="E263" t="s">
        <v>131</v>
      </c>
      <c r="F263" t="s">
        <v>22</v>
      </c>
      <c r="G263" s="33">
        <v>119035160</v>
      </c>
      <c r="H263" t="s">
        <v>22</v>
      </c>
    </row>
    <row r="264" spans="1:8">
      <c r="A264">
        <v>2018</v>
      </c>
      <c r="B264">
        <f t="shared" si="4"/>
        <v>11</v>
      </c>
      <c r="C264" t="s">
        <v>367</v>
      </c>
      <c r="D264" t="s">
        <v>126</v>
      </c>
      <c r="E264" t="s">
        <v>136</v>
      </c>
      <c r="F264" t="s">
        <v>22</v>
      </c>
      <c r="G264" s="33">
        <v>118128641</v>
      </c>
      <c r="H264" t="s">
        <v>22</v>
      </c>
    </row>
    <row r="265" spans="1:8">
      <c r="A265">
        <v>2018</v>
      </c>
      <c r="B265">
        <f t="shared" si="4"/>
        <v>12</v>
      </c>
      <c r="C265" t="s">
        <v>368</v>
      </c>
      <c r="D265" t="s">
        <v>126</v>
      </c>
      <c r="E265" t="s">
        <v>129</v>
      </c>
      <c r="F265" t="s">
        <v>22</v>
      </c>
      <c r="G265" s="33">
        <v>115089944</v>
      </c>
      <c r="H265" t="s">
        <v>22</v>
      </c>
    </row>
    <row r="266" spans="1:8">
      <c r="A266">
        <v>2018</v>
      </c>
      <c r="B266">
        <f t="shared" si="4"/>
        <v>13</v>
      </c>
      <c r="C266" t="s">
        <v>369</v>
      </c>
      <c r="D266" t="s">
        <v>126</v>
      </c>
      <c r="E266" t="s">
        <v>127</v>
      </c>
      <c r="F266" t="s">
        <v>22</v>
      </c>
      <c r="G266" s="33">
        <v>96755799</v>
      </c>
      <c r="H266" t="s">
        <v>22</v>
      </c>
    </row>
    <row r="267" spans="1:8">
      <c r="A267">
        <v>2018</v>
      </c>
      <c r="B267">
        <f t="shared" si="4"/>
        <v>14</v>
      </c>
      <c r="C267" t="s">
        <v>370</v>
      </c>
      <c r="D267" t="s">
        <v>126</v>
      </c>
      <c r="E267" t="s">
        <v>131</v>
      </c>
      <c r="F267" t="s">
        <v>22</v>
      </c>
      <c r="G267" s="33">
        <v>94951615</v>
      </c>
      <c r="H267" t="s">
        <v>22</v>
      </c>
    </row>
    <row r="268" spans="1:8">
      <c r="A268">
        <v>2018</v>
      </c>
      <c r="B268">
        <f t="shared" si="4"/>
        <v>15</v>
      </c>
      <c r="C268" t="s">
        <v>371</v>
      </c>
      <c r="D268" t="s">
        <v>126</v>
      </c>
      <c r="E268" t="s">
        <v>129</v>
      </c>
      <c r="F268" t="s">
        <v>22</v>
      </c>
      <c r="G268" s="33">
        <v>91462581</v>
      </c>
      <c r="H268" t="s">
        <v>372</v>
      </c>
    </row>
    <row r="269" spans="1:8">
      <c r="A269">
        <v>2018</v>
      </c>
      <c r="B269">
        <f t="shared" si="4"/>
        <v>16</v>
      </c>
      <c r="C269" t="s">
        <v>373</v>
      </c>
      <c r="D269" t="s">
        <v>126</v>
      </c>
      <c r="E269" t="s">
        <v>129</v>
      </c>
      <c r="F269" t="s">
        <v>22</v>
      </c>
      <c r="G269" s="33">
        <v>90035547</v>
      </c>
      <c r="H269" t="s">
        <v>22</v>
      </c>
    </row>
    <row r="270" spans="1:8">
      <c r="A270">
        <v>2018</v>
      </c>
      <c r="B270">
        <f t="shared" si="4"/>
        <v>17</v>
      </c>
      <c r="C270" t="s">
        <v>374</v>
      </c>
      <c r="D270" t="s">
        <v>126</v>
      </c>
      <c r="E270" t="s">
        <v>136</v>
      </c>
      <c r="F270" t="s">
        <v>22</v>
      </c>
      <c r="G270" s="33">
        <v>86876449</v>
      </c>
      <c r="H270" t="s">
        <v>22</v>
      </c>
    </row>
    <row r="271" spans="1:8">
      <c r="A271">
        <v>2018</v>
      </c>
      <c r="B271">
        <f t="shared" si="4"/>
        <v>18</v>
      </c>
      <c r="C271" t="s">
        <v>375</v>
      </c>
      <c r="D271" t="s">
        <v>146</v>
      </c>
    </row>
    <row r="272" spans="1:8">
      <c r="A272">
        <v>2018</v>
      </c>
      <c r="B272">
        <f t="shared" si="4"/>
        <v>19</v>
      </c>
      <c r="C272" t="s">
        <v>171</v>
      </c>
    </row>
    <row r="273" spans="1:8">
      <c r="A273">
        <v>2018</v>
      </c>
      <c r="B273">
        <f t="shared" si="4"/>
        <v>20</v>
      </c>
      <c r="C273" t="s">
        <v>126</v>
      </c>
      <c r="D273" t="s">
        <v>131</v>
      </c>
      <c r="E273" t="s">
        <v>22</v>
      </c>
      <c r="F273" s="33">
        <v>85170584</v>
      </c>
      <c r="G273" t="s">
        <v>22</v>
      </c>
    </row>
    <row r="274" spans="1:8">
      <c r="A274">
        <v>2018</v>
      </c>
      <c r="B274">
        <f t="shared" si="4"/>
        <v>21</v>
      </c>
      <c r="C274" t="s">
        <v>376</v>
      </c>
      <c r="D274" t="s">
        <v>126</v>
      </c>
      <c r="E274" t="s">
        <v>148</v>
      </c>
      <c r="F274" t="s">
        <v>22</v>
      </c>
      <c r="G274" s="33">
        <v>81096320</v>
      </c>
      <c r="H274" t="s">
        <v>22</v>
      </c>
    </row>
    <row r="275" spans="1:8">
      <c r="A275">
        <v>2018</v>
      </c>
      <c r="B275">
        <f t="shared" si="4"/>
        <v>22</v>
      </c>
      <c r="C275" t="s">
        <v>377</v>
      </c>
      <c r="D275" t="s">
        <v>126</v>
      </c>
      <c r="E275" t="s">
        <v>127</v>
      </c>
      <c r="F275" t="s">
        <v>22</v>
      </c>
      <c r="G275" s="33">
        <v>74842075</v>
      </c>
      <c r="H275" t="s">
        <v>22</v>
      </c>
    </row>
    <row r="276" spans="1:8">
      <c r="A276">
        <v>2018</v>
      </c>
      <c r="B276">
        <f t="shared" si="4"/>
        <v>23</v>
      </c>
      <c r="C276" t="s">
        <v>378</v>
      </c>
      <c r="D276" t="s">
        <v>126</v>
      </c>
      <c r="E276" t="s">
        <v>191</v>
      </c>
      <c r="F276" t="s">
        <v>22</v>
      </c>
      <c r="G276" s="33">
        <v>72506344</v>
      </c>
      <c r="H276" t="s">
        <v>22</v>
      </c>
    </row>
    <row r="277" spans="1:8">
      <c r="A277">
        <v>2018</v>
      </c>
      <c r="B277">
        <f t="shared" si="4"/>
        <v>24</v>
      </c>
      <c r="C277" t="s">
        <v>379</v>
      </c>
      <c r="D277" t="s">
        <v>126</v>
      </c>
      <c r="E277" t="s">
        <v>131</v>
      </c>
      <c r="F277" t="s">
        <v>22</v>
      </c>
      <c r="G277" s="33">
        <v>56235548</v>
      </c>
      <c r="H277" t="s">
        <v>22</v>
      </c>
    </row>
    <row r="278" spans="1:8">
      <c r="A278">
        <v>2018</v>
      </c>
      <c r="B278">
        <f t="shared" si="4"/>
        <v>25</v>
      </c>
      <c r="C278" t="s">
        <v>380</v>
      </c>
      <c r="D278" t="s">
        <v>126</v>
      </c>
      <c r="E278" t="s">
        <v>136</v>
      </c>
      <c r="F278" t="s">
        <v>22</v>
      </c>
      <c r="G278" s="33">
        <v>54663066</v>
      </c>
      <c r="H278" t="s">
        <v>22</v>
      </c>
    </row>
    <row r="279" spans="1:8">
      <c r="A279">
        <v>2018</v>
      </c>
      <c r="B279">
        <f t="shared" si="4"/>
        <v>26</v>
      </c>
      <c r="C279" t="s">
        <v>381</v>
      </c>
      <c r="D279" t="s">
        <v>126</v>
      </c>
      <c r="E279" t="s">
        <v>131</v>
      </c>
      <c r="F279" t="s">
        <v>22</v>
      </c>
      <c r="G279" s="33">
        <v>51955230</v>
      </c>
      <c r="H279" t="s">
        <v>22</v>
      </c>
    </row>
    <row r="280" spans="1:8">
      <c r="A280">
        <v>2018</v>
      </c>
      <c r="B280">
        <f t="shared" si="4"/>
        <v>27</v>
      </c>
      <c r="C280" t="s">
        <v>382</v>
      </c>
      <c r="D280" t="s">
        <v>126</v>
      </c>
      <c r="E280" t="s">
        <v>131</v>
      </c>
      <c r="F280" t="s">
        <v>22</v>
      </c>
      <c r="G280" s="33">
        <v>42140730</v>
      </c>
      <c r="H280" t="s">
        <v>22</v>
      </c>
    </row>
    <row r="281" spans="1:8">
      <c r="A281">
        <v>2018</v>
      </c>
      <c r="B281">
        <f t="shared" si="4"/>
        <v>28</v>
      </c>
      <c r="C281" t="s">
        <v>383</v>
      </c>
      <c r="D281" t="s">
        <v>126</v>
      </c>
      <c r="E281" t="s">
        <v>131</v>
      </c>
      <c r="F281" t="s">
        <v>22</v>
      </c>
      <c r="G281" s="33">
        <v>41046927</v>
      </c>
      <c r="H281" t="s">
        <v>22</v>
      </c>
    </row>
    <row r="282" spans="1:8">
      <c r="A282">
        <v>2018</v>
      </c>
      <c r="B282">
        <f t="shared" si="4"/>
        <v>29</v>
      </c>
      <c r="C282" t="s">
        <v>384</v>
      </c>
      <c r="D282" t="s">
        <v>171</v>
      </c>
    </row>
    <row r="283" spans="1:8">
      <c r="A283">
        <v>2018</v>
      </c>
      <c r="B283">
        <f t="shared" si="4"/>
        <v>30</v>
      </c>
      <c r="C283" t="s">
        <v>356</v>
      </c>
    </row>
    <row r="284" spans="1:8">
      <c r="A284">
        <v>2018</v>
      </c>
      <c r="B284">
        <f t="shared" si="4"/>
        <v>31</v>
      </c>
      <c r="C284" t="s">
        <v>126</v>
      </c>
      <c r="D284" t="s">
        <v>131</v>
      </c>
      <c r="E284" t="s">
        <v>22</v>
      </c>
      <c r="F284" s="33">
        <v>38191961</v>
      </c>
      <c r="G284" t="s">
        <v>22</v>
      </c>
    </row>
    <row r="285" spans="1:8">
      <c r="A285">
        <v>2018</v>
      </c>
      <c r="B285">
        <f t="shared" si="4"/>
        <v>32</v>
      </c>
      <c r="C285" t="s">
        <v>385</v>
      </c>
      <c r="D285" t="s">
        <v>126</v>
      </c>
      <c r="E285" t="s">
        <v>136</v>
      </c>
      <c r="F285" t="s">
        <v>22</v>
      </c>
      <c r="G285" s="33">
        <v>37516290</v>
      </c>
      <c r="H285" t="s">
        <v>22</v>
      </c>
    </row>
    <row r="286" spans="1:8">
      <c r="A286">
        <v>2018</v>
      </c>
      <c r="B286">
        <f t="shared" si="4"/>
        <v>33</v>
      </c>
      <c r="C286" t="s">
        <v>386</v>
      </c>
      <c r="D286" t="s">
        <v>126</v>
      </c>
      <c r="E286" t="s">
        <v>127</v>
      </c>
      <c r="F286" t="s">
        <v>22</v>
      </c>
      <c r="G286" s="33">
        <v>37013430</v>
      </c>
      <c r="H286" t="s">
        <v>22</v>
      </c>
    </row>
    <row r="287" spans="1:8">
      <c r="A287">
        <v>2018</v>
      </c>
      <c r="B287">
        <f t="shared" si="4"/>
        <v>34</v>
      </c>
      <c r="C287" t="s">
        <v>387</v>
      </c>
      <c r="D287" t="s">
        <v>126</v>
      </c>
      <c r="E287" t="s">
        <v>127</v>
      </c>
      <c r="F287" t="s">
        <v>22</v>
      </c>
      <c r="G287" s="33">
        <v>30355804</v>
      </c>
      <c r="H287" t="s">
        <v>22</v>
      </c>
    </row>
    <row r="288" spans="1:8">
      <c r="A288">
        <v>2018</v>
      </c>
      <c r="B288">
        <f t="shared" si="4"/>
        <v>35</v>
      </c>
      <c r="C288" t="s">
        <v>388</v>
      </c>
      <c r="D288" t="s">
        <v>126</v>
      </c>
      <c r="E288" t="s">
        <v>136</v>
      </c>
      <c r="F288" t="s">
        <v>22</v>
      </c>
      <c r="G288" s="33">
        <v>26796280</v>
      </c>
      <c r="H288" t="s">
        <v>22</v>
      </c>
    </row>
    <row r="289" spans="1:8">
      <c r="A289">
        <v>2018</v>
      </c>
      <c r="B289">
        <f t="shared" si="4"/>
        <v>36</v>
      </c>
      <c r="C289" t="s">
        <v>389</v>
      </c>
      <c r="D289" t="s">
        <v>126</v>
      </c>
      <c r="E289" t="s">
        <v>127</v>
      </c>
      <c r="F289" t="s">
        <v>22</v>
      </c>
      <c r="G289" s="33">
        <v>23130468</v>
      </c>
      <c r="H289" t="s">
        <v>22</v>
      </c>
    </row>
    <row r="290" spans="1:8">
      <c r="A290">
        <v>2018</v>
      </c>
      <c r="B290">
        <f t="shared" si="4"/>
        <v>37</v>
      </c>
      <c r="C290" t="s">
        <v>390</v>
      </c>
      <c r="D290" t="s">
        <v>126</v>
      </c>
      <c r="E290" t="s">
        <v>129</v>
      </c>
      <c r="F290" t="s">
        <v>22</v>
      </c>
      <c r="G290" s="33">
        <v>22369964</v>
      </c>
      <c r="H290" t="s">
        <v>22</v>
      </c>
    </row>
    <row r="291" spans="1:8">
      <c r="A291">
        <v>2018</v>
      </c>
      <c r="B291">
        <f t="shared" si="4"/>
        <v>38</v>
      </c>
      <c r="C291" t="s">
        <v>391</v>
      </c>
      <c r="D291" t="s">
        <v>126</v>
      </c>
      <c r="E291" t="s">
        <v>129</v>
      </c>
      <c r="F291" t="s">
        <v>22</v>
      </c>
      <c r="G291" s="33">
        <v>20079528</v>
      </c>
      <c r="H291" t="s">
        <v>22</v>
      </c>
    </row>
    <row r="292" spans="1:8">
      <c r="A292">
        <v>2018</v>
      </c>
      <c r="B292">
        <f t="shared" si="4"/>
        <v>39</v>
      </c>
      <c r="C292" t="s">
        <v>392</v>
      </c>
      <c r="D292" t="s">
        <v>144</v>
      </c>
    </row>
    <row r="293" spans="1:8">
      <c r="A293">
        <v>2018</v>
      </c>
      <c r="B293">
        <f t="shared" si="4"/>
        <v>40</v>
      </c>
      <c r="C293" t="s">
        <v>146</v>
      </c>
    </row>
    <row r="294" spans="1:8">
      <c r="A294">
        <v>2018</v>
      </c>
      <c r="B294">
        <f t="shared" si="4"/>
        <v>41</v>
      </c>
      <c r="C294" t="s">
        <v>126</v>
      </c>
      <c r="D294" t="s">
        <v>129</v>
      </c>
      <c r="E294" t="s">
        <v>22</v>
      </c>
      <c r="F294" s="33">
        <v>19781947</v>
      </c>
      <c r="G294" t="s">
        <v>22</v>
      </c>
    </row>
    <row r="295" spans="1:8">
      <c r="A295">
        <v>2018</v>
      </c>
      <c r="B295">
        <f t="shared" si="4"/>
        <v>42</v>
      </c>
      <c r="C295" t="s">
        <v>393</v>
      </c>
      <c r="D295" t="s">
        <v>126</v>
      </c>
      <c r="E295" t="s">
        <v>136</v>
      </c>
      <c r="F295" t="s">
        <v>22</v>
      </c>
      <c r="G295" s="33">
        <v>19110296</v>
      </c>
      <c r="H295" t="s">
        <v>22</v>
      </c>
    </row>
    <row r="296" spans="1:8">
      <c r="A296">
        <v>2018</v>
      </c>
      <c r="B296">
        <f t="shared" si="4"/>
        <v>43</v>
      </c>
      <c r="C296" t="s">
        <v>394</v>
      </c>
      <c r="D296" t="s">
        <v>126</v>
      </c>
      <c r="E296" t="s">
        <v>127</v>
      </c>
      <c r="F296" t="s">
        <v>22</v>
      </c>
      <c r="G296" s="33">
        <v>18485628</v>
      </c>
      <c r="H296" t="s">
        <v>22</v>
      </c>
    </row>
    <row r="297" spans="1:8">
      <c r="A297">
        <v>2018</v>
      </c>
      <c r="B297">
        <f t="shared" si="4"/>
        <v>44</v>
      </c>
      <c r="C297" t="s">
        <v>395</v>
      </c>
      <c r="D297" t="s">
        <v>126</v>
      </c>
      <c r="E297" t="s">
        <v>148</v>
      </c>
      <c r="F297" t="s">
        <v>22</v>
      </c>
      <c r="G297" s="33">
        <v>17241380</v>
      </c>
      <c r="H297" t="s">
        <v>22</v>
      </c>
    </row>
    <row r="298" spans="1:8">
      <c r="A298">
        <v>2018</v>
      </c>
      <c r="B298">
        <f t="shared" si="4"/>
        <v>45</v>
      </c>
      <c r="C298" t="s">
        <v>396</v>
      </c>
      <c r="D298" t="s">
        <v>126</v>
      </c>
      <c r="E298" t="s">
        <v>127</v>
      </c>
      <c r="F298" t="s">
        <v>22</v>
      </c>
      <c r="G298" s="33">
        <v>15382225</v>
      </c>
      <c r="H298" t="s">
        <v>22</v>
      </c>
    </row>
    <row r="299" spans="1:8">
      <c r="A299">
        <v>2018</v>
      </c>
      <c r="B299">
        <f t="shared" si="4"/>
        <v>46</v>
      </c>
      <c r="C299" t="s">
        <v>397</v>
      </c>
      <c r="D299" t="s">
        <v>126</v>
      </c>
      <c r="E299" t="s">
        <v>136</v>
      </c>
      <c r="F299" t="s">
        <v>22</v>
      </c>
      <c r="G299" s="33">
        <v>14798770</v>
      </c>
      <c r="H299" t="s">
        <v>22</v>
      </c>
    </row>
    <row r="300" spans="1:8">
      <c r="A300">
        <v>2018</v>
      </c>
      <c r="B300">
        <f t="shared" si="4"/>
        <v>47</v>
      </c>
      <c r="C300" t="s">
        <v>398</v>
      </c>
      <c r="D300" t="s">
        <v>126</v>
      </c>
      <c r="E300" t="s">
        <v>131</v>
      </c>
      <c r="F300" t="s">
        <v>22</v>
      </c>
      <c r="G300" s="33">
        <v>12104346</v>
      </c>
      <c r="H300" t="s">
        <v>22</v>
      </c>
    </row>
    <row r="301" spans="1:8">
      <c r="A301">
        <v>2018</v>
      </c>
      <c r="B301">
        <f t="shared" si="4"/>
        <v>48</v>
      </c>
      <c r="C301" t="s">
        <v>399</v>
      </c>
      <c r="D301" t="s">
        <v>126</v>
      </c>
      <c r="E301" t="s">
        <v>131</v>
      </c>
      <c r="F301" t="s">
        <v>22</v>
      </c>
      <c r="G301" s="33">
        <v>11966647</v>
      </c>
      <c r="H301" t="s">
        <v>22</v>
      </c>
    </row>
    <row r="302" spans="1:8">
      <c r="A302">
        <v>2018</v>
      </c>
      <c r="B302">
        <f t="shared" si="4"/>
        <v>49</v>
      </c>
      <c r="C302" t="s">
        <v>400</v>
      </c>
      <c r="D302" t="s">
        <v>126</v>
      </c>
      <c r="F302" t="s">
        <v>22</v>
      </c>
      <c r="G302" s="33">
        <v>11828404</v>
      </c>
      <c r="H302" t="s">
        <v>22</v>
      </c>
    </row>
    <row r="303" spans="1:8">
      <c r="A303">
        <v>2018</v>
      </c>
      <c r="B303">
        <f t="shared" si="4"/>
        <v>50</v>
      </c>
      <c r="C303" t="s">
        <v>401</v>
      </c>
      <c r="D303" t="s">
        <v>146</v>
      </c>
    </row>
    <row r="304" spans="1:8">
      <c r="A304">
        <v>2018</v>
      </c>
      <c r="B304">
        <f t="shared" si="4"/>
        <v>51</v>
      </c>
      <c r="C304" t="s">
        <v>126</v>
      </c>
      <c r="D304" t="s">
        <v>127</v>
      </c>
      <c r="E304" t="s">
        <v>22</v>
      </c>
      <c r="F304" s="33">
        <v>11687938</v>
      </c>
      <c r="G304" t="s">
        <v>22</v>
      </c>
    </row>
    <row r="305" spans="1:8">
      <c r="A305">
        <v>2018</v>
      </c>
      <c r="B305">
        <f t="shared" si="4"/>
        <v>52</v>
      </c>
      <c r="C305" t="s">
        <v>402</v>
      </c>
      <c r="D305" t="s">
        <v>144</v>
      </c>
    </row>
    <row r="306" spans="1:8">
      <c r="A306">
        <v>2018</v>
      </c>
      <c r="B306">
        <f t="shared" si="4"/>
        <v>53</v>
      </c>
      <c r="C306" t="s">
        <v>126</v>
      </c>
      <c r="D306" t="s">
        <v>129</v>
      </c>
      <c r="E306" t="s">
        <v>22</v>
      </c>
      <c r="F306" s="33">
        <v>11573104</v>
      </c>
      <c r="G306" t="s">
        <v>22</v>
      </c>
    </row>
    <row r="307" spans="1:8">
      <c r="A307">
        <v>2018</v>
      </c>
      <c r="B307">
        <f t="shared" si="4"/>
        <v>54</v>
      </c>
      <c r="C307" t="s">
        <v>403</v>
      </c>
      <c r="D307" t="s">
        <v>126</v>
      </c>
      <c r="E307" t="s">
        <v>136</v>
      </c>
      <c r="F307" t="s">
        <v>22</v>
      </c>
      <c r="G307" s="33">
        <v>11440000</v>
      </c>
      <c r="H307" t="s">
        <v>22</v>
      </c>
    </row>
    <row r="308" spans="1:8">
      <c r="A308">
        <v>2018</v>
      </c>
      <c r="B308">
        <f t="shared" si="4"/>
        <v>55</v>
      </c>
      <c r="C308" t="s">
        <v>404</v>
      </c>
      <c r="D308" t="s">
        <v>126</v>
      </c>
      <c r="E308" t="s">
        <v>127</v>
      </c>
      <c r="F308" t="s">
        <v>22</v>
      </c>
      <c r="G308" s="33">
        <v>11264408</v>
      </c>
      <c r="H308" t="s">
        <v>22</v>
      </c>
    </row>
    <row r="309" spans="1:8">
      <c r="A309">
        <v>2018</v>
      </c>
      <c r="B309">
        <f t="shared" si="4"/>
        <v>56</v>
      </c>
      <c r="C309" t="s">
        <v>405</v>
      </c>
      <c r="D309" t="s">
        <v>126</v>
      </c>
      <c r="E309" t="s">
        <v>154</v>
      </c>
      <c r="F309" t="s">
        <v>22</v>
      </c>
      <c r="G309" s="33">
        <v>10657326</v>
      </c>
      <c r="H309" t="s">
        <v>22</v>
      </c>
    </row>
    <row r="310" spans="1:8">
      <c r="A310">
        <v>2018</v>
      </c>
      <c r="B310">
        <f t="shared" si="4"/>
        <v>57</v>
      </c>
      <c r="C310" t="s">
        <v>406</v>
      </c>
      <c r="D310" t="s">
        <v>126</v>
      </c>
      <c r="E310" t="s">
        <v>129</v>
      </c>
      <c r="F310" t="s">
        <v>22</v>
      </c>
      <c r="G310" s="33">
        <v>10381054</v>
      </c>
      <c r="H310" t="s">
        <v>22</v>
      </c>
    </row>
    <row r="311" spans="1:8">
      <c r="A311">
        <v>2018</v>
      </c>
      <c r="B311">
        <f t="shared" si="4"/>
        <v>58</v>
      </c>
      <c r="C311" t="s">
        <v>407</v>
      </c>
      <c r="D311" t="s">
        <v>126</v>
      </c>
      <c r="E311" t="s">
        <v>136</v>
      </c>
      <c r="F311" t="s">
        <v>22</v>
      </c>
      <c r="G311" s="33">
        <v>10281835</v>
      </c>
      <c r="H311" t="s">
        <v>22</v>
      </c>
    </row>
    <row r="312" spans="1:8">
      <c r="A312">
        <v>2018</v>
      </c>
      <c r="B312">
        <f t="shared" si="4"/>
        <v>59</v>
      </c>
      <c r="C312" t="s">
        <v>408</v>
      </c>
      <c r="D312" t="s">
        <v>126</v>
      </c>
      <c r="E312" t="s">
        <v>127</v>
      </c>
      <c r="F312" t="s">
        <v>22</v>
      </c>
      <c r="G312" s="33">
        <v>10234211</v>
      </c>
      <c r="H312" t="s">
        <v>22</v>
      </c>
    </row>
    <row r="313" spans="1:8">
      <c r="A313">
        <v>2018</v>
      </c>
      <c r="B313">
        <f t="shared" si="4"/>
        <v>60</v>
      </c>
      <c r="C313" t="s">
        <v>409</v>
      </c>
      <c r="D313" t="s">
        <v>126</v>
      </c>
      <c r="E313" t="s">
        <v>129</v>
      </c>
      <c r="F313" t="s">
        <v>22</v>
      </c>
      <c r="G313" s="33">
        <v>10079961</v>
      </c>
      <c r="H313" t="s">
        <v>22</v>
      </c>
    </row>
    <row r="314" spans="1:8">
      <c r="A314">
        <v>2018</v>
      </c>
      <c r="B314">
        <f t="shared" si="4"/>
        <v>61</v>
      </c>
      <c r="C314" t="s">
        <v>410</v>
      </c>
      <c r="D314" t="s">
        <v>126</v>
      </c>
      <c r="E314" t="s">
        <v>154</v>
      </c>
      <c r="F314" t="s">
        <v>22</v>
      </c>
      <c r="G314" s="33">
        <v>8512220</v>
      </c>
      <c r="H314" t="s">
        <v>22</v>
      </c>
    </row>
    <row r="315" spans="1:8">
      <c r="A315">
        <v>2018</v>
      </c>
      <c r="B315">
        <f t="shared" si="4"/>
        <v>62</v>
      </c>
      <c r="C315" t="s">
        <v>411</v>
      </c>
      <c r="D315" t="s">
        <v>126</v>
      </c>
      <c r="E315" t="s">
        <v>131</v>
      </c>
      <c r="F315" t="s">
        <v>22</v>
      </c>
      <c r="G315" s="33">
        <v>8051388</v>
      </c>
      <c r="H315" t="s">
        <v>22</v>
      </c>
    </row>
    <row r="316" spans="1:8">
      <c r="A316">
        <v>2018</v>
      </c>
      <c r="B316">
        <f t="shared" si="4"/>
        <v>63</v>
      </c>
      <c r="C316" t="s">
        <v>412</v>
      </c>
      <c r="D316" t="s">
        <v>146</v>
      </c>
    </row>
    <row r="317" spans="1:8">
      <c r="A317">
        <v>2018</v>
      </c>
      <c r="B317">
        <f t="shared" si="4"/>
        <v>64</v>
      </c>
      <c r="C317" t="s">
        <v>126</v>
      </c>
      <c r="D317" t="s">
        <v>129</v>
      </c>
      <c r="E317" t="s">
        <v>22</v>
      </c>
      <c r="F317" s="33">
        <v>7835554</v>
      </c>
      <c r="G317" t="s">
        <v>22</v>
      </c>
    </row>
    <row r="318" spans="1:8">
      <c r="A318">
        <v>2018</v>
      </c>
      <c r="B318">
        <f t="shared" si="4"/>
        <v>65</v>
      </c>
      <c r="C318" t="s">
        <v>413</v>
      </c>
      <c r="D318" t="s">
        <v>126</v>
      </c>
      <c r="E318" t="s">
        <v>131</v>
      </c>
      <c r="F318" t="s">
        <v>22</v>
      </c>
      <c r="G318" s="33">
        <v>7448509</v>
      </c>
      <c r="H318" t="s">
        <v>22</v>
      </c>
    </row>
    <row r="319" spans="1:8">
      <c r="A319">
        <v>2018</v>
      </c>
      <c r="B319">
        <f t="shared" si="4"/>
        <v>66</v>
      </c>
      <c r="C319" t="s">
        <v>414</v>
      </c>
      <c r="D319" t="s">
        <v>126</v>
      </c>
      <c r="E319" t="s">
        <v>136</v>
      </c>
      <c r="F319" t="s">
        <v>22</v>
      </c>
      <c r="G319" s="33">
        <v>7423443</v>
      </c>
      <c r="H319" t="s">
        <v>22</v>
      </c>
    </row>
    <row r="320" spans="1:8">
      <c r="A320">
        <v>2018</v>
      </c>
      <c r="B320">
        <f t="shared" ref="B320:B383" si="5">B319+1</f>
        <v>67</v>
      </c>
      <c r="C320" t="s">
        <v>415</v>
      </c>
      <c r="D320" t="s">
        <v>126</v>
      </c>
      <c r="E320" t="s">
        <v>127</v>
      </c>
      <c r="F320" t="s">
        <v>22</v>
      </c>
      <c r="G320" s="33">
        <v>7353354</v>
      </c>
      <c r="H320" t="s">
        <v>22</v>
      </c>
    </row>
    <row r="321" spans="1:8">
      <c r="A321">
        <v>2018</v>
      </c>
      <c r="B321">
        <f t="shared" si="5"/>
        <v>68</v>
      </c>
      <c r="C321" t="s">
        <v>416</v>
      </c>
      <c r="D321" t="s">
        <v>126</v>
      </c>
      <c r="E321" t="s">
        <v>136</v>
      </c>
      <c r="F321" t="s">
        <v>22</v>
      </c>
      <c r="G321" s="33">
        <v>6849959</v>
      </c>
      <c r="H321" t="s">
        <v>22</v>
      </c>
    </row>
    <row r="322" spans="1:8">
      <c r="A322">
        <v>2018</v>
      </c>
      <c r="B322">
        <f t="shared" si="5"/>
        <v>69</v>
      </c>
      <c r="C322" t="s">
        <v>417</v>
      </c>
      <c r="D322" t="s">
        <v>126</v>
      </c>
      <c r="E322" t="s">
        <v>253</v>
      </c>
      <c r="F322" t="s">
        <v>22</v>
      </c>
      <c r="G322" s="33">
        <v>5957524</v>
      </c>
      <c r="H322" t="s">
        <v>22</v>
      </c>
    </row>
    <row r="323" spans="1:8">
      <c r="A323">
        <v>2018</v>
      </c>
      <c r="B323">
        <f t="shared" si="5"/>
        <v>70</v>
      </c>
      <c r="C323" t="s">
        <v>418</v>
      </c>
      <c r="D323" t="s">
        <v>126</v>
      </c>
      <c r="E323" t="s">
        <v>136</v>
      </c>
      <c r="F323" t="s">
        <v>22</v>
      </c>
      <c r="G323" s="33">
        <v>5748970</v>
      </c>
      <c r="H323" t="s">
        <v>22</v>
      </c>
    </row>
    <row r="324" spans="1:8">
      <c r="A324">
        <v>2018</v>
      </c>
      <c r="B324">
        <f t="shared" si="5"/>
        <v>71</v>
      </c>
      <c r="C324" t="s">
        <v>419</v>
      </c>
      <c r="D324" t="s">
        <v>126</v>
      </c>
      <c r="E324" t="s">
        <v>148</v>
      </c>
      <c r="F324" t="s">
        <v>22</v>
      </c>
      <c r="G324" s="33">
        <v>5504562</v>
      </c>
      <c r="H324" t="s">
        <v>22</v>
      </c>
    </row>
    <row r="325" spans="1:8">
      <c r="A325">
        <v>2018</v>
      </c>
      <c r="B325">
        <f t="shared" si="5"/>
        <v>72</v>
      </c>
      <c r="C325" t="s">
        <v>420</v>
      </c>
      <c r="D325" t="s">
        <v>126</v>
      </c>
      <c r="E325" t="s">
        <v>154</v>
      </c>
      <c r="F325" t="s">
        <v>22</v>
      </c>
      <c r="G325" s="33">
        <v>5483241</v>
      </c>
      <c r="H325" t="s">
        <v>22</v>
      </c>
    </row>
    <row r="326" spans="1:8">
      <c r="A326">
        <v>2018</v>
      </c>
      <c r="B326">
        <f t="shared" si="5"/>
        <v>73</v>
      </c>
      <c r="C326" t="s">
        <v>421</v>
      </c>
      <c r="D326" t="s">
        <v>126</v>
      </c>
      <c r="E326" t="s">
        <v>127</v>
      </c>
      <c r="F326" t="s">
        <v>22</v>
      </c>
      <c r="G326" s="33">
        <v>5160000</v>
      </c>
      <c r="H326" t="s">
        <v>22</v>
      </c>
    </row>
    <row r="327" spans="1:8">
      <c r="A327">
        <v>2018</v>
      </c>
      <c r="B327">
        <f t="shared" si="5"/>
        <v>74</v>
      </c>
      <c r="C327" t="s">
        <v>422</v>
      </c>
      <c r="D327" t="s">
        <v>126</v>
      </c>
      <c r="E327" t="s">
        <v>148</v>
      </c>
      <c r="F327" t="s">
        <v>22</v>
      </c>
      <c r="G327" s="33">
        <v>4778869</v>
      </c>
      <c r="H327" t="s">
        <v>22</v>
      </c>
    </row>
    <row r="328" spans="1:8">
      <c r="A328">
        <v>2018</v>
      </c>
      <c r="B328">
        <f t="shared" si="5"/>
        <v>75</v>
      </c>
      <c r="C328" t="s">
        <v>423</v>
      </c>
      <c r="D328" t="s">
        <v>126</v>
      </c>
      <c r="E328" t="s">
        <v>127</v>
      </c>
      <c r="F328" t="s">
        <v>22</v>
      </c>
      <c r="G328" s="33">
        <v>4668484</v>
      </c>
      <c r="H328" t="s">
        <v>22</v>
      </c>
    </row>
    <row r="329" spans="1:8">
      <c r="A329">
        <v>2018</v>
      </c>
      <c r="B329">
        <f t="shared" si="5"/>
        <v>76</v>
      </c>
      <c r="C329" t="s">
        <v>424</v>
      </c>
      <c r="D329" t="s">
        <v>126</v>
      </c>
      <c r="E329" t="s">
        <v>136</v>
      </c>
      <c r="F329" t="s">
        <v>22</v>
      </c>
      <c r="G329" s="33">
        <v>3791880</v>
      </c>
      <c r="H329" t="s">
        <v>22</v>
      </c>
    </row>
    <row r="330" spans="1:8">
      <c r="A330">
        <v>2018</v>
      </c>
      <c r="B330">
        <f t="shared" si="5"/>
        <v>77</v>
      </c>
      <c r="C330" t="s">
        <v>425</v>
      </c>
      <c r="D330" t="s">
        <v>126</v>
      </c>
      <c r="E330" t="s">
        <v>131</v>
      </c>
      <c r="F330" t="s">
        <v>22</v>
      </c>
      <c r="G330" s="33">
        <v>3576269</v>
      </c>
      <c r="H330" t="s">
        <v>22</v>
      </c>
    </row>
    <row r="331" spans="1:8">
      <c r="A331">
        <v>2018</v>
      </c>
      <c r="B331">
        <f t="shared" si="5"/>
        <v>78</v>
      </c>
      <c r="C331" t="s">
        <v>426</v>
      </c>
      <c r="D331" t="s">
        <v>126</v>
      </c>
      <c r="E331" t="s">
        <v>131</v>
      </c>
      <c r="F331" t="s">
        <v>22</v>
      </c>
      <c r="G331" s="33">
        <v>3042381</v>
      </c>
      <c r="H331" t="s">
        <v>22</v>
      </c>
    </row>
    <row r="332" spans="1:8">
      <c r="A332">
        <v>2018</v>
      </c>
      <c r="B332">
        <f t="shared" si="5"/>
        <v>79</v>
      </c>
      <c r="C332" t="s">
        <v>427</v>
      </c>
      <c r="D332" t="s">
        <v>126</v>
      </c>
      <c r="E332" t="s">
        <v>148</v>
      </c>
      <c r="F332" t="s">
        <v>22</v>
      </c>
      <c r="G332" s="33">
        <v>3026917</v>
      </c>
      <c r="H332" t="s">
        <v>22</v>
      </c>
    </row>
    <row r="333" spans="1:8">
      <c r="A333">
        <v>2018</v>
      </c>
      <c r="B333">
        <f t="shared" si="5"/>
        <v>80</v>
      </c>
      <c r="C333" t="s">
        <v>428</v>
      </c>
      <c r="D333" t="s">
        <v>126</v>
      </c>
      <c r="E333" t="s">
        <v>131</v>
      </c>
      <c r="F333" t="s">
        <v>22</v>
      </c>
      <c r="G333" s="33">
        <v>3004460</v>
      </c>
      <c r="H333" t="s">
        <v>22</v>
      </c>
    </row>
    <row r="334" spans="1:8">
      <c r="A334">
        <v>2018</v>
      </c>
      <c r="B334">
        <f t="shared" si="5"/>
        <v>81</v>
      </c>
      <c r="C334" t="s">
        <v>429</v>
      </c>
      <c r="D334" t="s">
        <v>133</v>
      </c>
    </row>
    <row r="335" spans="1:8">
      <c r="A335">
        <v>2018</v>
      </c>
      <c r="B335">
        <f t="shared" si="5"/>
        <v>82</v>
      </c>
      <c r="C335" t="s">
        <v>134</v>
      </c>
      <c r="D335" t="s">
        <v>191</v>
      </c>
      <c r="E335" t="s">
        <v>22</v>
      </c>
      <c r="F335" s="33">
        <v>2890000</v>
      </c>
      <c r="G335" t="s">
        <v>22</v>
      </c>
    </row>
    <row r="336" spans="1:8">
      <c r="A336">
        <v>2018</v>
      </c>
      <c r="B336">
        <f t="shared" si="5"/>
        <v>83</v>
      </c>
      <c r="C336" t="s">
        <v>430</v>
      </c>
      <c r="D336" t="s">
        <v>126</v>
      </c>
      <c r="E336" t="s">
        <v>136</v>
      </c>
      <c r="F336" t="s">
        <v>22</v>
      </c>
      <c r="G336" s="33">
        <v>2814977</v>
      </c>
      <c r="H336" t="s">
        <v>22</v>
      </c>
    </row>
    <row r="337" spans="1:8">
      <c r="A337">
        <v>2018</v>
      </c>
      <c r="B337">
        <f t="shared" si="5"/>
        <v>84</v>
      </c>
      <c r="C337" t="s">
        <v>431</v>
      </c>
      <c r="D337" t="s">
        <v>126</v>
      </c>
      <c r="E337" t="s">
        <v>131</v>
      </c>
      <c r="F337" t="s">
        <v>22</v>
      </c>
      <c r="G337" s="33">
        <v>2585854</v>
      </c>
      <c r="H337" t="s">
        <v>22</v>
      </c>
    </row>
    <row r="338" spans="1:8">
      <c r="A338">
        <v>2018</v>
      </c>
      <c r="B338">
        <f t="shared" si="5"/>
        <v>85</v>
      </c>
      <c r="C338" t="s">
        <v>432</v>
      </c>
      <c r="D338" t="s">
        <v>126</v>
      </c>
      <c r="E338" t="s">
        <v>129</v>
      </c>
      <c r="F338" t="s">
        <v>22</v>
      </c>
      <c r="G338" s="33">
        <v>2577213</v>
      </c>
      <c r="H338" t="s">
        <v>22</v>
      </c>
    </row>
    <row r="339" spans="1:8">
      <c r="A339">
        <v>2018</v>
      </c>
      <c r="B339">
        <f t="shared" si="5"/>
        <v>86</v>
      </c>
      <c r="C339" t="s">
        <v>433</v>
      </c>
      <c r="D339" t="s">
        <v>146</v>
      </c>
    </row>
    <row r="340" spans="1:8">
      <c r="A340">
        <v>2018</v>
      </c>
      <c r="B340">
        <f t="shared" si="5"/>
        <v>87</v>
      </c>
      <c r="C340" t="s">
        <v>126</v>
      </c>
      <c r="D340" t="s">
        <v>127</v>
      </c>
      <c r="E340" t="s">
        <v>22</v>
      </c>
      <c r="F340" s="33">
        <v>2379961</v>
      </c>
      <c r="G340" t="s">
        <v>22</v>
      </c>
    </row>
    <row r="341" spans="1:8">
      <c r="A341">
        <v>2018</v>
      </c>
      <c r="B341">
        <f t="shared" si="5"/>
        <v>88</v>
      </c>
      <c r="C341" t="s">
        <v>434</v>
      </c>
      <c r="D341" t="s">
        <v>126</v>
      </c>
      <c r="E341" t="s">
        <v>127</v>
      </c>
      <c r="F341" t="s">
        <v>22</v>
      </c>
      <c r="G341" s="33">
        <v>2240000</v>
      </c>
      <c r="H341" t="s">
        <v>22</v>
      </c>
    </row>
    <row r="342" spans="1:8">
      <c r="A342">
        <v>2018</v>
      </c>
      <c r="B342">
        <f t="shared" si="5"/>
        <v>89</v>
      </c>
      <c r="C342" t="s">
        <v>435</v>
      </c>
      <c r="D342" t="s">
        <v>126</v>
      </c>
      <c r="E342" t="s">
        <v>148</v>
      </c>
      <c r="F342" t="s">
        <v>22</v>
      </c>
      <c r="G342" s="33">
        <v>1838382</v>
      </c>
      <c r="H342" t="s">
        <v>22</v>
      </c>
    </row>
    <row r="343" spans="1:8">
      <c r="A343">
        <v>2018</v>
      </c>
      <c r="B343">
        <f t="shared" si="5"/>
        <v>90</v>
      </c>
      <c r="C343" t="s">
        <v>436</v>
      </c>
      <c r="D343" t="s">
        <v>126</v>
      </c>
      <c r="E343" t="s">
        <v>191</v>
      </c>
      <c r="F343" t="s">
        <v>22</v>
      </c>
      <c r="G343" s="33">
        <v>1799319</v>
      </c>
      <c r="H343" t="s">
        <v>22</v>
      </c>
    </row>
    <row r="344" spans="1:8">
      <c r="A344">
        <v>2018</v>
      </c>
      <c r="B344">
        <f t="shared" si="5"/>
        <v>91</v>
      </c>
      <c r="C344" t="s">
        <v>437</v>
      </c>
      <c r="D344" t="s">
        <v>126</v>
      </c>
      <c r="E344" t="s">
        <v>131</v>
      </c>
      <c r="F344" t="s">
        <v>22</v>
      </c>
      <c r="G344" s="33">
        <v>1440000</v>
      </c>
      <c r="H344" t="s">
        <v>22</v>
      </c>
    </row>
    <row r="345" spans="1:8">
      <c r="A345">
        <v>2018</v>
      </c>
      <c r="B345">
        <f t="shared" si="5"/>
        <v>92</v>
      </c>
      <c r="C345" t="s">
        <v>438</v>
      </c>
      <c r="D345" t="s">
        <v>126</v>
      </c>
      <c r="F345" t="s">
        <v>22</v>
      </c>
      <c r="G345" s="33">
        <v>1430000</v>
      </c>
      <c r="H345" t="s">
        <v>22</v>
      </c>
    </row>
    <row r="346" spans="1:8">
      <c r="A346">
        <v>2018</v>
      </c>
      <c r="B346">
        <f t="shared" si="5"/>
        <v>93</v>
      </c>
      <c r="C346" t="s">
        <v>439</v>
      </c>
      <c r="D346" t="s">
        <v>126</v>
      </c>
      <c r="E346" t="s">
        <v>129</v>
      </c>
      <c r="F346" t="s">
        <v>22</v>
      </c>
      <c r="G346" s="33">
        <v>1422563</v>
      </c>
      <c r="H346" t="s">
        <v>22</v>
      </c>
    </row>
    <row r="347" spans="1:8">
      <c r="A347">
        <v>2018</v>
      </c>
      <c r="B347">
        <f t="shared" si="5"/>
        <v>94</v>
      </c>
      <c r="C347" t="s">
        <v>440</v>
      </c>
      <c r="D347" t="s">
        <v>126</v>
      </c>
      <c r="E347" t="s">
        <v>148</v>
      </c>
      <c r="F347" t="s">
        <v>22</v>
      </c>
      <c r="G347" s="33">
        <v>1380000</v>
      </c>
      <c r="H347" t="s">
        <v>22</v>
      </c>
    </row>
    <row r="348" spans="1:8">
      <c r="A348">
        <v>2018</v>
      </c>
      <c r="B348">
        <f t="shared" si="5"/>
        <v>95</v>
      </c>
      <c r="C348" t="s">
        <v>441</v>
      </c>
      <c r="D348" t="s">
        <v>126</v>
      </c>
      <c r="E348" t="s">
        <v>131</v>
      </c>
      <c r="F348" t="s">
        <v>22</v>
      </c>
      <c r="G348" s="33">
        <v>1371255</v>
      </c>
      <c r="H348" t="s">
        <v>22</v>
      </c>
    </row>
    <row r="349" spans="1:8">
      <c r="A349">
        <v>2018</v>
      </c>
      <c r="B349">
        <f t="shared" si="5"/>
        <v>96</v>
      </c>
      <c r="C349" t="s">
        <v>442</v>
      </c>
      <c r="D349" t="s">
        <v>126</v>
      </c>
      <c r="E349" t="s">
        <v>127</v>
      </c>
      <c r="F349" t="s">
        <v>22</v>
      </c>
      <c r="G349" s="33">
        <v>1197984</v>
      </c>
      <c r="H349" t="s">
        <v>22</v>
      </c>
    </row>
    <row r="350" spans="1:8">
      <c r="A350">
        <v>2018</v>
      </c>
      <c r="B350">
        <f t="shared" si="5"/>
        <v>97</v>
      </c>
      <c r="C350" t="s">
        <v>443</v>
      </c>
      <c r="D350" t="s">
        <v>126</v>
      </c>
      <c r="E350" t="s">
        <v>131</v>
      </c>
      <c r="F350" t="s">
        <v>22</v>
      </c>
      <c r="G350" s="33">
        <v>1160000</v>
      </c>
      <c r="H350" t="s">
        <v>22</v>
      </c>
    </row>
    <row r="351" spans="1:8">
      <c r="A351">
        <v>2018</v>
      </c>
      <c r="B351">
        <f t="shared" si="5"/>
        <v>98</v>
      </c>
      <c r="C351" t="s">
        <v>444</v>
      </c>
      <c r="D351" t="s">
        <v>126</v>
      </c>
      <c r="E351" t="s">
        <v>131</v>
      </c>
      <c r="F351" t="s">
        <v>22</v>
      </c>
      <c r="G351" s="33">
        <v>1120000</v>
      </c>
      <c r="H351" t="s">
        <v>22</v>
      </c>
    </row>
    <row r="352" spans="1:8">
      <c r="A352">
        <v>2018</v>
      </c>
      <c r="B352">
        <f t="shared" si="5"/>
        <v>99</v>
      </c>
      <c r="C352" t="s">
        <v>445</v>
      </c>
      <c r="D352" t="s">
        <v>126</v>
      </c>
      <c r="E352" t="s">
        <v>131</v>
      </c>
      <c r="F352" t="s">
        <v>22</v>
      </c>
      <c r="G352" s="33">
        <v>1079373</v>
      </c>
      <c r="H352" t="s">
        <v>22</v>
      </c>
    </row>
    <row r="353" spans="1:8">
      <c r="A353">
        <v>2018</v>
      </c>
      <c r="B353">
        <f t="shared" si="5"/>
        <v>100</v>
      </c>
      <c r="C353" t="s">
        <v>446</v>
      </c>
      <c r="D353" t="s">
        <v>126</v>
      </c>
      <c r="E353" t="s">
        <v>131</v>
      </c>
      <c r="F353" t="s">
        <v>22</v>
      </c>
      <c r="G353" s="33">
        <v>1034623</v>
      </c>
      <c r="H353" t="s">
        <v>22</v>
      </c>
    </row>
    <row r="354" spans="1:8">
      <c r="A354">
        <v>2018</v>
      </c>
      <c r="B354">
        <f t="shared" si="5"/>
        <v>101</v>
      </c>
      <c r="C354" t="s">
        <v>447</v>
      </c>
      <c r="D354" t="s">
        <v>448</v>
      </c>
    </row>
    <row r="355" spans="1:8">
      <c r="A355">
        <v>2018</v>
      </c>
      <c r="B355">
        <f t="shared" si="5"/>
        <v>102</v>
      </c>
      <c r="C355" t="s">
        <v>449</v>
      </c>
    </row>
    <row r="356" spans="1:8">
      <c r="A356">
        <v>2018</v>
      </c>
      <c r="B356">
        <f t="shared" si="5"/>
        <v>103</v>
      </c>
      <c r="C356" t="s">
        <v>126</v>
      </c>
      <c r="D356" t="s">
        <v>131</v>
      </c>
      <c r="E356" t="s">
        <v>22</v>
      </c>
      <c r="F356" s="33">
        <v>948871</v>
      </c>
      <c r="G356" t="s">
        <v>22</v>
      </c>
    </row>
    <row r="357" spans="1:8">
      <c r="A357">
        <v>2018</v>
      </c>
      <c r="B357">
        <f t="shared" si="5"/>
        <v>104</v>
      </c>
      <c r="C357" t="s">
        <v>450</v>
      </c>
      <c r="D357" t="s">
        <v>126</v>
      </c>
      <c r="E357" t="s">
        <v>127</v>
      </c>
      <c r="F357" t="s">
        <v>22</v>
      </c>
      <c r="G357" s="33">
        <v>933589</v>
      </c>
      <c r="H357" t="s">
        <v>22</v>
      </c>
    </row>
    <row r="358" spans="1:8">
      <c r="A358">
        <v>2018</v>
      </c>
      <c r="B358">
        <f t="shared" si="5"/>
        <v>105</v>
      </c>
      <c r="C358" t="s">
        <v>451</v>
      </c>
      <c r="D358" t="s">
        <v>144</v>
      </c>
    </row>
    <row r="359" spans="1:8">
      <c r="A359">
        <v>2018</v>
      </c>
      <c r="B359">
        <f t="shared" si="5"/>
        <v>106</v>
      </c>
      <c r="C359" t="s">
        <v>146</v>
      </c>
    </row>
    <row r="360" spans="1:8">
      <c r="A360">
        <v>2018</v>
      </c>
      <c r="B360">
        <f t="shared" si="5"/>
        <v>107</v>
      </c>
      <c r="C360" t="s">
        <v>452</v>
      </c>
    </row>
    <row r="361" spans="1:8">
      <c r="A361">
        <v>2018</v>
      </c>
      <c r="B361">
        <f t="shared" si="5"/>
        <v>108</v>
      </c>
      <c r="C361" t="s">
        <v>170</v>
      </c>
    </row>
    <row r="362" spans="1:8">
      <c r="A362">
        <v>2018</v>
      </c>
      <c r="B362">
        <f t="shared" si="5"/>
        <v>109</v>
      </c>
      <c r="C362" t="s">
        <v>133</v>
      </c>
    </row>
    <row r="363" spans="1:8">
      <c r="A363">
        <v>2018</v>
      </c>
      <c r="B363">
        <f t="shared" si="5"/>
        <v>110</v>
      </c>
      <c r="C363" t="s">
        <v>188</v>
      </c>
      <c r="D363" t="s">
        <v>191</v>
      </c>
      <c r="E363" t="s">
        <v>22</v>
      </c>
      <c r="F363" s="33">
        <v>776078</v>
      </c>
      <c r="G363" t="s">
        <v>22</v>
      </c>
    </row>
    <row r="364" spans="1:8">
      <c r="A364">
        <v>2018</v>
      </c>
      <c r="B364">
        <f t="shared" si="5"/>
        <v>111</v>
      </c>
      <c r="C364" t="s">
        <v>453</v>
      </c>
      <c r="D364" t="s">
        <v>126</v>
      </c>
      <c r="E364" t="s">
        <v>131</v>
      </c>
      <c r="F364" t="s">
        <v>22</v>
      </c>
      <c r="G364" s="33">
        <v>775700</v>
      </c>
      <c r="H364" t="s">
        <v>22</v>
      </c>
    </row>
    <row r="365" spans="1:8">
      <c r="A365">
        <v>2018</v>
      </c>
      <c r="B365">
        <f t="shared" si="5"/>
        <v>112</v>
      </c>
      <c r="C365" t="s">
        <v>454</v>
      </c>
      <c r="D365" t="s">
        <v>126</v>
      </c>
      <c r="E365" t="s">
        <v>191</v>
      </c>
      <c r="F365" t="s">
        <v>22</v>
      </c>
      <c r="G365" s="33">
        <v>761348</v>
      </c>
      <c r="H365" t="s">
        <v>22</v>
      </c>
    </row>
    <row r="366" spans="1:8">
      <c r="A366">
        <v>2018</v>
      </c>
      <c r="B366">
        <f t="shared" si="5"/>
        <v>113</v>
      </c>
      <c r="C366" t="s">
        <v>455</v>
      </c>
      <c r="D366" t="s">
        <v>126</v>
      </c>
      <c r="E366" t="s">
        <v>154</v>
      </c>
      <c r="F366" t="s">
        <v>22</v>
      </c>
      <c r="G366" s="33">
        <v>739245</v>
      </c>
      <c r="H366" t="s">
        <v>22</v>
      </c>
    </row>
    <row r="367" spans="1:8">
      <c r="A367">
        <v>2018</v>
      </c>
      <c r="B367">
        <f t="shared" si="5"/>
        <v>114</v>
      </c>
      <c r="C367" t="s">
        <v>456</v>
      </c>
      <c r="D367" t="s">
        <v>126</v>
      </c>
      <c r="E367" t="s">
        <v>127</v>
      </c>
      <c r="F367" t="s">
        <v>22</v>
      </c>
      <c r="G367" s="33">
        <v>726371</v>
      </c>
      <c r="H367" t="s">
        <v>22</v>
      </c>
    </row>
    <row r="368" spans="1:8">
      <c r="A368">
        <v>2018</v>
      </c>
      <c r="B368">
        <f t="shared" si="5"/>
        <v>115</v>
      </c>
      <c r="C368" t="s">
        <v>457</v>
      </c>
      <c r="D368" t="s">
        <v>126</v>
      </c>
      <c r="E368" t="s">
        <v>131</v>
      </c>
      <c r="F368" t="s">
        <v>22</v>
      </c>
      <c r="G368" s="33">
        <v>716573</v>
      </c>
      <c r="H368" t="s">
        <v>22</v>
      </c>
    </row>
    <row r="369" spans="1:8">
      <c r="A369">
        <v>2018</v>
      </c>
      <c r="B369">
        <f t="shared" si="5"/>
        <v>116</v>
      </c>
      <c r="C369" t="s">
        <v>458</v>
      </c>
      <c r="D369" t="s">
        <v>146</v>
      </c>
    </row>
    <row r="370" spans="1:8">
      <c r="A370">
        <v>2018</v>
      </c>
      <c r="B370">
        <f t="shared" si="5"/>
        <v>117</v>
      </c>
      <c r="C370" t="s">
        <v>171</v>
      </c>
    </row>
    <row r="371" spans="1:8">
      <c r="A371">
        <v>2018</v>
      </c>
      <c r="B371">
        <f t="shared" si="5"/>
        <v>118</v>
      </c>
      <c r="C371" t="s">
        <v>126</v>
      </c>
      <c r="D371" t="s">
        <v>131</v>
      </c>
      <c r="E371" t="s">
        <v>22</v>
      </c>
      <c r="F371" s="33">
        <v>711507</v>
      </c>
      <c r="G371" t="s">
        <v>22</v>
      </c>
    </row>
    <row r="372" spans="1:8">
      <c r="A372">
        <v>2018</v>
      </c>
      <c r="B372">
        <f t="shared" si="5"/>
        <v>119</v>
      </c>
      <c r="C372" t="s">
        <v>459</v>
      </c>
      <c r="D372" t="s">
        <v>146</v>
      </c>
    </row>
    <row r="373" spans="1:8">
      <c r="A373">
        <v>2018</v>
      </c>
      <c r="B373">
        <f t="shared" si="5"/>
        <v>120</v>
      </c>
      <c r="C373" t="s">
        <v>126</v>
      </c>
      <c r="D373" t="s">
        <v>127</v>
      </c>
      <c r="E373" t="s">
        <v>22</v>
      </c>
      <c r="F373" s="33">
        <v>695621</v>
      </c>
      <c r="G373" t="s">
        <v>22</v>
      </c>
    </row>
    <row r="374" spans="1:8">
      <c r="A374">
        <v>2018</v>
      </c>
      <c r="B374">
        <f t="shared" si="5"/>
        <v>121</v>
      </c>
      <c r="C374" t="s">
        <v>460</v>
      </c>
      <c r="D374" t="s">
        <v>126</v>
      </c>
      <c r="E374" t="s">
        <v>154</v>
      </c>
      <c r="F374" t="s">
        <v>22</v>
      </c>
      <c r="G374" s="33">
        <v>688869</v>
      </c>
      <c r="H374" t="s">
        <v>22</v>
      </c>
    </row>
    <row r="375" spans="1:8">
      <c r="A375">
        <v>2018</v>
      </c>
      <c r="B375">
        <f t="shared" si="5"/>
        <v>122</v>
      </c>
      <c r="C375" t="s">
        <v>461</v>
      </c>
      <c r="D375" t="s">
        <v>126</v>
      </c>
      <c r="F375" t="s">
        <v>22</v>
      </c>
      <c r="G375" s="33">
        <v>678553</v>
      </c>
      <c r="H375" t="s">
        <v>22</v>
      </c>
    </row>
    <row r="376" spans="1:8">
      <c r="A376">
        <v>2018</v>
      </c>
      <c r="B376">
        <f t="shared" si="5"/>
        <v>123</v>
      </c>
      <c r="C376" t="s">
        <v>462</v>
      </c>
      <c r="D376" t="s">
        <v>146</v>
      </c>
    </row>
    <row r="377" spans="1:8">
      <c r="A377">
        <v>2018</v>
      </c>
      <c r="B377">
        <f t="shared" si="5"/>
        <v>124</v>
      </c>
      <c r="C377" t="s">
        <v>126</v>
      </c>
      <c r="D377" t="s">
        <v>127</v>
      </c>
      <c r="E377" t="s">
        <v>22</v>
      </c>
      <c r="F377" s="33">
        <v>669128</v>
      </c>
      <c r="G377" t="s">
        <v>22</v>
      </c>
    </row>
    <row r="378" spans="1:8">
      <c r="A378">
        <v>2018</v>
      </c>
      <c r="B378">
        <f t="shared" si="5"/>
        <v>125</v>
      </c>
      <c r="C378" t="s">
        <v>463</v>
      </c>
      <c r="D378" t="s">
        <v>126</v>
      </c>
      <c r="E378" t="s">
        <v>131</v>
      </c>
      <c r="F378" t="s">
        <v>22</v>
      </c>
      <c r="G378" s="33">
        <v>630896</v>
      </c>
      <c r="H378" t="s">
        <v>22</v>
      </c>
    </row>
    <row r="379" spans="1:8">
      <c r="A379">
        <v>2018</v>
      </c>
      <c r="B379">
        <f t="shared" si="5"/>
        <v>126</v>
      </c>
      <c r="C379" t="s">
        <v>464</v>
      </c>
      <c r="D379" t="s">
        <v>183</v>
      </c>
    </row>
    <row r="380" spans="1:8">
      <c r="A380">
        <v>2018</v>
      </c>
      <c r="B380">
        <f t="shared" si="5"/>
        <v>127</v>
      </c>
      <c r="C380" t="s">
        <v>133</v>
      </c>
    </row>
    <row r="381" spans="1:8">
      <c r="A381">
        <v>2018</v>
      </c>
      <c r="B381">
        <f t="shared" si="5"/>
        <v>128</v>
      </c>
      <c r="C381" t="s">
        <v>134</v>
      </c>
      <c r="D381" t="s">
        <v>131</v>
      </c>
      <c r="E381" t="s">
        <v>22</v>
      </c>
      <c r="F381" s="33">
        <v>625975</v>
      </c>
      <c r="G381" t="s">
        <v>22</v>
      </c>
    </row>
    <row r="382" spans="1:8">
      <c r="A382">
        <v>2018</v>
      </c>
      <c r="B382">
        <f t="shared" si="5"/>
        <v>129</v>
      </c>
      <c r="C382" t="s">
        <v>465</v>
      </c>
      <c r="D382" t="s">
        <v>126</v>
      </c>
      <c r="E382" t="s">
        <v>131</v>
      </c>
      <c r="F382" t="s">
        <v>22</v>
      </c>
      <c r="G382" s="33">
        <v>550000</v>
      </c>
      <c r="H382" t="s">
        <v>22</v>
      </c>
    </row>
    <row r="383" spans="1:8">
      <c r="A383">
        <v>2018</v>
      </c>
      <c r="B383">
        <f t="shared" si="5"/>
        <v>130</v>
      </c>
      <c r="C383" t="s">
        <v>466</v>
      </c>
      <c r="D383" t="s">
        <v>126</v>
      </c>
      <c r="E383" t="s">
        <v>136</v>
      </c>
      <c r="F383" t="s">
        <v>22</v>
      </c>
      <c r="G383" s="33">
        <v>544914</v>
      </c>
      <c r="H383" t="s">
        <v>22</v>
      </c>
    </row>
    <row r="384" spans="1:8">
      <c r="A384">
        <v>2018</v>
      </c>
      <c r="B384">
        <f t="shared" ref="B384:B447" si="6">B383+1</f>
        <v>131</v>
      </c>
      <c r="C384" t="s">
        <v>467</v>
      </c>
      <c r="D384" t="s">
        <v>126</v>
      </c>
      <c r="E384" t="s">
        <v>154</v>
      </c>
      <c r="F384" t="s">
        <v>22</v>
      </c>
      <c r="G384" s="33">
        <v>542586</v>
      </c>
      <c r="H384" t="s">
        <v>22</v>
      </c>
    </row>
    <row r="385" spans="1:8">
      <c r="A385">
        <v>2018</v>
      </c>
      <c r="B385">
        <f t="shared" si="6"/>
        <v>132</v>
      </c>
      <c r="C385" t="s">
        <v>468</v>
      </c>
      <c r="D385" t="s">
        <v>126</v>
      </c>
      <c r="E385" t="s">
        <v>264</v>
      </c>
      <c r="F385" t="s">
        <v>22</v>
      </c>
      <c r="G385" s="33">
        <v>518385</v>
      </c>
      <c r="H385" t="s">
        <v>22</v>
      </c>
    </row>
    <row r="386" spans="1:8">
      <c r="A386">
        <v>2018</v>
      </c>
      <c r="B386">
        <f t="shared" si="6"/>
        <v>133</v>
      </c>
      <c r="C386" t="s">
        <v>469</v>
      </c>
      <c r="D386" t="s">
        <v>146</v>
      </c>
    </row>
    <row r="387" spans="1:8">
      <c r="A387">
        <v>2018</v>
      </c>
      <c r="B387">
        <f t="shared" si="6"/>
        <v>134</v>
      </c>
      <c r="C387" t="s">
        <v>126</v>
      </c>
      <c r="D387" t="s">
        <v>129</v>
      </c>
      <c r="E387" s="33">
        <v>65000000</v>
      </c>
      <c r="F387" s="33">
        <v>516279</v>
      </c>
      <c r="G387" t="s">
        <v>22</v>
      </c>
    </row>
    <row r="388" spans="1:8">
      <c r="A388">
        <v>2018</v>
      </c>
      <c r="B388">
        <f t="shared" si="6"/>
        <v>135</v>
      </c>
      <c r="C388" t="s">
        <v>470</v>
      </c>
      <c r="D388" t="s">
        <v>126</v>
      </c>
      <c r="E388" t="s">
        <v>136</v>
      </c>
      <c r="F388" t="s">
        <v>22</v>
      </c>
      <c r="G388" s="33">
        <v>503950</v>
      </c>
      <c r="H388" t="s">
        <v>22</v>
      </c>
    </row>
    <row r="389" spans="1:8">
      <c r="A389">
        <v>2018</v>
      </c>
      <c r="B389">
        <f t="shared" si="6"/>
        <v>136</v>
      </c>
      <c r="C389" t="s">
        <v>471</v>
      </c>
      <c r="D389" t="s">
        <v>126</v>
      </c>
      <c r="E389" t="s">
        <v>148</v>
      </c>
      <c r="F389" t="s">
        <v>22</v>
      </c>
      <c r="G389" s="33">
        <v>483331</v>
      </c>
      <c r="H389" t="s">
        <v>22</v>
      </c>
    </row>
    <row r="390" spans="1:8">
      <c r="A390">
        <v>2018</v>
      </c>
      <c r="B390">
        <f t="shared" si="6"/>
        <v>137</v>
      </c>
      <c r="C390" t="s">
        <v>472</v>
      </c>
      <c r="D390" t="s">
        <v>126</v>
      </c>
      <c r="E390" t="s">
        <v>193</v>
      </c>
      <c r="F390" t="s">
        <v>22</v>
      </c>
      <c r="G390" s="33">
        <v>475322</v>
      </c>
      <c r="H390" t="s">
        <v>22</v>
      </c>
    </row>
    <row r="391" spans="1:8">
      <c r="A391">
        <v>2018</v>
      </c>
      <c r="B391">
        <f t="shared" si="6"/>
        <v>138</v>
      </c>
      <c r="C391" t="s">
        <v>473</v>
      </c>
      <c r="D391" t="s">
        <v>126</v>
      </c>
      <c r="E391" t="s">
        <v>148</v>
      </c>
      <c r="F391" t="s">
        <v>22</v>
      </c>
      <c r="G391" s="33">
        <v>457137</v>
      </c>
      <c r="H391" t="s">
        <v>22</v>
      </c>
    </row>
    <row r="392" spans="1:8">
      <c r="A392">
        <v>2018</v>
      </c>
      <c r="B392">
        <f t="shared" si="6"/>
        <v>139</v>
      </c>
      <c r="C392" t="s">
        <v>474</v>
      </c>
      <c r="D392" t="s">
        <v>126</v>
      </c>
      <c r="E392" t="s">
        <v>131</v>
      </c>
      <c r="F392" t="s">
        <v>22</v>
      </c>
      <c r="G392" s="33">
        <v>447191</v>
      </c>
      <c r="H392" t="s">
        <v>22</v>
      </c>
    </row>
    <row r="393" spans="1:8">
      <c r="A393">
        <v>2018</v>
      </c>
      <c r="B393">
        <f t="shared" si="6"/>
        <v>140</v>
      </c>
      <c r="C393" t="s">
        <v>475</v>
      </c>
      <c r="D393" t="s">
        <v>146</v>
      </c>
    </row>
    <row r="394" spans="1:8">
      <c r="A394">
        <v>2018</v>
      </c>
      <c r="B394">
        <f t="shared" si="6"/>
        <v>141</v>
      </c>
      <c r="C394" t="s">
        <v>126</v>
      </c>
      <c r="D394" t="s">
        <v>131</v>
      </c>
      <c r="E394" t="s">
        <v>22</v>
      </c>
      <c r="F394" s="33">
        <v>408244</v>
      </c>
      <c r="G394" t="s">
        <v>22</v>
      </c>
    </row>
    <row r="395" spans="1:8">
      <c r="A395">
        <v>2018</v>
      </c>
      <c r="B395">
        <f t="shared" si="6"/>
        <v>142</v>
      </c>
      <c r="C395" t="s">
        <v>476</v>
      </c>
      <c r="D395" t="s">
        <v>126</v>
      </c>
      <c r="E395" t="s">
        <v>131</v>
      </c>
      <c r="F395" t="s">
        <v>22</v>
      </c>
      <c r="G395" s="33">
        <v>399868</v>
      </c>
      <c r="H395" t="s">
        <v>22</v>
      </c>
    </row>
    <row r="396" spans="1:8">
      <c r="A396">
        <v>2018</v>
      </c>
      <c r="B396">
        <f t="shared" si="6"/>
        <v>143</v>
      </c>
      <c r="C396" t="s">
        <v>477</v>
      </c>
      <c r="D396" t="s">
        <v>126</v>
      </c>
      <c r="E396" t="s">
        <v>131</v>
      </c>
      <c r="F396" t="s">
        <v>22</v>
      </c>
      <c r="G396" s="33">
        <v>387766</v>
      </c>
      <c r="H396" t="s">
        <v>22</v>
      </c>
    </row>
    <row r="397" spans="1:8">
      <c r="A397">
        <v>2018</v>
      </c>
      <c r="B397">
        <f t="shared" si="6"/>
        <v>144</v>
      </c>
      <c r="C397" t="s">
        <v>478</v>
      </c>
      <c r="D397" t="s">
        <v>126</v>
      </c>
      <c r="E397" t="s">
        <v>193</v>
      </c>
      <c r="F397" t="s">
        <v>22</v>
      </c>
      <c r="G397" s="33">
        <v>367754</v>
      </c>
      <c r="H397" t="s">
        <v>22</v>
      </c>
    </row>
    <row r="398" spans="1:8">
      <c r="A398">
        <v>2018</v>
      </c>
      <c r="B398">
        <f t="shared" si="6"/>
        <v>145</v>
      </c>
      <c r="C398" t="s">
        <v>479</v>
      </c>
      <c r="D398" t="s">
        <v>126</v>
      </c>
      <c r="E398" t="s">
        <v>193</v>
      </c>
      <c r="F398" t="s">
        <v>22</v>
      </c>
      <c r="G398" s="33">
        <v>363597</v>
      </c>
      <c r="H398" t="s">
        <v>22</v>
      </c>
    </row>
    <row r="399" spans="1:8">
      <c r="A399">
        <v>2018</v>
      </c>
      <c r="B399">
        <f t="shared" si="6"/>
        <v>146</v>
      </c>
      <c r="C399" t="s">
        <v>480</v>
      </c>
      <c r="D399" t="s">
        <v>126</v>
      </c>
      <c r="E399" t="s">
        <v>193</v>
      </c>
      <c r="F399" t="s">
        <v>22</v>
      </c>
      <c r="G399" s="33">
        <v>342389</v>
      </c>
      <c r="H399" t="s">
        <v>22</v>
      </c>
    </row>
    <row r="400" spans="1:8">
      <c r="A400">
        <v>2018</v>
      </c>
      <c r="B400">
        <f t="shared" si="6"/>
        <v>147</v>
      </c>
      <c r="C400" t="s">
        <v>481</v>
      </c>
      <c r="D400" t="s">
        <v>126</v>
      </c>
      <c r="E400" t="s">
        <v>193</v>
      </c>
      <c r="F400" t="s">
        <v>22</v>
      </c>
      <c r="G400" s="33">
        <v>326131</v>
      </c>
      <c r="H400" t="s">
        <v>22</v>
      </c>
    </row>
    <row r="401" spans="1:8">
      <c r="A401">
        <v>2018</v>
      </c>
      <c r="B401">
        <f t="shared" si="6"/>
        <v>148</v>
      </c>
      <c r="C401" t="s">
        <v>482</v>
      </c>
      <c r="D401" t="s">
        <v>126</v>
      </c>
      <c r="E401" t="s">
        <v>193</v>
      </c>
      <c r="F401" t="s">
        <v>22</v>
      </c>
      <c r="G401" s="33">
        <v>314854</v>
      </c>
      <c r="H401" t="s">
        <v>22</v>
      </c>
    </row>
    <row r="402" spans="1:8">
      <c r="A402">
        <v>2018</v>
      </c>
      <c r="B402">
        <f t="shared" si="6"/>
        <v>149</v>
      </c>
      <c r="C402" t="s">
        <v>483</v>
      </c>
      <c r="D402" t="s">
        <v>126</v>
      </c>
      <c r="E402" t="s">
        <v>131</v>
      </c>
      <c r="F402" t="s">
        <v>22</v>
      </c>
      <c r="G402" s="33">
        <v>300158</v>
      </c>
      <c r="H402" t="s">
        <v>22</v>
      </c>
    </row>
    <row r="403" spans="1:8">
      <c r="A403">
        <v>2018</v>
      </c>
      <c r="B403">
        <f t="shared" si="6"/>
        <v>150</v>
      </c>
      <c r="C403" t="s">
        <v>484</v>
      </c>
      <c r="D403" t="s">
        <v>126</v>
      </c>
      <c r="E403" t="s">
        <v>131</v>
      </c>
      <c r="F403" t="s">
        <v>22</v>
      </c>
      <c r="G403" s="33">
        <v>299510</v>
      </c>
      <c r="H403" t="s">
        <v>22</v>
      </c>
    </row>
    <row r="404" spans="1:8">
      <c r="A404">
        <v>2018</v>
      </c>
      <c r="B404">
        <f t="shared" si="6"/>
        <v>151</v>
      </c>
      <c r="C404" t="s">
        <v>485</v>
      </c>
      <c r="D404" t="s">
        <v>126</v>
      </c>
      <c r="E404" t="s">
        <v>154</v>
      </c>
      <c r="F404" t="s">
        <v>22</v>
      </c>
      <c r="G404" s="33">
        <v>287293</v>
      </c>
      <c r="H404" t="s">
        <v>22</v>
      </c>
    </row>
    <row r="405" spans="1:8">
      <c r="A405">
        <v>2018</v>
      </c>
      <c r="B405">
        <f t="shared" si="6"/>
        <v>152</v>
      </c>
      <c r="C405" t="s">
        <v>486</v>
      </c>
      <c r="D405" t="s">
        <v>126</v>
      </c>
      <c r="F405" t="s">
        <v>22</v>
      </c>
      <c r="G405" s="33">
        <v>285872</v>
      </c>
      <c r="H405" t="s">
        <v>22</v>
      </c>
    </row>
    <row r="406" spans="1:8">
      <c r="A406">
        <v>2018</v>
      </c>
      <c r="B406">
        <f t="shared" si="6"/>
        <v>153</v>
      </c>
      <c r="C406" t="s">
        <v>487</v>
      </c>
      <c r="D406" t="s">
        <v>126</v>
      </c>
      <c r="E406" t="s">
        <v>131</v>
      </c>
      <c r="F406" t="s">
        <v>22</v>
      </c>
      <c r="G406" s="33">
        <v>263814</v>
      </c>
      <c r="H406" t="s">
        <v>22</v>
      </c>
    </row>
    <row r="407" spans="1:8">
      <c r="A407">
        <v>2018</v>
      </c>
      <c r="B407">
        <f t="shared" si="6"/>
        <v>154</v>
      </c>
      <c r="C407" t="s">
        <v>488</v>
      </c>
      <c r="D407" t="s">
        <v>126</v>
      </c>
      <c r="E407" t="s">
        <v>127</v>
      </c>
      <c r="F407" t="s">
        <v>22</v>
      </c>
      <c r="G407" s="33">
        <v>238049</v>
      </c>
      <c r="H407" t="s">
        <v>22</v>
      </c>
    </row>
    <row r="408" spans="1:8">
      <c r="A408">
        <v>2018</v>
      </c>
      <c r="B408">
        <f t="shared" si="6"/>
        <v>155</v>
      </c>
      <c r="C408" t="s">
        <v>489</v>
      </c>
      <c r="D408" t="s">
        <v>126</v>
      </c>
      <c r="E408" t="s">
        <v>136</v>
      </c>
      <c r="F408" t="s">
        <v>22</v>
      </c>
      <c r="G408" s="33">
        <v>213273</v>
      </c>
      <c r="H408" t="s">
        <v>22</v>
      </c>
    </row>
    <row r="409" spans="1:8">
      <c r="A409">
        <v>2018</v>
      </c>
      <c r="B409">
        <f t="shared" si="6"/>
        <v>156</v>
      </c>
      <c r="C409" t="s">
        <v>490</v>
      </c>
      <c r="D409" t="s">
        <v>126</v>
      </c>
      <c r="E409" t="s">
        <v>131</v>
      </c>
      <c r="F409" t="s">
        <v>22</v>
      </c>
      <c r="G409" s="33">
        <v>212590</v>
      </c>
      <c r="H409" t="s">
        <v>22</v>
      </c>
    </row>
    <row r="410" spans="1:8">
      <c r="A410">
        <v>2018</v>
      </c>
      <c r="B410">
        <f t="shared" si="6"/>
        <v>157</v>
      </c>
      <c r="C410" t="s">
        <v>491</v>
      </c>
      <c r="D410" t="s">
        <v>126</v>
      </c>
      <c r="E410" t="s">
        <v>193</v>
      </c>
      <c r="F410" t="s">
        <v>22</v>
      </c>
      <c r="G410" s="33">
        <v>211751</v>
      </c>
      <c r="H410" t="s">
        <v>22</v>
      </c>
    </row>
    <row r="411" spans="1:8">
      <c r="A411">
        <v>2018</v>
      </c>
      <c r="B411">
        <f t="shared" si="6"/>
        <v>158</v>
      </c>
      <c r="C411" t="s">
        <v>492</v>
      </c>
      <c r="D411" t="s">
        <v>126</v>
      </c>
      <c r="E411" t="s">
        <v>131</v>
      </c>
      <c r="F411" t="s">
        <v>22</v>
      </c>
      <c r="G411" s="33">
        <v>194504</v>
      </c>
      <c r="H411" t="s">
        <v>22</v>
      </c>
    </row>
    <row r="412" spans="1:8">
      <c r="A412">
        <v>2018</v>
      </c>
      <c r="B412">
        <f t="shared" si="6"/>
        <v>159</v>
      </c>
      <c r="C412" t="s">
        <v>493</v>
      </c>
      <c r="D412" t="s">
        <v>126</v>
      </c>
      <c r="E412" t="s">
        <v>154</v>
      </c>
      <c r="F412" t="s">
        <v>22</v>
      </c>
      <c r="G412" s="33">
        <v>193005</v>
      </c>
      <c r="H412" t="s">
        <v>22</v>
      </c>
    </row>
    <row r="413" spans="1:8">
      <c r="A413">
        <v>2018</v>
      </c>
      <c r="B413">
        <f t="shared" si="6"/>
        <v>160</v>
      </c>
      <c r="C413" t="s">
        <v>494</v>
      </c>
      <c r="D413" t="s">
        <v>126</v>
      </c>
      <c r="E413" t="s">
        <v>193</v>
      </c>
      <c r="F413" t="s">
        <v>22</v>
      </c>
      <c r="G413" s="33">
        <v>190532</v>
      </c>
      <c r="H413" t="s">
        <v>22</v>
      </c>
    </row>
    <row r="414" spans="1:8">
      <c r="A414">
        <v>2018</v>
      </c>
      <c r="B414">
        <f t="shared" si="6"/>
        <v>161</v>
      </c>
      <c r="C414" t="s">
        <v>495</v>
      </c>
      <c r="D414" t="s">
        <v>126</v>
      </c>
      <c r="E414" t="s">
        <v>191</v>
      </c>
      <c r="F414" t="s">
        <v>22</v>
      </c>
      <c r="G414" s="33">
        <v>187922</v>
      </c>
      <c r="H414" t="s">
        <v>22</v>
      </c>
    </row>
    <row r="415" spans="1:8">
      <c r="A415">
        <v>2018</v>
      </c>
      <c r="B415">
        <f t="shared" si="6"/>
        <v>162</v>
      </c>
      <c r="C415" t="s">
        <v>496</v>
      </c>
      <c r="D415" t="s">
        <v>126</v>
      </c>
      <c r="E415" t="s">
        <v>136</v>
      </c>
      <c r="F415" t="s">
        <v>22</v>
      </c>
      <c r="G415" s="33">
        <v>186226</v>
      </c>
      <c r="H415" t="s">
        <v>22</v>
      </c>
    </row>
    <row r="416" spans="1:8">
      <c r="A416">
        <v>2018</v>
      </c>
      <c r="B416">
        <f t="shared" si="6"/>
        <v>163</v>
      </c>
      <c r="C416" t="s">
        <v>497</v>
      </c>
      <c r="D416" t="s">
        <v>126</v>
      </c>
      <c r="E416" t="s">
        <v>131</v>
      </c>
      <c r="F416" t="s">
        <v>22</v>
      </c>
      <c r="G416" s="33">
        <v>175696</v>
      </c>
      <c r="H416" t="s">
        <v>22</v>
      </c>
    </row>
    <row r="417" spans="1:8">
      <c r="A417">
        <v>2018</v>
      </c>
      <c r="B417">
        <f t="shared" si="6"/>
        <v>164</v>
      </c>
      <c r="C417" t="s">
        <v>498</v>
      </c>
      <c r="D417" t="s">
        <v>144</v>
      </c>
    </row>
    <row r="418" spans="1:8">
      <c r="A418">
        <v>2018</v>
      </c>
      <c r="B418">
        <f t="shared" si="6"/>
        <v>165</v>
      </c>
      <c r="C418" t="s">
        <v>499</v>
      </c>
    </row>
    <row r="419" spans="1:8">
      <c r="A419">
        <v>2018</v>
      </c>
      <c r="B419">
        <f t="shared" si="6"/>
        <v>166</v>
      </c>
      <c r="C419" t="s">
        <v>126</v>
      </c>
      <c r="D419" t="s">
        <v>191</v>
      </c>
      <c r="E419" t="s">
        <v>22</v>
      </c>
      <c r="F419" s="33">
        <v>173603</v>
      </c>
      <c r="G419" t="s">
        <v>22</v>
      </c>
    </row>
    <row r="420" spans="1:8">
      <c r="A420">
        <v>2018</v>
      </c>
      <c r="B420">
        <f t="shared" si="6"/>
        <v>167</v>
      </c>
      <c r="C420" t="s">
        <v>500</v>
      </c>
      <c r="D420" t="s">
        <v>126</v>
      </c>
      <c r="E420" t="s">
        <v>131</v>
      </c>
      <c r="F420" t="s">
        <v>22</v>
      </c>
      <c r="G420" s="33">
        <v>157874</v>
      </c>
      <c r="H420" t="s">
        <v>22</v>
      </c>
    </row>
    <row r="421" spans="1:8">
      <c r="A421">
        <v>2018</v>
      </c>
      <c r="B421">
        <f t="shared" si="6"/>
        <v>168</v>
      </c>
      <c r="C421" t="s">
        <v>501</v>
      </c>
      <c r="D421" t="s">
        <v>126</v>
      </c>
      <c r="E421" t="s">
        <v>253</v>
      </c>
      <c r="F421" t="s">
        <v>22</v>
      </c>
      <c r="G421" s="33">
        <v>154845</v>
      </c>
      <c r="H421" t="s">
        <v>22</v>
      </c>
    </row>
    <row r="422" spans="1:8">
      <c r="A422">
        <v>2018</v>
      </c>
      <c r="B422">
        <f t="shared" si="6"/>
        <v>169</v>
      </c>
      <c r="C422" t="s">
        <v>502</v>
      </c>
      <c r="D422" t="s">
        <v>126</v>
      </c>
      <c r="E422" t="s">
        <v>148</v>
      </c>
      <c r="F422" t="s">
        <v>22</v>
      </c>
      <c r="G422" s="33">
        <v>142235</v>
      </c>
      <c r="H422" t="s">
        <v>22</v>
      </c>
    </row>
    <row r="423" spans="1:8">
      <c r="A423">
        <v>2018</v>
      </c>
      <c r="B423">
        <f t="shared" si="6"/>
        <v>170</v>
      </c>
      <c r="C423" t="s">
        <v>503</v>
      </c>
      <c r="D423" t="s">
        <v>126</v>
      </c>
      <c r="E423" t="s">
        <v>148</v>
      </c>
      <c r="F423" t="s">
        <v>22</v>
      </c>
      <c r="G423" s="33">
        <v>140923</v>
      </c>
      <c r="H423" t="s">
        <v>22</v>
      </c>
    </row>
    <row r="424" spans="1:8">
      <c r="A424">
        <v>2018</v>
      </c>
      <c r="B424">
        <f t="shared" si="6"/>
        <v>171</v>
      </c>
      <c r="C424" t="s">
        <v>504</v>
      </c>
      <c r="D424" t="s">
        <v>301</v>
      </c>
    </row>
    <row r="425" spans="1:8">
      <c r="A425">
        <v>2018</v>
      </c>
      <c r="B425">
        <f t="shared" si="6"/>
        <v>172</v>
      </c>
      <c r="C425" t="s">
        <v>146</v>
      </c>
    </row>
    <row r="426" spans="1:8">
      <c r="A426">
        <v>2018</v>
      </c>
      <c r="B426">
        <f t="shared" si="6"/>
        <v>173</v>
      </c>
      <c r="C426" t="s">
        <v>126</v>
      </c>
      <c r="D426" t="s">
        <v>131</v>
      </c>
      <c r="E426" t="s">
        <v>22</v>
      </c>
      <c r="F426" s="33">
        <v>140398</v>
      </c>
      <c r="G426" t="s">
        <v>22</v>
      </c>
    </row>
    <row r="427" spans="1:8">
      <c r="A427">
        <v>2018</v>
      </c>
      <c r="B427">
        <f t="shared" si="6"/>
        <v>174</v>
      </c>
      <c r="C427" t="s">
        <v>505</v>
      </c>
      <c r="D427" t="s">
        <v>126</v>
      </c>
      <c r="E427" t="s">
        <v>148</v>
      </c>
      <c r="F427" t="s">
        <v>22</v>
      </c>
      <c r="G427" s="33">
        <v>116521</v>
      </c>
      <c r="H427" t="s">
        <v>22</v>
      </c>
    </row>
    <row r="428" spans="1:8">
      <c r="A428">
        <v>2018</v>
      </c>
      <c r="B428">
        <f t="shared" si="6"/>
        <v>175</v>
      </c>
      <c r="C428" t="s">
        <v>506</v>
      </c>
      <c r="D428" t="s">
        <v>171</v>
      </c>
    </row>
    <row r="429" spans="1:8">
      <c r="A429">
        <v>2018</v>
      </c>
      <c r="B429">
        <f t="shared" si="6"/>
        <v>176</v>
      </c>
      <c r="C429" t="s">
        <v>356</v>
      </c>
    </row>
    <row r="430" spans="1:8">
      <c r="A430">
        <v>2018</v>
      </c>
      <c r="B430">
        <f t="shared" si="6"/>
        <v>177</v>
      </c>
      <c r="C430" t="s">
        <v>126</v>
      </c>
      <c r="D430" t="s">
        <v>131</v>
      </c>
      <c r="E430" t="s">
        <v>22</v>
      </c>
      <c r="F430" s="33">
        <v>111813</v>
      </c>
      <c r="G430" t="s">
        <v>22</v>
      </c>
    </row>
    <row r="431" spans="1:8">
      <c r="A431">
        <v>2018</v>
      </c>
      <c r="B431">
        <f t="shared" si="6"/>
        <v>178</v>
      </c>
      <c r="C431" t="s">
        <v>507</v>
      </c>
      <c r="D431" t="s">
        <v>126</v>
      </c>
      <c r="E431" t="s">
        <v>191</v>
      </c>
      <c r="F431" t="s">
        <v>22</v>
      </c>
      <c r="G431" s="33">
        <v>104992</v>
      </c>
      <c r="H431" t="s">
        <v>22</v>
      </c>
    </row>
    <row r="432" spans="1:8">
      <c r="A432">
        <v>2018</v>
      </c>
      <c r="B432">
        <f t="shared" si="6"/>
        <v>179</v>
      </c>
      <c r="C432" t="s">
        <v>508</v>
      </c>
      <c r="D432" t="s">
        <v>126</v>
      </c>
      <c r="E432" t="s">
        <v>264</v>
      </c>
      <c r="F432" t="s">
        <v>22</v>
      </c>
      <c r="G432" s="33">
        <v>99673</v>
      </c>
      <c r="H432" t="s">
        <v>22</v>
      </c>
    </row>
    <row r="433" spans="1:8">
      <c r="A433">
        <v>2018</v>
      </c>
      <c r="B433">
        <f t="shared" si="6"/>
        <v>180</v>
      </c>
      <c r="C433" t="s">
        <v>509</v>
      </c>
      <c r="D433" t="s">
        <v>126</v>
      </c>
      <c r="E433" t="s">
        <v>129</v>
      </c>
      <c r="F433" t="s">
        <v>22</v>
      </c>
      <c r="G433" s="33">
        <v>98143</v>
      </c>
      <c r="H433" t="s">
        <v>22</v>
      </c>
    </row>
    <row r="434" spans="1:8">
      <c r="A434">
        <v>2018</v>
      </c>
      <c r="B434">
        <f t="shared" si="6"/>
        <v>181</v>
      </c>
      <c r="C434" t="s">
        <v>510</v>
      </c>
      <c r="D434" t="s">
        <v>126</v>
      </c>
      <c r="E434" t="s">
        <v>131</v>
      </c>
      <c r="F434" t="s">
        <v>22</v>
      </c>
      <c r="G434" s="33">
        <v>92700</v>
      </c>
      <c r="H434" t="s">
        <v>22</v>
      </c>
    </row>
    <row r="435" spans="1:8">
      <c r="A435">
        <v>2018</v>
      </c>
      <c r="B435">
        <f t="shared" si="6"/>
        <v>182</v>
      </c>
      <c r="C435" t="s">
        <v>511</v>
      </c>
      <c r="D435" t="s">
        <v>126</v>
      </c>
      <c r="E435" t="s">
        <v>154</v>
      </c>
      <c r="F435" t="s">
        <v>22</v>
      </c>
      <c r="G435" s="33">
        <v>92673</v>
      </c>
      <c r="H435" t="s">
        <v>22</v>
      </c>
    </row>
    <row r="436" spans="1:8">
      <c r="A436">
        <v>2018</v>
      </c>
      <c r="B436">
        <f t="shared" si="6"/>
        <v>183</v>
      </c>
      <c r="C436" t="s">
        <v>512</v>
      </c>
      <c r="D436" t="s">
        <v>126</v>
      </c>
      <c r="E436" t="s">
        <v>129</v>
      </c>
      <c r="F436" t="s">
        <v>22</v>
      </c>
      <c r="G436" s="33">
        <v>91014</v>
      </c>
      <c r="H436" t="s">
        <v>22</v>
      </c>
    </row>
    <row r="437" spans="1:8">
      <c r="A437">
        <v>2018</v>
      </c>
      <c r="B437">
        <f t="shared" si="6"/>
        <v>184</v>
      </c>
      <c r="C437" t="s">
        <v>513</v>
      </c>
      <c r="D437" t="s">
        <v>126</v>
      </c>
      <c r="E437" t="s">
        <v>154</v>
      </c>
      <c r="F437" t="s">
        <v>22</v>
      </c>
      <c r="G437" s="33">
        <v>69175</v>
      </c>
      <c r="H437" t="s">
        <v>22</v>
      </c>
    </row>
    <row r="438" spans="1:8">
      <c r="A438">
        <v>2018</v>
      </c>
      <c r="B438">
        <f t="shared" si="6"/>
        <v>185</v>
      </c>
      <c r="C438" t="s">
        <v>514</v>
      </c>
      <c r="D438" t="s">
        <v>126</v>
      </c>
      <c r="E438" t="s">
        <v>136</v>
      </c>
      <c r="F438" t="s">
        <v>22</v>
      </c>
      <c r="G438" s="33">
        <v>68836</v>
      </c>
      <c r="H438" t="s">
        <v>22</v>
      </c>
    </row>
    <row r="439" spans="1:8">
      <c r="A439">
        <v>2018</v>
      </c>
      <c r="B439">
        <f t="shared" si="6"/>
        <v>186</v>
      </c>
      <c r="C439" t="s">
        <v>515</v>
      </c>
      <c r="D439" t="s">
        <v>126</v>
      </c>
      <c r="E439" t="s">
        <v>154</v>
      </c>
      <c r="F439" t="s">
        <v>22</v>
      </c>
      <c r="G439" s="33">
        <v>65915</v>
      </c>
      <c r="H439" t="s">
        <v>22</v>
      </c>
    </row>
    <row r="440" spans="1:8">
      <c r="A440">
        <v>2018</v>
      </c>
      <c r="B440">
        <f t="shared" si="6"/>
        <v>187</v>
      </c>
      <c r="C440" t="s">
        <v>516</v>
      </c>
      <c r="D440" t="s">
        <v>126</v>
      </c>
      <c r="E440" t="s">
        <v>148</v>
      </c>
      <c r="F440" t="s">
        <v>22</v>
      </c>
      <c r="G440" s="33">
        <v>65446</v>
      </c>
      <c r="H440" t="s">
        <v>22</v>
      </c>
    </row>
    <row r="441" spans="1:8">
      <c r="A441">
        <v>2018</v>
      </c>
      <c r="B441">
        <f t="shared" si="6"/>
        <v>188</v>
      </c>
      <c r="C441" t="s">
        <v>517</v>
      </c>
      <c r="D441" t="s">
        <v>126</v>
      </c>
      <c r="E441" t="s">
        <v>129</v>
      </c>
      <c r="F441" t="s">
        <v>22</v>
      </c>
      <c r="G441" s="33">
        <v>62007</v>
      </c>
      <c r="H441" t="s">
        <v>22</v>
      </c>
    </row>
    <row r="442" spans="1:8">
      <c r="A442">
        <v>2018</v>
      </c>
      <c r="B442">
        <f t="shared" si="6"/>
        <v>189</v>
      </c>
      <c r="C442" t="s">
        <v>518</v>
      </c>
      <c r="D442" t="s">
        <v>126</v>
      </c>
      <c r="E442" t="s">
        <v>129</v>
      </c>
      <c r="F442" t="s">
        <v>22</v>
      </c>
      <c r="G442" s="33">
        <v>56948</v>
      </c>
      <c r="H442" t="s">
        <v>22</v>
      </c>
    </row>
    <row r="443" spans="1:8">
      <c r="A443">
        <v>2018</v>
      </c>
      <c r="B443">
        <f t="shared" si="6"/>
        <v>190</v>
      </c>
      <c r="C443" t="s">
        <v>519</v>
      </c>
      <c r="D443" t="s">
        <v>126</v>
      </c>
      <c r="E443" t="s">
        <v>131</v>
      </c>
      <c r="F443" t="s">
        <v>22</v>
      </c>
      <c r="G443" s="33">
        <v>51996</v>
      </c>
      <c r="H443" t="s">
        <v>22</v>
      </c>
    </row>
    <row r="444" spans="1:8">
      <c r="A444">
        <v>2018</v>
      </c>
      <c r="B444">
        <f t="shared" si="6"/>
        <v>191</v>
      </c>
      <c r="C444" t="s">
        <v>520</v>
      </c>
      <c r="D444" t="s">
        <v>126</v>
      </c>
      <c r="E444" t="s">
        <v>131</v>
      </c>
      <c r="F444" t="s">
        <v>22</v>
      </c>
      <c r="G444" s="33">
        <v>50311</v>
      </c>
      <c r="H444" t="s">
        <v>22</v>
      </c>
    </row>
    <row r="445" spans="1:8">
      <c r="A445">
        <v>2018</v>
      </c>
      <c r="B445">
        <f t="shared" si="6"/>
        <v>192</v>
      </c>
      <c r="C445" t="s">
        <v>521</v>
      </c>
      <c r="D445" t="s">
        <v>356</v>
      </c>
    </row>
    <row r="446" spans="1:8">
      <c r="A446">
        <v>2018</v>
      </c>
      <c r="B446">
        <f t="shared" si="6"/>
        <v>193</v>
      </c>
      <c r="C446" t="s">
        <v>126</v>
      </c>
      <c r="D446" t="s">
        <v>131</v>
      </c>
      <c r="E446" t="s">
        <v>22</v>
      </c>
      <c r="F446" s="33">
        <v>48386</v>
      </c>
      <c r="G446" t="s">
        <v>22</v>
      </c>
    </row>
    <row r="447" spans="1:8">
      <c r="A447">
        <v>2018</v>
      </c>
      <c r="B447">
        <f t="shared" si="6"/>
        <v>194</v>
      </c>
      <c r="C447" t="s">
        <v>522</v>
      </c>
      <c r="D447" t="s">
        <v>126</v>
      </c>
      <c r="E447" t="s">
        <v>131</v>
      </c>
      <c r="F447" t="s">
        <v>22</v>
      </c>
      <c r="G447" s="33">
        <v>46380</v>
      </c>
      <c r="H447" t="s">
        <v>22</v>
      </c>
    </row>
    <row r="448" spans="1:8">
      <c r="A448">
        <v>2018</v>
      </c>
      <c r="B448">
        <f t="shared" ref="B448:B497" si="7">B447+1</f>
        <v>195</v>
      </c>
      <c r="C448" t="s">
        <v>523</v>
      </c>
      <c r="D448" t="s">
        <v>126</v>
      </c>
      <c r="E448" t="s">
        <v>131</v>
      </c>
      <c r="F448" t="s">
        <v>22</v>
      </c>
      <c r="G448" s="33">
        <v>44311</v>
      </c>
      <c r="H448" t="s">
        <v>22</v>
      </c>
    </row>
    <row r="449" spans="1:8">
      <c r="A449">
        <v>2018</v>
      </c>
      <c r="B449">
        <f t="shared" si="7"/>
        <v>196</v>
      </c>
      <c r="C449" t="s">
        <v>524</v>
      </c>
      <c r="D449" t="s">
        <v>126</v>
      </c>
      <c r="E449" t="s">
        <v>154</v>
      </c>
      <c r="F449" t="s">
        <v>22</v>
      </c>
      <c r="G449" s="33">
        <v>40417</v>
      </c>
      <c r="H449" t="s">
        <v>22</v>
      </c>
    </row>
    <row r="450" spans="1:8">
      <c r="A450">
        <v>2018</v>
      </c>
      <c r="B450">
        <f t="shared" si="7"/>
        <v>197</v>
      </c>
      <c r="C450" t="s">
        <v>525</v>
      </c>
      <c r="D450" t="s">
        <v>126</v>
      </c>
      <c r="E450" t="s">
        <v>131</v>
      </c>
      <c r="F450" t="s">
        <v>22</v>
      </c>
      <c r="G450" s="33">
        <v>37853</v>
      </c>
      <c r="H450" t="s">
        <v>22</v>
      </c>
    </row>
    <row r="451" spans="1:8">
      <c r="A451">
        <v>2018</v>
      </c>
      <c r="B451">
        <f t="shared" si="7"/>
        <v>198</v>
      </c>
      <c r="C451" t="s">
        <v>526</v>
      </c>
      <c r="D451" t="s">
        <v>126</v>
      </c>
      <c r="F451" t="s">
        <v>22</v>
      </c>
      <c r="G451" s="33">
        <v>32405</v>
      </c>
      <c r="H451" t="s">
        <v>22</v>
      </c>
    </row>
    <row r="452" spans="1:8">
      <c r="A452">
        <v>2018</v>
      </c>
      <c r="B452">
        <f t="shared" si="7"/>
        <v>199</v>
      </c>
      <c r="C452" t="s">
        <v>527</v>
      </c>
      <c r="D452" t="s">
        <v>126</v>
      </c>
      <c r="E452" t="s">
        <v>131</v>
      </c>
      <c r="F452" t="s">
        <v>22</v>
      </c>
      <c r="G452" s="33">
        <v>30744</v>
      </c>
      <c r="H452" t="s">
        <v>22</v>
      </c>
    </row>
    <row r="453" spans="1:8">
      <c r="A453">
        <v>2018</v>
      </c>
      <c r="B453">
        <f t="shared" si="7"/>
        <v>200</v>
      </c>
      <c r="C453" t="s">
        <v>528</v>
      </c>
      <c r="D453" t="s">
        <v>146</v>
      </c>
    </row>
    <row r="454" spans="1:8">
      <c r="A454">
        <v>2018</v>
      </c>
      <c r="B454">
        <f t="shared" si="7"/>
        <v>201</v>
      </c>
      <c r="C454" t="s">
        <v>171</v>
      </c>
    </row>
    <row r="455" spans="1:8">
      <c r="A455">
        <v>2018</v>
      </c>
      <c r="B455">
        <f t="shared" si="7"/>
        <v>202</v>
      </c>
      <c r="C455" t="s">
        <v>529</v>
      </c>
    </row>
    <row r="456" spans="1:8">
      <c r="A456">
        <v>2018</v>
      </c>
      <c r="B456">
        <f t="shared" si="7"/>
        <v>203</v>
      </c>
      <c r="C456" t="s">
        <v>356</v>
      </c>
    </row>
    <row r="457" spans="1:8">
      <c r="A457">
        <v>2018</v>
      </c>
      <c r="B457">
        <f t="shared" si="7"/>
        <v>204</v>
      </c>
      <c r="C457" t="s">
        <v>530</v>
      </c>
    </row>
    <row r="458" spans="1:8">
      <c r="A458">
        <v>2018</v>
      </c>
      <c r="B458">
        <f t="shared" si="7"/>
        <v>205</v>
      </c>
      <c r="C458" t="s">
        <v>133</v>
      </c>
    </row>
    <row r="459" spans="1:8">
      <c r="A459">
        <v>2018</v>
      </c>
      <c r="B459">
        <f t="shared" si="7"/>
        <v>206</v>
      </c>
      <c r="C459" t="s">
        <v>531</v>
      </c>
    </row>
    <row r="460" spans="1:8">
      <c r="A460">
        <v>2018</v>
      </c>
      <c r="B460">
        <f t="shared" si="7"/>
        <v>207</v>
      </c>
      <c r="C460" t="s">
        <v>532</v>
      </c>
      <c r="D460" t="s">
        <v>129</v>
      </c>
      <c r="E460" t="s">
        <v>22</v>
      </c>
      <c r="F460" s="33">
        <v>27179</v>
      </c>
      <c r="G460" t="s">
        <v>22</v>
      </c>
    </row>
    <row r="461" spans="1:8">
      <c r="A461">
        <v>2018</v>
      </c>
      <c r="B461">
        <f t="shared" si="7"/>
        <v>208</v>
      </c>
      <c r="C461" t="s">
        <v>533</v>
      </c>
      <c r="D461" t="s">
        <v>126</v>
      </c>
      <c r="E461" t="s">
        <v>148</v>
      </c>
      <c r="F461" t="s">
        <v>22</v>
      </c>
      <c r="G461" s="33">
        <v>27171</v>
      </c>
      <c r="H461" t="s">
        <v>22</v>
      </c>
    </row>
    <row r="462" spans="1:8">
      <c r="A462">
        <v>2018</v>
      </c>
      <c r="B462">
        <f t="shared" si="7"/>
        <v>209</v>
      </c>
      <c r="C462" t="s">
        <v>534</v>
      </c>
      <c r="D462" t="s">
        <v>126</v>
      </c>
      <c r="E462" t="s">
        <v>131</v>
      </c>
      <c r="F462" t="s">
        <v>22</v>
      </c>
      <c r="G462" s="33">
        <v>23688</v>
      </c>
      <c r="H462" t="s">
        <v>22</v>
      </c>
    </row>
    <row r="463" spans="1:8">
      <c r="A463">
        <v>2018</v>
      </c>
      <c r="B463">
        <f t="shared" si="7"/>
        <v>210</v>
      </c>
      <c r="C463" t="s">
        <v>535</v>
      </c>
      <c r="D463" t="s">
        <v>126</v>
      </c>
      <c r="E463" t="s">
        <v>131</v>
      </c>
      <c r="F463" t="s">
        <v>22</v>
      </c>
      <c r="G463" s="33">
        <v>18824</v>
      </c>
      <c r="H463" t="s">
        <v>22</v>
      </c>
    </row>
    <row r="464" spans="1:8">
      <c r="A464">
        <v>2018</v>
      </c>
      <c r="B464">
        <f t="shared" si="7"/>
        <v>211</v>
      </c>
      <c r="C464" t="s">
        <v>536</v>
      </c>
      <c r="D464" t="s">
        <v>126</v>
      </c>
      <c r="E464" t="s">
        <v>154</v>
      </c>
      <c r="F464" t="s">
        <v>22</v>
      </c>
      <c r="G464" s="33">
        <v>17177</v>
      </c>
      <c r="H464" t="s">
        <v>22</v>
      </c>
    </row>
    <row r="465" spans="1:8">
      <c r="A465">
        <v>2018</v>
      </c>
      <c r="B465">
        <f t="shared" si="7"/>
        <v>212</v>
      </c>
      <c r="C465" t="s">
        <v>537</v>
      </c>
      <c r="D465" t="s">
        <v>126</v>
      </c>
      <c r="E465" t="s">
        <v>191</v>
      </c>
      <c r="F465" t="s">
        <v>22</v>
      </c>
      <c r="G465" s="33">
        <v>15241</v>
      </c>
      <c r="H465" t="s">
        <v>22</v>
      </c>
    </row>
    <row r="466" spans="1:8">
      <c r="A466">
        <v>2018</v>
      </c>
      <c r="B466">
        <f t="shared" si="7"/>
        <v>213</v>
      </c>
      <c r="C466" t="s">
        <v>538</v>
      </c>
      <c r="D466" t="s">
        <v>133</v>
      </c>
    </row>
    <row r="467" spans="1:8">
      <c r="A467">
        <v>2018</v>
      </c>
      <c r="B467">
        <f t="shared" si="7"/>
        <v>214</v>
      </c>
      <c r="C467" t="s">
        <v>134</v>
      </c>
      <c r="D467" t="s">
        <v>131</v>
      </c>
      <c r="E467" t="s">
        <v>22</v>
      </c>
      <c r="F467" s="33">
        <v>15069</v>
      </c>
      <c r="G467" t="s">
        <v>22</v>
      </c>
    </row>
    <row r="468" spans="1:8">
      <c r="A468">
        <v>2018</v>
      </c>
      <c r="B468">
        <f t="shared" si="7"/>
        <v>215</v>
      </c>
      <c r="C468" t="s">
        <v>539</v>
      </c>
      <c r="D468" t="s">
        <v>126</v>
      </c>
      <c r="E468" t="s">
        <v>131</v>
      </c>
      <c r="F468" t="s">
        <v>22</v>
      </c>
      <c r="G468" s="33">
        <v>14702</v>
      </c>
      <c r="H468" t="s">
        <v>22</v>
      </c>
    </row>
    <row r="469" spans="1:8">
      <c r="A469">
        <v>2018</v>
      </c>
      <c r="B469">
        <f t="shared" si="7"/>
        <v>216</v>
      </c>
      <c r="C469" t="s">
        <v>540</v>
      </c>
      <c r="D469" t="s">
        <v>126</v>
      </c>
      <c r="E469" t="s">
        <v>136</v>
      </c>
      <c r="F469" t="s">
        <v>22</v>
      </c>
      <c r="G469" s="33">
        <v>14496</v>
      </c>
      <c r="H469" t="s">
        <v>22</v>
      </c>
    </row>
    <row r="470" spans="1:8">
      <c r="A470">
        <v>2018</v>
      </c>
      <c r="B470">
        <f t="shared" si="7"/>
        <v>217</v>
      </c>
      <c r="C470" t="s">
        <v>541</v>
      </c>
      <c r="D470" t="s">
        <v>126</v>
      </c>
      <c r="E470" t="s">
        <v>148</v>
      </c>
      <c r="F470" t="s">
        <v>22</v>
      </c>
      <c r="G470" s="33">
        <v>12751</v>
      </c>
      <c r="H470" t="s">
        <v>22</v>
      </c>
    </row>
    <row r="471" spans="1:8">
      <c r="A471">
        <v>2018</v>
      </c>
      <c r="B471">
        <f t="shared" si="7"/>
        <v>218</v>
      </c>
      <c r="C471" t="s">
        <v>542</v>
      </c>
      <c r="D471" t="s">
        <v>126</v>
      </c>
      <c r="E471" t="s">
        <v>131</v>
      </c>
      <c r="F471" t="s">
        <v>22</v>
      </c>
      <c r="G471" s="33">
        <v>11350</v>
      </c>
      <c r="H471" t="s">
        <v>22</v>
      </c>
    </row>
    <row r="472" spans="1:8">
      <c r="A472">
        <v>2018</v>
      </c>
      <c r="B472">
        <f t="shared" si="7"/>
        <v>219</v>
      </c>
      <c r="C472" t="s">
        <v>543</v>
      </c>
      <c r="D472" t="s">
        <v>126</v>
      </c>
      <c r="E472" t="s">
        <v>131</v>
      </c>
      <c r="F472" t="s">
        <v>22</v>
      </c>
      <c r="G472" s="33">
        <v>9057</v>
      </c>
      <c r="H472" t="s">
        <v>22</v>
      </c>
    </row>
    <row r="473" spans="1:8">
      <c r="A473">
        <v>2018</v>
      </c>
      <c r="B473">
        <f t="shared" si="7"/>
        <v>220</v>
      </c>
      <c r="C473" t="s">
        <v>544</v>
      </c>
      <c r="D473" t="s">
        <v>126</v>
      </c>
      <c r="E473" t="s">
        <v>131</v>
      </c>
      <c r="F473" t="s">
        <v>22</v>
      </c>
      <c r="G473" s="33">
        <v>7898</v>
      </c>
      <c r="H473" t="s">
        <v>22</v>
      </c>
    </row>
    <row r="474" spans="1:8">
      <c r="A474">
        <v>2018</v>
      </c>
      <c r="B474">
        <f t="shared" si="7"/>
        <v>221</v>
      </c>
      <c r="C474" t="s">
        <v>545</v>
      </c>
      <c r="D474" t="s">
        <v>126</v>
      </c>
      <c r="E474" t="s">
        <v>136</v>
      </c>
      <c r="F474" t="s">
        <v>22</v>
      </c>
      <c r="G474" s="33">
        <v>7432</v>
      </c>
      <c r="H474" t="s">
        <v>22</v>
      </c>
    </row>
    <row r="475" spans="1:8">
      <c r="A475">
        <v>2018</v>
      </c>
      <c r="B475">
        <f t="shared" si="7"/>
        <v>222</v>
      </c>
      <c r="C475" t="s">
        <v>546</v>
      </c>
      <c r="D475" t="s">
        <v>126</v>
      </c>
      <c r="E475" t="s">
        <v>131</v>
      </c>
      <c r="F475" t="s">
        <v>22</v>
      </c>
      <c r="G475" s="33">
        <v>6057</v>
      </c>
      <c r="H475" t="s">
        <v>22</v>
      </c>
    </row>
    <row r="476" spans="1:8">
      <c r="A476">
        <v>2018</v>
      </c>
      <c r="B476">
        <f t="shared" si="7"/>
        <v>223</v>
      </c>
      <c r="C476" t="s">
        <v>547</v>
      </c>
      <c r="D476" t="s">
        <v>126</v>
      </c>
      <c r="E476" t="s">
        <v>131</v>
      </c>
      <c r="F476" t="s">
        <v>22</v>
      </c>
      <c r="G476" s="33">
        <v>5992</v>
      </c>
      <c r="H476" t="s">
        <v>22</v>
      </c>
    </row>
    <row r="477" spans="1:8">
      <c r="A477">
        <v>2018</v>
      </c>
      <c r="B477">
        <f t="shared" si="7"/>
        <v>224</v>
      </c>
      <c r="C477" t="s">
        <v>548</v>
      </c>
      <c r="D477" t="s">
        <v>126</v>
      </c>
      <c r="E477" t="s">
        <v>129</v>
      </c>
      <c r="F477" t="s">
        <v>22</v>
      </c>
      <c r="G477" s="33">
        <v>5281</v>
      </c>
      <c r="H477" t="s">
        <v>22</v>
      </c>
    </row>
    <row r="478" spans="1:8">
      <c r="A478">
        <v>2018</v>
      </c>
      <c r="B478">
        <f t="shared" si="7"/>
        <v>225</v>
      </c>
      <c r="C478" t="s">
        <v>549</v>
      </c>
      <c r="D478" t="s">
        <v>126</v>
      </c>
      <c r="E478" t="s">
        <v>136</v>
      </c>
      <c r="F478" t="s">
        <v>22</v>
      </c>
      <c r="G478" s="33">
        <v>4995</v>
      </c>
      <c r="H478" t="s">
        <v>22</v>
      </c>
    </row>
    <row r="479" spans="1:8">
      <c r="A479">
        <v>2018</v>
      </c>
      <c r="B479">
        <f t="shared" si="7"/>
        <v>226</v>
      </c>
      <c r="C479" t="s">
        <v>550</v>
      </c>
      <c r="D479" t="s">
        <v>126</v>
      </c>
      <c r="E479" t="s">
        <v>148</v>
      </c>
      <c r="F479" t="s">
        <v>22</v>
      </c>
      <c r="G479" s="33">
        <v>4482</v>
      </c>
      <c r="H479" t="s">
        <v>22</v>
      </c>
    </row>
    <row r="480" spans="1:8">
      <c r="A480">
        <v>2018</v>
      </c>
      <c r="B480">
        <f t="shared" si="7"/>
        <v>227</v>
      </c>
      <c r="C480" t="s">
        <v>551</v>
      </c>
      <c r="D480" t="s">
        <v>126</v>
      </c>
      <c r="E480" t="s">
        <v>131</v>
      </c>
      <c r="F480" t="s">
        <v>22</v>
      </c>
      <c r="G480" s="33">
        <v>2198</v>
      </c>
      <c r="H480" t="s">
        <v>22</v>
      </c>
    </row>
    <row r="481" spans="1:8">
      <c r="A481">
        <v>2018</v>
      </c>
      <c r="B481">
        <f t="shared" si="7"/>
        <v>228</v>
      </c>
      <c r="C481" t="s">
        <v>552</v>
      </c>
      <c r="D481" t="s">
        <v>126</v>
      </c>
      <c r="E481" t="s">
        <v>131</v>
      </c>
      <c r="F481" t="s">
        <v>22</v>
      </c>
      <c r="G481" s="33">
        <v>1968</v>
      </c>
      <c r="H481" t="s">
        <v>22</v>
      </c>
    </row>
    <row r="482" spans="1:8">
      <c r="A482">
        <v>2018</v>
      </c>
      <c r="B482">
        <f t="shared" si="7"/>
        <v>229</v>
      </c>
      <c r="C482" t="s">
        <v>553</v>
      </c>
      <c r="D482" t="s">
        <v>146</v>
      </c>
    </row>
    <row r="483" spans="1:8">
      <c r="A483">
        <v>2018</v>
      </c>
      <c r="B483">
        <f t="shared" si="7"/>
        <v>230</v>
      </c>
      <c r="C483" t="s">
        <v>126</v>
      </c>
      <c r="D483" t="s">
        <v>191</v>
      </c>
      <c r="E483" t="s">
        <v>22</v>
      </c>
      <c r="F483" s="33">
        <v>0</v>
      </c>
      <c r="G483" t="s">
        <v>22</v>
      </c>
    </row>
    <row r="484" spans="1:8">
      <c r="A484">
        <v>2018</v>
      </c>
      <c r="B484">
        <f t="shared" si="7"/>
        <v>231</v>
      </c>
      <c r="C484" t="s">
        <v>554</v>
      </c>
      <c r="D484" t="s">
        <v>126</v>
      </c>
      <c r="E484" t="s">
        <v>191</v>
      </c>
      <c r="F484" t="s">
        <v>22</v>
      </c>
      <c r="G484" s="33">
        <v>0</v>
      </c>
      <c r="H484" t="s">
        <v>22</v>
      </c>
    </row>
    <row r="485" spans="1:8">
      <c r="A485">
        <v>2018</v>
      </c>
      <c r="B485">
        <f t="shared" si="7"/>
        <v>232</v>
      </c>
      <c r="C485" t="s">
        <v>555</v>
      </c>
      <c r="D485" t="s">
        <v>146</v>
      </c>
    </row>
    <row r="486" spans="1:8">
      <c r="A486">
        <v>2018</v>
      </c>
      <c r="B486">
        <f t="shared" si="7"/>
        <v>233</v>
      </c>
      <c r="C486" t="s">
        <v>126</v>
      </c>
      <c r="D486" t="s">
        <v>193</v>
      </c>
      <c r="E486" t="s">
        <v>22</v>
      </c>
      <c r="F486" s="33">
        <v>0</v>
      </c>
      <c r="G486" t="s">
        <v>22</v>
      </c>
    </row>
    <row r="487" spans="1:8">
      <c r="A487">
        <v>2018</v>
      </c>
      <c r="B487">
        <f t="shared" si="7"/>
        <v>234</v>
      </c>
      <c r="C487" t="s">
        <v>556</v>
      </c>
      <c r="D487" t="s">
        <v>126</v>
      </c>
      <c r="E487" t="s">
        <v>129</v>
      </c>
      <c r="F487" t="s">
        <v>22</v>
      </c>
      <c r="G487" s="33">
        <v>0</v>
      </c>
      <c r="H487" t="s">
        <v>22</v>
      </c>
    </row>
    <row r="488" spans="1:8">
      <c r="A488">
        <v>2018</v>
      </c>
      <c r="B488">
        <f t="shared" si="7"/>
        <v>235</v>
      </c>
      <c r="C488" t="s">
        <v>557</v>
      </c>
      <c r="D488" t="s">
        <v>146</v>
      </c>
    </row>
    <row r="489" spans="1:8">
      <c r="A489">
        <v>2018</v>
      </c>
      <c r="B489">
        <f t="shared" si="7"/>
        <v>236</v>
      </c>
      <c r="C489" t="s">
        <v>126</v>
      </c>
      <c r="D489" t="s">
        <v>131</v>
      </c>
      <c r="E489" t="s">
        <v>22</v>
      </c>
      <c r="F489" s="33">
        <v>0</v>
      </c>
      <c r="G489" t="s">
        <v>22</v>
      </c>
    </row>
    <row r="490" spans="1:8">
      <c r="A490">
        <v>2018</v>
      </c>
      <c r="B490">
        <f t="shared" si="7"/>
        <v>237</v>
      </c>
      <c r="C490" t="s">
        <v>558</v>
      </c>
      <c r="D490" t="s">
        <v>126</v>
      </c>
      <c r="E490" t="s">
        <v>136</v>
      </c>
      <c r="F490" t="s">
        <v>22</v>
      </c>
      <c r="G490" s="33">
        <v>0</v>
      </c>
      <c r="H490" t="s">
        <v>22</v>
      </c>
    </row>
    <row r="491" spans="1:8">
      <c r="A491">
        <v>2018</v>
      </c>
      <c r="B491">
        <f t="shared" si="7"/>
        <v>238</v>
      </c>
      <c r="C491" t="s">
        <v>559</v>
      </c>
      <c r="D491" t="s">
        <v>146</v>
      </c>
    </row>
    <row r="492" spans="1:8">
      <c r="A492">
        <v>2018</v>
      </c>
      <c r="B492">
        <f t="shared" si="7"/>
        <v>239</v>
      </c>
      <c r="C492" t="s">
        <v>126</v>
      </c>
      <c r="D492" t="s">
        <v>191</v>
      </c>
      <c r="E492" t="s">
        <v>22</v>
      </c>
      <c r="F492" s="33">
        <v>0</v>
      </c>
      <c r="G492" t="s">
        <v>22</v>
      </c>
    </row>
    <row r="493" spans="1:8">
      <c r="A493">
        <v>2018</v>
      </c>
      <c r="B493">
        <f t="shared" si="7"/>
        <v>240</v>
      </c>
      <c r="C493" t="s">
        <v>560</v>
      </c>
      <c r="D493" t="s">
        <v>144</v>
      </c>
    </row>
    <row r="494" spans="1:8">
      <c r="A494">
        <v>2018</v>
      </c>
      <c r="B494">
        <f t="shared" si="7"/>
        <v>241</v>
      </c>
      <c r="C494" t="s">
        <v>530</v>
      </c>
    </row>
    <row r="495" spans="1:8">
      <c r="A495">
        <v>2018</v>
      </c>
      <c r="B495">
        <f t="shared" si="7"/>
        <v>242</v>
      </c>
      <c r="C495" t="s">
        <v>126</v>
      </c>
      <c r="D495" t="s">
        <v>131</v>
      </c>
      <c r="E495" t="s">
        <v>22</v>
      </c>
      <c r="F495" s="33">
        <v>0</v>
      </c>
      <c r="G495" t="s">
        <v>22</v>
      </c>
    </row>
    <row r="496" spans="1:8">
      <c r="A496">
        <v>2018</v>
      </c>
      <c r="B496">
        <f t="shared" si="7"/>
        <v>243</v>
      </c>
      <c r="C496" t="s">
        <v>561</v>
      </c>
      <c r="D496" t="s">
        <v>126</v>
      </c>
      <c r="E496" t="s">
        <v>129</v>
      </c>
      <c r="F496" t="s">
        <v>22</v>
      </c>
      <c r="G496" s="33">
        <v>0</v>
      </c>
      <c r="H496" t="s">
        <v>22</v>
      </c>
    </row>
    <row r="497" spans="1:8">
      <c r="A497">
        <v>2018</v>
      </c>
      <c r="B497">
        <f t="shared" si="7"/>
        <v>244</v>
      </c>
      <c r="C497" t="s">
        <v>562</v>
      </c>
      <c r="D497" t="s">
        <v>126</v>
      </c>
      <c r="E497" t="s">
        <v>129</v>
      </c>
      <c r="F497" t="s">
        <v>22</v>
      </c>
      <c r="G497" s="33">
        <v>0</v>
      </c>
      <c r="H497" t="s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27"/>
  <sheetViews>
    <sheetView topLeftCell="C12" zoomScale="90" zoomScaleNormal="90" workbookViewId="0">
      <selection activeCell="I22" sqref="I22"/>
    </sheetView>
  </sheetViews>
  <sheetFormatPr defaultColWidth="9" defaultRowHeight="14.6"/>
  <cols>
    <col min="1" max="1" width="29.69140625" customWidth="1"/>
    <col min="2" max="3" width="11.3828125" customWidth="1"/>
    <col min="4" max="4" width="33" customWidth="1"/>
    <col min="5" max="5" width="31.3828125" customWidth="1"/>
    <col min="6" max="6" width="15.23046875" customWidth="1"/>
    <col min="7" max="7" width="15.3828125" customWidth="1"/>
    <col min="8" max="8" width="12.3828125" customWidth="1"/>
    <col min="9" max="9" width="11.53515625" customWidth="1"/>
    <col min="10" max="10" width="19.15234375" customWidth="1"/>
    <col min="11" max="11" width="18" customWidth="1"/>
    <col min="12" max="12" width="24" customWidth="1"/>
    <col min="13" max="13" width="18" customWidth="1"/>
    <col min="14" max="14" width="11.3828125" customWidth="1"/>
  </cols>
  <sheetData>
    <row r="1" spans="1:4">
      <c r="A1" t="s">
        <v>563</v>
      </c>
    </row>
    <row r="3" spans="1:4">
      <c r="A3" t="s">
        <v>564</v>
      </c>
    </row>
    <row r="4" spans="1:4">
      <c r="A4" t="s">
        <v>565</v>
      </c>
    </row>
    <row r="5" spans="1:4">
      <c r="A5" t="s">
        <v>566</v>
      </c>
    </row>
    <row r="6" spans="1:4">
      <c r="A6" t="s">
        <v>567</v>
      </c>
    </row>
    <row r="7" spans="1:4">
      <c r="A7" t="s">
        <v>568</v>
      </c>
    </row>
    <row r="8" spans="1:4">
      <c r="A8" t="s">
        <v>569</v>
      </c>
    </row>
    <row r="9" spans="1:4">
      <c r="A9" t="s">
        <v>570</v>
      </c>
    </row>
    <row r="10" spans="1:4">
      <c r="A10" t="s">
        <v>571</v>
      </c>
    </row>
    <row r="11" spans="1:4">
      <c r="A11" t="s">
        <v>572</v>
      </c>
    </row>
    <row r="13" spans="1:4">
      <c r="A13" t="s">
        <v>22</v>
      </c>
      <c r="B13" t="s">
        <v>573</v>
      </c>
      <c r="C13" t="s">
        <v>574</v>
      </c>
      <c r="D13" t="s">
        <v>575</v>
      </c>
    </row>
    <row r="14" spans="1:4">
      <c r="A14" t="s">
        <v>576</v>
      </c>
      <c r="B14" t="s">
        <v>123</v>
      </c>
      <c r="C14" t="s">
        <v>577</v>
      </c>
    </row>
    <row r="15" spans="1:4">
      <c r="A15" t="s">
        <v>578</v>
      </c>
      <c r="B15" t="s">
        <v>579</v>
      </c>
    </row>
    <row r="16" spans="1:4">
      <c r="A16" t="s">
        <v>580</v>
      </c>
      <c r="B16" t="s">
        <v>581</v>
      </c>
    </row>
    <row r="17" spans="1:13">
      <c r="A17" t="s">
        <v>582</v>
      </c>
      <c r="B17" t="s">
        <v>583</v>
      </c>
    </row>
    <row r="18" spans="1:13">
      <c r="A18" t="s">
        <v>584</v>
      </c>
      <c r="B18" t="s">
        <v>585</v>
      </c>
    </row>
    <row r="19" spans="1:13" ht="43.75">
      <c r="A19" s="34"/>
      <c r="B19" s="34" t="s">
        <v>573</v>
      </c>
      <c r="C19" s="34" t="s">
        <v>574</v>
      </c>
      <c r="D19" s="34" t="s">
        <v>586</v>
      </c>
      <c r="E19" s="34" t="s">
        <v>123</v>
      </c>
      <c r="F19" s="34" t="s">
        <v>124</v>
      </c>
      <c r="G19" s="34" t="s">
        <v>587</v>
      </c>
      <c r="H19" s="34" t="s">
        <v>588</v>
      </c>
      <c r="I19" s="34" t="s">
        <v>589</v>
      </c>
      <c r="J19" s="34" t="s">
        <v>590</v>
      </c>
      <c r="K19" s="34" t="s">
        <v>591</v>
      </c>
      <c r="L19" t="s">
        <v>592</v>
      </c>
      <c r="M19" t="s">
        <v>593</v>
      </c>
    </row>
    <row r="20" spans="1:13">
      <c r="A20">
        <v>1</v>
      </c>
      <c r="B20" t="s">
        <v>594</v>
      </c>
      <c r="C20" t="s">
        <v>595</v>
      </c>
      <c r="D20" t="s">
        <v>596</v>
      </c>
      <c r="E20" t="s">
        <v>191</v>
      </c>
      <c r="F20" s="33">
        <v>0</v>
      </c>
      <c r="G20">
        <v>0</v>
      </c>
      <c r="H20" s="33">
        <v>0</v>
      </c>
      <c r="I20" s="33">
        <v>11596</v>
      </c>
      <c r="J20" s="33">
        <v>11596</v>
      </c>
      <c r="K20" t="s">
        <v>597</v>
      </c>
      <c r="L20" t="s">
        <v>598</v>
      </c>
      <c r="M20" t="s">
        <v>599</v>
      </c>
    </row>
    <row r="21" spans="1:13">
      <c r="A21">
        <v>2</v>
      </c>
      <c r="B21" t="s">
        <v>600</v>
      </c>
      <c r="C21" t="s">
        <v>390</v>
      </c>
      <c r="D21" t="s">
        <v>601</v>
      </c>
      <c r="E21" t="s">
        <v>129</v>
      </c>
      <c r="F21" s="33">
        <v>0</v>
      </c>
      <c r="G21">
        <v>17</v>
      </c>
      <c r="H21" s="33">
        <v>50583</v>
      </c>
      <c r="I21" s="33">
        <v>22268448</v>
      </c>
      <c r="J21" s="33">
        <v>22369964</v>
      </c>
      <c r="K21" t="s">
        <v>602</v>
      </c>
      <c r="L21" t="s">
        <v>598</v>
      </c>
      <c r="M21" t="s">
        <v>603</v>
      </c>
    </row>
    <row r="22" spans="1:13">
      <c r="A22">
        <v>3</v>
      </c>
      <c r="B22" t="s">
        <v>604</v>
      </c>
      <c r="C22" t="s">
        <v>128</v>
      </c>
      <c r="D22" t="s">
        <v>605</v>
      </c>
      <c r="E22" t="s">
        <v>129</v>
      </c>
      <c r="F22" s="33">
        <v>50000000</v>
      </c>
      <c r="G22">
        <v>129</v>
      </c>
      <c r="H22" s="33">
        <v>1685287</v>
      </c>
      <c r="I22" s="33">
        <v>683059335</v>
      </c>
      <c r="J22" s="33">
        <v>688934822</v>
      </c>
      <c r="K22" t="s">
        <v>606</v>
      </c>
      <c r="L22" t="s">
        <v>598</v>
      </c>
      <c r="M22" t="s">
        <v>607</v>
      </c>
    </row>
    <row r="23" spans="1:13">
      <c r="A23">
        <v>4</v>
      </c>
      <c r="B23" t="s">
        <v>608</v>
      </c>
      <c r="C23" t="s">
        <v>173</v>
      </c>
      <c r="D23" t="s">
        <v>609</v>
      </c>
      <c r="E23" t="s">
        <v>127</v>
      </c>
      <c r="F23" s="33">
        <v>0</v>
      </c>
      <c r="G23">
        <v>67</v>
      </c>
      <c r="H23" s="33">
        <v>66913</v>
      </c>
      <c r="I23" s="33">
        <v>18521816</v>
      </c>
      <c r="J23" s="33">
        <v>18653041</v>
      </c>
      <c r="K23" t="s">
        <v>610</v>
      </c>
      <c r="L23" t="s">
        <v>611</v>
      </c>
      <c r="M23" t="s">
        <v>612</v>
      </c>
    </row>
    <row r="24" spans="1:13">
      <c r="A24">
        <v>5</v>
      </c>
      <c r="B24" t="s">
        <v>613</v>
      </c>
      <c r="C24" t="s">
        <v>614</v>
      </c>
      <c r="E24" t="s">
        <v>127</v>
      </c>
      <c r="F24" s="33">
        <v>0</v>
      </c>
      <c r="G24">
        <v>0</v>
      </c>
      <c r="H24" s="33">
        <v>0</v>
      </c>
      <c r="I24" s="33">
        <v>4957041</v>
      </c>
      <c r="J24" s="33">
        <v>4957041</v>
      </c>
      <c r="K24">
        <v>0</v>
      </c>
      <c r="L24" t="s">
        <v>598</v>
      </c>
      <c r="M24" t="s">
        <v>599</v>
      </c>
    </row>
    <row r="25" spans="1:13">
      <c r="A25">
        <v>6</v>
      </c>
      <c r="B25" t="s">
        <v>615</v>
      </c>
      <c r="C25" t="s">
        <v>539</v>
      </c>
      <c r="D25" t="s">
        <v>596</v>
      </c>
      <c r="E25" t="s">
        <v>131</v>
      </c>
      <c r="F25" s="33">
        <v>0</v>
      </c>
      <c r="G25">
        <v>0</v>
      </c>
      <c r="H25" s="33">
        <v>0</v>
      </c>
      <c r="I25" s="33">
        <v>14702</v>
      </c>
      <c r="J25" s="33">
        <v>14702</v>
      </c>
      <c r="K25" t="s">
        <v>606</v>
      </c>
      <c r="L25" t="s">
        <v>598</v>
      </c>
      <c r="M25" t="s">
        <v>616</v>
      </c>
    </row>
    <row r="26" spans="1:13">
      <c r="A26">
        <v>7</v>
      </c>
      <c r="B26" t="s">
        <v>617</v>
      </c>
      <c r="C26" t="s">
        <v>399</v>
      </c>
      <c r="D26" t="s">
        <v>618</v>
      </c>
      <c r="E26" t="s">
        <v>131</v>
      </c>
      <c r="F26" s="33">
        <v>0</v>
      </c>
      <c r="G26">
        <v>47</v>
      </c>
      <c r="H26" s="33">
        <v>0</v>
      </c>
      <c r="I26" s="33">
        <v>11552069</v>
      </c>
      <c r="J26" s="33">
        <v>11966647</v>
      </c>
      <c r="K26" t="s">
        <v>606</v>
      </c>
      <c r="L26" t="s">
        <v>598</v>
      </c>
      <c r="M26" t="s">
        <v>616</v>
      </c>
    </row>
    <row r="27" spans="1:13">
      <c r="A27">
        <v>8</v>
      </c>
      <c r="B27" t="s">
        <v>619</v>
      </c>
      <c r="C27" t="s">
        <v>620</v>
      </c>
      <c r="D27" t="s">
        <v>601</v>
      </c>
      <c r="E27" t="s">
        <v>154</v>
      </c>
      <c r="F27" s="33">
        <v>0</v>
      </c>
      <c r="G27">
        <v>12</v>
      </c>
      <c r="H27" s="33">
        <v>5936</v>
      </c>
      <c r="I27" s="33">
        <v>216068</v>
      </c>
      <c r="J27" s="33">
        <v>292357</v>
      </c>
      <c r="K27" t="s">
        <v>606</v>
      </c>
      <c r="L27" t="s">
        <v>598</v>
      </c>
      <c r="M27" t="s">
        <v>616</v>
      </c>
    </row>
    <row r="28" spans="1:13">
      <c r="A28">
        <v>9</v>
      </c>
      <c r="B28" t="s">
        <v>621</v>
      </c>
      <c r="C28" t="s">
        <v>343</v>
      </c>
      <c r="D28" t="s">
        <v>622</v>
      </c>
      <c r="E28" t="s">
        <v>131</v>
      </c>
      <c r="F28" s="33">
        <v>0</v>
      </c>
      <c r="G28">
        <v>3</v>
      </c>
      <c r="H28" s="33">
        <v>3207</v>
      </c>
      <c r="I28" s="33">
        <v>0</v>
      </c>
      <c r="J28" s="33">
        <v>10364</v>
      </c>
      <c r="K28" t="s">
        <v>606</v>
      </c>
      <c r="L28" t="s">
        <v>598</v>
      </c>
      <c r="M28" t="s">
        <v>616</v>
      </c>
    </row>
    <row r="29" spans="1:13">
      <c r="A29">
        <v>10</v>
      </c>
      <c r="B29" t="s">
        <v>623</v>
      </c>
      <c r="C29" t="s">
        <v>392</v>
      </c>
      <c r="D29" t="s">
        <v>601</v>
      </c>
      <c r="E29" t="s">
        <v>129</v>
      </c>
      <c r="F29" s="33">
        <v>0</v>
      </c>
      <c r="G29">
        <v>61</v>
      </c>
      <c r="H29" s="33">
        <v>92663</v>
      </c>
      <c r="I29" s="33">
        <v>19572493</v>
      </c>
      <c r="J29" s="33">
        <v>19781947</v>
      </c>
      <c r="K29" t="s">
        <v>606</v>
      </c>
      <c r="L29" t="s">
        <v>598</v>
      </c>
      <c r="M29">
        <v>0</v>
      </c>
    </row>
    <row r="30" spans="1:13">
      <c r="A30">
        <v>11</v>
      </c>
      <c r="B30" t="s">
        <v>623</v>
      </c>
      <c r="C30" t="s">
        <v>382</v>
      </c>
      <c r="D30" t="s">
        <v>624</v>
      </c>
      <c r="E30" t="s">
        <v>131</v>
      </c>
      <c r="F30" s="33">
        <v>0</v>
      </c>
      <c r="G30">
        <v>24</v>
      </c>
      <c r="H30" s="33">
        <v>26746</v>
      </c>
      <c r="I30" s="33">
        <v>41619365</v>
      </c>
      <c r="J30" s="33">
        <v>42140730</v>
      </c>
      <c r="K30" t="s">
        <v>606</v>
      </c>
      <c r="L30" t="s">
        <v>598</v>
      </c>
      <c r="M30" t="s">
        <v>616</v>
      </c>
    </row>
    <row r="31" spans="1:13">
      <c r="A31">
        <v>12</v>
      </c>
      <c r="B31" t="s">
        <v>625</v>
      </c>
      <c r="C31" t="s">
        <v>209</v>
      </c>
      <c r="D31" t="s">
        <v>601</v>
      </c>
      <c r="E31" t="s">
        <v>154</v>
      </c>
      <c r="F31" s="33">
        <v>0</v>
      </c>
      <c r="G31">
        <v>19</v>
      </c>
      <c r="H31" s="33">
        <v>36590</v>
      </c>
      <c r="I31" s="33">
        <v>4066011</v>
      </c>
      <c r="J31" s="33">
        <v>4140502</v>
      </c>
      <c r="K31" t="s">
        <v>606</v>
      </c>
      <c r="L31" t="s">
        <v>598</v>
      </c>
      <c r="M31" t="s">
        <v>616</v>
      </c>
    </row>
    <row r="32" spans="1:13">
      <c r="A32">
        <v>13</v>
      </c>
      <c r="B32" t="s">
        <v>625</v>
      </c>
      <c r="C32" t="s">
        <v>172</v>
      </c>
      <c r="D32" t="s">
        <v>626</v>
      </c>
      <c r="E32" t="s">
        <v>131</v>
      </c>
      <c r="F32" s="33">
        <v>0</v>
      </c>
      <c r="G32">
        <v>14</v>
      </c>
      <c r="H32" s="33">
        <v>46720</v>
      </c>
      <c r="I32" s="33">
        <v>18914072</v>
      </c>
      <c r="J32" s="33">
        <v>19005956</v>
      </c>
      <c r="K32" t="s">
        <v>606</v>
      </c>
      <c r="L32" t="s">
        <v>598</v>
      </c>
      <c r="M32" t="s">
        <v>616</v>
      </c>
    </row>
    <row r="33" spans="1:13">
      <c r="A33">
        <v>14</v>
      </c>
      <c r="B33" t="s">
        <v>625</v>
      </c>
      <c r="C33" t="s">
        <v>371</v>
      </c>
      <c r="D33" t="s">
        <v>601</v>
      </c>
      <c r="E33" t="s">
        <v>129</v>
      </c>
      <c r="F33" s="33">
        <v>0</v>
      </c>
      <c r="G33">
        <v>53</v>
      </c>
      <c r="H33" s="33">
        <v>27474</v>
      </c>
      <c r="I33" s="33">
        <v>90941185</v>
      </c>
      <c r="J33" s="33">
        <v>91462581</v>
      </c>
      <c r="K33" t="s">
        <v>606</v>
      </c>
      <c r="L33" t="s">
        <v>598</v>
      </c>
      <c r="M33" t="s">
        <v>603</v>
      </c>
    </row>
    <row r="34" spans="1:13">
      <c r="A34">
        <v>15</v>
      </c>
      <c r="B34" t="s">
        <v>627</v>
      </c>
      <c r="C34" t="s">
        <v>562</v>
      </c>
      <c r="E34" t="s">
        <v>129</v>
      </c>
      <c r="F34" s="33">
        <v>0</v>
      </c>
      <c r="G34">
        <v>0</v>
      </c>
      <c r="H34" s="33">
        <v>0</v>
      </c>
      <c r="I34" s="33">
        <v>0</v>
      </c>
      <c r="J34" s="33">
        <v>0</v>
      </c>
      <c r="K34">
        <v>0</v>
      </c>
      <c r="L34" t="s">
        <v>598</v>
      </c>
      <c r="M34">
        <v>0</v>
      </c>
    </row>
    <row r="35" spans="1:13">
      <c r="A35">
        <v>16</v>
      </c>
      <c r="B35" t="s">
        <v>628</v>
      </c>
      <c r="C35" t="s">
        <v>351</v>
      </c>
      <c r="E35" t="s">
        <v>129</v>
      </c>
      <c r="F35" s="33">
        <v>0</v>
      </c>
      <c r="G35">
        <v>0</v>
      </c>
      <c r="H35" s="33">
        <v>0</v>
      </c>
      <c r="I35" s="33">
        <v>0</v>
      </c>
      <c r="J35" s="33">
        <v>0</v>
      </c>
      <c r="K35" t="s">
        <v>606</v>
      </c>
      <c r="L35" t="s">
        <v>598</v>
      </c>
      <c r="M35" t="s">
        <v>607</v>
      </c>
    </row>
    <row r="36" spans="1:13">
      <c r="A36">
        <v>17</v>
      </c>
      <c r="B36" t="s">
        <v>629</v>
      </c>
      <c r="C36" t="s">
        <v>630</v>
      </c>
      <c r="E36" t="s">
        <v>127</v>
      </c>
      <c r="F36" s="33">
        <v>0</v>
      </c>
      <c r="G36">
        <v>0</v>
      </c>
      <c r="H36" s="33">
        <v>0</v>
      </c>
      <c r="I36" s="33">
        <v>1278207</v>
      </c>
      <c r="J36" s="33">
        <v>1278207</v>
      </c>
      <c r="K36" t="s">
        <v>606</v>
      </c>
      <c r="L36" t="s">
        <v>631</v>
      </c>
      <c r="M36" t="s">
        <v>612</v>
      </c>
    </row>
    <row r="37" spans="1:13">
      <c r="A37">
        <v>18</v>
      </c>
      <c r="B37" t="s">
        <v>632</v>
      </c>
      <c r="C37" t="s">
        <v>633</v>
      </c>
      <c r="D37" t="s">
        <v>634</v>
      </c>
      <c r="E37" t="s">
        <v>127</v>
      </c>
      <c r="F37" s="33">
        <v>0</v>
      </c>
      <c r="G37">
        <v>0</v>
      </c>
      <c r="H37" s="33">
        <v>0</v>
      </c>
      <c r="I37" s="33">
        <v>77072065</v>
      </c>
      <c r="J37" t="s">
        <v>635</v>
      </c>
      <c r="K37" t="s">
        <v>606</v>
      </c>
      <c r="L37" t="s">
        <v>631</v>
      </c>
      <c r="M37" t="s">
        <v>612</v>
      </c>
    </row>
    <row r="39" spans="1:13">
      <c r="A39" t="s">
        <v>564</v>
      </c>
    </row>
    <row r="40" spans="1:13">
      <c r="A40" t="s">
        <v>565</v>
      </c>
    </row>
    <row r="41" spans="1:13">
      <c r="A41" t="s">
        <v>566</v>
      </c>
    </row>
    <row r="42" spans="1:13">
      <c r="A42" t="s">
        <v>567</v>
      </c>
    </row>
    <row r="43" spans="1:13">
      <c r="A43" t="s">
        <v>568</v>
      </c>
    </row>
    <row r="44" spans="1:13">
      <c r="A44" t="s">
        <v>636</v>
      </c>
    </row>
    <row r="45" spans="1:13">
      <c r="A45" t="s">
        <v>637</v>
      </c>
    </row>
    <row r="46" spans="1:13">
      <c r="A46" t="s">
        <v>571</v>
      </c>
    </row>
    <row r="47" spans="1:13">
      <c r="A47" t="s">
        <v>572</v>
      </c>
    </row>
    <row r="49" spans="1:13" ht="43.75">
      <c r="A49" t="s">
        <v>584</v>
      </c>
      <c r="C49" s="34" t="s">
        <v>574</v>
      </c>
      <c r="D49" s="34" t="s">
        <v>586</v>
      </c>
      <c r="E49" s="34" t="s">
        <v>123</v>
      </c>
      <c r="F49" s="34" t="s">
        <v>124</v>
      </c>
      <c r="G49" s="34" t="s">
        <v>587</v>
      </c>
      <c r="H49" s="34" t="s">
        <v>588</v>
      </c>
      <c r="I49" s="34" t="s">
        <v>589</v>
      </c>
      <c r="J49" s="34" t="s">
        <v>590</v>
      </c>
      <c r="K49" s="34" t="s">
        <v>591</v>
      </c>
      <c r="L49" t="s">
        <v>592</v>
      </c>
      <c r="M49" t="s">
        <v>593</v>
      </c>
    </row>
    <row r="50" spans="1:13">
      <c r="A50">
        <v>1</v>
      </c>
      <c r="B50" t="s">
        <v>638</v>
      </c>
      <c r="C50" t="s">
        <v>354</v>
      </c>
      <c r="E50" t="s">
        <v>129</v>
      </c>
      <c r="F50" s="33">
        <v>0</v>
      </c>
      <c r="G50">
        <v>0</v>
      </c>
      <c r="H50" s="33">
        <v>0</v>
      </c>
      <c r="I50" s="33">
        <v>0</v>
      </c>
      <c r="J50" s="33">
        <v>0</v>
      </c>
      <c r="K50">
        <v>0</v>
      </c>
      <c r="L50">
        <v>0</v>
      </c>
      <c r="M50">
        <v>0</v>
      </c>
    </row>
    <row r="51" spans="1:13">
      <c r="A51">
        <v>2</v>
      </c>
      <c r="B51" t="s">
        <v>639</v>
      </c>
      <c r="C51" t="s">
        <v>142</v>
      </c>
      <c r="D51" t="s">
        <v>626</v>
      </c>
      <c r="E51" t="s">
        <v>131</v>
      </c>
      <c r="F51" s="33">
        <v>0</v>
      </c>
      <c r="G51">
        <v>0</v>
      </c>
      <c r="H51" s="33">
        <v>0</v>
      </c>
      <c r="I51" s="33">
        <v>127897924</v>
      </c>
      <c r="J51" s="33">
        <v>127897924</v>
      </c>
      <c r="K51" t="s">
        <v>606</v>
      </c>
      <c r="L51" t="s">
        <v>606</v>
      </c>
      <c r="M51" t="s">
        <v>606</v>
      </c>
    </row>
    <row r="52" spans="1:13">
      <c r="A52">
        <v>3</v>
      </c>
      <c r="B52" t="s">
        <v>640</v>
      </c>
      <c r="C52" t="s">
        <v>138</v>
      </c>
      <c r="D52" t="s">
        <v>641</v>
      </c>
      <c r="E52" t="s">
        <v>131</v>
      </c>
      <c r="F52" s="33">
        <v>0</v>
      </c>
      <c r="G52">
        <v>150</v>
      </c>
      <c r="H52" s="33">
        <v>110375</v>
      </c>
      <c r="I52" s="33">
        <v>244889313</v>
      </c>
      <c r="J52" s="33">
        <v>245179530</v>
      </c>
      <c r="K52" t="s">
        <v>597</v>
      </c>
      <c r="L52" t="s">
        <v>597</v>
      </c>
      <c r="M52" t="s">
        <v>597</v>
      </c>
    </row>
    <row r="53" spans="1:13">
      <c r="A53">
        <v>4</v>
      </c>
      <c r="B53" t="s">
        <v>640</v>
      </c>
      <c r="C53" t="s">
        <v>360</v>
      </c>
      <c r="D53" t="s">
        <v>626</v>
      </c>
      <c r="E53" t="s">
        <v>131</v>
      </c>
      <c r="F53" s="33">
        <v>0</v>
      </c>
      <c r="G53">
        <v>2</v>
      </c>
      <c r="H53" s="33">
        <v>3238</v>
      </c>
      <c r="I53" s="33">
        <v>451176640</v>
      </c>
      <c r="J53" s="33">
        <v>451183392</v>
      </c>
      <c r="K53" t="s">
        <v>606</v>
      </c>
      <c r="L53" t="s">
        <v>606</v>
      </c>
      <c r="M53" t="s">
        <v>606</v>
      </c>
    </row>
    <row r="54" spans="1:13">
      <c r="A54">
        <v>5</v>
      </c>
      <c r="B54" t="s">
        <v>642</v>
      </c>
      <c r="C54" t="s">
        <v>355</v>
      </c>
      <c r="E54" t="s">
        <v>129</v>
      </c>
      <c r="F54" s="33">
        <v>35000</v>
      </c>
      <c r="G54">
        <v>0</v>
      </c>
      <c r="H54" s="33">
        <v>0</v>
      </c>
      <c r="I54" s="33">
        <v>0</v>
      </c>
      <c r="J54" s="33">
        <v>0</v>
      </c>
      <c r="K54" t="s">
        <v>606</v>
      </c>
      <c r="L54" t="s">
        <v>606</v>
      </c>
      <c r="M54" t="s">
        <v>606</v>
      </c>
    </row>
    <row r="55" spans="1:13">
      <c r="A55">
        <v>6</v>
      </c>
      <c r="B55" t="s">
        <v>643</v>
      </c>
      <c r="C55" t="s">
        <v>644</v>
      </c>
      <c r="D55" t="s">
        <v>601</v>
      </c>
      <c r="E55" t="s">
        <v>129</v>
      </c>
      <c r="F55" s="33">
        <v>0</v>
      </c>
      <c r="G55">
        <v>17</v>
      </c>
      <c r="H55" s="33">
        <v>96991</v>
      </c>
      <c r="I55" s="33">
        <v>98147657</v>
      </c>
      <c r="J55" s="33">
        <v>98444408</v>
      </c>
      <c r="K55">
        <v>0</v>
      </c>
      <c r="L55">
        <v>0</v>
      </c>
      <c r="M55">
        <v>0</v>
      </c>
    </row>
    <row r="56" spans="1:13">
      <c r="A56">
        <v>7</v>
      </c>
      <c r="B56" t="s">
        <v>645</v>
      </c>
      <c r="C56" t="s">
        <v>445</v>
      </c>
      <c r="E56" t="s">
        <v>131</v>
      </c>
      <c r="F56" s="33">
        <v>0</v>
      </c>
      <c r="G56">
        <v>0</v>
      </c>
      <c r="H56" s="33">
        <v>0</v>
      </c>
      <c r="I56" s="33">
        <v>1079373</v>
      </c>
      <c r="J56" s="33">
        <v>1079373</v>
      </c>
      <c r="K56">
        <v>0</v>
      </c>
      <c r="L56">
        <v>0</v>
      </c>
      <c r="M56">
        <v>0</v>
      </c>
    </row>
    <row r="57" spans="1:13">
      <c r="A57">
        <v>8</v>
      </c>
      <c r="B57" t="s">
        <v>646</v>
      </c>
      <c r="C57" t="s">
        <v>6</v>
      </c>
      <c r="D57" t="s">
        <v>601</v>
      </c>
      <c r="E57" t="s">
        <v>127</v>
      </c>
      <c r="F57" s="33">
        <v>0</v>
      </c>
      <c r="G57">
        <v>135</v>
      </c>
      <c r="H57" s="33">
        <v>1164810</v>
      </c>
      <c r="I57" s="33">
        <v>738818536</v>
      </c>
      <c r="J57" s="33">
        <v>742514069</v>
      </c>
      <c r="K57" t="s">
        <v>606</v>
      </c>
      <c r="L57" t="s">
        <v>606</v>
      </c>
      <c r="M57" t="s">
        <v>606</v>
      </c>
    </row>
    <row r="58" spans="1:13">
      <c r="A58">
        <v>9</v>
      </c>
      <c r="B58" t="s">
        <v>647</v>
      </c>
      <c r="C58" t="s">
        <v>174</v>
      </c>
      <c r="E58" t="s">
        <v>131</v>
      </c>
      <c r="F58" s="33">
        <v>0</v>
      </c>
      <c r="G58">
        <v>0</v>
      </c>
      <c r="H58" s="33">
        <v>0</v>
      </c>
      <c r="I58" s="33">
        <v>16923672</v>
      </c>
      <c r="J58" s="33">
        <v>16923672</v>
      </c>
      <c r="K58" t="s">
        <v>606</v>
      </c>
      <c r="L58" t="s">
        <v>606</v>
      </c>
      <c r="M58" t="s">
        <v>606</v>
      </c>
    </row>
    <row r="59" spans="1:13">
      <c r="A59">
        <v>10</v>
      </c>
      <c r="B59" t="s">
        <v>647</v>
      </c>
      <c r="C59" t="s">
        <v>648</v>
      </c>
      <c r="D59" t="s">
        <v>626</v>
      </c>
      <c r="E59" t="s">
        <v>131</v>
      </c>
      <c r="F59" s="33">
        <v>0</v>
      </c>
      <c r="G59">
        <v>13</v>
      </c>
      <c r="H59" s="33">
        <v>25206</v>
      </c>
      <c r="I59" s="33">
        <v>240506</v>
      </c>
      <c r="J59" s="33">
        <v>283768</v>
      </c>
      <c r="K59" t="s">
        <v>606</v>
      </c>
      <c r="L59" t="s">
        <v>606</v>
      </c>
      <c r="M59" t="s">
        <v>606</v>
      </c>
    </row>
    <row r="60" spans="1:13">
      <c r="A60">
        <v>11</v>
      </c>
      <c r="B60" t="s">
        <v>649</v>
      </c>
      <c r="C60" t="s">
        <v>432</v>
      </c>
      <c r="E60" t="s">
        <v>129</v>
      </c>
      <c r="F60" s="33">
        <v>0</v>
      </c>
      <c r="G60">
        <v>0</v>
      </c>
      <c r="H60" s="33">
        <v>0</v>
      </c>
      <c r="I60" s="33">
        <v>2577213</v>
      </c>
      <c r="J60" s="33">
        <v>2577213</v>
      </c>
      <c r="K60">
        <v>0</v>
      </c>
      <c r="L60">
        <v>0</v>
      </c>
      <c r="M60">
        <v>0</v>
      </c>
    </row>
    <row r="61" spans="1:13">
      <c r="A61">
        <v>12</v>
      </c>
      <c r="B61" t="s">
        <v>650</v>
      </c>
      <c r="C61" t="s">
        <v>216</v>
      </c>
      <c r="D61" t="s">
        <v>601</v>
      </c>
      <c r="E61" t="s">
        <v>131</v>
      </c>
      <c r="F61" s="33">
        <v>0</v>
      </c>
      <c r="G61">
        <v>13</v>
      </c>
      <c r="H61" s="33">
        <v>10861</v>
      </c>
      <c r="I61" s="33">
        <v>3440000</v>
      </c>
      <c r="J61" s="33">
        <v>3458555</v>
      </c>
      <c r="K61" t="s">
        <v>606</v>
      </c>
      <c r="L61" t="s">
        <v>606</v>
      </c>
      <c r="M61" t="s">
        <v>606</v>
      </c>
    </row>
    <row r="62" spans="1:13">
      <c r="A62">
        <v>13</v>
      </c>
      <c r="B62" t="s">
        <v>651</v>
      </c>
      <c r="C62" t="s">
        <v>652</v>
      </c>
      <c r="D62" t="s">
        <v>653</v>
      </c>
      <c r="E62" t="s">
        <v>127</v>
      </c>
      <c r="F62" s="33">
        <v>75000000</v>
      </c>
      <c r="G62" s="35">
        <v>4248</v>
      </c>
      <c r="H62" s="33">
        <v>20612100</v>
      </c>
      <c r="I62" s="33">
        <v>127170053</v>
      </c>
      <c r="J62" s="33">
        <v>187886443</v>
      </c>
      <c r="K62" t="s">
        <v>606</v>
      </c>
      <c r="L62" t="s">
        <v>606</v>
      </c>
      <c r="M62" t="s">
        <v>606</v>
      </c>
    </row>
    <row r="63" spans="1:13">
      <c r="A63">
        <v>14</v>
      </c>
      <c r="B63" t="s">
        <v>654</v>
      </c>
      <c r="C63" t="s">
        <v>141</v>
      </c>
      <c r="D63" t="s">
        <v>601</v>
      </c>
      <c r="E63" t="s">
        <v>127</v>
      </c>
      <c r="F63" s="33">
        <v>0</v>
      </c>
      <c r="G63">
        <v>102</v>
      </c>
      <c r="H63" s="33">
        <v>156096</v>
      </c>
      <c r="I63" s="33">
        <v>163172247</v>
      </c>
      <c r="J63" s="33">
        <v>163659404</v>
      </c>
      <c r="K63" t="s">
        <v>597</v>
      </c>
      <c r="L63" t="s">
        <v>597</v>
      </c>
      <c r="M63" t="s">
        <v>597</v>
      </c>
    </row>
    <row r="65" spans="1:13">
      <c r="A65" t="s">
        <v>564</v>
      </c>
    </row>
    <row r="66" spans="1:13">
      <c r="A66" t="s">
        <v>565</v>
      </c>
    </row>
    <row r="67" spans="1:13">
      <c r="A67" t="s">
        <v>566</v>
      </c>
    </row>
    <row r="68" spans="1:13">
      <c r="A68" t="s">
        <v>567</v>
      </c>
    </row>
    <row r="69" spans="1:13">
      <c r="A69" t="s">
        <v>568</v>
      </c>
    </row>
    <row r="70" spans="1:13">
      <c r="A70" t="s">
        <v>655</v>
      </c>
    </row>
    <row r="71" spans="1:13">
      <c r="A71" t="s">
        <v>656</v>
      </c>
    </row>
    <row r="72" spans="1:13">
      <c r="A72" t="s">
        <v>571</v>
      </c>
    </row>
    <row r="73" spans="1:13">
      <c r="A73" t="s">
        <v>572</v>
      </c>
    </row>
    <row r="75" spans="1:13" ht="43.75">
      <c r="A75" t="s">
        <v>584</v>
      </c>
      <c r="C75" s="34" t="s">
        <v>574</v>
      </c>
      <c r="D75" s="34" t="s">
        <v>586</v>
      </c>
      <c r="E75" s="34" t="s">
        <v>123</v>
      </c>
      <c r="F75" s="34" t="s">
        <v>124</v>
      </c>
      <c r="G75" s="34" t="s">
        <v>587</v>
      </c>
      <c r="H75" s="34" t="s">
        <v>588</v>
      </c>
      <c r="I75" s="34" t="s">
        <v>589</v>
      </c>
      <c r="J75" s="34" t="s">
        <v>590</v>
      </c>
      <c r="K75" s="34" t="s">
        <v>591</v>
      </c>
      <c r="L75" t="s">
        <v>592</v>
      </c>
      <c r="M75" t="s">
        <v>593</v>
      </c>
    </row>
    <row r="76" spans="1:13">
      <c r="A76">
        <v>1</v>
      </c>
      <c r="B76" t="s">
        <v>657</v>
      </c>
      <c r="C76" t="s">
        <v>130</v>
      </c>
      <c r="D76" t="s">
        <v>605</v>
      </c>
      <c r="E76" t="s">
        <v>131</v>
      </c>
      <c r="F76" s="33">
        <v>0</v>
      </c>
      <c r="G76">
        <v>83</v>
      </c>
      <c r="H76" s="33">
        <v>875600</v>
      </c>
      <c r="I76" s="33">
        <v>463094610</v>
      </c>
      <c r="J76" s="33">
        <v>465418019</v>
      </c>
      <c r="K76" t="s">
        <v>597</v>
      </c>
      <c r="L76" t="s">
        <v>598</v>
      </c>
      <c r="M76" t="s">
        <v>658</v>
      </c>
    </row>
    <row r="77" spans="1:13">
      <c r="A77">
        <v>2</v>
      </c>
      <c r="B77" t="s">
        <v>659</v>
      </c>
      <c r="C77" t="s">
        <v>402</v>
      </c>
      <c r="E77" t="s">
        <v>129</v>
      </c>
      <c r="F77" s="33">
        <v>0</v>
      </c>
      <c r="G77">
        <v>0</v>
      </c>
      <c r="H77" s="33">
        <v>0</v>
      </c>
      <c r="I77" s="33">
        <v>11573104</v>
      </c>
      <c r="J77" s="33">
        <v>11573104</v>
      </c>
      <c r="K77" t="s">
        <v>606</v>
      </c>
      <c r="L77" t="s">
        <v>598</v>
      </c>
      <c r="M77" t="s">
        <v>603</v>
      </c>
    </row>
    <row r="78" spans="1:13">
      <c r="A78">
        <v>3</v>
      </c>
      <c r="B78" t="s">
        <v>660</v>
      </c>
      <c r="C78" t="s">
        <v>132</v>
      </c>
      <c r="D78" t="s">
        <v>601</v>
      </c>
      <c r="E78" t="s">
        <v>131</v>
      </c>
      <c r="F78" s="33">
        <v>0</v>
      </c>
      <c r="G78">
        <v>47</v>
      </c>
      <c r="H78" s="33">
        <v>324769</v>
      </c>
      <c r="I78" s="33">
        <v>416947720</v>
      </c>
      <c r="J78" s="33">
        <v>417654292</v>
      </c>
      <c r="K78" t="s">
        <v>597</v>
      </c>
      <c r="L78" t="s">
        <v>598</v>
      </c>
      <c r="M78" t="s">
        <v>599</v>
      </c>
    </row>
    <row r="79" spans="1:13">
      <c r="A79">
        <v>4</v>
      </c>
      <c r="B79" t="s">
        <v>661</v>
      </c>
      <c r="C79" t="s">
        <v>57</v>
      </c>
      <c r="E79" t="s">
        <v>131</v>
      </c>
      <c r="F79" s="33">
        <v>0</v>
      </c>
      <c r="G79">
        <v>0</v>
      </c>
      <c r="H79" s="33">
        <v>0</v>
      </c>
      <c r="I79" s="33">
        <v>97033612</v>
      </c>
      <c r="J79" s="33">
        <v>97033612</v>
      </c>
      <c r="K79" t="s">
        <v>602</v>
      </c>
      <c r="L79" t="s">
        <v>598</v>
      </c>
      <c r="M79" t="s">
        <v>603</v>
      </c>
    </row>
    <row r="80" spans="1:13">
      <c r="A80">
        <v>5</v>
      </c>
      <c r="B80" t="s">
        <v>662</v>
      </c>
      <c r="C80" t="s">
        <v>663</v>
      </c>
      <c r="D80" t="s">
        <v>664</v>
      </c>
      <c r="E80" t="s">
        <v>127</v>
      </c>
      <c r="F80" s="33">
        <v>50000000</v>
      </c>
      <c r="G80" s="35">
        <v>2844</v>
      </c>
      <c r="H80" s="33">
        <v>2901335</v>
      </c>
      <c r="I80" s="33">
        <v>3890797</v>
      </c>
      <c r="J80" s="33">
        <v>9692046</v>
      </c>
      <c r="K80" t="s">
        <v>606</v>
      </c>
      <c r="L80" t="s">
        <v>631</v>
      </c>
      <c r="M80" t="s">
        <v>612</v>
      </c>
    </row>
    <row r="81" spans="1:13">
      <c r="A81">
        <v>6</v>
      </c>
      <c r="B81" t="s">
        <v>665</v>
      </c>
      <c r="C81" t="s">
        <v>401</v>
      </c>
      <c r="E81" t="s">
        <v>127</v>
      </c>
      <c r="F81" s="33">
        <v>0</v>
      </c>
      <c r="G81">
        <v>0</v>
      </c>
      <c r="H81" s="33">
        <v>0</v>
      </c>
      <c r="I81" s="33">
        <v>11687938</v>
      </c>
      <c r="J81" s="33">
        <v>11687938</v>
      </c>
      <c r="K81" t="s">
        <v>666</v>
      </c>
      <c r="L81" t="s">
        <v>631</v>
      </c>
      <c r="M81" t="s">
        <v>603</v>
      </c>
    </row>
    <row r="82" spans="1:13">
      <c r="A82">
        <v>7</v>
      </c>
      <c r="B82" t="s">
        <v>667</v>
      </c>
      <c r="C82" t="s">
        <v>162</v>
      </c>
      <c r="D82" t="s">
        <v>605</v>
      </c>
      <c r="E82" t="s">
        <v>131</v>
      </c>
      <c r="F82" s="33">
        <v>0</v>
      </c>
      <c r="G82">
        <v>29</v>
      </c>
      <c r="H82" s="33">
        <v>36787</v>
      </c>
      <c r="I82" s="33">
        <v>31098062</v>
      </c>
      <c r="J82" s="33">
        <v>31188607</v>
      </c>
      <c r="K82" t="s">
        <v>606</v>
      </c>
      <c r="L82" t="s">
        <v>598</v>
      </c>
      <c r="M82" t="s">
        <v>616</v>
      </c>
    </row>
    <row r="83" spans="1:13">
      <c r="A83">
        <v>8</v>
      </c>
      <c r="B83" t="s">
        <v>667</v>
      </c>
      <c r="C83" t="s">
        <v>139</v>
      </c>
      <c r="D83" t="s">
        <v>601</v>
      </c>
      <c r="E83" t="s">
        <v>131</v>
      </c>
      <c r="F83" s="33">
        <v>0</v>
      </c>
      <c r="G83">
        <v>88</v>
      </c>
      <c r="H83" s="33">
        <v>989536</v>
      </c>
      <c r="I83" s="33">
        <v>228079374</v>
      </c>
      <c r="J83" s="33">
        <v>230001031</v>
      </c>
      <c r="K83" t="s">
        <v>602</v>
      </c>
      <c r="L83" t="s">
        <v>598</v>
      </c>
      <c r="M83" t="s">
        <v>616</v>
      </c>
    </row>
    <row r="84" spans="1:13">
      <c r="A84">
        <v>9</v>
      </c>
      <c r="B84" t="s">
        <v>668</v>
      </c>
      <c r="C84" t="s">
        <v>159</v>
      </c>
      <c r="D84" t="s">
        <v>626</v>
      </c>
      <c r="E84" t="s">
        <v>131</v>
      </c>
      <c r="F84" s="33">
        <v>0</v>
      </c>
      <c r="G84">
        <v>0</v>
      </c>
      <c r="H84" s="33">
        <v>0</v>
      </c>
      <c r="I84" s="33">
        <v>32227811</v>
      </c>
      <c r="J84" s="33">
        <v>32227811</v>
      </c>
      <c r="K84" t="s">
        <v>606</v>
      </c>
      <c r="L84" t="s">
        <v>598</v>
      </c>
      <c r="M84" t="s">
        <v>616</v>
      </c>
    </row>
    <row r="85" spans="1:13">
      <c r="A85">
        <v>10</v>
      </c>
      <c r="B85" t="s">
        <v>668</v>
      </c>
      <c r="C85" t="s">
        <v>150</v>
      </c>
      <c r="D85" t="s">
        <v>669</v>
      </c>
      <c r="E85" t="s">
        <v>131</v>
      </c>
      <c r="F85" s="33">
        <v>0</v>
      </c>
      <c r="G85">
        <v>21</v>
      </c>
      <c r="H85" s="33">
        <v>2791</v>
      </c>
      <c r="I85" s="33">
        <v>68330000</v>
      </c>
      <c r="J85" s="33">
        <v>68364730</v>
      </c>
      <c r="K85" t="s">
        <v>606</v>
      </c>
      <c r="L85" t="s">
        <v>631</v>
      </c>
      <c r="M85" t="s">
        <v>603</v>
      </c>
    </row>
    <row r="87" spans="1:13">
      <c r="A87" t="s">
        <v>564</v>
      </c>
    </row>
    <row r="89" spans="1:13">
      <c r="A89" t="s">
        <v>565</v>
      </c>
    </row>
    <row r="90" spans="1:13">
      <c r="A90" t="s">
        <v>566</v>
      </c>
    </row>
    <row r="91" spans="1:13">
      <c r="A91" t="s">
        <v>567</v>
      </c>
    </row>
    <row r="92" spans="1:13">
      <c r="A92" t="s">
        <v>568</v>
      </c>
    </row>
    <row r="93" spans="1:13">
      <c r="A93" t="s">
        <v>670</v>
      </c>
    </row>
    <row r="94" spans="1:13">
      <c r="A94" t="s">
        <v>671</v>
      </c>
    </row>
    <row r="95" spans="1:13">
      <c r="A95" t="s">
        <v>672</v>
      </c>
    </row>
    <row r="96" spans="1:13">
      <c r="A96" t="s">
        <v>572</v>
      </c>
    </row>
    <row r="99" spans="1:13" ht="43.75">
      <c r="C99" s="34" t="s">
        <v>574</v>
      </c>
      <c r="D99" s="34" t="s">
        <v>586</v>
      </c>
      <c r="E99" s="34" t="s">
        <v>123</v>
      </c>
      <c r="F99" s="34" t="s">
        <v>124</v>
      </c>
      <c r="G99" s="34" t="s">
        <v>587</v>
      </c>
      <c r="H99" s="34" t="s">
        <v>588</v>
      </c>
      <c r="I99" s="34" t="s">
        <v>589</v>
      </c>
      <c r="J99" s="34" t="s">
        <v>590</v>
      </c>
      <c r="K99" s="34" t="s">
        <v>591</v>
      </c>
      <c r="L99" t="s">
        <v>592</v>
      </c>
      <c r="M99" t="s">
        <v>593</v>
      </c>
    </row>
    <row r="100" spans="1:13">
      <c r="A100">
        <v>1</v>
      </c>
      <c r="B100" t="s">
        <v>673</v>
      </c>
      <c r="C100" t="s">
        <v>674</v>
      </c>
      <c r="D100" t="s">
        <v>622</v>
      </c>
      <c r="E100" t="s">
        <v>191</v>
      </c>
      <c r="F100" s="33">
        <v>0</v>
      </c>
      <c r="G100">
        <v>2</v>
      </c>
      <c r="H100" s="33">
        <v>546</v>
      </c>
      <c r="I100" s="33">
        <v>0</v>
      </c>
      <c r="J100" s="33">
        <v>4140</v>
      </c>
      <c r="K100" t="s">
        <v>597</v>
      </c>
      <c r="L100" t="s">
        <v>598</v>
      </c>
      <c r="M100" t="s">
        <v>599</v>
      </c>
    </row>
    <row r="101" spans="1:13">
      <c r="A101">
        <v>2</v>
      </c>
      <c r="B101" t="s">
        <v>675</v>
      </c>
      <c r="C101" t="s">
        <v>167</v>
      </c>
      <c r="D101" t="s">
        <v>626</v>
      </c>
      <c r="E101" t="s">
        <v>131</v>
      </c>
      <c r="F101" s="33">
        <v>0</v>
      </c>
      <c r="G101">
        <v>0</v>
      </c>
      <c r="H101" s="33">
        <v>0</v>
      </c>
      <c r="I101" s="33">
        <v>23417137</v>
      </c>
      <c r="J101" s="33">
        <v>23417137</v>
      </c>
      <c r="K101" t="s">
        <v>606</v>
      </c>
      <c r="L101" t="s">
        <v>598</v>
      </c>
      <c r="M101" t="s">
        <v>616</v>
      </c>
    </row>
    <row r="102" spans="1:13">
      <c r="A102">
        <v>3</v>
      </c>
      <c r="B102" t="s">
        <v>676</v>
      </c>
      <c r="C102" t="s">
        <v>192</v>
      </c>
      <c r="E102" t="s">
        <v>193</v>
      </c>
      <c r="F102" s="33">
        <v>0</v>
      </c>
      <c r="G102">
        <v>0</v>
      </c>
      <c r="H102" s="33">
        <v>0</v>
      </c>
      <c r="I102" s="33">
        <v>7489619</v>
      </c>
      <c r="J102" s="33">
        <v>7489619</v>
      </c>
      <c r="K102" t="s">
        <v>606</v>
      </c>
      <c r="L102" t="s">
        <v>598</v>
      </c>
      <c r="M102" t="s">
        <v>616</v>
      </c>
    </row>
    <row r="103" spans="1:13">
      <c r="A103">
        <v>4</v>
      </c>
      <c r="B103" t="s">
        <v>676</v>
      </c>
      <c r="C103" t="s">
        <v>677</v>
      </c>
      <c r="E103" t="s">
        <v>129</v>
      </c>
      <c r="F103" s="33">
        <v>0</v>
      </c>
      <c r="G103">
        <v>0</v>
      </c>
      <c r="H103" s="33">
        <v>0</v>
      </c>
      <c r="I103" s="33">
        <v>290000</v>
      </c>
      <c r="J103" s="33">
        <v>290000</v>
      </c>
      <c r="K103">
        <v>0</v>
      </c>
      <c r="L103" t="s">
        <v>631</v>
      </c>
      <c r="M103" t="s">
        <v>607</v>
      </c>
    </row>
    <row r="104" spans="1:13">
      <c r="A104">
        <v>5</v>
      </c>
      <c r="B104" t="s">
        <v>676</v>
      </c>
      <c r="C104" t="s">
        <v>224</v>
      </c>
      <c r="E104" t="s">
        <v>131</v>
      </c>
      <c r="F104" s="33">
        <v>0</v>
      </c>
      <c r="G104">
        <v>0</v>
      </c>
      <c r="H104" s="33">
        <v>0</v>
      </c>
      <c r="I104" s="33">
        <v>2899674</v>
      </c>
      <c r="J104" s="33">
        <v>2899674</v>
      </c>
      <c r="K104" t="s">
        <v>597</v>
      </c>
      <c r="L104" t="s">
        <v>598</v>
      </c>
      <c r="M104" t="s">
        <v>658</v>
      </c>
    </row>
    <row r="105" spans="1:13">
      <c r="A105">
        <v>6</v>
      </c>
      <c r="B105" t="s">
        <v>676</v>
      </c>
      <c r="C105" t="s">
        <v>678</v>
      </c>
      <c r="E105" t="s">
        <v>129</v>
      </c>
      <c r="F105" s="33">
        <v>0</v>
      </c>
      <c r="G105">
        <v>0</v>
      </c>
      <c r="H105" s="33">
        <v>0</v>
      </c>
      <c r="I105" s="33">
        <v>80000</v>
      </c>
      <c r="J105" s="33">
        <v>80000</v>
      </c>
      <c r="K105" t="s">
        <v>606</v>
      </c>
      <c r="L105" t="s">
        <v>598</v>
      </c>
      <c r="M105" t="s">
        <v>658</v>
      </c>
    </row>
    <row r="106" spans="1:13">
      <c r="A106">
        <v>7</v>
      </c>
      <c r="B106" t="s">
        <v>676</v>
      </c>
      <c r="C106" t="s">
        <v>679</v>
      </c>
      <c r="E106" t="s">
        <v>131</v>
      </c>
      <c r="F106" s="33">
        <v>0</v>
      </c>
      <c r="G106">
        <v>0</v>
      </c>
      <c r="H106" s="33">
        <v>0</v>
      </c>
      <c r="I106" s="33">
        <v>34178</v>
      </c>
      <c r="J106" s="33">
        <v>34178</v>
      </c>
      <c r="K106">
        <v>0</v>
      </c>
      <c r="L106">
        <v>0</v>
      </c>
      <c r="M106">
        <v>0</v>
      </c>
    </row>
    <row r="107" spans="1:13">
      <c r="A107">
        <v>8</v>
      </c>
      <c r="B107" t="s">
        <v>676</v>
      </c>
      <c r="C107" t="s">
        <v>340</v>
      </c>
      <c r="E107" t="s">
        <v>131</v>
      </c>
      <c r="F107" s="33">
        <v>0</v>
      </c>
      <c r="G107">
        <v>0</v>
      </c>
      <c r="H107" s="33">
        <v>0</v>
      </c>
      <c r="I107" s="33">
        <v>11112</v>
      </c>
      <c r="J107" s="33">
        <v>11112</v>
      </c>
      <c r="K107">
        <v>0</v>
      </c>
      <c r="L107" t="s">
        <v>598</v>
      </c>
      <c r="M107">
        <v>0</v>
      </c>
    </row>
    <row r="108" spans="1:13">
      <c r="A108">
        <v>9</v>
      </c>
      <c r="B108" t="s">
        <v>676</v>
      </c>
      <c r="C108" t="s">
        <v>233</v>
      </c>
      <c r="E108" t="s">
        <v>193</v>
      </c>
      <c r="F108" s="33">
        <v>0</v>
      </c>
      <c r="G108">
        <v>0</v>
      </c>
      <c r="H108" s="33">
        <v>0</v>
      </c>
      <c r="I108" s="33">
        <v>2340262</v>
      </c>
      <c r="J108" s="33">
        <v>2340262</v>
      </c>
      <c r="K108" t="s">
        <v>606</v>
      </c>
      <c r="L108" t="s">
        <v>680</v>
      </c>
      <c r="M108" t="s">
        <v>616</v>
      </c>
    </row>
    <row r="109" spans="1:13">
      <c r="A109">
        <v>10</v>
      </c>
      <c r="B109" t="s">
        <v>676</v>
      </c>
      <c r="C109" t="s">
        <v>681</v>
      </c>
      <c r="E109" t="s">
        <v>127</v>
      </c>
      <c r="F109" s="33">
        <v>0</v>
      </c>
      <c r="G109">
        <v>0</v>
      </c>
      <c r="H109" s="33">
        <v>0</v>
      </c>
      <c r="I109" s="33">
        <v>148667</v>
      </c>
      <c r="J109" s="33">
        <v>148667</v>
      </c>
      <c r="K109">
        <v>0</v>
      </c>
      <c r="L109" t="s">
        <v>631</v>
      </c>
      <c r="M109">
        <v>0</v>
      </c>
    </row>
    <row r="110" spans="1:13">
      <c r="A110">
        <v>11</v>
      </c>
      <c r="B110" t="s">
        <v>676</v>
      </c>
      <c r="C110" t="s">
        <v>197</v>
      </c>
      <c r="E110" t="s">
        <v>154</v>
      </c>
      <c r="F110" s="33">
        <v>0</v>
      </c>
      <c r="G110">
        <v>0</v>
      </c>
      <c r="H110" s="33">
        <v>0</v>
      </c>
      <c r="I110" s="33">
        <v>7090000</v>
      </c>
      <c r="J110" s="33">
        <v>7090000</v>
      </c>
      <c r="K110" t="s">
        <v>606</v>
      </c>
      <c r="L110" t="s">
        <v>598</v>
      </c>
      <c r="M110" t="s">
        <v>616</v>
      </c>
    </row>
    <row r="111" spans="1:13">
      <c r="A111">
        <v>12</v>
      </c>
      <c r="B111" t="s">
        <v>676</v>
      </c>
      <c r="C111" t="s">
        <v>226</v>
      </c>
      <c r="E111" t="s">
        <v>131</v>
      </c>
      <c r="F111" s="33">
        <v>0</v>
      </c>
      <c r="G111">
        <v>0</v>
      </c>
      <c r="H111" s="33">
        <v>0</v>
      </c>
      <c r="I111" s="33">
        <v>2718620</v>
      </c>
      <c r="J111" s="33">
        <v>2718620</v>
      </c>
      <c r="K111" t="s">
        <v>606</v>
      </c>
      <c r="L111" t="s">
        <v>598</v>
      </c>
      <c r="M111" t="s">
        <v>616</v>
      </c>
    </row>
    <row r="112" spans="1:13">
      <c r="A112">
        <v>13</v>
      </c>
      <c r="B112" t="s">
        <v>676</v>
      </c>
      <c r="C112" t="s">
        <v>322</v>
      </c>
      <c r="E112" t="s">
        <v>131</v>
      </c>
      <c r="F112" s="33">
        <v>0</v>
      </c>
      <c r="G112">
        <v>0</v>
      </c>
      <c r="H112" s="33">
        <v>0</v>
      </c>
      <c r="I112" s="33">
        <v>40780</v>
      </c>
      <c r="J112" s="33">
        <v>40780</v>
      </c>
      <c r="K112">
        <v>0</v>
      </c>
      <c r="L112">
        <v>0</v>
      </c>
      <c r="M112">
        <v>0</v>
      </c>
    </row>
    <row r="113" spans="1:13">
      <c r="A113">
        <v>14</v>
      </c>
      <c r="B113" t="s">
        <v>676</v>
      </c>
      <c r="C113" t="s">
        <v>140</v>
      </c>
      <c r="E113" t="s">
        <v>131</v>
      </c>
      <c r="F113" s="33">
        <v>0</v>
      </c>
      <c r="G113">
        <v>0</v>
      </c>
      <c r="H113" s="33">
        <v>0</v>
      </c>
      <c r="I113" s="33">
        <v>198756793</v>
      </c>
      <c r="J113" s="33">
        <v>198756793</v>
      </c>
      <c r="K113" t="s">
        <v>606</v>
      </c>
      <c r="L113" t="s">
        <v>598</v>
      </c>
      <c r="M113" t="s">
        <v>616</v>
      </c>
    </row>
    <row r="114" spans="1:13">
      <c r="A114">
        <v>15</v>
      </c>
      <c r="B114" t="s">
        <v>676</v>
      </c>
      <c r="C114" t="s">
        <v>187</v>
      </c>
      <c r="E114" t="s">
        <v>127</v>
      </c>
      <c r="F114" s="33">
        <v>0</v>
      </c>
      <c r="G114">
        <v>0</v>
      </c>
      <c r="H114" s="33">
        <v>0</v>
      </c>
      <c r="I114" s="33">
        <v>8307698</v>
      </c>
      <c r="J114" s="33">
        <v>8307698</v>
      </c>
      <c r="K114" t="s">
        <v>666</v>
      </c>
      <c r="L114" t="s">
        <v>598</v>
      </c>
      <c r="M114" t="s">
        <v>603</v>
      </c>
    </row>
    <row r="115" spans="1:13">
      <c r="A115">
        <v>16</v>
      </c>
      <c r="B115" t="s">
        <v>676</v>
      </c>
      <c r="C115" t="s">
        <v>179</v>
      </c>
      <c r="E115" t="s">
        <v>131</v>
      </c>
      <c r="F115" s="33">
        <v>0</v>
      </c>
      <c r="G115">
        <v>0</v>
      </c>
      <c r="H115" s="33">
        <v>0</v>
      </c>
      <c r="I115" s="33">
        <v>10102949</v>
      </c>
      <c r="J115" s="33">
        <v>10102949</v>
      </c>
      <c r="K115" t="s">
        <v>606</v>
      </c>
      <c r="L115" t="s">
        <v>598</v>
      </c>
      <c r="M115" t="s">
        <v>603</v>
      </c>
    </row>
    <row r="116" spans="1:13">
      <c r="A116">
        <v>17</v>
      </c>
      <c r="B116" t="s">
        <v>676</v>
      </c>
      <c r="C116" t="s">
        <v>682</v>
      </c>
      <c r="E116" t="s">
        <v>191</v>
      </c>
      <c r="F116" s="33">
        <v>0</v>
      </c>
      <c r="G116">
        <v>0</v>
      </c>
      <c r="H116" s="33">
        <v>0</v>
      </c>
      <c r="I116" s="33">
        <v>713623</v>
      </c>
      <c r="J116" s="33">
        <v>713623</v>
      </c>
      <c r="K116" t="s">
        <v>597</v>
      </c>
      <c r="L116" t="s">
        <v>598</v>
      </c>
      <c r="M116" t="s">
        <v>599</v>
      </c>
    </row>
    <row r="117" spans="1:13">
      <c r="A117">
        <v>18</v>
      </c>
      <c r="B117" t="s">
        <v>676</v>
      </c>
      <c r="C117" t="s">
        <v>683</v>
      </c>
      <c r="E117" t="s">
        <v>129</v>
      </c>
      <c r="F117" s="33">
        <v>0</v>
      </c>
      <c r="G117">
        <v>0</v>
      </c>
      <c r="H117" s="33">
        <v>0</v>
      </c>
      <c r="I117" s="33">
        <v>0</v>
      </c>
      <c r="J117" s="33">
        <v>0</v>
      </c>
      <c r="K117">
        <v>0</v>
      </c>
      <c r="L117" t="s">
        <v>598</v>
      </c>
      <c r="M117" t="s">
        <v>607</v>
      </c>
    </row>
    <row r="118" spans="1:13">
      <c r="A118">
        <v>19</v>
      </c>
      <c r="B118" t="s">
        <v>676</v>
      </c>
      <c r="C118" t="s">
        <v>318</v>
      </c>
      <c r="E118" t="s">
        <v>193</v>
      </c>
      <c r="F118" s="33">
        <v>0</v>
      </c>
      <c r="G118">
        <v>0</v>
      </c>
      <c r="H118" s="33">
        <v>0</v>
      </c>
      <c r="I118" s="33">
        <v>58408</v>
      </c>
      <c r="J118" s="33">
        <v>58408</v>
      </c>
      <c r="K118" t="s">
        <v>606</v>
      </c>
      <c r="L118" t="s">
        <v>598</v>
      </c>
      <c r="M118" t="s">
        <v>616</v>
      </c>
    </row>
    <row r="119" spans="1:13">
      <c r="A119">
        <v>20</v>
      </c>
      <c r="B119" t="s">
        <v>676</v>
      </c>
      <c r="C119" t="s">
        <v>283</v>
      </c>
      <c r="E119" t="s">
        <v>131</v>
      </c>
      <c r="F119" s="33">
        <v>0</v>
      </c>
      <c r="G119">
        <v>0</v>
      </c>
      <c r="H119" s="33">
        <v>0</v>
      </c>
      <c r="I119" s="33">
        <v>300000</v>
      </c>
      <c r="J119" s="33">
        <v>300000</v>
      </c>
      <c r="K119" t="s">
        <v>606</v>
      </c>
      <c r="L119" t="s">
        <v>598</v>
      </c>
      <c r="M119" t="s">
        <v>616</v>
      </c>
    </row>
    <row r="120" spans="1:13">
      <c r="A120">
        <v>21</v>
      </c>
      <c r="B120" t="s">
        <v>676</v>
      </c>
      <c r="C120" t="s">
        <v>152</v>
      </c>
      <c r="E120" t="s">
        <v>129</v>
      </c>
      <c r="F120" s="33">
        <v>0</v>
      </c>
      <c r="G120">
        <v>0</v>
      </c>
      <c r="H120" s="33">
        <v>0</v>
      </c>
      <c r="I120" s="33">
        <v>56911144</v>
      </c>
      <c r="J120" s="33">
        <v>56911144</v>
      </c>
      <c r="K120" t="s">
        <v>606</v>
      </c>
      <c r="L120" t="s">
        <v>598</v>
      </c>
      <c r="M120" t="s">
        <v>603</v>
      </c>
    </row>
    <row r="121" spans="1:13">
      <c r="A121">
        <v>22</v>
      </c>
      <c r="B121" t="s">
        <v>676</v>
      </c>
      <c r="C121" t="s">
        <v>684</v>
      </c>
      <c r="E121" t="s">
        <v>191</v>
      </c>
      <c r="F121" s="33">
        <v>0</v>
      </c>
      <c r="G121">
        <v>0</v>
      </c>
      <c r="H121" s="33">
        <v>0</v>
      </c>
      <c r="I121" s="33">
        <v>730000</v>
      </c>
      <c r="J121" s="33">
        <v>730000</v>
      </c>
      <c r="K121" t="s">
        <v>597</v>
      </c>
      <c r="L121" t="s">
        <v>598</v>
      </c>
      <c r="M121" t="s">
        <v>599</v>
      </c>
    </row>
    <row r="122" spans="1:13">
      <c r="A122">
        <v>23</v>
      </c>
      <c r="B122" t="s">
        <v>676</v>
      </c>
      <c r="C122" t="s">
        <v>685</v>
      </c>
      <c r="E122" t="s">
        <v>131</v>
      </c>
      <c r="F122" s="33">
        <v>0</v>
      </c>
      <c r="G122">
        <v>0</v>
      </c>
      <c r="H122" s="33">
        <v>0</v>
      </c>
      <c r="I122" s="33">
        <v>28169</v>
      </c>
      <c r="J122" s="33">
        <v>28169</v>
      </c>
      <c r="K122">
        <v>0</v>
      </c>
      <c r="L122">
        <v>0</v>
      </c>
      <c r="M122">
        <v>0</v>
      </c>
    </row>
    <row r="123" spans="1:13">
      <c r="A123">
        <v>24</v>
      </c>
      <c r="B123" t="s">
        <v>676</v>
      </c>
      <c r="C123" t="s">
        <v>231</v>
      </c>
      <c r="E123" t="s">
        <v>131</v>
      </c>
      <c r="F123" s="33">
        <v>0</v>
      </c>
      <c r="G123">
        <v>0</v>
      </c>
      <c r="H123" s="33">
        <v>0</v>
      </c>
      <c r="I123" s="33">
        <v>2504008</v>
      </c>
      <c r="J123" s="33">
        <v>2504008</v>
      </c>
      <c r="K123" t="s">
        <v>606</v>
      </c>
      <c r="L123" t="s">
        <v>598</v>
      </c>
      <c r="M123" t="s">
        <v>616</v>
      </c>
    </row>
    <row r="124" spans="1:13">
      <c r="A124">
        <v>25</v>
      </c>
      <c r="B124" t="s">
        <v>676</v>
      </c>
      <c r="C124" t="s">
        <v>151</v>
      </c>
      <c r="E124" t="s">
        <v>131</v>
      </c>
      <c r="F124" s="33">
        <v>0</v>
      </c>
      <c r="G124">
        <v>0</v>
      </c>
      <c r="H124" s="33">
        <v>0</v>
      </c>
      <c r="I124" s="33">
        <v>60006412</v>
      </c>
      <c r="J124" s="33">
        <v>60006412</v>
      </c>
      <c r="K124" t="s">
        <v>606</v>
      </c>
      <c r="L124" t="s">
        <v>598</v>
      </c>
      <c r="M124" t="s">
        <v>616</v>
      </c>
    </row>
    <row r="125" spans="1:13">
      <c r="A125">
        <v>26</v>
      </c>
      <c r="B125" t="s">
        <v>676</v>
      </c>
      <c r="C125" t="s">
        <v>686</v>
      </c>
      <c r="E125" t="s">
        <v>253</v>
      </c>
      <c r="F125" s="33">
        <v>0</v>
      </c>
      <c r="G125">
        <v>0</v>
      </c>
      <c r="H125" s="33">
        <v>0</v>
      </c>
      <c r="I125" s="33">
        <v>212548</v>
      </c>
      <c r="J125" s="33">
        <v>212548</v>
      </c>
      <c r="K125" t="s">
        <v>606</v>
      </c>
      <c r="L125" t="s">
        <v>598</v>
      </c>
      <c r="M125" t="s">
        <v>616</v>
      </c>
    </row>
    <row r="126" spans="1:13">
      <c r="A126">
        <v>27</v>
      </c>
      <c r="B126" t="s">
        <v>676</v>
      </c>
      <c r="C126" t="s">
        <v>328</v>
      </c>
      <c r="E126" t="s">
        <v>131</v>
      </c>
      <c r="F126" s="33">
        <v>0</v>
      </c>
      <c r="G126">
        <v>0</v>
      </c>
      <c r="H126" s="33">
        <v>0</v>
      </c>
      <c r="I126" s="33">
        <v>22917</v>
      </c>
      <c r="J126" s="33">
        <v>22917</v>
      </c>
      <c r="K126">
        <v>0</v>
      </c>
      <c r="L126">
        <v>0</v>
      </c>
      <c r="M126">
        <v>0</v>
      </c>
    </row>
    <row r="127" spans="1:13">
      <c r="A127">
        <v>28</v>
      </c>
      <c r="B127" t="s">
        <v>676</v>
      </c>
      <c r="C127" t="s">
        <v>687</v>
      </c>
      <c r="E127" t="s">
        <v>131</v>
      </c>
      <c r="F127" s="33">
        <v>0</v>
      </c>
      <c r="G127">
        <v>0</v>
      </c>
      <c r="H127" s="33">
        <v>0</v>
      </c>
      <c r="I127" s="33">
        <v>149173</v>
      </c>
      <c r="J127" s="33">
        <v>149173</v>
      </c>
      <c r="K127">
        <v>0</v>
      </c>
      <c r="L127" t="s">
        <v>598</v>
      </c>
      <c r="M127">
        <v>0</v>
      </c>
    </row>
    <row r="128" spans="1:13">
      <c r="A128">
        <v>29</v>
      </c>
      <c r="B128" t="s">
        <v>676</v>
      </c>
      <c r="C128" t="s">
        <v>688</v>
      </c>
      <c r="F128" s="33">
        <v>0</v>
      </c>
      <c r="G128">
        <v>0</v>
      </c>
      <c r="H128" s="33">
        <v>0</v>
      </c>
      <c r="I128" s="33">
        <v>710813</v>
      </c>
      <c r="J128" s="33">
        <v>710813</v>
      </c>
      <c r="K128">
        <v>0</v>
      </c>
      <c r="L128" t="s">
        <v>631</v>
      </c>
      <c r="M128">
        <v>0</v>
      </c>
    </row>
    <row r="129" spans="1:13">
      <c r="A129">
        <v>30</v>
      </c>
      <c r="B129" t="s">
        <v>676</v>
      </c>
      <c r="C129" t="s">
        <v>689</v>
      </c>
      <c r="E129" t="s">
        <v>148</v>
      </c>
      <c r="F129" s="33">
        <v>0</v>
      </c>
      <c r="G129">
        <v>0</v>
      </c>
      <c r="H129" s="33">
        <v>0</v>
      </c>
      <c r="I129" s="33">
        <v>14454</v>
      </c>
      <c r="J129" s="33">
        <v>14454</v>
      </c>
      <c r="K129">
        <v>0</v>
      </c>
      <c r="L129" t="s">
        <v>598</v>
      </c>
      <c r="M129">
        <v>0</v>
      </c>
    </row>
    <row r="130" spans="1:13">
      <c r="A130">
        <v>31</v>
      </c>
      <c r="B130" t="s">
        <v>676</v>
      </c>
      <c r="C130" t="s">
        <v>690</v>
      </c>
      <c r="E130" t="s">
        <v>131</v>
      </c>
      <c r="F130" s="33">
        <v>0</v>
      </c>
      <c r="G130">
        <v>0</v>
      </c>
      <c r="H130" s="33">
        <v>0</v>
      </c>
      <c r="I130" s="33">
        <v>2217</v>
      </c>
      <c r="J130" s="33">
        <v>2217</v>
      </c>
      <c r="K130">
        <v>0</v>
      </c>
      <c r="L130">
        <v>0</v>
      </c>
      <c r="M130">
        <v>0</v>
      </c>
    </row>
    <row r="131" spans="1:13">
      <c r="A131">
        <v>32</v>
      </c>
      <c r="B131" t="s">
        <v>676</v>
      </c>
      <c r="C131" t="s">
        <v>227</v>
      </c>
      <c r="E131" t="s">
        <v>148</v>
      </c>
      <c r="F131" s="33">
        <v>0</v>
      </c>
      <c r="G131">
        <v>0</v>
      </c>
      <c r="H131" s="33">
        <v>0</v>
      </c>
      <c r="I131" s="33">
        <v>2709986</v>
      </c>
      <c r="J131" s="33">
        <v>2709986</v>
      </c>
      <c r="K131" t="s">
        <v>606</v>
      </c>
      <c r="L131" t="s">
        <v>598</v>
      </c>
      <c r="M131" t="s">
        <v>616</v>
      </c>
    </row>
    <row r="132" spans="1:13">
      <c r="A132">
        <v>33</v>
      </c>
      <c r="B132" t="s">
        <v>676</v>
      </c>
      <c r="C132" t="s">
        <v>691</v>
      </c>
      <c r="E132" t="s">
        <v>131</v>
      </c>
      <c r="F132" s="33">
        <v>0</v>
      </c>
      <c r="G132">
        <v>0</v>
      </c>
      <c r="H132" s="33">
        <v>0</v>
      </c>
      <c r="I132" s="33">
        <v>73692536</v>
      </c>
      <c r="J132" s="33">
        <v>73692536</v>
      </c>
      <c r="K132" t="s">
        <v>606</v>
      </c>
      <c r="L132" t="s">
        <v>598</v>
      </c>
      <c r="M132" t="s">
        <v>599</v>
      </c>
    </row>
    <row r="133" spans="1:13">
      <c r="A133">
        <v>34</v>
      </c>
      <c r="B133" t="s">
        <v>676</v>
      </c>
      <c r="C133" t="s">
        <v>279</v>
      </c>
      <c r="E133" t="s">
        <v>154</v>
      </c>
      <c r="F133" s="33">
        <v>0</v>
      </c>
      <c r="G133">
        <v>0</v>
      </c>
      <c r="H133" s="33">
        <v>0</v>
      </c>
      <c r="I133" s="33">
        <v>414112</v>
      </c>
      <c r="J133" s="33">
        <v>414112</v>
      </c>
      <c r="K133">
        <v>0</v>
      </c>
      <c r="L133">
        <v>0</v>
      </c>
      <c r="M133">
        <v>0</v>
      </c>
    </row>
    <row r="134" spans="1:13">
      <c r="A134">
        <v>35</v>
      </c>
      <c r="B134" t="s">
        <v>676</v>
      </c>
      <c r="C134" t="s">
        <v>692</v>
      </c>
      <c r="E134" t="s">
        <v>191</v>
      </c>
      <c r="F134" s="33">
        <v>0</v>
      </c>
      <c r="G134">
        <v>0</v>
      </c>
      <c r="H134" s="33">
        <v>0</v>
      </c>
      <c r="I134" s="33">
        <v>25618</v>
      </c>
      <c r="J134" s="33">
        <v>25618</v>
      </c>
      <c r="K134" t="s">
        <v>597</v>
      </c>
      <c r="L134" t="s">
        <v>598</v>
      </c>
      <c r="M134" t="s">
        <v>599</v>
      </c>
    </row>
    <row r="135" spans="1:13">
      <c r="A135">
        <v>36</v>
      </c>
      <c r="B135" t="s">
        <v>676</v>
      </c>
      <c r="C135" t="s">
        <v>693</v>
      </c>
      <c r="E135" t="s">
        <v>131</v>
      </c>
      <c r="F135" s="33">
        <v>0</v>
      </c>
      <c r="G135">
        <v>0</v>
      </c>
      <c r="H135" s="33">
        <v>0</v>
      </c>
      <c r="I135" s="33">
        <v>100000</v>
      </c>
      <c r="J135" s="33">
        <v>100000</v>
      </c>
      <c r="K135">
        <v>0</v>
      </c>
      <c r="L135">
        <v>0</v>
      </c>
      <c r="M135">
        <v>0</v>
      </c>
    </row>
    <row r="136" spans="1:13">
      <c r="A136">
        <v>37</v>
      </c>
      <c r="B136" t="s">
        <v>676</v>
      </c>
      <c r="C136" t="s">
        <v>309</v>
      </c>
      <c r="E136" t="s">
        <v>127</v>
      </c>
      <c r="F136" s="33">
        <v>0</v>
      </c>
      <c r="G136">
        <v>0</v>
      </c>
      <c r="H136" s="33">
        <v>0</v>
      </c>
      <c r="I136" s="33">
        <v>100000</v>
      </c>
      <c r="J136" s="33">
        <v>100000</v>
      </c>
      <c r="K136">
        <v>0</v>
      </c>
      <c r="L136" t="s">
        <v>631</v>
      </c>
      <c r="M136">
        <v>0</v>
      </c>
    </row>
    <row r="137" spans="1:13">
      <c r="A137">
        <v>38</v>
      </c>
      <c r="B137" t="s">
        <v>676</v>
      </c>
      <c r="C137" t="s">
        <v>243</v>
      </c>
      <c r="F137" s="33">
        <v>0</v>
      </c>
      <c r="G137">
        <v>0</v>
      </c>
      <c r="H137" s="33">
        <v>0</v>
      </c>
      <c r="I137" s="33">
        <v>1470000</v>
      </c>
      <c r="J137" s="33">
        <v>1470000</v>
      </c>
      <c r="K137">
        <v>0</v>
      </c>
      <c r="L137" t="s">
        <v>598</v>
      </c>
      <c r="M137" t="s">
        <v>616</v>
      </c>
    </row>
    <row r="138" spans="1:13">
      <c r="A138">
        <v>39</v>
      </c>
      <c r="B138" t="s">
        <v>676</v>
      </c>
      <c r="C138" t="s">
        <v>198</v>
      </c>
      <c r="E138" t="s">
        <v>131</v>
      </c>
      <c r="F138" s="33">
        <v>0</v>
      </c>
      <c r="G138">
        <v>0</v>
      </c>
      <c r="H138" s="33">
        <v>0</v>
      </c>
      <c r="I138" s="33">
        <v>6836934</v>
      </c>
      <c r="J138" s="33">
        <v>6836934</v>
      </c>
      <c r="K138" t="s">
        <v>597</v>
      </c>
      <c r="L138" t="s">
        <v>598</v>
      </c>
      <c r="M138" t="s">
        <v>658</v>
      </c>
    </row>
    <row r="139" spans="1:13">
      <c r="A139">
        <v>40</v>
      </c>
      <c r="B139" t="s">
        <v>676</v>
      </c>
      <c r="C139" t="s">
        <v>267</v>
      </c>
      <c r="E139" t="s">
        <v>193</v>
      </c>
      <c r="F139" s="33">
        <v>0</v>
      </c>
      <c r="G139">
        <v>0</v>
      </c>
      <c r="H139" s="33">
        <v>0</v>
      </c>
      <c r="I139" s="33">
        <v>605757</v>
      </c>
      <c r="J139" s="33">
        <v>605757</v>
      </c>
      <c r="K139" t="s">
        <v>606</v>
      </c>
      <c r="L139" t="s">
        <v>598</v>
      </c>
      <c r="M139" t="s">
        <v>616</v>
      </c>
    </row>
    <row r="140" spans="1:13">
      <c r="A140">
        <v>41</v>
      </c>
      <c r="B140" t="s">
        <v>676</v>
      </c>
      <c r="C140" t="s">
        <v>319</v>
      </c>
      <c r="E140" t="s">
        <v>131</v>
      </c>
      <c r="F140" s="33">
        <v>0</v>
      </c>
      <c r="G140">
        <v>0</v>
      </c>
      <c r="H140" s="33">
        <v>0</v>
      </c>
      <c r="I140" s="33">
        <v>51799</v>
      </c>
      <c r="J140" s="33">
        <v>51799</v>
      </c>
      <c r="K140">
        <v>0</v>
      </c>
      <c r="L140" t="s">
        <v>598</v>
      </c>
      <c r="M140">
        <v>0</v>
      </c>
    </row>
    <row r="141" spans="1:13">
      <c r="A141">
        <v>42</v>
      </c>
      <c r="B141" t="s">
        <v>676</v>
      </c>
      <c r="C141" t="s">
        <v>272</v>
      </c>
      <c r="E141" t="s">
        <v>136</v>
      </c>
      <c r="F141" s="33">
        <v>0</v>
      </c>
      <c r="G141">
        <v>0</v>
      </c>
      <c r="H141" s="33">
        <v>0</v>
      </c>
      <c r="I141" s="33">
        <v>480000</v>
      </c>
      <c r="J141" s="33">
        <v>480000</v>
      </c>
      <c r="K141" t="s">
        <v>606</v>
      </c>
      <c r="L141" t="s">
        <v>598</v>
      </c>
      <c r="M141" t="s">
        <v>616</v>
      </c>
    </row>
    <row r="142" spans="1:13">
      <c r="A142">
        <v>43</v>
      </c>
      <c r="B142" t="s">
        <v>676</v>
      </c>
      <c r="C142" t="s">
        <v>276</v>
      </c>
      <c r="E142" t="s">
        <v>127</v>
      </c>
      <c r="F142" s="33">
        <v>0</v>
      </c>
      <c r="G142">
        <v>0</v>
      </c>
      <c r="H142" s="33">
        <v>0</v>
      </c>
      <c r="I142" s="33">
        <v>460000</v>
      </c>
      <c r="J142" s="33">
        <v>460000</v>
      </c>
      <c r="K142" t="s">
        <v>606</v>
      </c>
      <c r="L142" t="s">
        <v>631</v>
      </c>
      <c r="M142" t="s">
        <v>603</v>
      </c>
    </row>
    <row r="143" spans="1:13">
      <c r="A143">
        <v>44</v>
      </c>
      <c r="B143" t="s">
        <v>676</v>
      </c>
      <c r="C143" t="s">
        <v>694</v>
      </c>
      <c r="E143" t="s">
        <v>131</v>
      </c>
      <c r="F143" s="33">
        <v>0</v>
      </c>
      <c r="G143">
        <v>0</v>
      </c>
      <c r="H143" s="33">
        <v>0</v>
      </c>
      <c r="I143" s="33">
        <v>346330</v>
      </c>
      <c r="J143" s="33">
        <v>346330</v>
      </c>
      <c r="K143">
        <v>0</v>
      </c>
      <c r="L143">
        <v>0</v>
      </c>
      <c r="M143">
        <v>0</v>
      </c>
    </row>
    <row r="144" spans="1:13">
      <c r="A144">
        <v>45</v>
      </c>
      <c r="B144" t="s">
        <v>676</v>
      </c>
      <c r="C144" t="s">
        <v>219</v>
      </c>
      <c r="E144" t="s">
        <v>127</v>
      </c>
      <c r="F144" s="33">
        <v>0</v>
      </c>
      <c r="G144">
        <v>0</v>
      </c>
      <c r="H144" s="33">
        <v>0</v>
      </c>
      <c r="I144" s="33">
        <v>3190549</v>
      </c>
      <c r="J144" s="33">
        <v>3190549</v>
      </c>
      <c r="K144" t="s">
        <v>666</v>
      </c>
      <c r="L144" t="s">
        <v>631</v>
      </c>
      <c r="M144" t="s">
        <v>603</v>
      </c>
    </row>
    <row r="145" spans="1:13">
      <c r="A145">
        <v>46</v>
      </c>
      <c r="B145" t="s">
        <v>676</v>
      </c>
      <c r="C145" t="s">
        <v>258</v>
      </c>
      <c r="E145" t="s">
        <v>127</v>
      </c>
      <c r="F145" s="33">
        <v>0</v>
      </c>
      <c r="G145">
        <v>0</v>
      </c>
      <c r="H145" s="33">
        <v>0</v>
      </c>
      <c r="I145" s="33">
        <v>763475</v>
      </c>
      <c r="J145" s="33">
        <v>763475</v>
      </c>
      <c r="K145" t="s">
        <v>606</v>
      </c>
      <c r="L145" t="s">
        <v>631</v>
      </c>
      <c r="M145" t="s">
        <v>616</v>
      </c>
    </row>
    <row r="146" spans="1:13">
      <c r="A146">
        <v>47</v>
      </c>
      <c r="B146" t="s">
        <v>676</v>
      </c>
      <c r="C146" t="s">
        <v>695</v>
      </c>
      <c r="E146" t="s">
        <v>131</v>
      </c>
      <c r="F146" s="33">
        <v>0</v>
      </c>
      <c r="G146">
        <v>0</v>
      </c>
      <c r="H146" s="33">
        <v>0</v>
      </c>
      <c r="I146" s="33">
        <v>21587</v>
      </c>
      <c r="J146" s="33">
        <v>21587</v>
      </c>
      <c r="K146" t="s">
        <v>606</v>
      </c>
      <c r="L146" t="s">
        <v>598</v>
      </c>
      <c r="M146" t="s">
        <v>616</v>
      </c>
    </row>
    <row r="147" spans="1:13">
      <c r="A147">
        <v>48</v>
      </c>
      <c r="B147" t="s">
        <v>676</v>
      </c>
      <c r="C147" t="s">
        <v>299</v>
      </c>
      <c r="E147" t="s">
        <v>193</v>
      </c>
      <c r="F147" s="33">
        <v>0</v>
      </c>
      <c r="G147">
        <v>0</v>
      </c>
      <c r="H147" s="33">
        <v>0</v>
      </c>
      <c r="I147" s="33">
        <v>132584</v>
      </c>
      <c r="J147" s="33">
        <v>132584</v>
      </c>
      <c r="K147">
        <v>0</v>
      </c>
      <c r="L147" t="s">
        <v>598</v>
      </c>
      <c r="M147">
        <v>0</v>
      </c>
    </row>
    <row r="148" spans="1:13">
      <c r="A148">
        <v>49</v>
      </c>
      <c r="B148" t="s">
        <v>676</v>
      </c>
      <c r="C148" t="s">
        <v>696</v>
      </c>
      <c r="E148" t="s">
        <v>136</v>
      </c>
      <c r="F148" s="33">
        <v>0</v>
      </c>
      <c r="G148">
        <v>0</v>
      </c>
      <c r="H148" s="33">
        <v>0</v>
      </c>
      <c r="I148" s="33">
        <v>8228985</v>
      </c>
      <c r="J148" s="33">
        <v>8228985</v>
      </c>
      <c r="K148" t="s">
        <v>602</v>
      </c>
      <c r="L148" t="s">
        <v>631</v>
      </c>
      <c r="M148" t="s">
        <v>616</v>
      </c>
    </row>
    <row r="149" spans="1:13">
      <c r="A149">
        <v>50</v>
      </c>
      <c r="B149" t="s">
        <v>676</v>
      </c>
      <c r="C149" t="s">
        <v>697</v>
      </c>
      <c r="E149" t="s">
        <v>131</v>
      </c>
      <c r="F149" s="33">
        <v>0</v>
      </c>
      <c r="G149">
        <v>0</v>
      </c>
      <c r="H149" s="33">
        <v>0</v>
      </c>
      <c r="I149" s="33">
        <v>86463</v>
      </c>
      <c r="J149" s="33">
        <v>86463</v>
      </c>
      <c r="K149">
        <v>0</v>
      </c>
      <c r="L149" t="s">
        <v>598</v>
      </c>
      <c r="M149" t="s">
        <v>658</v>
      </c>
    </row>
    <row r="150" spans="1:13">
      <c r="A150">
        <v>51</v>
      </c>
      <c r="B150" t="s">
        <v>676</v>
      </c>
      <c r="C150" t="s">
        <v>212</v>
      </c>
      <c r="E150" t="s">
        <v>127</v>
      </c>
      <c r="F150" s="33">
        <v>0</v>
      </c>
      <c r="G150">
        <v>0</v>
      </c>
      <c r="H150" s="33">
        <v>0</v>
      </c>
      <c r="I150" s="33">
        <v>3939436</v>
      </c>
      <c r="J150" s="33">
        <v>3939436</v>
      </c>
      <c r="K150" t="s">
        <v>606</v>
      </c>
      <c r="L150" t="s">
        <v>631</v>
      </c>
      <c r="M150" t="s">
        <v>612</v>
      </c>
    </row>
    <row r="151" spans="1:13">
      <c r="A151">
        <v>52</v>
      </c>
      <c r="B151" t="s">
        <v>676</v>
      </c>
      <c r="C151" t="s">
        <v>698</v>
      </c>
      <c r="E151" t="s">
        <v>127</v>
      </c>
      <c r="F151" s="33">
        <v>0</v>
      </c>
      <c r="G151">
        <v>0</v>
      </c>
      <c r="H151" s="33">
        <v>0</v>
      </c>
      <c r="I151" s="33">
        <v>451199</v>
      </c>
      <c r="J151" s="33">
        <v>451199</v>
      </c>
      <c r="K151" t="s">
        <v>606</v>
      </c>
      <c r="L151" t="s">
        <v>631</v>
      </c>
      <c r="M151" t="s">
        <v>603</v>
      </c>
    </row>
    <row r="152" spans="1:13">
      <c r="A152">
        <v>53</v>
      </c>
      <c r="B152" t="s">
        <v>676</v>
      </c>
      <c r="C152" t="s">
        <v>286</v>
      </c>
      <c r="E152" t="s">
        <v>131</v>
      </c>
      <c r="F152" s="33">
        <v>0</v>
      </c>
      <c r="G152">
        <v>0</v>
      </c>
      <c r="H152" s="33">
        <v>0</v>
      </c>
      <c r="I152" s="33">
        <v>275315</v>
      </c>
      <c r="J152" s="33">
        <v>275315</v>
      </c>
      <c r="K152">
        <v>0</v>
      </c>
      <c r="L152" t="s">
        <v>598</v>
      </c>
      <c r="M152">
        <v>0</v>
      </c>
    </row>
    <row r="153" spans="1:13">
      <c r="A153">
        <v>54</v>
      </c>
      <c r="B153" t="s">
        <v>676</v>
      </c>
      <c r="C153" t="s">
        <v>699</v>
      </c>
      <c r="E153" t="s">
        <v>131</v>
      </c>
      <c r="F153" s="33">
        <v>0</v>
      </c>
      <c r="G153">
        <v>0</v>
      </c>
      <c r="H153" s="33">
        <v>0</v>
      </c>
      <c r="I153" s="33">
        <v>106126192</v>
      </c>
      <c r="J153" s="33">
        <v>106126192</v>
      </c>
      <c r="K153" t="s">
        <v>606</v>
      </c>
      <c r="L153" t="s">
        <v>598</v>
      </c>
      <c r="M153" t="s">
        <v>616</v>
      </c>
    </row>
    <row r="154" spans="1:13">
      <c r="A154">
        <v>55</v>
      </c>
      <c r="B154" t="s">
        <v>676</v>
      </c>
      <c r="C154" t="s">
        <v>700</v>
      </c>
      <c r="E154" t="s">
        <v>131</v>
      </c>
      <c r="F154" s="33">
        <v>0</v>
      </c>
      <c r="G154">
        <v>0</v>
      </c>
      <c r="H154" s="33">
        <v>0</v>
      </c>
      <c r="I154" s="33">
        <v>43952</v>
      </c>
      <c r="J154" s="33">
        <v>43952</v>
      </c>
      <c r="K154">
        <v>0</v>
      </c>
      <c r="L154">
        <v>0</v>
      </c>
      <c r="M154">
        <v>0</v>
      </c>
    </row>
    <row r="155" spans="1:13">
      <c r="A155">
        <v>56</v>
      </c>
      <c r="B155" t="s">
        <v>676</v>
      </c>
      <c r="C155" t="s">
        <v>331</v>
      </c>
      <c r="E155" t="s">
        <v>148</v>
      </c>
      <c r="F155" s="33">
        <v>0</v>
      </c>
      <c r="G155">
        <v>0</v>
      </c>
      <c r="H155" s="33">
        <v>0</v>
      </c>
      <c r="I155" s="33">
        <v>18466</v>
      </c>
      <c r="J155" s="33">
        <v>18466</v>
      </c>
      <c r="K155">
        <v>0</v>
      </c>
      <c r="L155" t="s">
        <v>598</v>
      </c>
      <c r="M155">
        <v>0</v>
      </c>
    </row>
    <row r="156" spans="1:13">
      <c r="A156">
        <v>57</v>
      </c>
      <c r="B156" t="s">
        <v>676</v>
      </c>
      <c r="C156" t="s">
        <v>701</v>
      </c>
      <c r="E156" t="s">
        <v>253</v>
      </c>
      <c r="F156" s="33">
        <v>0</v>
      </c>
      <c r="G156">
        <v>0</v>
      </c>
      <c r="H156" s="33">
        <v>0</v>
      </c>
      <c r="I156" s="33">
        <v>3990000</v>
      </c>
      <c r="J156" s="33">
        <v>3990000</v>
      </c>
      <c r="K156" t="s">
        <v>702</v>
      </c>
      <c r="L156" t="s">
        <v>703</v>
      </c>
      <c r="M156" t="s">
        <v>704</v>
      </c>
    </row>
    <row r="157" spans="1:13">
      <c r="A157">
        <v>58</v>
      </c>
      <c r="B157" t="s">
        <v>676</v>
      </c>
      <c r="C157" t="s">
        <v>237</v>
      </c>
      <c r="E157" t="s">
        <v>131</v>
      </c>
      <c r="F157" s="33">
        <v>0</v>
      </c>
      <c r="G157">
        <v>0</v>
      </c>
      <c r="H157" s="33">
        <v>0</v>
      </c>
      <c r="I157" s="33">
        <v>1729565</v>
      </c>
      <c r="J157" s="33">
        <v>1729565</v>
      </c>
      <c r="K157" t="s">
        <v>606</v>
      </c>
      <c r="L157" t="s">
        <v>598</v>
      </c>
      <c r="M157" t="s">
        <v>658</v>
      </c>
    </row>
    <row r="158" spans="1:13">
      <c r="A158">
        <v>59</v>
      </c>
      <c r="B158" t="s">
        <v>676</v>
      </c>
      <c r="C158" t="s">
        <v>205</v>
      </c>
      <c r="E158" t="s">
        <v>127</v>
      </c>
      <c r="F158" s="33">
        <v>0</v>
      </c>
      <c r="G158">
        <v>0</v>
      </c>
      <c r="H158" s="33">
        <v>0</v>
      </c>
      <c r="I158" s="33">
        <v>4803109</v>
      </c>
      <c r="J158" s="33">
        <v>4803109</v>
      </c>
      <c r="K158" t="s">
        <v>606</v>
      </c>
      <c r="L158" t="s">
        <v>631</v>
      </c>
      <c r="M158" t="s">
        <v>612</v>
      </c>
    </row>
    <row r="159" spans="1:13">
      <c r="A159">
        <v>60</v>
      </c>
      <c r="B159" t="s">
        <v>676</v>
      </c>
      <c r="C159" t="s">
        <v>705</v>
      </c>
      <c r="E159" t="s">
        <v>129</v>
      </c>
      <c r="F159" s="33">
        <v>0</v>
      </c>
      <c r="G159">
        <v>0</v>
      </c>
      <c r="H159" s="33">
        <v>0</v>
      </c>
      <c r="I159" s="33">
        <v>0</v>
      </c>
      <c r="J159" s="33">
        <v>0</v>
      </c>
      <c r="K159" t="s">
        <v>597</v>
      </c>
      <c r="L159" t="s">
        <v>598</v>
      </c>
      <c r="M159" t="s">
        <v>658</v>
      </c>
    </row>
    <row r="160" spans="1:13">
      <c r="A160">
        <v>61</v>
      </c>
      <c r="B160" t="s">
        <v>676</v>
      </c>
      <c r="C160" t="s">
        <v>185</v>
      </c>
      <c r="E160" t="s">
        <v>136</v>
      </c>
      <c r="F160" s="33">
        <v>0</v>
      </c>
      <c r="G160">
        <v>0</v>
      </c>
      <c r="H160" s="33">
        <v>0</v>
      </c>
      <c r="I160" s="33">
        <v>9023944</v>
      </c>
      <c r="J160" s="33">
        <v>9023944</v>
      </c>
      <c r="K160">
        <v>0</v>
      </c>
      <c r="L160" t="s">
        <v>611</v>
      </c>
      <c r="M160" t="s">
        <v>603</v>
      </c>
    </row>
    <row r="161" spans="1:13">
      <c r="A161">
        <v>62</v>
      </c>
      <c r="B161" t="s">
        <v>676</v>
      </c>
      <c r="C161" t="s">
        <v>316</v>
      </c>
      <c r="E161" t="s">
        <v>148</v>
      </c>
      <c r="F161" s="33">
        <v>0</v>
      </c>
      <c r="G161">
        <v>0</v>
      </c>
      <c r="H161" s="33">
        <v>0</v>
      </c>
      <c r="I161" s="33">
        <v>66561</v>
      </c>
      <c r="J161" s="33">
        <v>66561</v>
      </c>
      <c r="K161">
        <v>0</v>
      </c>
      <c r="L161" t="s">
        <v>598</v>
      </c>
      <c r="M161">
        <v>0</v>
      </c>
    </row>
    <row r="162" spans="1:13">
      <c r="A162">
        <v>63</v>
      </c>
      <c r="B162" t="s">
        <v>676</v>
      </c>
      <c r="C162" t="s">
        <v>221</v>
      </c>
      <c r="E162" t="s">
        <v>154</v>
      </c>
      <c r="F162" s="33">
        <v>0</v>
      </c>
      <c r="G162">
        <v>0</v>
      </c>
      <c r="H162" s="33">
        <v>0</v>
      </c>
      <c r="I162" s="33">
        <v>2940000</v>
      </c>
      <c r="J162" s="33">
        <v>2940000</v>
      </c>
      <c r="K162" t="s">
        <v>606</v>
      </c>
      <c r="L162" t="s">
        <v>598</v>
      </c>
      <c r="M162" t="s">
        <v>616</v>
      </c>
    </row>
    <row r="163" spans="1:13">
      <c r="A163">
        <v>64</v>
      </c>
      <c r="B163" t="s">
        <v>676</v>
      </c>
      <c r="C163" t="s">
        <v>204</v>
      </c>
      <c r="E163" t="s">
        <v>136</v>
      </c>
      <c r="F163" s="33">
        <v>0</v>
      </c>
      <c r="G163">
        <v>0</v>
      </c>
      <c r="H163" s="33">
        <v>0</v>
      </c>
      <c r="I163" s="33">
        <v>5544781</v>
      </c>
      <c r="J163" s="33">
        <v>5544781</v>
      </c>
      <c r="K163">
        <v>0</v>
      </c>
      <c r="L163" t="s">
        <v>598</v>
      </c>
      <c r="M163" t="s">
        <v>616</v>
      </c>
    </row>
    <row r="164" spans="1:13">
      <c r="A164">
        <v>65</v>
      </c>
      <c r="B164" t="s">
        <v>676</v>
      </c>
      <c r="C164" t="s">
        <v>706</v>
      </c>
      <c r="E164" t="s">
        <v>131</v>
      </c>
      <c r="F164" s="33">
        <v>0</v>
      </c>
      <c r="G164">
        <v>0</v>
      </c>
      <c r="H164" s="33">
        <v>0</v>
      </c>
      <c r="I164" s="33">
        <v>18788</v>
      </c>
      <c r="J164" s="33">
        <v>18788</v>
      </c>
      <c r="K164">
        <v>0</v>
      </c>
      <c r="L164">
        <v>0</v>
      </c>
      <c r="M164">
        <v>0</v>
      </c>
    </row>
    <row r="165" spans="1:13">
      <c r="A165">
        <v>66</v>
      </c>
      <c r="B165" t="s">
        <v>676</v>
      </c>
      <c r="C165" t="s">
        <v>202</v>
      </c>
      <c r="E165" t="s">
        <v>131</v>
      </c>
      <c r="F165" s="33">
        <v>0</v>
      </c>
      <c r="G165">
        <v>0</v>
      </c>
      <c r="H165" s="33">
        <v>0</v>
      </c>
      <c r="I165" s="33">
        <v>5932063</v>
      </c>
      <c r="J165" s="33">
        <v>5932063</v>
      </c>
      <c r="K165" t="s">
        <v>606</v>
      </c>
      <c r="L165" t="s">
        <v>598</v>
      </c>
      <c r="M165" t="s">
        <v>616</v>
      </c>
    </row>
    <row r="166" spans="1:13">
      <c r="A166">
        <v>67</v>
      </c>
      <c r="B166" t="s">
        <v>676</v>
      </c>
      <c r="C166" t="s">
        <v>158</v>
      </c>
      <c r="E166" t="s">
        <v>131</v>
      </c>
      <c r="F166" s="33">
        <v>0</v>
      </c>
      <c r="G166">
        <v>0</v>
      </c>
      <c r="H166" s="33">
        <v>0</v>
      </c>
      <c r="I166" s="33">
        <v>36090000</v>
      </c>
      <c r="J166" s="33">
        <v>36090000</v>
      </c>
      <c r="K166" t="s">
        <v>597</v>
      </c>
      <c r="L166" t="s">
        <v>598</v>
      </c>
      <c r="M166" t="s">
        <v>707</v>
      </c>
    </row>
    <row r="167" spans="1:13">
      <c r="A167">
        <v>68</v>
      </c>
      <c r="B167" t="s">
        <v>676</v>
      </c>
      <c r="C167" t="s">
        <v>266</v>
      </c>
      <c r="E167" t="s">
        <v>127</v>
      </c>
      <c r="F167" s="33">
        <v>0</v>
      </c>
      <c r="G167">
        <v>0</v>
      </c>
      <c r="H167" s="33">
        <v>0</v>
      </c>
      <c r="I167" s="33">
        <v>624013</v>
      </c>
      <c r="J167" s="33">
        <v>624013</v>
      </c>
      <c r="K167" t="s">
        <v>606</v>
      </c>
      <c r="L167" t="s">
        <v>631</v>
      </c>
      <c r="M167" t="s">
        <v>612</v>
      </c>
    </row>
    <row r="168" spans="1:13">
      <c r="A168">
        <v>69</v>
      </c>
      <c r="B168" t="s">
        <v>676</v>
      </c>
      <c r="C168" t="s">
        <v>287</v>
      </c>
      <c r="E168" t="s">
        <v>148</v>
      </c>
      <c r="F168" s="33">
        <v>0</v>
      </c>
      <c r="G168">
        <v>0</v>
      </c>
      <c r="H168" s="33">
        <v>0</v>
      </c>
      <c r="I168" s="33">
        <v>254185</v>
      </c>
      <c r="J168" s="33">
        <v>254185</v>
      </c>
      <c r="K168">
        <v>0</v>
      </c>
      <c r="L168" t="s">
        <v>598</v>
      </c>
      <c r="M168">
        <v>0</v>
      </c>
    </row>
    <row r="169" spans="1:13">
      <c r="A169">
        <v>70</v>
      </c>
      <c r="B169" t="s">
        <v>676</v>
      </c>
      <c r="C169" t="s">
        <v>312</v>
      </c>
      <c r="E169" t="s">
        <v>131</v>
      </c>
      <c r="F169" s="33">
        <v>0</v>
      </c>
      <c r="G169">
        <v>0</v>
      </c>
      <c r="H169" s="33">
        <v>0</v>
      </c>
      <c r="I169" s="33">
        <v>86919</v>
      </c>
      <c r="J169" s="33">
        <v>86919</v>
      </c>
      <c r="K169">
        <v>0</v>
      </c>
      <c r="L169" t="s">
        <v>598</v>
      </c>
      <c r="M169">
        <v>0</v>
      </c>
    </row>
    <row r="170" spans="1:13">
      <c r="A170">
        <v>71</v>
      </c>
      <c r="B170" t="s">
        <v>676</v>
      </c>
      <c r="C170" t="s">
        <v>708</v>
      </c>
      <c r="E170" t="s">
        <v>127</v>
      </c>
      <c r="F170" s="33">
        <v>0</v>
      </c>
      <c r="G170">
        <v>0</v>
      </c>
      <c r="H170" s="33">
        <v>0</v>
      </c>
      <c r="I170" s="33">
        <v>144823</v>
      </c>
      <c r="J170" s="33">
        <v>144823</v>
      </c>
      <c r="K170" t="s">
        <v>606</v>
      </c>
      <c r="L170" t="s">
        <v>631</v>
      </c>
      <c r="M170" t="s">
        <v>612</v>
      </c>
    </row>
    <row r="171" spans="1:13">
      <c r="A171">
        <v>72</v>
      </c>
      <c r="B171" t="s">
        <v>676</v>
      </c>
      <c r="C171" t="s">
        <v>709</v>
      </c>
      <c r="E171" t="s">
        <v>191</v>
      </c>
      <c r="F171" s="33">
        <v>0</v>
      </c>
      <c r="G171">
        <v>0</v>
      </c>
      <c r="H171" s="33">
        <v>0</v>
      </c>
      <c r="I171" s="33">
        <v>0</v>
      </c>
      <c r="J171" s="33">
        <v>0</v>
      </c>
      <c r="K171" t="s">
        <v>597</v>
      </c>
      <c r="L171" t="s">
        <v>598</v>
      </c>
      <c r="M171" t="s">
        <v>599</v>
      </c>
    </row>
    <row r="172" spans="1:13">
      <c r="A172">
        <v>73</v>
      </c>
      <c r="B172" t="s">
        <v>676</v>
      </c>
      <c r="C172" t="s">
        <v>255</v>
      </c>
      <c r="E172" t="s">
        <v>131</v>
      </c>
      <c r="F172" s="33">
        <v>0</v>
      </c>
      <c r="G172">
        <v>0</v>
      </c>
      <c r="H172" s="33">
        <v>0</v>
      </c>
      <c r="I172" s="33">
        <v>833839</v>
      </c>
      <c r="J172" s="33">
        <v>833839</v>
      </c>
      <c r="K172" t="s">
        <v>597</v>
      </c>
      <c r="L172" t="s">
        <v>598</v>
      </c>
      <c r="M172" t="s">
        <v>658</v>
      </c>
    </row>
    <row r="173" spans="1:13">
      <c r="A173">
        <v>74</v>
      </c>
      <c r="B173" t="s">
        <v>676</v>
      </c>
      <c r="C173" t="s">
        <v>290</v>
      </c>
      <c r="E173" t="s">
        <v>131</v>
      </c>
      <c r="F173" s="33">
        <v>0</v>
      </c>
      <c r="G173">
        <v>0</v>
      </c>
      <c r="H173" s="33">
        <v>0</v>
      </c>
      <c r="I173" s="33">
        <v>213084</v>
      </c>
      <c r="J173" s="33">
        <v>213084</v>
      </c>
      <c r="K173">
        <v>0</v>
      </c>
      <c r="L173" t="s">
        <v>598</v>
      </c>
      <c r="M173">
        <v>0</v>
      </c>
    </row>
    <row r="174" spans="1:13">
      <c r="A174">
        <v>75</v>
      </c>
      <c r="B174" t="s">
        <v>676</v>
      </c>
      <c r="C174" t="s">
        <v>289</v>
      </c>
      <c r="E174" t="s">
        <v>154</v>
      </c>
      <c r="F174" s="33">
        <v>0</v>
      </c>
      <c r="G174">
        <v>0</v>
      </c>
      <c r="H174" s="33">
        <v>0</v>
      </c>
      <c r="I174" s="33">
        <v>221774</v>
      </c>
      <c r="J174" s="33">
        <v>221774</v>
      </c>
      <c r="K174">
        <v>0</v>
      </c>
      <c r="L174" t="s">
        <v>598</v>
      </c>
      <c r="M174" t="s">
        <v>616</v>
      </c>
    </row>
    <row r="175" spans="1:13">
      <c r="A175">
        <v>76</v>
      </c>
      <c r="B175" t="s">
        <v>676</v>
      </c>
      <c r="C175" t="s">
        <v>710</v>
      </c>
      <c r="E175" t="s">
        <v>136</v>
      </c>
      <c r="F175" s="33">
        <v>0</v>
      </c>
      <c r="G175">
        <v>0</v>
      </c>
      <c r="H175" s="33">
        <v>0</v>
      </c>
      <c r="I175" s="33">
        <v>12079</v>
      </c>
      <c r="J175" s="33">
        <v>12079</v>
      </c>
      <c r="K175">
        <v>0</v>
      </c>
      <c r="L175">
        <v>0</v>
      </c>
      <c r="M175">
        <v>0</v>
      </c>
    </row>
    <row r="176" spans="1:13">
      <c r="A176">
        <v>77</v>
      </c>
      <c r="B176" t="s">
        <v>676</v>
      </c>
      <c r="C176" t="s">
        <v>213</v>
      </c>
      <c r="E176" t="s">
        <v>127</v>
      </c>
      <c r="F176" s="33">
        <v>0</v>
      </c>
      <c r="G176">
        <v>0</v>
      </c>
      <c r="H176" s="33">
        <v>0</v>
      </c>
      <c r="I176" s="33">
        <v>3530000</v>
      </c>
      <c r="J176" s="33">
        <v>3530000</v>
      </c>
      <c r="K176" t="s">
        <v>606</v>
      </c>
      <c r="L176" t="s">
        <v>631</v>
      </c>
      <c r="M176" t="s">
        <v>612</v>
      </c>
    </row>
    <row r="177" spans="1:13">
      <c r="A177">
        <v>78</v>
      </c>
      <c r="B177" t="s">
        <v>676</v>
      </c>
      <c r="C177" t="s">
        <v>711</v>
      </c>
      <c r="E177" t="s">
        <v>129</v>
      </c>
      <c r="F177" s="33">
        <v>0</v>
      </c>
      <c r="G177">
        <v>0</v>
      </c>
      <c r="H177" s="33">
        <v>0</v>
      </c>
      <c r="I177" s="33">
        <v>1192340</v>
      </c>
      <c r="J177" s="33">
        <v>1192340</v>
      </c>
      <c r="K177" t="s">
        <v>606</v>
      </c>
      <c r="L177" t="s">
        <v>598</v>
      </c>
      <c r="M177" t="s">
        <v>616</v>
      </c>
    </row>
    <row r="178" spans="1:13">
      <c r="A178">
        <v>79</v>
      </c>
      <c r="B178" t="s">
        <v>676</v>
      </c>
      <c r="C178" t="s">
        <v>712</v>
      </c>
      <c r="E178" t="s">
        <v>161</v>
      </c>
      <c r="F178" s="33">
        <v>0</v>
      </c>
      <c r="G178">
        <v>0</v>
      </c>
      <c r="H178" s="33">
        <v>0</v>
      </c>
      <c r="I178" s="33">
        <v>15174</v>
      </c>
      <c r="J178" s="33">
        <v>15174</v>
      </c>
      <c r="K178">
        <v>0</v>
      </c>
      <c r="L178">
        <v>0</v>
      </c>
      <c r="M178">
        <v>0</v>
      </c>
    </row>
    <row r="179" spans="1:13">
      <c r="A179">
        <v>80</v>
      </c>
      <c r="B179" t="s">
        <v>676</v>
      </c>
      <c r="C179" t="s">
        <v>261</v>
      </c>
      <c r="E179" t="s">
        <v>127</v>
      </c>
      <c r="F179" s="33">
        <v>0</v>
      </c>
      <c r="G179">
        <v>0</v>
      </c>
      <c r="H179" s="33">
        <v>0</v>
      </c>
      <c r="I179" s="33">
        <v>713335</v>
      </c>
      <c r="J179" s="33">
        <v>713335</v>
      </c>
      <c r="K179" t="s">
        <v>606</v>
      </c>
      <c r="L179" t="s">
        <v>631</v>
      </c>
      <c r="M179" t="s">
        <v>612</v>
      </c>
    </row>
    <row r="180" spans="1:13">
      <c r="A180">
        <v>81</v>
      </c>
      <c r="B180" t="s">
        <v>676</v>
      </c>
      <c r="C180" t="s">
        <v>207</v>
      </c>
      <c r="E180" t="s">
        <v>131</v>
      </c>
      <c r="F180" s="33">
        <v>0</v>
      </c>
      <c r="G180">
        <v>0</v>
      </c>
      <c r="H180" s="33">
        <v>0</v>
      </c>
      <c r="I180" s="33">
        <v>4303111</v>
      </c>
      <c r="J180" s="33">
        <v>4303111</v>
      </c>
      <c r="K180" t="s">
        <v>606</v>
      </c>
      <c r="L180" t="s">
        <v>598</v>
      </c>
      <c r="M180" t="s">
        <v>616</v>
      </c>
    </row>
    <row r="181" spans="1:13">
      <c r="A181">
        <v>82</v>
      </c>
      <c r="B181" t="s">
        <v>676</v>
      </c>
      <c r="C181" t="s">
        <v>713</v>
      </c>
      <c r="E181" t="s">
        <v>127</v>
      </c>
      <c r="F181" s="33">
        <v>0</v>
      </c>
      <c r="G181">
        <v>0</v>
      </c>
      <c r="H181" s="33">
        <v>0</v>
      </c>
      <c r="I181" s="33">
        <v>36870000</v>
      </c>
      <c r="J181" s="33">
        <v>36870000</v>
      </c>
      <c r="K181" t="s">
        <v>606</v>
      </c>
      <c r="L181" t="s">
        <v>598</v>
      </c>
      <c r="M181" t="s">
        <v>616</v>
      </c>
    </row>
    <row r="183" spans="1:13">
      <c r="A183" t="s">
        <v>565</v>
      </c>
    </row>
    <row r="184" spans="1:13">
      <c r="A184" t="s">
        <v>566</v>
      </c>
    </row>
    <row r="185" spans="1:13">
      <c r="A185" t="s">
        <v>567</v>
      </c>
    </row>
    <row r="186" spans="1:13">
      <c r="A186" t="s">
        <v>568</v>
      </c>
    </row>
    <row r="187" spans="1:13">
      <c r="A187" t="s">
        <v>670</v>
      </c>
    </row>
    <row r="188" spans="1:13">
      <c r="A188" t="s">
        <v>671</v>
      </c>
    </row>
    <row r="189" spans="1:13">
      <c r="A189" t="s">
        <v>714</v>
      </c>
    </row>
    <row r="190" spans="1:13">
      <c r="A190" t="s">
        <v>715</v>
      </c>
    </row>
    <row r="191" spans="1:13">
      <c r="A191" t="s">
        <v>572</v>
      </c>
    </row>
    <row r="193" spans="1:10">
      <c r="A193" t="s">
        <v>22</v>
      </c>
      <c r="B193" t="s">
        <v>573</v>
      </c>
      <c r="C193" t="s">
        <v>574</v>
      </c>
      <c r="D193" t="s">
        <v>575</v>
      </c>
    </row>
    <row r="194" spans="1:10">
      <c r="A194" t="s">
        <v>576</v>
      </c>
      <c r="B194" t="s">
        <v>123</v>
      </c>
      <c r="C194" t="s">
        <v>577</v>
      </c>
    </row>
    <row r="195" spans="1:10">
      <c r="A195" t="s">
        <v>578</v>
      </c>
      <c r="B195" t="s">
        <v>579</v>
      </c>
    </row>
    <row r="196" spans="1:10">
      <c r="A196" t="s">
        <v>580</v>
      </c>
      <c r="B196" t="s">
        <v>581</v>
      </c>
    </row>
    <row r="197" spans="1:10">
      <c r="A197" t="s">
        <v>582</v>
      </c>
      <c r="B197" t="s">
        <v>583</v>
      </c>
    </row>
    <row r="198" spans="1:10">
      <c r="A198" t="s">
        <v>584</v>
      </c>
      <c r="B198" t="s">
        <v>585</v>
      </c>
    </row>
    <row r="199" spans="1:10">
      <c r="A199" t="s">
        <v>584</v>
      </c>
    </row>
    <row r="200" spans="1:10">
      <c r="A200">
        <v>1</v>
      </c>
      <c r="B200" t="s">
        <v>676</v>
      </c>
      <c r="C200" t="s">
        <v>716</v>
      </c>
      <c r="E200" t="s">
        <v>131</v>
      </c>
      <c r="F200" s="33">
        <v>0</v>
      </c>
      <c r="G200">
        <v>0</v>
      </c>
      <c r="H200" s="33">
        <v>0</v>
      </c>
      <c r="I200" s="33">
        <v>147308</v>
      </c>
      <c r="J200" s="33">
        <v>147308</v>
      </c>
    </row>
    <row r="201" spans="1:10">
      <c r="A201">
        <v>2</v>
      </c>
      <c r="B201" t="s">
        <v>676</v>
      </c>
      <c r="C201" t="s">
        <v>208</v>
      </c>
      <c r="E201" t="s">
        <v>127</v>
      </c>
      <c r="F201" s="33">
        <v>0</v>
      </c>
      <c r="G201">
        <v>0</v>
      </c>
      <c r="H201" s="33">
        <v>0</v>
      </c>
      <c r="I201" s="33">
        <v>4271262</v>
      </c>
      <c r="J201" s="33">
        <v>4271262</v>
      </c>
    </row>
    <row r="202" spans="1:10">
      <c r="A202">
        <v>3</v>
      </c>
      <c r="B202" t="s">
        <v>676</v>
      </c>
      <c r="C202" t="s">
        <v>717</v>
      </c>
      <c r="E202" t="s">
        <v>127</v>
      </c>
      <c r="F202" s="33">
        <v>0</v>
      </c>
      <c r="G202">
        <v>0</v>
      </c>
      <c r="H202" s="33">
        <v>0</v>
      </c>
      <c r="I202" s="33">
        <v>2861</v>
      </c>
      <c r="J202" s="33">
        <v>2861</v>
      </c>
    </row>
    <row r="203" spans="1:10">
      <c r="A203">
        <v>4</v>
      </c>
      <c r="B203" t="s">
        <v>676</v>
      </c>
      <c r="C203" t="s">
        <v>329</v>
      </c>
      <c r="E203" t="s">
        <v>127</v>
      </c>
      <c r="F203" s="33">
        <v>0</v>
      </c>
      <c r="G203">
        <v>0</v>
      </c>
      <c r="H203" s="33">
        <v>0</v>
      </c>
      <c r="I203" s="33">
        <v>22698</v>
      </c>
      <c r="J203" s="33">
        <v>22698</v>
      </c>
    </row>
    <row r="204" spans="1:10">
      <c r="A204">
        <v>5</v>
      </c>
      <c r="B204" t="s">
        <v>676</v>
      </c>
      <c r="C204" t="s">
        <v>718</v>
      </c>
      <c r="E204" t="s">
        <v>131</v>
      </c>
      <c r="F204" s="33">
        <v>0</v>
      </c>
      <c r="G204">
        <v>0</v>
      </c>
      <c r="H204" s="33">
        <v>0</v>
      </c>
      <c r="I204" s="33">
        <v>87271</v>
      </c>
      <c r="J204" s="33">
        <v>87271</v>
      </c>
    </row>
    <row r="205" spans="1:10">
      <c r="A205">
        <v>6</v>
      </c>
      <c r="B205" t="s">
        <v>676</v>
      </c>
      <c r="C205" t="s">
        <v>223</v>
      </c>
      <c r="E205" t="s">
        <v>154</v>
      </c>
      <c r="F205" s="33">
        <v>0</v>
      </c>
      <c r="G205">
        <v>0</v>
      </c>
      <c r="H205" s="33">
        <v>0</v>
      </c>
      <c r="I205" s="33">
        <v>2931643</v>
      </c>
      <c r="J205" s="33">
        <v>2931643</v>
      </c>
    </row>
    <row r="206" spans="1:10">
      <c r="A206">
        <v>7</v>
      </c>
      <c r="B206" t="s">
        <v>676</v>
      </c>
      <c r="C206" t="s">
        <v>719</v>
      </c>
      <c r="E206" t="s">
        <v>191</v>
      </c>
      <c r="F206" s="33">
        <v>0</v>
      </c>
      <c r="G206">
        <v>0</v>
      </c>
      <c r="H206" s="33">
        <v>0</v>
      </c>
      <c r="I206" s="33">
        <v>274390</v>
      </c>
      <c r="J206" s="33">
        <v>274390</v>
      </c>
    </row>
    <row r="207" spans="1:10">
      <c r="A207">
        <v>8</v>
      </c>
      <c r="B207" t="s">
        <v>676</v>
      </c>
      <c r="C207" t="s">
        <v>720</v>
      </c>
      <c r="E207" t="s">
        <v>154</v>
      </c>
      <c r="F207" s="33">
        <v>0</v>
      </c>
      <c r="G207">
        <v>0</v>
      </c>
      <c r="H207" s="33">
        <v>0</v>
      </c>
      <c r="I207" s="33">
        <v>4992</v>
      </c>
      <c r="J207" s="33">
        <v>4992</v>
      </c>
    </row>
    <row r="208" spans="1:10">
      <c r="A208">
        <v>9</v>
      </c>
      <c r="B208" t="s">
        <v>676</v>
      </c>
      <c r="C208" t="s">
        <v>176</v>
      </c>
      <c r="E208" t="s">
        <v>129</v>
      </c>
      <c r="F208" s="33">
        <v>0</v>
      </c>
      <c r="G208">
        <v>0</v>
      </c>
      <c r="H208" s="33">
        <v>0</v>
      </c>
      <c r="I208" s="33">
        <v>14917516</v>
      </c>
      <c r="J208" s="33">
        <v>14917516</v>
      </c>
    </row>
    <row r="209" spans="1:10">
      <c r="A209">
        <v>10</v>
      </c>
      <c r="B209" t="s">
        <v>676</v>
      </c>
      <c r="C209" t="s">
        <v>721</v>
      </c>
      <c r="E209" t="s">
        <v>131</v>
      </c>
      <c r="F209" s="33">
        <v>0</v>
      </c>
      <c r="G209">
        <v>0</v>
      </c>
      <c r="H209" s="33">
        <v>0</v>
      </c>
      <c r="I209" s="33">
        <v>21179</v>
      </c>
      <c r="J209" s="33">
        <v>21179</v>
      </c>
    </row>
    <row r="210" spans="1:10">
      <c r="A210">
        <v>11</v>
      </c>
      <c r="B210" t="s">
        <v>676</v>
      </c>
      <c r="C210" t="s">
        <v>246</v>
      </c>
      <c r="E210" t="s">
        <v>131</v>
      </c>
      <c r="F210" s="33">
        <v>0</v>
      </c>
      <c r="G210">
        <v>0</v>
      </c>
      <c r="H210" s="33">
        <v>0</v>
      </c>
      <c r="I210" s="33">
        <v>1330193</v>
      </c>
      <c r="J210" s="33">
        <v>1330193</v>
      </c>
    </row>
    <row r="211" spans="1:10">
      <c r="A211">
        <v>12</v>
      </c>
      <c r="B211" t="s">
        <v>676</v>
      </c>
      <c r="C211" t="s">
        <v>298</v>
      </c>
      <c r="E211" t="s">
        <v>136</v>
      </c>
      <c r="F211" s="33">
        <v>0</v>
      </c>
      <c r="G211">
        <v>0</v>
      </c>
      <c r="H211" s="33">
        <v>0</v>
      </c>
      <c r="I211" s="33">
        <v>144214</v>
      </c>
      <c r="J211" s="33">
        <v>144214</v>
      </c>
    </row>
    <row r="212" spans="1:10">
      <c r="A212">
        <v>13</v>
      </c>
      <c r="B212" t="s">
        <v>676</v>
      </c>
      <c r="C212" t="s">
        <v>358</v>
      </c>
      <c r="E212" t="s">
        <v>131</v>
      </c>
      <c r="F212" s="33">
        <v>0</v>
      </c>
      <c r="G212">
        <v>0</v>
      </c>
      <c r="H212" s="33">
        <v>0</v>
      </c>
      <c r="I212" s="33">
        <v>0</v>
      </c>
      <c r="J212" s="33">
        <v>0</v>
      </c>
    </row>
    <row r="213" spans="1:10">
      <c r="A213">
        <v>14</v>
      </c>
      <c r="B213" t="s">
        <v>676</v>
      </c>
      <c r="C213" t="s">
        <v>265</v>
      </c>
      <c r="E213" t="s">
        <v>131</v>
      </c>
      <c r="F213" s="33">
        <v>0</v>
      </c>
      <c r="G213">
        <v>0</v>
      </c>
      <c r="H213" s="33">
        <v>0</v>
      </c>
      <c r="I213" s="33">
        <v>670573</v>
      </c>
      <c r="J213" s="33">
        <v>670573</v>
      </c>
    </row>
    <row r="214" spans="1:10">
      <c r="A214">
        <v>15</v>
      </c>
      <c r="B214" t="s">
        <v>676</v>
      </c>
      <c r="C214" t="s">
        <v>722</v>
      </c>
      <c r="E214" t="s">
        <v>131</v>
      </c>
      <c r="F214" s="33">
        <v>0</v>
      </c>
      <c r="G214">
        <v>0</v>
      </c>
      <c r="H214" s="33">
        <v>0</v>
      </c>
      <c r="I214" s="33">
        <v>120000</v>
      </c>
      <c r="J214" s="33">
        <v>120000</v>
      </c>
    </row>
    <row r="215" spans="1:10">
      <c r="A215">
        <v>16</v>
      </c>
      <c r="B215" t="s">
        <v>676</v>
      </c>
      <c r="C215" t="s">
        <v>723</v>
      </c>
      <c r="E215" t="s">
        <v>131</v>
      </c>
      <c r="F215" s="33">
        <v>0</v>
      </c>
      <c r="G215">
        <v>0</v>
      </c>
      <c r="H215" s="33">
        <v>0</v>
      </c>
      <c r="I215" s="33">
        <v>251733</v>
      </c>
      <c r="J215" s="33">
        <v>251733</v>
      </c>
    </row>
    <row r="216" spans="1:10">
      <c r="A216">
        <v>17</v>
      </c>
      <c r="B216" t="s">
        <v>676</v>
      </c>
      <c r="C216" t="s">
        <v>724</v>
      </c>
      <c r="E216" t="s">
        <v>136</v>
      </c>
      <c r="F216" s="33">
        <v>0</v>
      </c>
      <c r="G216">
        <v>0</v>
      </c>
      <c r="H216" s="33">
        <v>0</v>
      </c>
      <c r="I216" s="33">
        <v>160000</v>
      </c>
      <c r="J216" s="33">
        <v>160000</v>
      </c>
    </row>
    <row r="217" spans="1:10">
      <c r="A217">
        <v>18</v>
      </c>
      <c r="B217" t="s">
        <v>676</v>
      </c>
      <c r="C217" t="s">
        <v>725</v>
      </c>
      <c r="E217" t="s">
        <v>136</v>
      </c>
      <c r="F217" s="33">
        <v>0</v>
      </c>
      <c r="G217">
        <v>0</v>
      </c>
      <c r="H217" s="33">
        <v>0</v>
      </c>
      <c r="I217" s="33">
        <v>5350000</v>
      </c>
      <c r="J217" s="33">
        <v>5350000</v>
      </c>
    </row>
    <row r="218" spans="1:10">
      <c r="A218">
        <v>19</v>
      </c>
      <c r="B218" t="s">
        <v>676</v>
      </c>
      <c r="C218" t="s">
        <v>239</v>
      </c>
      <c r="E218" t="s">
        <v>131</v>
      </c>
      <c r="F218" s="33">
        <v>0</v>
      </c>
      <c r="G218">
        <v>0</v>
      </c>
      <c r="H218" s="33">
        <v>0</v>
      </c>
      <c r="I218" s="33">
        <v>1655606</v>
      </c>
      <c r="J218" s="33">
        <v>1655606</v>
      </c>
    </row>
    <row r="219" spans="1:10">
      <c r="A219">
        <v>20</v>
      </c>
      <c r="B219" t="s">
        <v>676</v>
      </c>
      <c r="C219" t="s">
        <v>210</v>
      </c>
      <c r="E219" t="s">
        <v>131</v>
      </c>
      <c r="F219" s="33">
        <v>0</v>
      </c>
      <c r="G219">
        <v>0</v>
      </c>
      <c r="H219" s="33">
        <v>0</v>
      </c>
      <c r="I219" s="33">
        <v>4132253</v>
      </c>
      <c r="J219" s="33">
        <v>4132253</v>
      </c>
    </row>
    <row r="220" spans="1:10">
      <c r="A220">
        <v>21</v>
      </c>
      <c r="B220" t="s">
        <v>676</v>
      </c>
      <c r="C220" t="s">
        <v>726</v>
      </c>
      <c r="E220" t="s">
        <v>131</v>
      </c>
      <c r="F220" s="33">
        <v>0</v>
      </c>
      <c r="G220">
        <v>0</v>
      </c>
      <c r="H220" s="33">
        <v>0</v>
      </c>
      <c r="I220" s="33">
        <v>0</v>
      </c>
      <c r="J220" s="33">
        <v>0</v>
      </c>
    </row>
    <row r="221" spans="1:10">
      <c r="A221">
        <v>22</v>
      </c>
      <c r="B221" t="s">
        <v>676</v>
      </c>
      <c r="C221" t="s">
        <v>727</v>
      </c>
      <c r="E221" t="s">
        <v>191</v>
      </c>
      <c r="F221" s="33">
        <v>0</v>
      </c>
      <c r="G221">
        <v>0</v>
      </c>
      <c r="H221" s="33">
        <v>0</v>
      </c>
      <c r="I221" s="33">
        <v>320000</v>
      </c>
      <c r="J221" s="33">
        <v>320000</v>
      </c>
    </row>
    <row r="222" spans="1:10">
      <c r="A222">
        <v>23</v>
      </c>
      <c r="B222" t="s">
        <v>676</v>
      </c>
      <c r="C222" t="s">
        <v>728</v>
      </c>
      <c r="E222" t="s">
        <v>131</v>
      </c>
      <c r="F222" s="33">
        <v>0</v>
      </c>
      <c r="G222">
        <v>0</v>
      </c>
      <c r="H222" s="33">
        <v>0</v>
      </c>
      <c r="I222" s="33">
        <v>5214</v>
      </c>
      <c r="J222" s="33">
        <v>5214</v>
      </c>
    </row>
    <row r="223" spans="1:10">
      <c r="A223">
        <v>24</v>
      </c>
      <c r="B223" t="s">
        <v>676</v>
      </c>
      <c r="C223" t="s">
        <v>729</v>
      </c>
      <c r="E223" t="s">
        <v>131</v>
      </c>
      <c r="F223" s="33">
        <v>0</v>
      </c>
      <c r="G223">
        <v>0</v>
      </c>
      <c r="H223" s="33">
        <v>0</v>
      </c>
      <c r="I223" s="33">
        <v>68555</v>
      </c>
      <c r="J223" s="33">
        <v>68555</v>
      </c>
    </row>
    <row r="224" spans="1:10">
      <c r="A224">
        <v>25</v>
      </c>
      <c r="B224" t="s">
        <v>676</v>
      </c>
      <c r="C224" t="s">
        <v>275</v>
      </c>
      <c r="E224" t="s">
        <v>136</v>
      </c>
      <c r="F224" s="33">
        <v>0</v>
      </c>
      <c r="G224">
        <v>0</v>
      </c>
      <c r="H224" s="33">
        <v>0</v>
      </c>
      <c r="I224" s="33">
        <v>461674</v>
      </c>
      <c r="J224" s="33">
        <v>461674</v>
      </c>
    </row>
    <row r="225" spans="1:10">
      <c r="A225">
        <v>26</v>
      </c>
      <c r="B225" t="s">
        <v>676</v>
      </c>
      <c r="C225" t="s">
        <v>730</v>
      </c>
      <c r="E225" t="s">
        <v>131</v>
      </c>
      <c r="F225" s="33">
        <v>0</v>
      </c>
      <c r="G225">
        <v>0</v>
      </c>
      <c r="H225" s="33">
        <v>0</v>
      </c>
      <c r="I225" s="33">
        <v>58423</v>
      </c>
      <c r="J225" s="33">
        <v>58423</v>
      </c>
    </row>
    <row r="226" spans="1:10">
      <c r="A226">
        <v>27</v>
      </c>
      <c r="B226" t="s">
        <v>676</v>
      </c>
      <c r="C226" t="s">
        <v>731</v>
      </c>
      <c r="E226" t="s">
        <v>131</v>
      </c>
      <c r="F226" s="33">
        <v>0</v>
      </c>
      <c r="G226">
        <v>0</v>
      </c>
      <c r="H226" s="33">
        <v>0</v>
      </c>
      <c r="I226" s="33">
        <v>8823</v>
      </c>
      <c r="J226" s="33">
        <v>8823</v>
      </c>
    </row>
    <row r="227" spans="1:10">
      <c r="A227">
        <v>28</v>
      </c>
      <c r="B227" t="s">
        <v>676</v>
      </c>
      <c r="C227" t="s">
        <v>732</v>
      </c>
      <c r="E227" t="s">
        <v>131</v>
      </c>
      <c r="F227" s="33">
        <v>0</v>
      </c>
      <c r="G227">
        <v>0</v>
      </c>
      <c r="H227" s="33">
        <v>0</v>
      </c>
      <c r="I227" s="33">
        <v>181959</v>
      </c>
      <c r="J227" s="33">
        <v>181959</v>
      </c>
    </row>
    <row r="228" spans="1:10">
      <c r="A228">
        <v>29</v>
      </c>
      <c r="B228" t="s">
        <v>676</v>
      </c>
      <c r="C228" t="s">
        <v>733</v>
      </c>
      <c r="E228" t="s">
        <v>127</v>
      </c>
      <c r="F228" s="33">
        <v>0</v>
      </c>
      <c r="G228">
        <v>0</v>
      </c>
      <c r="H228" s="33">
        <v>0</v>
      </c>
      <c r="I228" s="33">
        <v>15837</v>
      </c>
      <c r="J228" s="33">
        <v>15837</v>
      </c>
    </row>
    <row r="229" spans="1:10">
      <c r="A229">
        <v>30</v>
      </c>
      <c r="B229" t="s">
        <v>676</v>
      </c>
      <c r="C229" t="s">
        <v>734</v>
      </c>
      <c r="E229" t="s">
        <v>191</v>
      </c>
      <c r="F229" s="33">
        <v>0</v>
      </c>
      <c r="G229">
        <v>0</v>
      </c>
      <c r="H229" s="33">
        <v>0</v>
      </c>
      <c r="I229" s="33">
        <v>321704</v>
      </c>
      <c r="J229" s="33">
        <v>321704</v>
      </c>
    </row>
    <row r="230" spans="1:10">
      <c r="A230">
        <v>31</v>
      </c>
      <c r="B230" t="s">
        <v>676</v>
      </c>
      <c r="C230" t="s">
        <v>735</v>
      </c>
      <c r="E230" t="s">
        <v>127</v>
      </c>
      <c r="F230" s="33">
        <v>0</v>
      </c>
      <c r="G230">
        <v>0</v>
      </c>
      <c r="H230" s="33">
        <v>0</v>
      </c>
      <c r="I230" s="33">
        <v>0</v>
      </c>
      <c r="J230" s="33">
        <v>0</v>
      </c>
    </row>
    <row r="231" spans="1:10">
      <c r="A231">
        <v>32</v>
      </c>
      <c r="B231" t="s">
        <v>676</v>
      </c>
      <c r="C231" t="s">
        <v>736</v>
      </c>
      <c r="E231" t="s">
        <v>131</v>
      </c>
      <c r="F231" s="33">
        <v>0</v>
      </c>
      <c r="G231">
        <v>0</v>
      </c>
      <c r="H231" s="33">
        <v>0</v>
      </c>
      <c r="I231" s="33">
        <v>10000</v>
      </c>
      <c r="J231" s="33">
        <v>10000</v>
      </c>
    </row>
    <row r="232" spans="1:10">
      <c r="A232">
        <v>33</v>
      </c>
      <c r="B232" t="s">
        <v>676</v>
      </c>
      <c r="C232" t="s">
        <v>263</v>
      </c>
      <c r="E232" t="s">
        <v>264</v>
      </c>
      <c r="F232" s="33">
        <v>0</v>
      </c>
      <c r="G232">
        <v>0</v>
      </c>
      <c r="H232" s="33">
        <v>0</v>
      </c>
      <c r="I232" s="33">
        <v>696580</v>
      </c>
      <c r="J232" s="33">
        <v>696580</v>
      </c>
    </row>
    <row r="233" spans="1:10">
      <c r="A233">
        <v>34</v>
      </c>
      <c r="B233" t="s">
        <v>676</v>
      </c>
      <c r="C233" t="s">
        <v>270</v>
      </c>
      <c r="E233" t="s">
        <v>136</v>
      </c>
      <c r="F233" s="33">
        <v>0</v>
      </c>
      <c r="G233">
        <v>0</v>
      </c>
      <c r="H233" s="33">
        <v>0</v>
      </c>
      <c r="I233" s="33">
        <v>519018</v>
      </c>
      <c r="J233" s="33">
        <v>519018</v>
      </c>
    </row>
    <row r="234" spans="1:10">
      <c r="A234">
        <v>35</v>
      </c>
      <c r="B234" t="s">
        <v>676</v>
      </c>
      <c r="C234" t="s">
        <v>737</v>
      </c>
      <c r="E234" t="s">
        <v>131</v>
      </c>
      <c r="F234" s="33">
        <v>0</v>
      </c>
      <c r="G234">
        <v>0</v>
      </c>
      <c r="H234" s="33">
        <v>0</v>
      </c>
      <c r="I234" s="33">
        <v>37538</v>
      </c>
      <c r="J234" s="33">
        <v>37538</v>
      </c>
    </row>
    <row r="235" spans="1:10">
      <c r="A235">
        <v>36</v>
      </c>
      <c r="B235" t="s">
        <v>676</v>
      </c>
      <c r="C235" t="s">
        <v>738</v>
      </c>
      <c r="E235" t="s">
        <v>129</v>
      </c>
      <c r="F235" s="33">
        <v>0</v>
      </c>
      <c r="G235">
        <v>0</v>
      </c>
      <c r="H235" s="33">
        <v>0</v>
      </c>
      <c r="I235" s="33">
        <v>50000</v>
      </c>
      <c r="J235" s="33">
        <v>50000</v>
      </c>
    </row>
    <row r="236" spans="1:10">
      <c r="A236">
        <v>37</v>
      </c>
      <c r="B236" t="s">
        <v>676</v>
      </c>
      <c r="C236" t="s">
        <v>739</v>
      </c>
      <c r="E236" t="s">
        <v>131</v>
      </c>
      <c r="F236" s="33">
        <v>0</v>
      </c>
      <c r="G236">
        <v>0</v>
      </c>
      <c r="H236" s="33">
        <v>0</v>
      </c>
      <c r="I236" s="33">
        <v>20676</v>
      </c>
      <c r="J236" s="33">
        <v>20676</v>
      </c>
    </row>
    <row r="237" spans="1:10">
      <c r="A237">
        <v>38</v>
      </c>
      <c r="B237" t="s">
        <v>676</v>
      </c>
      <c r="C237" t="s">
        <v>740</v>
      </c>
      <c r="E237" t="s">
        <v>131</v>
      </c>
      <c r="F237" s="33">
        <v>0</v>
      </c>
      <c r="G237">
        <v>0</v>
      </c>
      <c r="H237" s="33">
        <v>0</v>
      </c>
      <c r="I237" s="33">
        <v>810000</v>
      </c>
      <c r="J237" s="33">
        <v>810000</v>
      </c>
    </row>
    <row r="238" spans="1:10">
      <c r="A238">
        <v>39</v>
      </c>
      <c r="B238" t="s">
        <v>676</v>
      </c>
      <c r="C238" t="s">
        <v>178</v>
      </c>
      <c r="E238" t="s">
        <v>127</v>
      </c>
      <c r="F238" s="33">
        <v>0</v>
      </c>
      <c r="G238">
        <v>0</v>
      </c>
      <c r="H238" s="33">
        <v>0</v>
      </c>
      <c r="I238" s="33">
        <v>11840495</v>
      </c>
      <c r="J238" s="33">
        <v>11840495</v>
      </c>
    </row>
    <row r="239" spans="1:10">
      <c r="A239">
        <v>40</v>
      </c>
      <c r="B239" t="s">
        <v>676</v>
      </c>
      <c r="C239" t="s">
        <v>741</v>
      </c>
      <c r="F239" s="33">
        <v>0</v>
      </c>
      <c r="G239">
        <v>0</v>
      </c>
      <c r="H239" s="33">
        <v>0</v>
      </c>
      <c r="I239" s="33">
        <v>1804</v>
      </c>
      <c r="J239" s="33">
        <v>1804</v>
      </c>
    </row>
    <row r="240" spans="1:10">
      <c r="A240">
        <v>41</v>
      </c>
      <c r="B240" t="s">
        <v>676</v>
      </c>
      <c r="C240" t="s">
        <v>262</v>
      </c>
      <c r="E240" t="s">
        <v>131</v>
      </c>
      <c r="F240" s="33">
        <v>0</v>
      </c>
      <c r="G240">
        <v>0</v>
      </c>
      <c r="H240" s="33">
        <v>0</v>
      </c>
      <c r="I240" s="33">
        <v>710023</v>
      </c>
      <c r="J240" s="33">
        <v>710023</v>
      </c>
    </row>
    <row r="241" spans="1:10">
      <c r="A241">
        <v>42</v>
      </c>
      <c r="B241" t="s">
        <v>676</v>
      </c>
      <c r="C241" t="s">
        <v>742</v>
      </c>
      <c r="E241" t="s">
        <v>131</v>
      </c>
      <c r="F241" s="33">
        <v>0</v>
      </c>
      <c r="G241">
        <v>0</v>
      </c>
      <c r="H241" s="33">
        <v>0</v>
      </c>
      <c r="I241" s="33">
        <v>900000</v>
      </c>
      <c r="J241" s="33">
        <v>900000</v>
      </c>
    </row>
    <row r="242" spans="1:10">
      <c r="A242">
        <v>43</v>
      </c>
      <c r="B242" t="s">
        <v>676</v>
      </c>
      <c r="C242" t="s">
        <v>218</v>
      </c>
      <c r="E242" t="s">
        <v>131</v>
      </c>
      <c r="F242" s="33">
        <v>0</v>
      </c>
      <c r="G242">
        <v>0</v>
      </c>
      <c r="H242" s="33">
        <v>0</v>
      </c>
      <c r="I242" s="33">
        <v>3282749</v>
      </c>
      <c r="J242" s="33">
        <v>3282749</v>
      </c>
    </row>
    <row r="243" spans="1:10">
      <c r="A243">
        <v>44</v>
      </c>
      <c r="B243" t="s">
        <v>676</v>
      </c>
      <c r="C243" t="s">
        <v>160</v>
      </c>
      <c r="E243" t="s">
        <v>161</v>
      </c>
      <c r="F243" s="33">
        <v>0</v>
      </c>
      <c r="G243">
        <v>0</v>
      </c>
      <c r="H243" s="33">
        <v>0</v>
      </c>
      <c r="I243" s="33">
        <v>32007144</v>
      </c>
      <c r="J243" s="33">
        <v>32007144</v>
      </c>
    </row>
    <row r="244" spans="1:10">
      <c r="A244">
        <v>45</v>
      </c>
      <c r="B244" t="s">
        <v>676</v>
      </c>
      <c r="C244" t="s">
        <v>743</v>
      </c>
      <c r="E244" t="s">
        <v>131</v>
      </c>
      <c r="F244" s="33">
        <v>0</v>
      </c>
      <c r="G244">
        <v>0</v>
      </c>
      <c r="H244" s="33">
        <v>0</v>
      </c>
      <c r="I244" s="33">
        <v>130000</v>
      </c>
      <c r="J244" s="33">
        <v>130000</v>
      </c>
    </row>
    <row r="245" spans="1:10">
      <c r="A245">
        <v>46</v>
      </c>
      <c r="B245" t="s">
        <v>676</v>
      </c>
      <c r="C245" t="s">
        <v>269</v>
      </c>
      <c r="E245" t="s">
        <v>131</v>
      </c>
      <c r="F245" s="33">
        <v>0</v>
      </c>
      <c r="G245">
        <v>0</v>
      </c>
      <c r="H245" s="33">
        <v>0</v>
      </c>
      <c r="I245" s="33">
        <v>521939</v>
      </c>
      <c r="J245" s="33">
        <v>521939</v>
      </c>
    </row>
    <row r="246" spans="1:10">
      <c r="A246">
        <v>47</v>
      </c>
      <c r="B246" t="s">
        <v>676</v>
      </c>
      <c r="C246" t="s">
        <v>282</v>
      </c>
      <c r="E246" t="s">
        <v>129</v>
      </c>
      <c r="F246" s="33">
        <v>0</v>
      </c>
      <c r="G246">
        <v>0</v>
      </c>
      <c r="H246" s="33">
        <v>0</v>
      </c>
      <c r="I246" s="33">
        <v>320000</v>
      </c>
      <c r="J246" s="33">
        <v>320000</v>
      </c>
    </row>
    <row r="247" spans="1:10">
      <c r="A247">
        <v>48</v>
      </c>
      <c r="B247" t="s">
        <v>676</v>
      </c>
      <c r="C247" t="s">
        <v>296</v>
      </c>
      <c r="E247" t="s">
        <v>131</v>
      </c>
      <c r="F247" s="33">
        <v>0</v>
      </c>
      <c r="G247">
        <v>0</v>
      </c>
      <c r="H247" s="33">
        <v>0</v>
      </c>
      <c r="I247" s="33">
        <v>158527</v>
      </c>
      <c r="J247" s="33">
        <v>158527</v>
      </c>
    </row>
    <row r="248" spans="1:10">
      <c r="A248">
        <v>49</v>
      </c>
      <c r="B248" t="s">
        <v>676</v>
      </c>
      <c r="C248" t="s">
        <v>744</v>
      </c>
      <c r="E248" t="s">
        <v>136</v>
      </c>
      <c r="F248" s="33">
        <v>0</v>
      </c>
      <c r="G248">
        <v>0</v>
      </c>
      <c r="H248" s="33">
        <v>0</v>
      </c>
      <c r="I248" s="33">
        <v>200000</v>
      </c>
      <c r="J248" s="33">
        <v>200000</v>
      </c>
    </row>
    <row r="249" spans="1:10">
      <c r="A249">
        <v>50</v>
      </c>
      <c r="B249" t="s">
        <v>676</v>
      </c>
      <c r="C249" t="s">
        <v>745</v>
      </c>
      <c r="E249" t="s">
        <v>131</v>
      </c>
      <c r="F249" s="33">
        <v>0</v>
      </c>
      <c r="G249">
        <v>0</v>
      </c>
      <c r="H249" s="33">
        <v>0</v>
      </c>
      <c r="I249" s="33">
        <v>6104</v>
      </c>
      <c r="J249" s="33">
        <v>6104</v>
      </c>
    </row>
    <row r="251" spans="1:10">
      <c r="A251" t="s">
        <v>564</v>
      </c>
    </row>
    <row r="252" spans="1:10">
      <c r="A252" t="s">
        <v>565</v>
      </c>
    </row>
    <row r="253" spans="1:10">
      <c r="A253" t="s">
        <v>566</v>
      </c>
    </row>
    <row r="254" spans="1:10">
      <c r="A254" t="s">
        <v>567</v>
      </c>
    </row>
    <row r="255" spans="1:10">
      <c r="A255" t="s">
        <v>568</v>
      </c>
    </row>
    <row r="256" spans="1:10">
      <c r="A256" t="s">
        <v>670</v>
      </c>
    </row>
    <row r="257" spans="1:13">
      <c r="A257" t="s">
        <v>671</v>
      </c>
    </row>
    <row r="258" spans="1:13">
      <c r="A258" t="s">
        <v>746</v>
      </c>
    </row>
    <row r="259" spans="1:13">
      <c r="A259" t="s">
        <v>571</v>
      </c>
    </row>
    <row r="260" spans="1:13">
      <c r="A260" t="s">
        <v>572</v>
      </c>
    </row>
    <row r="262" spans="1:13" ht="43.75">
      <c r="A262" t="s">
        <v>584</v>
      </c>
      <c r="C262" s="34" t="s">
        <v>574</v>
      </c>
      <c r="D262" s="34" t="s">
        <v>586</v>
      </c>
      <c r="E262" s="34" t="s">
        <v>123</v>
      </c>
      <c r="F262" s="34" t="s">
        <v>124</v>
      </c>
      <c r="G262" s="34" t="s">
        <v>587</v>
      </c>
      <c r="H262" s="34" t="s">
        <v>588</v>
      </c>
      <c r="I262" s="34" t="s">
        <v>589</v>
      </c>
      <c r="J262" s="34" t="s">
        <v>590</v>
      </c>
      <c r="K262" s="34" t="s">
        <v>591</v>
      </c>
      <c r="L262" t="s">
        <v>592</v>
      </c>
      <c r="M262" t="s">
        <v>593</v>
      </c>
    </row>
    <row r="263" spans="1:13">
      <c r="A263">
        <v>1</v>
      </c>
      <c r="B263" t="s">
        <v>747</v>
      </c>
      <c r="C263" t="s">
        <v>186</v>
      </c>
      <c r="D263" t="s">
        <v>605</v>
      </c>
      <c r="E263" t="s">
        <v>129</v>
      </c>
      <c r="F263" s="33">
        <v>0</v>
      </c>
      <c r="G263">
        <v>130</v>
      </c>
      <c r="H263" s="33">
        <v>150481</v>
      </c>
      <c r="I263" s="33">
        <v>8568978</v>
      </c>
      <c r="J263" s="33">
        <v>8719459</v>
      </c>
      <c r="K263" t="s">
        <v>606</v>
      </c>
      <c r="L263" t="s">
        <v>598</v>
      </c>
      <c r="M263" t="s">
        <v>616</v>
      </c>
    </row>
    <row r="264" spans="1:13">
      <c r="A264">
        <v>2</v>
      </c>
      <c r="B264" t="s">
        <v>676</v>
      </c>
      <c r="C264" t="s">
        <v>337</v>
      </c>
      <c r="E264" t="s">
        <v>131</v>
      </c>
      <c r="F264" s="33">
        <v>0</v>
      </c>
      <c r="G264">
        <v>0</v>
      </c>
      <c r="H264" s="33">
        <v>0</v>
      </c>
      <c r="I264" s="33">
        <v>12432</v>
      </c>
      <c r="J264" s="33">
        <v>12432</v>
      </c>
      <c r="K264" t="s">
        <v>606</v>
      </c>
      <c r="L264" t="s">
        <v>598</v>
      </c>
      <c r="M264">
        <v>0</v>
      </c>
    </row>
    <row r="265" spans="1:13">
      <c r="A265">
        <v>3</v>
      </c>
      <c r="B265" t="s">
        <v>676</v>
      </c>
      <c r="C265" t="s">
        <v>748</v>
      </c>
      <c r="E265" t="s">
        <v>131</v>
      </c>
      <c r="F265" s="33">
        <v>0</v>
      </c>
      <c r="G265">
        <v>0</v>
      </c>
      <c r="H265" s="33">
        <v>0</v>
      </c>
      <c r="I265" s="33">
        <v>9120498</v>
      </c>
      <c r="J265" s="33">
        <v>9120498</v>
      </c>
      <c r="K265" t="s">
        <v>606</v>
      </c>
      <c r="L265" t="s">
        <v>598</v>
      </c>
      <c r="M265" t="s">
        <v>616</v>
      </c>
    </row>
    <row r="266" spans="1:13">
      <c r="A266">
        <v>4</v>
      </c>
      <c r="B266" t="s">
        <v>676</v>
      </c>
      <c r="C266" t="s">
        <v>749</v>
      </c>
      <c r="E266" t="s">
        <v>136</v>
      </c>
      <c r="F266" s="33">
        <v>0</v>
      </c>
      <c r="G266">
        <v>0</v>
      </c>
      <c r="H266" s="33">
        <v>0</v>
      </c>
      <c r="I266" s="33">
        <v>818921</v>
      </c>
      <c r="J266" s="33">
        <v>818921</v>
      </c>
      <c r="K266" t="s">
        <v>606</v>
      </c>
      <c r="L266" t="s">
        <v>598</v>
      </c>
      <c r="M266" t="s">
        <v>616</v>
      </c>
    </row>
    <row r="267" spans="1:13">
      <c r="A267">
        <v>5</v>
      </c>
      <c r="B267" t="s">
        <v>676</v>
      </c>
      <c r="C267" t="s">
        <v>177</v>
      </c>
      <c r="E267" t="s">
        <v>131</v>
      </c>
      <c r="F267" s="33">
        <v>0</v>
      </c>
      <c r="G267">
        <v>0</v>
      </c>
      <c r="H267" s="33">
        <v>0</v>
      </c>
      <c r="I267" s="33">
        <v>13994187</v>
      </c>
      <c r="J267" s="33">
        <v>13994187</v>
      </c>
      <c r="K267">
        <v>0</v>
      </c>
      <c r="L267" t="s">
        <v>598</v>
      </c>
      <c r="M267" t="s">
        <v>616</v>
      </c>
    </row>
    <row r="268" spans="1:13">
      <c r="A268">
        <v>6</v>
      </c>
      <c r="B268" t="s">
        <v>676</v>
      </c>
      <c r="C268" t="s">
        <v>200</v>
      </c>
      <c r="E268" t="s">
        <v>131</v>
      </c>
      <c r="F268" s="33">
        <v>0</v>
      </c>
      <c r="G268">
        <v>0</v>
      </c>
      <c r="H268" s="33">
        <v>0</v>
      </c>
      <c r="I268" s="33">
        <v>6225444</v>
      </c>
      <c r="J268" s="33">
        <v>6225444</v>
      </c>
      <c r="K268" t="s">
        <v>606</v>
      </c>
      <c r="L268" t="s">
        <v>598</v>
      </c>
      <c r="M268" t="s">
        <v>616</v>
      </c>
    </row>
    <row r="269" spans="1:13">
      <c r="A269">
        <v>7</v>
      </c>
      <c r="B269" t="s">
        <v>676</v>
      </c>
      <c r="C269" t="s">
        <v>156</v>
      </c>
      <c r="E269" t="s">
        <v>127</v>
      </c>
      <c r="F269" s="33">
        <v>0</v>
      </c>
      <c r="G269">
        <v>0</v>
      </c>
      <c r="H269" s="33">
        <v>0</v>
      </c>
      <c r="I269" s="33">
        <v>44553752</v>
      </c>
      <c r="J269" s="33">
        <v>44553752</v>
      </c>
      <c r="K269" t="s">
        <v>666</v>
      </c>
      <c r="L269" t="s">
        <v>631</v>
      </c>
      <c r="M269" t="s">
        <v>603</v>
      </c>
    </row>
    <row r="270" spans="1:13">
      <c r="A270">
        <v>8</v>
      </c>
      <c r="B270" t="s">
        <v>676</v>
      </c>
      <c r="C270" t="s">
        <v>254</v>
      </c>
      <c r="E270" t="s">
        <v>148</v>
      </c>
      <c r="F270" s="33">
        <v>0</v>
      </c>
      <c r="G270">
        <v>0</v>
      </c>
      <c r="H270" s="33">
        <v>0</v>
      </c>
      <c r="I270" s="33">
        <v>879592</v>
      </c>
      <c r="J270" s="33">
        <v>879592</v>
      </c>
      <c r="K270">
        <v>0</v>
      </c>
      <c r="L270" t="s">
        <v>631</v>
      </c>
      <c r="M270">
        <v>0</v>
      </c>
    </row>
    <row r="271" spans="1:13">
      <c r="A271">
        <v>9</v>
      </c>
      <c r="B271" t="s">
        <v>676</v>
      </c>
      <c r="C271" t="s">
        <v>175</v>
      </c>
      <c r="E271" t="s">
        <v>131</v>
      </c>
      <c r="F271" s="33">
        <v>0</v>
      </c>
      <c r="G271">
        <v>0</v>
      </c>
      <c r="H271" s="33">
        <v>0</v>
      </c>
      <c r="I271" s="33">
        <v>16841504</v>
      </c>
      <c r="J271" s="33">
        <v>16841504</v>
      </c>
      <c r="K271" t="s">
        <v>597</v>
      </c>
      <c r="L271" t="s">
        <v>598</v>
      </c>
      <c r="M271" t="s">
        <v>658</v>
      </c>
    </row>
    <row r="272" spans="1:13">
      <c r="A272">
        <v>10</v>
      </c>
      <c r="B272" t="s">
        <v>676</v>
      </c>
      <c r="C272" t="s">
        <v>293</v>
      </c>
      <c r="E272" t="s">
        <v>154</v>
      </c>
      <c r="F272" s="33">
        <v>0</v>
      </c>
      <c r="G272">
        <v>0</v>
      </c>
      <c r="H272" s="33">
        <v>0</v>
      </c>
      <c r="I272" s="33">
        <v>171605</v>
      </c>
      <c r="J272" s="33">
        <v>171605</v>
      </c>
      <c r="K272" t="s">
        <v>606</v>
      </c>
      <c r="L272" t="s">
        <v>598</v>
      </c>
      <c r="M272" t="s">
        <v>616</v>
      </c>
    </row>
    <row r="273" spans="1:13">
      <c r="A273">
        <v>11</v>
      </c>
      <c r="B273" t="s">
        <v>676</v>
      </c>
      <c r="C273" t="s">
        <v>199</v>
      </c>
      <c r="E273" t="s">
        <v>131</v>
      </c>
      <c r="F273" s="33">
        <v>0</v>
      </c>
      <c r="G273">
        <v>0</v>
      </c>
      <c r="H273" s="33">
        <v>0</v>
      </c>
      <c r="I273" s="33">
        <v>6780000</v>
      </c>
      <c r="J273" s="33">
        <v>6780000</v>
      </c>
      <c r="K273" t="s">
        <v>606</v>
      </c>
      <c r="L273" t="s">
        <v>598</v>
      </c>
      <c r="M273" t="s">
        <v>616</v>
      </c>
    </row>
    <row r="274" spans="1:13">
      <c r="A274">
        <v>12</v>
      </c>
      <c r="B274" t="s">
        <v>676</v>
      </c>
      <c r="C274" t="s">
        <v>222</v>
      </c>
      <c r="E274" t="s">
        <v>131</v>
      </c>
      <c r="F274" s="33">
        <v>0</v>
      </c>
      <c r="G274">
        <v>0</v>
      </c>
      <c r="H274" s="33">
        <v>0</v>
      </c>
      <c r="I274" s="33">
        <v>2940000</v>
      </c>
      <c r="J274" s="33">
        <v>2940000</v>
      </c>
      <c r="K274" t="s">
        <v>606</v>
      </c>
      <c r="L274" t="s">
        <v>598</v>
      </c>
      <c r="M274" t="s">
        <v>603</v>
      </c>
    </row>
    <row r="275" spans="1:13">
      <c r="A275">
        <v>13</v>
      </c>
      <c r="B275" t="s">
        <v>676</v>
      </c>
      <c r="C275" t="s">
        <v>189</v>
      </c>
      <c r="E275" t="s">
        <v>154</v>
      </c>
      <c r="F275" s="33">
        <v>0</v>
      </c>
      <c r="G275">
        <v>0</v>
      </c>
      <c r="H275" s="33">
        <v>0</v>
      </c>
      <c r="I275" s="33">
        <v>8230634</v>
      </c>
      <c r="J275" s="33">
        <v>8230634</v>
      </c>
      <c r="K275" t="s">
        <v>606</v>
      </c>
      <c r="L275" t="s">
        <v>598</v>
      </c>
      <c r="M275" t="s">
        <v>616</v>
      </c>
    </row>
    <row r="276" spans="1:13">
      <c r="A276">
        <v>14</v>
      </c>
      <c r="B276" t="s">
        <v>676</v>
      </c>
      <c r="C276" t="s">
        <v>750</v>
      </c>
      <c r="E276" t="s">
        <v>131</v>
      </c>
      <c r="F276" s="33">
        <v>0</v>
      </c>
      <c r="G276">
        <v>0</v>
      </c>
      <c r="H276" s="33">
        <v>0</v>
      </c>
      <c r="I276" s="33">
        <v>11213147</v>
      </c>
      <c r="J276" s="33">
        <v>11213147</v>
      </c>
      <c r="K276">
        <v>0</v>
      </c>
      <c r="L276">
        <v>0</v>
      </c>
      <c r="M276">
        <v>0</v>
      </c>
    </row>
    <row r="277" spans="1:13">
      <c r="A277">
        <v>15</v>
      </c>
      <c r="B277" t="s">
        <v>676</v>
      </c>
      <c r="C277" t="s">
        <v>225</v>
      </c>
      <c r="E277" t="s">
        <v>129</v>
      </c>
      <c r="F277" s="33">
        <v>0</v>
      </c>
      <c r="G277">
        <v>0</v>
      </c>
      <c r="H277" s="33">
        <v>0</v>
      </c>
      <c r="I277" s="33">
        <v>2883905</v>
      </c>
      <c r="J277" s="33">
        <v>2883905</v>
      </c>
      <c r="K277" t="s">
        <v>597</v>
      </c>
      <c r="L277" t="s">
        <v>598</v>
      </c>
      <c r="M277" t="s">
        <v>658</v>
      </c>
    </row>
    <row r="278" spans="1:13">
      <c r="A278">
        <v>16</v>
      </c>
      <c r="B278" t="s">
        <v>676</v>
      </c>
      <c r="C278" t="s">
        <v>751</v>
      </c>
      <c r="E278" t="s">
        <v>131</v>
      </c>
      <c r="F278" s="33">
        <v>0</v>
      </c>
      <c r="G278">
        <v>0</v>
      </c>
      <c r="H278" s="33">
        <v>0</v>
      </c>
      <c r="I278" s="33">
        <v>877336</v>
      </c>
      <c r="J278" s="33">
        <v>877336</v>
      </c>
      <c r="K278" t="s">
        <v>606</v>
      </c>
      <c r="L278" t="s">
        <v>598</v>
      </c>
      <c r="M278" t="s">
        <v>616</v>
      </c>
    </row>
    <row r="279" spans="1:13">
      <c r="A279">
        <v>17</v>
      </c>
      <c r="B279" t="s">
        <v>676</v>
      </c>
      <c r="C279" t="s">
        <v>752</v>
      </c>
      <c r="E279" t="s">
        <v>131</v>
      </c>
      <c r="F279" s="33">
        <v>0</v>
      </c>
      <c r="G279">
        <v>0</v>
      </c>
      <c r="H279" s="33">
        <v>0</v>
      </c>
      <c r="I279" s="33">
        <v>200000</v>
      </c>
      <c r="J279" s="33">
        <v>200000</v>
      </c>
      <c r="K279">
        <v>0</v>
      </c>
      <c r="L279" t="s">
        <v>598</v>
      </c>
      <c r="M279">
        <v>0</v>
      </c>
    </row>
    <row r="280" spans="1:13">
      <c r="A280">
        <v>18</v>
      </c>
      <c r="B280" t="s">
        <v>676</v>
      </c>
      <c r="C280" t="s">
        <v>206</v>
      </c>
      <c r="E280" t="s">
        <v>131</v>
      </c>
      <c r="F280" s="33">
        <v>0</v>
      </c>
      <c r="G280">
        <v>0</v>
      </c>
      <c r="H280" s="33">
        <v>0</v>
      </c>
      <c r="I280" s="33">
        <v>4408165</v>
      </c>
      <c r="J280" s="33">
        <v>4408165</v>
      </c>
      <c r="K280" t="s">
        <v>597</v>
      </c>
      <c r="L280" t="s">
        <v>598</v>
      </c>
      <c r="M280" t="s">
        <v>658</v>
      </c>
    </row>
    <row r="281" spans="1:13">
      <c r="A281">
        <v>19</v>
      </c>
      <c r="B281" t="s">
        <v>676</v>
      </c>
      <c r="C281" t="s">
        <v>753</v>
      </c>
      <c r="E281" t="s">
        <v>131</v>
      </c>
      <c r="F281" s="33">
        <v>0</v>
      </c>
      <c r="G281">
        <v>0</v>
      </c>
      <c r="H281" s="33">
        <v>0</v>
      </c>
      <c r="I281" s="33">
        <v>65633</v>
      </c>
      <c r="J281" s="33">
        <v>65633</v>
      </c>
      <c r="K281">
        <v>0</v>
      </c>
      <c r="L281">
        <v>0</v>
      </c>
      <c r="M281">
        <v>0</v>
      </c>
    </row>
    <row r="282" spans="1:13">
      <c r="A282">
        <v>20</v>
      </c>
      <c r="B282" t="s">
        <v>676</v>
      </c>
      <c r="C282" t="s">
        <v>256</v>
      </c>
      <c r="E282" t="s">
        <v>148</v>
      </c>
      <c r="F282" s="33">
        <v>0</v>
      </c>
      <c r="G282">
        <v>0</v>
      </c>
      <c r="H282" s="33">
        <v>0</v>
      </c>
      <c r="I282" s="33">
        <v>810000</v>
      </c>
      <c r="J282" s="33">
        <v>810000</v>
      </c>
      <c r="K282" t="s">
        <v>606</v>
      </c>
      <c r="L282" t="s">
        <v>598</v>
      </c>
      <c r="M282" t="s">
        <v>616</v>
      </c>
    </row>
    <row r="283" spans="1:13">
      <c r="A283">
        <v>21</v>
      </c>
      <c r="B283" t="s">
        <v>676</v>
      </c>
      <c r="C283" t="s">
        <v>357</v>
      </c>
      <c r="E283" t="s">
        <v>129</v>
      </c>
      <c r="F283" s="33">
        <v>0</v>
      </c>
      <c r="G283">
        <v>0</v>
      </c>
      <c r="H283" s="33">
        <v>0</v>
      </c>
      <c r="I283" s="33">
        <v>0</v>
      </c>
      <c r="J283" s="33">
        <v>0</v>
      </c>
      <c r="K283" t="s">
        <v>606</v>
      </c>
      <c r="L283" t="s">
        <v>598</v>
      </c>
      <c r="M283" t="s">
        <v>616</v>
      </c>
    </row>
    <row r="284" spans="1:13">
      <c r="A284">
        <v>22</v>
      </c>
      <c r="B284" t="s">
        <v>676</v>
      </c>
      <c r="C284" t="s">
        <v>249</v>
      </c>
      <c r="E284" t="s">
        <v>131</v>
      </c>
      <c r="F284" s="33">
        <v>0</v>
      </c>
      <c r="G284">
        <v>0</v>
      </c>
      <c r="H284" s="33">
        <v>0</v>
      </c>
      <c r="I284" s="33">
        <v>1170000</v>
      </c>
      <c r="J284" s="33">
        <v>1170000</v>
      </c>
      <c r="K284" t="s">
        <v>597</v>
      </c>
      <c r="L284" t="s">
        <v>598</v>
      </c>
      <c r="M284" t="s">
        <v>658</v>
      </c>
    </row>
    <row r="285" spans="1:13">
      <c r="A285">
        <v>23</v>
      </c>
      <c r="B285" t="s">
        <v>676</v>
      </c>
      <c r="C285" t="s">
        <v>215</v>
      </c>
      <c r="E285" t="s">
        <v>131</v>
      </c>
      <c r="F285" s="33">
        <v>0</v>
      </c>
      <c r="G285">
        <v>0</v>
      </c>
      <c r="H285" s="33">
        <v>0</v>
      </c>
      <c r="I285" s="33">
        <v>3470000</v>
      </c>
      <c r="J285" s="33">
        <v>3470000</v>
      </c>
      <c r="K285" t="s">
        <v>606</v>
      </c>
      <c r="L285" t="s">
        <v>598</v>
      </c>
      <c r="M285" t="s">
        <v>616</v>
      </c>
    </row>
    <row r="286" spans="1:13">
      <c r="A286">
        <v>24</v>
      </c>
      <c r="B286" t="s">
        <v>676</v>
      </c>
      <c r="C286" t="s">
        <v>236</v>
      </c>
      <c r="E286" t="s">
        <v>154</v>
      </c>
      <c r="F286" s="33">
        <v>0</v>
      </c>
      <c r="G286">
        <v>0</v>
      </c>
      <c r="H286" s="33">
        <v>0</v>
      </c>
      <c r="I286" s="33">
        <v>1782513</v>
      </c>
      <c r="J286" s="33">
        <v>1782513</v>
      </c>
      <c r="K286" t="s">
        <v>606</v>
      </c>
      <c r="L286" t="s">
        <v>598</v>
      </c>
      <c r="M286" t="s">
        <v>616</v>
      </c>
    </row>
    <row r="287" spans="1:13">
      <c r="A287">
        <v>25</v>
      </c>
      <c r="B287" t="s">
        <v>676</v>
      </c>
      <c r="C287" t="s">
        <v>295</v>
      </c>
      <c r="E287" t="s">
        <v>131</v>
      </c>
      <c r="F287" s="33">
        <v>0</v>
      </c>
      <c r="G287">
        <v>0</v>
      </c>
      <c r="H287" s="33">
        <v>0</v>
      </c>
      <c r="I287" s="33">
        <v>158737</v>
      </c>
      <c r="J287" s="33">
        <v>158737</v>
      </c>
      <c r="K287">
        <v>0</v>
      </c>
      <c r="L287" t="s">
        <v>598</v>
      </c>
      <c r="M287">
        <v>0</v>
      </c>
    </row>
    <row r="288" spans="1:13">
      <c r="A288">
        <v>26</v>
      </c>
      <c r="B288" t="s">
        <v>676</v>
      </c>
      <c r="C288" t="s">
        <v>164</v>
      </c>
      <c r="E288" t="s">
        <v>148</v>
      </c>
      <c r="F288" s="33">
        <v>0</v>
      </c>
      <c r="G288">
        <v>0</v>
      </c>
      <c r="H288" s="33">
        <v>0</v>
      </c>
      <c r="I288" s="33">
        <v>27410000</v>
      </c>
      <c r="J288" s="33">
        <v>27410000</v>
      </c>
      <c r="K288" t="s">
        <v>606</v>
      </c>
      <c r="L288" t="s">
        <v>598</v>
      </c>
      <c r="M288" t="s">
        <v>616</v>
      </c>
    </row>
    <row r="289" spans="1:13">
      <c r="A289">
        <v>27</v>
      </c>
      <c r="B289" t="s">
        <v>676</v>
      </c>
      <c r="C289" t="s">
        <v>211</v>
      </c>
      <c r="E289" t="s">
        <v>131</v>
      </c>
      <c r="F289" s="33">
        <v>0</v>
      </c>
      <c r="G289">
        <v>0</v>
      </c>
      <c r="H289" s="33">
        <v>0</v>
      </c>
      <c r="I289" s="33">
        <v>3963494</v>
      </c>
      <c r="J289" s="33">
        <v>3963494</v>
      </c>
      <c r="K289" t="s">
        <v>597</v>
      </c>
      <c r="L289" t="s">
        <v>598</v>
      </c>
      <c r="M289" t="s">
        <v>707</v>
      </c>
    </row>
    <row r="290" spans="1:13">
      <c r="A290">
        <v>28</v>
      </c>
      <c r="B290" t="s">
        <v>676</v>
      </c>
      <c r="C290" t="s">
        <v>297</v>
      </c>
      <c r="E290" t="s">
        <v>131</v>
      </c>
      <c r="F290" s="33">
        <v>0</v>
      </c>
      <c r="G290">
        <v>0</v>
      </c>
      <c r="H290" s="33">
        <v>0</v>
      </c>
      <c r="I290" s="33">
        <v>147448</v>
      </c>
      <c r="J290" s="33">
        <v>147448</v>
      </c>
      <c r="K290">
        <v>0</v>
      </c>
      <c r="L290" t="s">
        <v>598</v>
      </c>
      <c r="M290">
        <v>0</v>
      </c>
    </row>
    <row r="291" spans="1:13">
      <c r="A291">
        <v>29</v>
      </c>
      <c r="B291" t="s">
        <v>676</v>
      </c>
      <c r="C291" t="s">
        <v>754</v>
      </c>
      <c r="E291" t="s">
        <v>129</v>
      </c>
      <c r="F291" s="33">
        <v>0</v>
      </c>
      <c r="G291">
        <v>0</v>
      </c>
      <c r="H291" s="33">
        <v>0</v>
      </c>
      <c r="I291" s="33">
        <v>91344</v>
      </c>
      <c r="J291" s="33">
        <v>91344</v>
      </c>
      <c r="K291" t="s">
        <v>606</v>
      </c>
      <c r="L291" t="s">
        <v>598</v>
      </c>
      <c r="M291">
        <v>0</v>
      </c>
    </row>
    <row r="292" spans="1:13">
      <c r="A292">
        <v>30</v>
      </c>
      <c r="B292" t="s">
        <v>676</v>
      </c>
      <c r="C292" t="s">
        <v>755</v>
      </c>
      <c r="E292" t="s">
        <v>154</v>
      </c>
      <c r="F292" s="33">
        <v>0</v>
      </c>
      <c r="G292">
        <v>0</v>
      </c>
      <c r="H292" s="33">
        <v>0</v>
      </c>
      <c r="I292" s="33">
        <v>540000</v>
      </c>
      <c r="J292" s="33">
        <v>540000</v>
      </c>
      <c r="K292" t="s">
        <v>606</v>
      </c>
      <c r="L292" t="s">
        <v>598</v>
      </c>
      <c r="M292" t="s">
        <v>616</v>
      </c>
    </row>
    <row r="293" spans="1:13">
      <c r="A293">
        <v>31</v>
      </c>
      <c r="B293" t="s">
        <v>676</v>
      </c>
      <c r="C293" t="s">
        <v>217</v>
      </c>
      <c r="E293" t="s">
        <v>129</v>
      </c>
      <c r="F293" s="33">
        <v>0</v>
      </c>
      <c r="G293">
        <v>0</v>
      </c>
      <c r="H293" s="33">
        <v>0</v>
      </c>
      <c r="I293" s="33">
        <v>3283238</v>
      </c>
      <c r="J293" s="33">
        <v>3283238</v>
      </c>
      <c r="K293" t="s">
        <v>606</v>
      </c>
      <c r="L293" t="s">
        <v>598</v>
      </c>
      <c r="M293" t="s">
        <v>616</v>
      </c>
    </row>
    <row r="294" spans="1:13">
      <c r="A294">
        <v>32</v>
      </c>
      <c r="B294" t="s">
        <v>676</v>
      </c>
      <c r="C294" t="s">
        <v>756</v>
      </c>
      <c r="E294" t="s">
        <v>131</v>
      </c>
      <c r="F294" s="33">
        <v>0</v>
      </c>
      <c r="G294">
        <v>0</v>
      </c>
      <c r="H294" s="33">
        <v>0</v>
      </c>
      <c r="I294" s="33">
        <v>124169976</v>
      </c>
      <c r="J294" s="33">
        <v>124169976</v>
      </c>
      <c r="K294">
        <v>0</v>
      </c>
      <c r="L294">
        <v>0</v>
      </c>
      <c r="M294">
        <v>0</v>
      </c>
    </row>
    <row r="295" spans="1:13">
      <c r="A295">
        <v>33</v>
      </c>
      <c r="B295" t="s">
        <v>676</v>
      </c>
      <c r="C295" t="s">
        <v>757</v>
      </c>
      <c r="E295" t="s">
        <v>131</v>
      </c>
      <c r="F295" s="33">
        <v>0</v>
      </c>
      <c r="G295">
        <v>0</v>
      </c>
      <c r="H295" s="33">
        <v>0</v>
      </c>
      <c r="I295" s="33">
        <v>60000</v>
      </c>
      <c r="J295" s="33">
        <v>60000</v>
      </c>
      <c r="K295" t="s">
        <v>606</v>
      </c>
      <c r="L295" t="s">
        <v>598</v>
      </c>
      <c r="M295" t="s">
        <v>616</v>
      </c>
    </row>
    <row r="296" spans="1:13">
      <c r="A296">
        <v>34</v>
      </c>
      <c r="B296" t="s">
        <v>676</v>
      </c>
      <c r="C296" t="s">
        <v>251</v>
      </c>
      <c r="E296" t="s">
        <v>154</v>
      </c>
      <c r="F296" s="33">
        <v>0</v>
      </c>
      <c r="G296">
        <v>0</v>
      </c>
      <c r="H296" s="33">
        <v>0</v>
      </c>
      <c r="I296" s="33">
        <v>1140982</v>
      </c>
      <c r="J296" s="33">
        <v>1140982</v>
      </c>
      <c r="K296" t="s">
        <v>606</v>
      </c>
      <c r="L296" t="s">
        <v>598</v>
      </c>
      <c r="M296" t="s">
        <v>616</v>
      </c>
    </row>
    <row r="297" spans="1:13">
      <c r="A297">
        <v>35</v>
      </c>
      <c r="B297" t="s">
        <v>676</v>
      </c>
      <c r="C297" t="s">
        <v>758</v>
      </c>
      <c r="E297" t="s">
        <v>129</v>
      </c>
      <c r="F297" s="33">
        <v>0</v>
      </c>
      <c r="G297">
        <v>0</v>
      </c>
      <c r="H297" s="33">
        <v>0</v>
      </c>
      <c r="I297" s="33">
        <v>37092694</v>
      </c>
      <c r="J297" s="33">
        <v>37092694</v>
      </c>
      <c r="K297">
        <v>0</v>
      </c>
      <c r="L297" t="s">
        <v>598</v>
      </c>
      <c r="M297">
        <v>0</v>
      </c>
    </row>
    <row r="298" spans="1:13">
      <c r="A298">
        <v>36</v>
      </c>
      <c r="B298" t="s">
        <v>676</v>
      </c>
      <c r="C298" t="s">
        <v>157</v>
      </c>
      <c r="E298" t="s">
        <v>131</v>
      </c>
      <c r="F298" s="33">
        <v>0</v>
      </c>
      <c r="G298">
        <v>0</v>
      </c>
      <c r="H298" s="33">
        <v>0</v>
      </c>
      <c r="I298" s="33">
        <v>39757864</v>
      </c>
      <c r="J298" s="33">
        <v>39757864</v>
      </c>
      <c r="K298" t="s">
        <v>606</v>
      </c>
      <c r="L298" t="s">
        <v>598</v>
      </c>
      <c r="M298" t="s">
        <v>616</v>
      </c>
    </row>
    <row r="299" spans="1:13">
      <c r="A299">
        <v>37</v>
      </c>
      <c r="B299" t="s">
        <v>676</v>
      </c>
      <c r="C299" t="s">
        <v>759</v>
      </c>
      <c r="E299" t="s">
        <v>131</v>
      </c>
      <c r="F299" s="33">
        <v>0</v>
      </c>
      <c r="G299">
        <v>0</v>
      </c>
      <c r="H299" s="33">
        <v>0</v>
      </c>
      <c r="I299" s="33">
        <v>81369</v>
      </c>
      <c r="J299" s="33">
        <v>81369</v>
      </c>
      <c r="K299">
        <v>0</v>
      </c>
      <c r="L299">
        <v>0</v>
      </c>
      <c r="M299">
        <v>0</v>
      </c>
    </row>
    <row r="300" spans="1:13">
      <c r="A300">
        <v>38</v>
      </c>
      <c r="B300" t="s">
        <v>676</v>
      </c>
      <c r="C300" t="s">
        <v>281</v>
      </c>
      <c r="E300" t="s">
        <v>131</v>
      </c>
      <c r="F300" s="33">
        <v>0</v>
      </c>
      <c r="G300">
        <v>0</v>
      </c>
      <c r="H300" s="33">
        <v>0</v>
      </c>
      <c r="I300" s="33">
        <v>371951</v>
      </c>
      <c r="J300" s="33">
        <v>371951</v>
      </c>
      <c r="K300" t="s">
        <v>606</v>
      </c>
      <c r="L300" t="s">
        <v>598</v>
      </c>
      <c r="M300" t="s">
        <v>616</v>
      </c>
    </row>
    <row r="301" spans="1:13">
      <c r="A301">
        <v>39</v>
      </c>
      <c r="B301" t="s">
        <v>676</v>
      </c>
      <c r="C301" t="s">
        <v>760</v>
      </c>
      <c r="E301" t="s">
        <v>191</v>
      </c>
      <c r="F301" s="33">
        <v>0</v>
      </c>
      <c r="G301">
        <v>0</v>
      </c>
      <c r="H301" s="33">
        <v>0</v>
      </c>
      <c r="I301" s="33">
        <v>1380000</v>
      </c>
      <c r="J301" s="33">
        <v>1380000</v>
      </c>
      <c r="K301" t="s">
        <v>597</v>
      </c>
      <c r="L301" t="s">
        <v>598</v>
      </c>
      <c r="M301" t="s">
        <v>599</v>
      </c>
    </row>
    <row r="302" spans="1:13">
      <c r="A302">
        <v>40</v>
      </c>
      <c r="B302" t="s">
        <v>676</v>
      </c>
      <c r="C302" t="s">
        <v>229</v>
      </c>
      <c r="E302" t="s">
        <v>131</v>
      </c>
      <c r="F302" s="33">
        <v>0</v>
      </c>
      <c r="G302">
        <v>0</v>
      </c>
      <c r="H302" s="33">
        <v>0</v>
      </c>
      <c r="I302" s="33">
        <v>2650000</v>
      </c>
      <c r="J302" s="33">
        <v>2650000</v>
      </c>
      <c r="K302" t="s">
        <v>606</v>
      </c>
      <c r="L302" t="s">
        <v>598</v>
      </c>
      <c r="M302" t="s">
        <v>616</v>
      </c>
    </row>
    <row r="303" spans="1:13">
      <c r="A303">
        <v>41</v>
      </c>
      <c r="B303" t="s">
        <v>676</v>
      </c>
      <c r="C303" t="s">
        <v>761</v>
      </c>
      <c r="E303" t="s">
        <v>131</v>
      </c>
      <c r="F303" s="33">
        <v>0</v>
      </c>
      <c r="G303">
        <v>0</v>
      </c>
      <c r="H303" s="33">
        <v>0</v>
      </c>
      <c r="I303" s="33">
        <v>132118</v>
      </c>
      <c r="J303" s="33">
        <v>132118</v>
      </c>
      <c r="K303">
        <v>0</v>
      </c>
      <c r="L303">
        <v>0</v>
      </c>
      <c r="M303">
        <v>0</v>
      </c>
    </row>
    <row r="304" spans="1:13">
      <c r="A304">
        <v>42</v>
      </c>
      <c r="B304" t="s">
        <v>676</v>
      </c>
      <c r="C304" t="s">
        <v>307</v>
      </c>
      <c r="E304" t="s">
        <v>131</v>
      </c>
      <c r="F304" s="33">
        <v>0</v>
      </c>
      <c r="G304">
        <v>0</v>
      </c>
      <c r="H304" s="33">
        <v>0</v>
      </c>
      <c r="I304" s="33">
        <v>110000</v>
      </c>
      <c r="J304" s="33">
        <v>110000</v>
      </c>
      <c r="K304" t="s">
        <v>606</v>
      </c>
      <c r="L304" t="s">
        <v>598</v>
      </c>
      <c r="M304" t="s">
        <v>616</v>
      </c>
    </row>
    <row r="306" spans="1:13">
      <c r="A306" t="s">
        <v>564</v>
      </c>
    </row>
    <row r="308" spans="1:13">
      <c r="A308" t="s">
        <v>762</v>
      </c>
    </row>
    <row r="309" spans="1:13">
      <c r="A309" t="s">
        <v>566</v>
      </c>
    </row>
    <row r="310" spans="1:13">
      <c r="A310" t="s">
        <v>567</v>
      </c>
    </row>
    <row r="311" spans="1:13">
      <c r="A311" t="s">
        <v>568</v>
      </c>
    </row>
    <row r="312" spans="1:13">
      <c r="A312" t="s">
        <v>569</v>
      </c>
    </row>
    <row r="313" spans="1:13">
      <c r="A313" t="s">
        <v>671</v>
      </c>
    </row>
    <row r="314" spans="1:13">
      <c r="A314" t="s">
        <v>571</v>
      </c>
    </row>
    <row r="315" spans="1:13">
      <c r="A315" t="s">
        <v>572</v>
      </c>
    </row>
    <row r="317" spans="1:13">
      <c r="B317" t="s">
        <v>573</v>
      </c>
      <c r="C317" t="s">
        <v>574</v>
      </c>
      <c r="D317" t="s">
        <v>575</v>
      </c>
      <c r="E317" t="s">
        <v>123</v>
      </c>
      <c r="F317" t="s">
        <v>577</v>
      </c>
      <c r="G317" t="s">
        <v>579</v>
      </c>
      <c r="H317" t="s">
        <v>581</v>
      </c>
      <c r="I317" t="s">
        <v>583</v>
      </c>
      <c r="J317" t="s">
        <v>585</v>
      </c>
    </row>
    <row r="318" spans="1:13">
      <c r="D318" t="s">
        <v>576</v>
      </c>
      <c r="F318" t="s">
        <v>578</v>
      </c>
      <c r="G318" t="s">
        <v>580</v>
      </c>
      <c r="H318" t="s">
        <v>582</v>
      </c>
      <c r="I318" t="s">
        <v>584</v>
      </c>
      <c r="J318" t="s">
        <v>584</v>
      </c>
      <c r="K318" s="34" t="s">
        <v>591</v>
      </c>
      <c r="L318" t="s">
        <v>592</v>
      </c>
      <c r="M318" t="s">
        <v>593</v>
      </c>
    </row>
    <row r="319" spans="1:13">
      <c r="A319">
        <v>1</v>
      </c>
      <c r="B319" t="s">
        <v>650</v>
      </c>
      <c r="C319" t="s">
        <v>763</v>
      </c>
      <c r="D319" t="s">
        <v>764</v>
      </c>
      <c r="E319" t="s">
        <v>129</v>
      </c>
      <c r="F319" s="33">
        <v>50000000</v>
      </c>
      <c r="G319" s="35">
        <v>3618</v>
      </c>
      <c r="H319" s="33">
        <v>18872919</v>
      </c>
      <c r="I319" s="33">
        <v>46600000</v>
      </c>
      <c r="J319" s="33">
        <v>91419352</v>
      </c>
      <c r="K319" t="s">
        <v>602</v>
      </c>
      <c r="L319" t="s">
        <v>598</v>
      </c>
      <c r="M319" t="s">
        <v>616</v>
      </c>
    </row>
    <row r="320" spans="1:13">
      <c r="A320">
        <v>2</v>
      </c>
      <c r="B320" t="s">
        <v>765</v>
      </c>
      <c r="C320" t="s">
        <v>766</v>
      </c>
      <c r="D320" t="s">
        <v>767</v>
      </c>
      <c r="E320" t="s">
        <v>193</v>
      </c>
      <c r="F320" s="33">
        <v>6000000</v>
      </c>
      <c r="G320" s="35">
        <v>2530</v>
      </c>
      <c r="H320" s="33">
        <v>5853061</v>
      </c>
      <c r="I320" s="33">
        <v>4933421</v>
      </c>
      <c r="J320" s="33">
        <v>19789712</v>
      </c>
      <c r="K320" t="s">
        <v>606</v>
      </c>
      <c r="L320" t="s">
        <v>598</v>
      </c>
      <c r="M320" t="s">
        <v>616</v>
      </c>
    </row>
    <row r="321" spans="1:13">
      <c r="A321">
        <v>3</v>
      </c>
      <c r="B321" t="s">
        <v>768</v>
      </c>
      <c r="C321" t="s">
        <v>52</v>
      </c>
      <c r="D321" t="s">
        <v>601</v>
      </c>
      <c r="E321" t="s">
        <v>129</v>
      </c>
      <c r="F321" s="33">
        <v>0</v>
      </c>
      <c r="G321">
        <v>125</v>
      </c>
      <c r="H321" s="33">
        <v>1459523</v>
      </c>
      <c r="I321" s="33">
        <v>188661860</v>
      </c>
      <c r="J321" s="33">
        <v>192617891</v>
      </c>
      <c r="K321" t="s">
        <v>597</v>
      </c>
      <c r="L321" t="s">
        <v>703</v>
      </c>
      <c r="M321" t="s">
        <v>658</v>
      </c>
    </row>
    <row r="322" spans="1:13">
      <c r="A322">
        <v>4</v>
      </c>
      <c r="B322" t="s">
        <v>623</v>
      </c>
      <c r="C322" t="s">
        <v>392</v>
      </c>
      <c r="D322" t="s">
        <v>601</v>
      </c>
      <c r="E322" t="s">
        <v>129</v>
      </c>
      <c r="F322" s="33">
        <v>0</v>
      </c>
      <c r="G322">
        <v>61</v>
      </c>
      <c r="H322" s="33">
        <v>92663</v>
      </c>
      <c r="I322" s="33">
        <v>19572493</v>
      </c>
      <c r="J322" s="33">
        <v>19781947</v>
      </c>
      <c r="K322" t="s">
        <v>606</v>
      </c>
      <c r="L322" t="s">
        <v>598</v>
      </c>
      <c r="M322">
        <v>0</v>
      </c>
    </row>
    <row r="323" spans="1:13">
      <c r="A323">
        <v>5</v>
      </c>
      <c r="B323" t="s">
        <v>769</v>
      </c>
      <c r="C323" t="s">
        <v>770</v>
      </c>
      <c r="D323" t="s">
        <v>601</v>
      </c>
      <c r="E323" t="s">
        <v>129</v>
      </c>
      <c r="F323" s="33">
        <v>0</v>
      </c>
      <c r="G323">
        <v>16</v>
      </c>
      <c r="H323" s="33">
        <v>60971</v>
      </c>
      <c r="I323" s="33">
        <v>44388292</v>
      </c>
      <c r="J323" s="33">
        <v>44584926</v>
      </c>
      <c r="K323" t="s">
        <v>597</v>
      </c>
      <c r="L323" t="s">
        <v>598</v>
      </c>
      <c r="M323" t="s">
        <v>707</v>
      </c>
    </row>
    <row r="324" spans="1:13">
      <c r="A324">
        <v>6</v>
      </c>
      <c r="B324" t="s">
        <v>771</v>
      </c>
      <c r="C324" t="s">
        <v>772</v>
      </c>
      <c r="D324" t="s">
        <v>773</v>
      </c>
      <c r="E324" t="s">
        <v>129</v>
      </c>
      <c r="F324" s="33">
        <v>0</v>
      </c>
      <c r="G324">
        <v>7</v>
      </c>
      <c r="H324" s="33">
        <v>25591</v>
      </c>
      <c r="I324" s="33">
        <v>0</v>
      </c>
      <c r="J324" s="33">
        <v>113224</v>
      </c>
      <c r="K324" t="s">
        <v>606</v>
      </c>
      <c r="L324" t="s">
        <v>598</v>
      </c>
      <c r="M324" t="s">
        <v>616</v>
      </c>
    </row>
    <row r="325" spans="1:13">
      <c r="A325">
        <v>7</v>
      </c>
      <c r="B325" t="s">
        <v>647</v>
      </c>
      <c r="C325" t="s">
        <v>648</v>
      </c>
      <c r="D325" t="s">
        <v>626</v>
      </c>
      <c r="E325" t="s">
        <v>131</v>
      </c>
      <c r="F325" s="33">
        <v>0</v>
      </c>
      <c r="G325">
        <v>13</v>
      </c>
      <c r="H325" s="33">
        <v>25206</v>
      </c>
      <c r="I325" s="33">
        <v>240506</v>
      </c>
      <c r="J325" s="33">
        <v>283768</v>
      </c>
      <c r="K325" t="s">
        <v>606</v>
      </c>
      <c r="L325" t="s">
        <v>598</v>
      </c>
      <c r="M325" t="s">
        <v>616</v>
      </c>
    </row>
    <row r="326" spans="1:13">
      <c r="A326">
        <v>8</v>
      </c>
      <c r="B326" t="s">
        <v>621</v>
      </c>
      <c r="C326" t="s">
        <v>40</v>
      </c>
      <c r="D326" t="s">
        <v>774</v>
      </c>
      <c r="E326" t="s">
        <v>129</v>
      </c>
      <c r="F326" s="33">
        <v>0</v>
      </c>
      <c r="G326">
        <v>3</v>
      </c>
      <c r="H326" s="33">
        <v>1648</v>
      </c>
      <c r="I326" s="33">
        <v>0</v>
      </c>
      <c r="J326" s="33">
        <v>4295</v>
      </c>
      <c r="K326" t="s">
        <v>606</v>
      </c>
      <c r="L326" t="s">
        <v>598</v>
      </c>
      <c r="M326" t="s">
        <v>616</v>
      </c>
    </row>
    <row r="327" spans="1:13">
      <c r="A327">
        <v>9</v>
      </c>
      <c r="B327" t="s">
        <v>747</v>
      </c>
      <c r="C327" t="s">
        <v>775</v>
      </c>
      <c r="D327" t="s">
        <v>601</v>
      </c>
      <c r="E327" t="s">
        <v>131</v>
      </c>
      <c r="F327" s="33">
        <v>0</v>
      </c>
      <c r="G327">
        <v>1</v>
      </c>
      <c r="H327" s="33">
        <v>1652</v>
      </c>
      <c r="I327" s="33">
        <v>16460000</v>
      </c>
      <c r="J327" s="33">
        <v>16461652</v>
      </c>
      <c r="K327" t="s">
        <v>606</v>
      </c>
      <c r="L327" t="s">
        <v>598</v>
      </c>
      <c r="M327" t="s">
        <v>616</v>
      </c>
    </row>
    <row r="328" spans="1:13">
      <c r="A328">
        <v>10</v>
      </c>
      <c r="B328" t="s">
        <v>642</v>
      </c>
      <c r="C328" t="s">
        <v>776</v>
      </c>
      <c r="E328" t="s">
        <v>129</v>
      </c>
      <c r="F328" s="33">
        <v>0</v>
      </c>
      <c r="G328">
        <v>0</v>
      </c>
      <c r="H328" s="33">
        <v>0</v>
      </c>
      <c r="I328" s="33">
        <v>10217493</v>
      </c>
      <c r="J328" s="33">
        <v>10217493</v>
      </c>
      <c r="K328" t="s">
        <v>606</v>
      </c>
      <c r="L328" t="s">
        <v>598</v>
      </c>
      <c r="M328" t="s">
        <v>616</v>
      </c>
    </row>
    <row r="329" spans="1:13">
      <c r="A329">
        <v>11</v>
      </c>
      <c r="B329" t="s">
        <v>659</v>
      </c>
      <c r="C329" t="s">
        <v>402</v>
      </c>
      <c r="E329" t="s">
        <v>129</v>
      </c>
      <c r="F329" s="33">
        <v>0</v>
      </c>
      <c r="G329">
        <v>0</v>
      </c>
      <c r="H329" s="33">
        <v>0</v>
      </c>
      <c r="I329" s="33">
        <v>11573104</v>
      </c>
      <c r="J329" s="33">
        <v>11573104</v>
      </c>
      <c r="K329" t="s">
        <v>606</v>
      </c>
      <c r="L329" t="s">
        <v>598</v>
      </c>
      <c r="M329" t="s">
        <v>603</v>
      </c>
    </row>
    <row r="330" spans="1:13">
      <c r="A330">
        <v>12</v>
      </c>
      <c r="B330" t="s">
        <v>676</v>
      </c>
      <c r="C330" t="s">
        <v>317</v>
      </c>
      <c r="E330" t="s">
        <v>129</v>
      </c>
      <c r="F330" s="33">
        <v>0</v>
      </c>
      <c r="G330">
        <v>0</v>
      </c>
      <c r="H330" s="33">
        <v>0</v>
      </c>
      <c r="I330" s="33">
        <v>64601</v>
      </c>
      <c r="J330" s="33">
        <v>64601</v>
      </c>
      <c r="K330" t="s">
        <v>606</v>
      </c>
      <c r="L330" t="s">
        <v>598</v>
      </c>
      <c r="M330" t="s">
        <v>616</v>
      </c>
    </row>
    <row r="331" spans="1:13">
      <c r="A331">
        <v>13</v>
      </c>
      <c r="B331" t="s">
        <v>676</v>
      </c>
      <c r="C331" t="s">
        <v>777</v>
      </c>
      <c r="E331" t="s">
        <v>131</v>
      </c>
      <c r="F331" s="33">
        <v>0</v>
      </c>
      <c r="G331">
        <v>0</v>
      </c>
      <c r="H331" s="33">
        <v>0</v>
      </c>
      <c r="I331" s="33">
        <v>48932</v>
      </c>
      <c r="J331" s="33">
        <v>48932</v>
      </c>
      <c r="K331" t="s">
        <v>606</v>
      </c>
      <c r="L331" t="s">
        <v>598</v>
      </c>
      <c r="M331" t="s">
        <v>616</v>
      </c>
    </row>
    <row r="332" spans="1:13">
      <c r="A332">
        <v>14</v>
      </c>
      <c r="B332" t="s">
        <v>676</v>
      </c>
      <c r="C332" t="s">
        <v>778</v>
      </c>
      <c r="E332" t="s">
        <v>148</v>
      </c>
      <c r="F332" s="33">
        <v>0</v>
      </c>
      <c r="G332">
        <v>0</v>
      </c>
      <c r="H332" s="33">
        <v>0</v>
      </c>
      <c r="I332" s="33">
        <v>0</v>
      </c>
      <c r="J332" s="33">
        <v>0</v>
      </c>
      <c r="K332" t="s">
        <v>606</v>
      </c>
      <c r="L332" t="s">
        <v>598</v>
      </c>
      <c r="M332" t="s">
        <v>616</v>
      </c>
    </row>
    <row r="333" spans="1:13">
      <c r="A333">
        <v>15</v>
      </c>
      <c r="B333" t="s">
        <v>676</v>
      </c>
      <c r="C333" t="s">
        <v>49</v>
      </c>
      <c r="E333" t="s">
        <v>131</v>
      </c>
      <c r="F333" s="33">
        <v>0</v>
      </c>
      <c r="G333">
        <v>0</v>
      </c>
      <c r="H333" s="33">
        <v>0</v>
      </c>
      <c r="I333" s="33">
        <v>2640000</v>
      </c>
      <c r="J333" s="33">
        <v>2640000</v>
      </c>
      <c r="K333" t="s">
        <v>606</v>
      </c>
      <c r="L333" t="s">
        <v>598</v>
      </c>
      <c r="M333" t="s">
        <v>616</v>
      </c>
    </row>
    <row r="334" spans="1:13">
      <c r="A334">
        <v>16</v>
      </c>
      <c r="B334" t="s">
        <v>661</v>
      </c>
      <c r="C334" t="s">
        <v>57</v>
      </c>
      <c r="E334" t="s">
        <v>131</v>
      </c>
      <c r="F334" s="33">
        <v>0</v>
      </c>
      <c r="G334">
        <v>0</v>
      </c>
      <c r="H334" s="33">
        <v>0</v>
      </c>
      <c r="I334" s="33">
        <v>97033612</v>
      </c>
      <c r="J334" s="33">
        <v>97033612</v>
      </c>
      <c r="K334" t="s">
        <v>602</v>
      </c>
      <c r="L334" t="s">
        <v>598</v>
      </c>
      <c r="M334" t="s">
        <v>603</v>
      </c>
    </row>
    <row r="335" spans="1:13">
      <c r="A335">
        <v>17</v>
      </c>
      <c r="B335" t="s">
        <v>613</v>
      </c>
      <c r="C335" t="s">
        <v>614</v>
      </c>
      <c r="E335" t="s">
        <v>127</v>
      </c>
      <c r="F335" s="33">
        <v>0</v>
      </c>
      <c r="G335">
        <v>0</v>
      </c>
      <c r="H335" s="33">
        <v>0</v>
      </c>
      <c r="I335" s="33">
        <v>4957041</v>
      </c>
      <c r="J335" s="33">
        <v>4957041</v>
      </c>
      <c r="K335">
        <v>0</v>
      </c>
      <c r="L335" t="s">
        <v>598</v>
      </c>
      <c r="M335" t="s">
        <v>599</v>
      </c>
    </row>
    <row r="336" spans="1:13">
      <c r="A336">
        <v>18</v>
      </c>
      <c r="B336" t="s">
        <v>779</v>
      </c>
      <c r="C336" t="s">
        <v>780</v>
      </c>
      <c r="E336" t="s">
        <v>191</v>
      </c>
      <c r="F336" s="33">
        <v>0</v>
      </c>
      <c r="G336">
        <v>0</v>
      </c>
      <c r="H336" s="33">
        <v>0</v>
      </c>
      <c r="I336" s="33">
        <v>0</v>
      </c>
      <c r="J336" s="33">
        <v>0</v>
      </c>
      <c r="K336" t="s">
        <v>597</v>
      </c>
      <c r="L336" t="s">
        <v>598</v>
      </c>
      <c r="M336" t="s">
        <v>599</v>
      </c>
    </row>
    <row r="337" spans="1:13">
      <c r="A337">
        <v>19</v>
      </c>
      <c r="B337" t="s">
        <v>765</v>
      </c>
      <c r="C337" t="s">
        <v>781</v>
      </c>
      <c r="D337" t="s">
        <v>782</v>
      </c>
      <c r="E337" t="s">
        <v>154</v>
      </c>
      <c r="F337" s="33">
        <v>0</v>
      </c>
      <c r="G337">
        <v>0</v>
      </c>
      <c r="H337" s="33">
        <v>0</v>
      </c>
      <c r="I337" s="33">
        <v>17314737</v>
      </c>
      <c r="J337" s="33">
        <v>17314737</v>
      </c>
      <c r="K337">
        <v>0</v>
      </c>
      <c r="L337" t="s">
        <v>598</v>
      </c>
      <c r="M337">
        <v>0</v>
      </c>
    </row>
    <row r="338" spans="1:13">
      <c r="A338">
        <v>20</v>
      </c>
      <c r="B338" t="s">
        <v>676</v>
      </c>
      <c r="C338" t="s">
        <v>783</v>
      </c>
      <c r="E338" t="s">
        <v>131</v>
      </c>
      <c r="F338" s="33">
        <v>0</v>
      </c>
      <c r="G338">
        <v>0</v>
      </c>
      <c r="H338" s="33">
        <v>0</v>
      </c>
      <c r="I338" s="33">
        <v>0</v>
      </c>
      <c r="J338" s="33">
        <v>0</v>
      </c>
      <c r="K338" t="s">
        <v>606</v>
      </c>
      <c r="L338" t="s">
        <v>598</v>
      </c>
      <c r="M338" t="s">
        <v>616</v>
      </c>
    </row>
    <row r="339" spans="1:13">
      <c r="A339">
        <v>21</v>
      </c>
      <c r="B339" t="s">
        <v>676</v>
      </c>
      <c r="C339" t="s">
        <v>215</v>
      </c>
      <c r="E339" t="s">
        <v>131</v>
      </c>
      <c r="F339" s="33">
        <v>0</v>
      </c>
      <c r="G339">
        <v>0</v>
      </c>
      <c r="H339" s="33">
        <v>0</v>
      </c>
      <c r="I339" s="33">
        <v>3470000</v>
      </c>
      <c r="J339" s="33">
        <v>3470000</v>
      </c>
      <c r="K339" t="s">
        <v>606</v>
      </c>
      <c r="L339" t="s">
        <v>598</v>
      </c>
      <c r="M339" t="s">
        <v>616</v>
      </c>
    </row>
    <row r="340" spans="1:13">
      <c r="A340">
        <v>22</v>
      </c>
      <c r="B340" t="s">
        <v>676</v>
      </c>
      <c r="C340" t="s">
        <v>784</v>
      </c>
      <c r="E340" t="s">
        <v>154</v>
      </c>
      <c r="F340" s="33">
        <v>0</v>
      </c>
      <c r="G340">
        <v>0</v>
      </c>
      <c r="H340" s="33">
        <v>0</v>
      </c>
      <c r="I340" s="33">
        <v>983086</v>
      </c>
      <c r="J340" s="33">
        <v>983086</v>
      </c>
      <c r="K340" t="s">
        <v>606</v>
      </c>
      <c r="L340" t="s">
        <v>598</v>
      </c>
      <c r="M340" t="s">
        <v>616</v>
      </c>
    </row>
    <row r="341" spans="1:13">
      <c r="A341">
        <v>23</v>
      </c>
      <c r="B341" t="s">
        <v>785</v>
      </c>
      <c r="C341" t="s">
        <v>786</v>
      </c>
      <c r="E341" t="s">
        <v>129</v>
      </c>
      <c r="F341" s="33">
        <v>0</v>
      </c>
      <c r="G341">
        <v>0</v>
      </c>
      <c r="H341" s="33">
        <v>0</v>
      </c>
      <c r="I341" s="33">
        <v>0</v>
      </c>
      <c r="J341" s="33">
        <v>0</v>
      </c>
      <c r="K341" t="s">
        <v>606</v>
      </c>
      <c r="L341" t="s">
        <v>598</v>
      </c>
      <c r="M341" t="s">
        <v>616</v>
      </c>
    </row>
    <row r="342" spans="1:13">
      <c r="A342">
        <v>24</v>
      </c>
      <c r="B342" t="s">
        <v>676</v>
      </c>
      <c r="C342" t="s">
        <v>787</v>
      </c>
      <c r="E342" t="s">
        <v>253</v>
      </c>
      <c r="F342" s="33">
        <v>0</v>
      </c>
      <c r="G342">
        <v>0</v>
      </c>
      <c r="H342" s="33">
        <v>0</v>
      </c>
      <c r="I342" s="33">
        <v>0</v>
      </c>
      <c r="J342" s="33">
        <v>0</v>
      </c>
      <c r="K342" t="s">
        <v>606</v>
      </c>
      <c r="L342" t="s">
        <v>598</v>
      </c>
      <c r="M342" t="s">
        <v>616</v>
      </c>
    </row>
    <row r="343" spans="1:13">
      <c r="A343">
        <v>25</v>
      </c>
      <c r="B343" t="s">
        <v>788</v>
      </c>
      <c r="C343" t="s">
        <v>789</v>
      </c>
      <c r="E343" t="s">
        <v>129</v>
      </c>
      <c r="F343" s="33">
        <v>0</v>
      </c>
      <c r="G343">
        <v>0</v>
      </c>
      <c r="H343" s="33">
        <v>0</v>
      </c>
      <c r="I343" s="33">
        <v>0</v>
      </c>
      <c r="J343" s="33">
        <v>0</v>
      </c>
      <c r="K343" t="s">
        <v>606</v>
      </c>
      <c r="L343" t="s">
        <v>598</v>
      </c>
      <c r="M343" t="s">
        <v>616</v>
      </c>
    </row>
    <row r="344" spans="1:13">
      <c r="A344">
        <v>26</v>
      </c>
      <c r="B344" t="s">
        <v>676</v>
      </c>
      <c r="C344" t="s">
        <v>176</v>
      </c>
      <c r="E344" t="s">
        <v>129</v>
      </c>
      <c r="F344" s="33">
        <v>0</v>
      </c>
      <c r="G344">
        <v>0</v>
      </c>
      <c r="H344" s="33">
        <v>0</v>
      </c>
      <c r="I344" s="33">
        <v>14917516</v>
      </c>
      <c r="J344" s="33">
        <v>14917516</v>
      </c>
      <c r="K344" t="s">
        <v>606</v>
      </c>
      <c r="L344" t="s">
        <v>598</v>
      </c>
      <c r="M344" t="s">
        <v>616</v>
      </c>
    </row>
    <row r="345" spans="1:13">
      <c r="A345">
        <v>27</v>
      </c>
      <c r="B345" t="s">
        <v>676</v>
      </c>
      <c r="C345" t="s">
        <v>790</v>
      </c>
      <c r="E345" t="s">
        <v>129</v>
      </c>
      <c r="F345" s="33">
        <v>0</v>
      </c>
      <c r="G345">
        <v>0</v>
      </c>
      <c r="H345" s="33">
        <v>0</v>
      </c>
      <c r="I345" s="33">
        <v>2300000</v>
      </c>
      <c r="J345" s="33">
        <v>2300000</v>
      </c>
      <c r="K345" t="s">
        <v>606</v>
      </c>
      <c r="L345" t="s">
        <v>598</v>
      </c>
      <c r="M345" t="s">
        <v>616</v>
      </c>
    </row>
    <row r="346" spans="1:13">
      <c r="A346">
        <v>28</v>
      </c>
      <c r="B346" t="s">
        <v>676</v>
      </c>
      <c r="C346" t="s">
        <v>791</v>
      </c>
      <c r="E346" t="s">
        <v>131</v>
      </c>
      <c r="F346" s="33">
        <v>0</v>
      </c>
      <c r="G346">
        <v>0</v>
      </c>
      <c r="H346" s="33">
        <v>0</v>
      </c>
      <c r="I346" s="33">
        <v>1736047</v>
      </c>
      <c r="J346" s="33">
        <v>1736047</v>
      </c>
      <c r="K346">
        <v>0</v>
      </c>
      <c r="L346" t="s">
        <v>598</v>
      </c>
      <c r="M346">
        <v>0</v>
      </c>
    </row>
    <row r="348" spans="1:13">
      <c r="A348" t="s">
        <v>564</v>
      </c>
    </row>
    <row r="350" spans="1:13">
      <c r="A350" t="s">
        <v>792</v>
      </c>
    </row>
    <row r="351" spans="1:13">
      <c r="A351" t="s">
        <v>566</v>
      </c>
    </row>
    <row r="352" spans="1:13">
      <c r="A352" t="s">
        <v>567</v>
      </c>
    </row>
    <row r="353" spans="1:13">
      <c r="A353" t="s">
        <v>568</v>
      </c>
    </row>
    <row r="354" spans="1:13">
      <c r="A354" t="s">
        <v>569</v>
      </c>
    </row>
    <row r="355" spans="1:13">
      <c r="A355" t="s">
        <v>671</v>
      </c>
    </row>
    <row r="356" spans="1:13">
      <c r="A356" t="s">
        <v>571</v>
      </c>
    </row>
    <row r="357" spans="1:13">
      <c r="A357" t="s">
        <v>572</v>
      </c>
    </row>
    <row r="359" spans="1:13">
      <c r="B359" t="s">
        <v>573</v>
      </c>
      <c r="C359" t="s">
        <v>574</v>
      </c>
      <c r="D359" t="s">
        <v>575</v>
      </c>
      <c r="E359" t="s">
        <v>123</v>
      </c>
      <c r="F359" t="s">
        <v>577</v>
      </c>
      <c r="G359" t="s">
        <v>579</v>
      </c>
      <c r="H359" t="s">
        <v>581</v>
      </c>
      <c r="I359" t="s">
        <v>583</v>
      </c>
      <c r="J359" t="s">
        <v>585</v>
      </c>
    </row>
    <row r="360" spans="1:13">
      <c r="D360" t="s">
        <v>576</v>
      </c>
      <c r="F360" t="s">
        <v>578</v>
      </c>
      <c r="G360" t="s">
        <v>580</v>
      </c>
      <c r="H360" t="s">
        <v>582</v>
      </c>
      <c r="I360" t="s">
        <v>584</v>
      </c>
      <c r="J360" t="s">
        <v>584</v>
      </c>
      <c r="K360" s="34" t="s">
        <v>591</v>
      </c>
      <c r="L360" t="s">
        <v>592</v>
      </c>
      <c r="M360" t="s">
        <v>593</v>
      </c>
    </row>
    <row r="361" spans="1:13">
      <c r="A361">
        <v>1</v>
      </c>
      <c r="B361" t="s">
        <v>617</v>
      </c>
      <c r="C361" t="s">
        <v>55</v>
      </c>
      <c r="D361" t="s">
        <v>626</v>
      </c>
      <c r="E361" t="s">
        <v>131</v>
      </c>
      <c r="F361" s="33">
        <v>0</v>
      </c>
      <c r="G361">
        <v>40</v>
      </c>
      <c r="H361" s="33">
        <v>185928</v>
      </c>
      <c r="I361" s="33">
        <v>150333552</v>
      </c>
      <c r="J361" s="33">
        <v>151056221</v>
      </c>
      <c r="K361" t="s">
        <v>606</v>
      </c>
      <c r="L361" t="s">
        <v>598</v>
      </c>
      <c r="M361" t="s">
        <v>616</v>
      </c>
    </row>
    <row r="362" spans="1:13">
      <c r="A362">
        <v>2</v>
      </c>
      <c r="B362" t="s">
        <v>625</v>
      </c>
      <c r="C362" t="s">
        <v>172</v>
      </c>
      <c r="D362" t="s">
        <v>626</v>
      </c>
      <c r="E362" t="s">
        <v>131</v>
      </c>
      <c r="F362" s="33">
        <v>0</v>
      </c>
      <c r="G362">
        <v>14</v>
      </c>
      <c r="H362" s="33">
        <v>46720</v>
      </c>
      <c r="I362" s="33">
        <v>18914072</v>
      </c>
      <c r="J362" s="33">
        <v>19005956</v>
      </c>
      <c r="K362" t="s">
        <v>606</v>
      </c>
      <c r="L362" t="s">
        <v>598</v>
      </c>
      <c r="M362" t="s">
        <v>616</v>
      </c>
    </row>
    <row r="363" spans="1:13">
      <c r="A363">
        <v>3</v>
      </c>
      <c r="B363" t="s">
        <v>793</v>
      </c>
      <c r="C363" t="s">
        <v>195</v>
      </c>
      <c r="D363" t="s">
        <v>626</v>
      </c>
      <c r="E363" t="s">
        <v>196</v>
      </c>
      <c r="F363" s="33">
        <v>0</v>
      </c>
      <c r="G363">
        <v>8</v>
      </c>
      <c r="H363" s="33">
        <v>47769</v>
      </c>
      <c r="I363" s="33">
        <v>7193254</v>
      </c>
      <c r="J363" s="33">
        <v>7272220</v>
      </c>
      <c r="K363" t="s">
        <v>606</v>
      </c>
      <c r="L363" t="s">
        <v>598</v>
      </c>
      <c r="M363" t="s">
        <v>599</v>
      </c>
    </row>
    <row r="364" spans="1:13">
      <c r="A364">
        <v>4</v>
      </c>
      <c r="B364" t="s">
        <v>676</v>
      </c>
      <c r="C364" t="s">
        <v>238</v>
      </c>
      <c r="E364" t="s">
        <v>193</v>
      </c>
      <c r="F364" s="33">
        <v>0</v>
      </c>
      <c r="G364">
        <v>0</v>
      </c>
      <c r="H364" s="33">
        <v>0</v>
      </c>
      <c r="I364" s="33">
        <v>1692572</v>
      </c>
      <c r="J364" s="33">
        <v>1692572</v>
      </c>
      <c r="K364" t="s">
        <v>606</v>
      </c>
      <c r="L364" t="s">
        <v>598</v>
      </c>
      <c r="M364" t="s">
        <v>658</v>
      </c>
    </row>
    <row r="365" spans="1:13">
      <c r="A365">
        <v>5</v>
      </c>
      <c r="B365" t="s">
        <v>794</v>
      </c>
      <c r="C365" t="s">
        <v>795</v>
      </c>
      <c r="E365" t="s">
        <v>191</v>
      </c>
      <c r="F365" s="33">
        <v>0</v>
      </c>
      <c r="G365">
        <v>0</v>
      </c>
      <c r="H365" s="33">
        <v>0</v>
      </c>
      <c r="I365" s="33">
        <v>22931</v>
      </c>
      <c r="J365" s="33">
        <v>22931</v>
      </c>
      <c r="K365" t="s">
        <v>606</v>
      </c>
      <c r="L365" t="s">
        <v>598</v>
      </c>
      <c r="M365" t="s">
        <v>599</v>
      </c>
    </row>
    <row r="366" spans="1:13">
      <c r="A366">
        <v>6</v>
      </c>
      <c r="B366" t="s">
        <v>676</v>
      </c>
      <c r="C366" t="s">
        <v>227</v>
      </c>
      <c r="E366" t="s">
        <v>148</v>
      </c>
      <c r="F366" s="33">
        <v>0</v>
      </c>
      <c r="G366">
        <v>0</v>
      </c>
      <c r="H366" s="33">
        <v>0</v>
      </c>
      <c r="I366" s="33">
        <v>2709986</v>
      </c>
      <c r="J366" s="33">
        <v>2709986</v>
      </c>
      <c r="K366" t="s">
        <v>606</v>
      </c>
      <c r="L366" t="s">
        <v>598</v>
      </c>
      <c r="M366" t="s">
        <v>616</v>
      </c>
    </row>
    <row r="367" spans="1:13">
      <c r="A367">
        <v>7</v>
      </c>
      <c r="B367" t="s">
        <v>676</v>
      </c>
      <c r="C367" t="s">
        <v>50</v>
      </c>
      <c r="E367" t="s">
        <v>131</v>
      </c>
      <c r="F367" s="33">
        <v>0</v>
      </c>
      <c r="G367">
        <v>0</v>
      </c>
      <c r="H367" s="33">
        <v>0</v>
      </c>
      <c r="I367" s="33">
        <v>140937</v>
      </c>
      <c r="J367" s="33">
        <v>140937</v>
      </c>
      <c r="K367" t="s">
        <v>606</v>
      </c>
      <c r="L367" t="s">
        <v>598</v>
      </c>
      <c r="M367" t="s">
        <v>616</v>
      </c>
    </row>
    <row r="368" spans="1:13">
      <c r="A368">
        <v>8</v>
      </c>
      <c r="B368" t="s">
        <v>796</v>
      </c>
      <c r="C368" t="s">
        <v>797</v>
      </c>
      <c r="E368" t="s">
        <v>129</v>
      </c>
      <c r="F368" s="33">
        <v>0</v>
      </c>
      <c r="G368">
        <v>0</v>
      </c>
      <c r="H368" s="33">
        <v>0</v>
      </c>
      <c r="I368" s="33">
        <v>0</v>
      </c>
      <c r="J368" s="33">
        <v>0</v>
      </c>
      <c r="K368" t="s">
        <v>606</v>
      </c>
      <c r="L368" t="s">
        <v>598</v>
      </c>
      <c r="M368" t="s">
        <v>616</v>
      </c>
    </row>
    <row r="369" spans="1:13">
      <c r="A369">
        <v>9</v>
      </c>
      <c r="B369" t="s">
        <v>676</v>
      </c>
      <c r="C369" t="s">
        <v>798</v>
      </c>
      <c r="E369" t="s">
        <v>193</v>
      </c>
      <c r="F369" s="33">
        <v>0</v>
      </c>
      <c r="G369">
        <v>0</v>
      </c>
      <c r="H369" s="33">
        <v>0</v>
      </c>
      <c r="I369" s="33">
        <v>0</v>
      </c>
      <c r="J369" s="33">
        <v>0</v>
      </c>
      <c r="K369" t="s">
        <v>606</v>
      </c>
      <c r="L369" t="s">
        <v>598</v>
      </c>
      <c r="M369" t="s">
        <v>616</v>
      </c>
    </row>
    <row r="371" spans="1:13">
      <c r="A371" t="s">
        <v>564</v>
      </c>
    </row>
    <row r="373" spans="1:13">
      <c r="A373" t="s">
        <v>799</v>
      </c>
    </row>
    <row r="374" spans="1:13">
      <c r="A374" t="s">
        <v>566</v>
      </c>
    </row>
    <row r="375" spans="1:13">
      <c r="A375" t="s">
        <v>567</v>
      </c>
    </row>
    <row r="376" spans="1:13">
      <c r="A376" t="s">
        <v>568</v>
      </c>
    </row>
    <row r="377" spans="1:13">
      <c r="A377" t="s">
        <v>569</v>
      </c>
    </row>
    <row r="378" spans="1:13">
      <c r="A378" t="s">
        <v>671</v>
      </c>
    </row>
    <row r="379" spans="1:13">
      <c r="A379" t="s">
        <v>571</v>
      </c>
    </row>
    <row r="380" spans="1:13">
      <c r="A380" t="s">
        <v>572</v>
      </c>
    </row>
    <row r="382" spans="1:13">
      <c r="B382" t="s">
        <v>573</v>
      </c>
      <c r="C382" t="s">
        <v>574</v>
      </c>
      <c r="D382" t="s">
        <v>575</v>
      </c>
      <c r="E382" t="s">
        <v>123</v>
      </c>
      <c r="F382" t="s">
        <v>577</v>
      </c>
      <c r="G382" t="s">
        <v>579</v>
      </c>
      <c r="H382" t="s">
        <v>581</v>
      </c>
      <c r="I382" t="s">
        <v>583</v>
      </c>
      <c r="J382" t="s">
        <v>585</v>
      </c>
    </row>
    <row r="383" spans="1:13">
      <c r="D383" t="s">
        <v>576</v>
      </c>
      <c r="F383" t="s">
        <v>578</v>
      </c>
      <c r="G383" t="s">
        <v>580</v>
      </c>
      <c r="H383" t="s">
        <v>582</v>
      </c>
      <c r="I383" t="s">
        <v>584</v>
      </c>
      <c r="J383" t="s">
        <v>584</v>
      </c>
      <c r="K383" t="s">
        <v>591</v>
      </c>
      <c r="L383" t="s">
        <v>592</v>
      </c>
      <c r="M383" t="s">
        <v>593</v>
      </c>
    </row>
    <row r="384" spans="1:13">
      <c r="A384">
        <v>1</v>
      </c>
      <c r="B384" t="s">
        <v>800</v>
      </c>
      <c r="C384" t="s">
        <v>458</v>
      </c>
      <c r="D384" t="s">
        <v>801</v>
      </c>
      <c r="E384" t="s">
        <v>131</v>
      </c>
      <c r="F384" s="33">
        <v>0</v>
      </c>
      <c r="G384">
        <v>10</v>
      </c>
      <c r="H384" s="33">
        <v>5303</v>
      </c>
      <c r="I384" s="33">
        <v>625447</v>
      </c>
      <c r="J384" s="33">
        <v>711507</v>
      </c>
      <c r="K384" t="s">
        <v>606</v>
      </c>
      <c r="L384" t="s">
        <v>598</v>
      </c>
      <c r="M384" t="s">
        <v>616</v>
      </c>
    </row>
    <row r="385" spans="1:13">
      <c r="A385">
        <v>2</v>
      </c>
      <c r="B385" t="s">
        <v>802</v>
      </c>
      <c r="C385" t="s">
        <v>803</v>
      </c>
      <c r="E385" t="s">
        <v>131</v>
      </c>
      <c r="F385" s="33">
        <v>0</v>
      </c>
      <c r="G385">
        <v>0</v>
      </c>
      <c r="H385" s="33">
        <v>0</v>
      </c>
      <c r="I385" s="33">
        <v>0</v>
      </c>
      <c r="J385" s="33">
        <v>0</v>
      </c>
      <c r="K385" t="s">
        <v>606</v>
      </c>
      <c r="L385" t="s">
        <v>598</v>
      </c>
      <c r="M385" t="s">
        <v>616</v>
      </c>
    </row>
    <row r="386" spans="1:13">
      <c r="A386">
        <v>3</v>
      </c>
      <c r="B386" t="s">
        <v>804</v>
      </c>
      <c r="C386" t="s">
        <v>805</v>
      </c>
      <c r="D386" t="s">
        <v>806</v>
      </c>
      <c r="E386" t="s">
        <v>306</v>
      </c>
      <c r="F386" s="33">
        <v>0</v>
      </c>
      <c r="G386">
        <v>0</v>
      </c>
      <c r="H386" s="33">
        <v>0</v>
      </c>
      <c r="I386" s="33">
        <v>0</v>
      </c>
      <c r="J386" s="33">
        <v>0</v>
      </c>
      <c r="K386" t="s">
        <v>606</v>
      </c>
      <c r="L386" t="s">
        <v>598</v>
      </c>
      <c r="M386" t="s">
        <v>658</v>
      </c>
    </row>
    <row r="387" spans="1:13">
      <c r="A387">
        <v>4</v>
      </c>
      <c r="B387" t="s">
        <v>676</v>
      </c>
      <c r="C387" t="s">
        <v>798</v>
      </c>
      <c r="E387" t="s">
        <v>193</v>
      </c>
      <c r="F387" s="33">
        <v>0</v>
      </c>
      <c r="G387">
        <v>0</v>
      </c>
      <c r="H387" s="33">
        <v>0</v>
      </c>
      <c r="I387" s="33">
        <v>0</v>
      </c>
      <c r="J387" s="33">
        <v>0</v>
      </c>
      <c r="K387" t="s">
        <v>606</v>
      </c>
      <c r="L387" t="s">
        <v>598</v>
      </c>
      <c r="M387" t="s">
        <v>616</v>
      </c>
    </row>
    <row r="388" spans="1:13">
      <c r="A388">
        <v>5</v>
      </c>
      <c r="B388" t="s">
        <v>807</v>
      </c>
      <c r="C388" t="s">
        <v>56</v>
      </c>
      <c r="D388" t="s">
        <v>808</v>
      </c>
      <c r="E388" t="s">
        <v>131</v>
      </c>
      <c r="F388" s="33">
        <v>0</v>
      </c>
      <c r="G388">
        <v>0</v>
      </c>
      <c r="H388" s="33">
        <v>0</v>
      </c>
      <c r="I388" s="33">
        <v>3012514</v>
      </c>
      <c r="J388" s="33">
        <v>3012514</v>
      </c>
      <c r="K388" t="s">
        <v>602</v>
      </c>
      <c r="L388" t="s">
        <v>598</v>
      </c>
      <c r="M388" t="s">
        <v>603</v>
      </c>
    </row>
    <row r="424" spans="1:1">
      <c r="A424" t="s">
        <v>564</v>
      </c>
    </row>
    <row r="425" spans="1:1">
      <c r="A425" t="s">
        <v>565</v>
      </c>
    </row>
    <row r="426" spans="1:1">
      <c r="A426" t="s">
        <v>566</v>
      </c>
    </row>
    <row r="427" spans="1:1">
      <c r="A427" t="s">
        <v>809</v>
      </c>
    </row>
    <row r="428" spans="1:1">
      <c r="A428" t="s">
        <v>810</v>
      </c>
    </row>
    <row r="429" spans="1:1">
      <c r="A429" t="s">
        <v>569</v>
      </c>
    </row>
    <row r="430" spans="1:1">
      <c r="A430" t="s">
        <v>656</v>
      </c>
    </row>
    <row r="431" spans="1:1">
      <c r="A431" t="s">
        <v>571</v>
      </c>
    </row>
    <row r="432" spans="1:1">
      <c r="A432" t="s">
        <v>572</v>
      </c>
    </row>
    <row r="434" spans="1:10">
      <c r="A434" t="s">
        <v>22</v>
      </c>
      <c r="B434" t="s">
        <v>573</v>
      </c>
      <c r="C434" t="s">
        <v>574</v>
      </c>
      <c r="D434" t="s">
        <v>575</v>
      </c>
    </row>
    <row r="435" spans="1:10">
      <c r="A435" t="s">
        <v>576</v>
      </c>
      <c r="B435" t="s">
        <v>123</v>
      </c>
      <c r="C435" t="s">
        <v>577</v>
      </c>
    </row>
    <row r="436" spans="1:10">
      <c r="A436" t="s">
        <v>578</v>
      </c>
      <c r="B436" t="s">
        <v>579</v>
      </c>
    </row>
    <row r="437" spans="1:10">
      <c r="A437" t="s">
        <v>580</v>
      </c>
      <c r="B437" t="s">
        <v>581</v>
      </c>
      <c r="F437" s="33"/>
      <c r="H437" s="33"/>
      <c r="I437" s="33"/>
      <c r="J437" s="33"/>
    </row>
    <row r="438" spans="1:10">
      <c r="A438" t="s">
        <v>582</v>
      </c>
      <c r="B438" t="s">
        <v>583</v>
      </c>
      <c r="F438" s="33"/>
      <c r="H438" s="33"/>
      <c r="I438" s="33"/>
      <c r="J438" s="33"/>
    </row>
    <row r="439" spans="1:10">
      <c r="A439" t="s">
        <v>584</v>
      </c>
      <c r="B439" t="s">
        <v>585</v>
      </c>
      <c r="F439" s="33"/>
      <c r="H439" s="33"/>
      <c r="I439" s="33"/>
      <c r="J439" s="33"/>
    </row>
    <row r="440" spans="1:10">
      <c r="A440" t="s">
        <v>584</v>
      </c>
      <c r="F440" s="33"/>
      <c r="H440" s="33"/>
      <c r="I440" s="33"/>
      <c r="J440" s="33"/>
    </row>
    <row r="441" spans="1:10">
      <c r="A441">
        <v>1</v>
      </c>
      <c r="B441" t="s">
        <v>811</v>
      </c>
      <c r="C441" t="s">
        <v>7</v>
      </c>
      <c r="D441" t="s">
        <v>812</v>
      </c>
      <c r="E441" t="s">
        <v>129</v>
      </c>
      <c r="F441" s="33">
        <v>0</v>
      </c>
      <c r="G441">
        <v>115</v>
      </c>
      <c r="H441" s="33">
        <v>704047</v>
      </c>
      <c r="I441" s="33">
        <v>542084590</v>
      </c>
      <c r="J441" s="33">
        <v>544068574</v>
      </c>
    </row>
    <row r="442" spans="1:10">
      <c r="A442">
        <v>2</v>
      </c>
      <c r="B442" t="s">
        <v>813</v>
      </c>
      <c r="C442" t="s">
        <v>359</v>
      </c>
      <c r="D442" t="s">
        <v>601</v>
      </c>
      <c r="E442" t="s">
        <v>129</v>
      </c>
      <c r="F442" s="33">
        <v>0</v>
      </c>
      <c r="G442">
        <v>55</v>
      </c>
      <c r="H442" s="33">
        <v>436059</v>
      </c>
      <c r="I442" s="33">
        <v>532057988</v>
      </c>
      <c r="J442" s="33">
        <v>533601535</v>
      </c>
    </row>
    <row r="443" spans="1:10">
      <c r="A443">
        <v>3</v>
      </c>
      <c r="B443" t="s">
        <v>814</v>
      </c>
      <c r="C443" t="s">
        <v>365</v>
      </c>
      <c r="D443" t="s">
        <v>601</v>
      </c>
      <c r="E443" t="s">
        <v>148</v>
      </c>
      <c r="F443" s="33">
        <v>0</v>
      </c>
      <c r="G443">
        <v>32</v>
      </c>
      <c r="H443" s="33">
        <v>204733</v>
      </c>
      <c r="I443" s="33">
        <v>132903651</v>
      </c>
      <c r="J443" s="33">
        <v>133650584</v>
      </c>
    </row>
    <row r="444" spans="1:10">
      <c r="A444">
        <v>4</v>
      </c>
      <c r="B444" t="s">
        <v>811</v>
      </c>
      <c r="C444" t="s">
        <v>362</v>
      </c>
      <c r="D444" t="s">
        <v>764</v>
      </c>
      <c r="E444" t="s">
        <v>127</v>
      </c>
      <c r="F444" s="33">
        <v>0</v>
      </c>
      <c r="G444">
        <v>69</v>
      </c>
      <c r="H444" s="33">
        <v>341834</v>
      </c>
      <c r="I444" s="33">
        <v>360977662</v>
      </c>
      <c r="J444" s="33">
        <v>361683815</v>
      </c>
    </row>
    <row r="445" spans="1:10">
      <c r="A445">
        <v>5</v>
      </c>
      <c r="B445" t="s">
        <v>815</v>
      </c>
      <c r="C445" t="s">
        <v>364</v>
      </c>
      <c r="D445" t="s">
        <v>601</v>
      </c>
      <c r="E445" t="s">
        <v>136</v>
      </c>
      <c r="F445" s="33">
        <v>0</v>
      </c>
      <c r="G445">
        <v>40</v>
      </c>
      <c r="H445" s="33">
        <v>263412</v>
      </c>
      <c r="I445" s="33">
        <v>197659887</v>
      </c>
      <c r="J445" s="33">
        <v>198330770</v>
      </c>
    </row>
    <row r="446" spans="1:10">
      <c r="A446">
        <v>6</v>
      </c>
      <c r="B446" t="s">
        <v>816</v>
      </c>
      <c r="C446" t="s">
        <v>367</v>
      </c>
      <c r="D446" t="s">
        <v>626</v>
      </c>
      <c r="E446" t="s">
        <v>136</v>
      </c>
      <c r="F446" s="33">
        <v>0</v>
      </c>
      <c r="G446">
        <v>36</v>
      </c>
      <c r="H446" s="33">
        <v>71187</v>
      </c>
      <c r="I446" s="33">
        <v>117577445</v>
      </c>
      <c r="J446" s="33">
        <v>118128641</v>
      </c>
    </row>
    <row r="447" spans="1:10">
      <c r="A447">
        <v>7</v>
      </c>
      <c r="B447" t="s">
        <v>817</v>
      </c>
      <c r="C447" t="s">
        <v>373</v>
      </c>
      <c r="D447" t="s">
        <v>601</v>
      </c>
      <c r="E447" t="s">
        <v>129</v>
      </c>
      <c r="F447" s="33">
        <v>0</v>
      </c>
      <c r="G447">
        <v>31</v>
      </c>
      <c r="H447" s="33">
        <v>126929</v>
      </c>
      <c r="I447" s="33">
        <v>89772584</v>
      </c>
      <c r="J447" s="33">
        <v>90035547</v>
      </c>
    </row>
    <row r="448" spans="1:10">
      <c r="A448">
        <v>8</v>
      </c>
      <c r="B448" t="s">
        <v>811</v>
      </c>
      <c r="C448" t="s">
        <v>368</v>
      </c>
      <c r="D448" t="s">
        <v>601</v>
      </c>
      <c r="E448" t="s">
        <v>129</v>
      </c>
      <c r="F448" s="33">
        <v>0</v>
      </c>
      <c r="G448">
        <v>34</v>
      </c>
      <c r="H448" s="33">
        <v>95577</v>
      </c>
      <c r="I448" s="33">
        <v>114902870</v>
      </c>
      <c r="J448" s="33">
        <v>115089944</v>
      </c>
    </row>
    <row r="449" spans="1:10">
      <c r="A449">
        <v>9</v>
      </c>
      <c r="B449" t="s">
        <v>818</v>
      </c>
      <c r="C449" t="s">
        <v>819</v>
      </c>
      <c r="D449" t="s">
        <v>601</v>
      </c>
      <c r="E449" t="s">
        <v>136</v>
      </c>
      <c r="F449" s="33">
        <v>0</v>
      </c>
      <c r="G449">
        <v>24</v>
      </c>
      <c r="H449" s="33">
        <v>79180</v>
      </c>
      <c r="I449" s="33">
        <v>57442237</v>
      </c>
      <c r="J449" s="33">
        <v>57628372</v>
      </c>
    </row>
    <row r="450" spans="1:10">
      <c r="A450">
        <v>10</v>
      </c>
      <c r="B450" t="s">
        <v>820</v>
      </c>
      <c r="C450" t="s">
        <v>400</v>
      </c>
      <c r="D450" t="s">
        <v>626</v>
      </c>
      <c r="F450" s="33">
        <v>0</v>
      </c>
      <c r="G450">
        <v>23</v>
      </c>
      <c r="H450" s="33">
        <v>80485</v>
      </c>
      <c r="I450" s="33">
        <v>11648683</v>
      </c>
      <c r="J450" s="33">
        <v>11828404</v>
      </c>
    </row>
    <row r="451" spans="1:10">
      <c r="A451">
        <v>11</v>
      </c>
      <c r="B451" t="s">
        <v>821</v>
      </c>
      <c r="C451" t="s">
        <v>822</v>
      </c>
      <c r="D451" t="s">
        <v>823</v>
      </c>
      <c r="E451" t="s">
        <v>191</v>
      </c>
      <c r="F451" s="33">
        <v>0</v>
      </c>
      <c r="G451">
        <v>25</v>
      </c>
      <c r="H451" s="33">
        <v>34524</v>
      </c>
      <c r="I451" s="33">
        <v>4380</v>
      </c>
      <c r="J451" s="33">
        <v>153994</v>
      </c>
    </row>
    <row r="452" spans="1:10">
      <c r="A452">
        <v>12</v>
      </c>
      <c r="B452" t="s">
        <v>824</v>
      </c>
      <c r="C452" t="s">
        <v>386</v>
      </c>
      <c r="D452" t="s">
        <v>626</v>
      </c>
      <c r="E452" t="s">
        <v>127</v>
      </c>
      <c r="F452" s="33">
        <v>0</v>
      </c>
      <c r="G452">
        <v>27</v>
      </c>
      <c r="H452" s="33">
        <v>57713</v>
      </c>
      <c r="I452" s="33">
        <v>36895078</v>
      </c>
      <c r="J452" s="33">
        <v>37013430</v>
      </c>
    </row>
    <row r="453" spans="1:10">
      <c r="A453">
        <v>13</v>
      </c>
      <c r="B453" t="s">
        <v>825</v>
      </c>
      <c r="C453" t="s">
        <v>406</v>
      </c>
      <c r="D453" t="s">
        <v>626</v>
      </c>
      <c r="E453" t="s">
        <v>129</v>
      </c>
      <c r="F453" s="33">
        <v>0</v>
      </c>
      <c r="G453">
        <v>12</v>
      </c>
      <c r="H453" s="33">
        <v>35015</v>
      </c>
      <c r="I453" s="33">
        <v>10295882</v>
      </c>
      <c r="J453" s="33">
        <v>10381054</v>
      </c>
    </row>
    <row r="454" spans="1:10">
      <c r="A454">
        <v>14</v>
      </c>
      <c r="B454" t="s">
        <v>826</v>
      </c>
      <c r="C454" t="s">
        <v>470</v>
      </c>
      <c r="D454" t="s">
        <v>801</v>
      </c>
      <c r="E454" t="s">
        <v>136</v>
      </c>
      <c r="F454" s="33">
        <v>0</v>
      </c>
      <c r="G454">
        <v>15</v>
      </c>
      <c r="H454" s="33">
        <v>10463</v>
      </c>
      <c r="I454" s="33">
        <v>424624</v>
      </c>
      <c r="J454" s="33">
        <v>503950</v>
      </c>
    </row>
    <row r="455" spans="1:10">
      <c r="A455">
        <v>15</v>
      </c>
      <c r="B455" t="s">
        <v>818</v>
      </c>
      <c r="C455" t="s">
        <v>827</v>
      </c>
      <c r="D455" t="s">
        <v>626</v>
      </c>
      <c r="E455" t="s">
        <v>131</v>
      </c>
      <c r="F455" s="33">
        <v>0</v>
      </c>
      <c r="G455">
        <v>21</v>
      </c>
      <c r="H455" s="33">
        <v>39584</v>
      </c>
      <c r="I455" s="33">
        <v>35288134</v>
      </c>
      <c r="J455" s="33">
        <v>35327718</v>
      </c>
    </row>
    <row r="456" spans="1:10">
      <c r="A456">
        <v>16</v>
      </c>
      <c r="B456" t="s">
        <v>828</v>
      </c>
      <c r="C456" t="s">
        <v>407</v>
      </c>
      <c r="D456" t="s">
        <v>601</v>
      </c>
      <c r="E456" t="s">
        <v>136</v>
      </c>
      <c r="F456" s="33">
        <v>0</v>
      </c>
      <c r="G456">
        <v>4</v>
      </c>
      <c r="H456" s="33">
        <v>15044</v>
      </c>
      <c r="I456" s="33">
        <v>10244720</v>
      </c>
      <c r="J456" s="33">
        <v>10281835</v>
      </c>
    </row>
    <row r="457" spans="1:10">
      <c r="A457">
        <v>17</v>
      </c>
      <c r="B457" t="s">
        <v>829</v>
      </c>
      <c r="C457" t="s">
        <v>393</v>
      </c>
      <c r="D457" t="s">
        <v>626</v>
      </c>
      <c r="E457" t="s">
        <v>136</v>
      </c>
      <c r="F457" s="33">
        <v>0</v>
      </c>
      <c r="G457">
        <v>10</v>
      </c>
      <c r="H457" s="33">
        <v>19065</v>
      </c>
      <c r="I457" s="33">
        <v>19091231</v>
      </c>
      <c r="J457" s="33">
        <v>19110296</v>
      </c>
    </row>
    <row r="458" spans="1:10">
      <c r="A458">
        <v>18</v>
      </c>
      <c r="B458" t="s">
        <v>830</v>
      </c>
      <c r="C458" t="s">
        <v>537</v>
      </c>
      <c r="D458" t="s">
        <v>831</v>
      </c>
      <c r="E458" t="s">
        <v>191</v>
      </c>
      <c r="F458" s="33">
        <v>0</v>
      </c>
      <c r="G458">
        <v>5</v>
      </c>
      <c r="H458" s="33">
        <v>0</v>
      </c>
      <c r="I458" s="33">
        <v>0</v>
      </c>
      <c r="J458" s="33">
        <v>15241</v>
      </c>
    </row>
    <row r="459" spans="1:10">
      <c r="A459">
        <v>19</v>
      </c>
      <c r="B459" t="s">
        <v>832</v>
      </c>
      <c r="C459" t="s">
        <v>833</v>
      </c>
      <c r="D459" t="s">
        <v>834</v>
      </c>
      <c r="E459" t="s">
        <v>129</v>
      </c>
      <c r="F459" s="33">
        <v>0</v>
      </c>
      <c r="G459">
        <v>13</v>
      </c>
      <c r="H459" s="33">
        <v>0</v>
      </c>
      <c r="I459" s="33">
        <v>485074</v>
      </c>
      <c r="J459" s="33">
        <v>499527</v>
      </c>
    </row>
    <row r="460" spans="1:10">
      <c r="A460">
        <v>20</v>
      </c>
      <c r="B460" t="s">
        <v>835</v>
      </c>
      <c r="C460" t="s">
        <v>836</v>
      </c>
      <c r="D460" t="s">
        <v>626</v>
      </c>
      <c r="E460" t="s">
        <v>136</v>
      </c>
      <c r="F460" s="33">
        <v>0</v>
      </c>
      <c r="G460">
        <v>8</v>
      </c>
      <c r="H460" s="33">
        <v>7950</v>
      </c>
      <c r="I460" s="33">
        <v>1264734</v>
      </c>
      <c r="J460" s="33">
        <v>1278065</v>
      </c>
    </row>
    <row r="461" spans="1:10">
      <c r="A461">
        <v>21</v>
      </c>
      <c r="B461" t="s">
        <v>837</v>
      </c>
      <c r="C461" t="s">
        <v>838</v>
      </c>
      <c r="D461" t="s">
        <v>839</v>
      </c>
      <c r="E461" t="s">
        <v>191</v>
      </c>
      <c r="F461" s="33">
        <v>0</v>
      </c>
      <c r="G461">
        <v>1</v>
      </c>
      <c r="H461" s="33">
        <v>456</v>
      </c>
      <c r="I461" s="33">
        <v>0</v>
      </c>
      <c r="J461" s="33">
        <v>1034</v>
      </c>
    </row>
    <row r="462" spans="1:10">
      <c r="A462">
        <v>22</v>
      </c>
      <c r="B462" t="s">
        <v>829</v>
      </c>
      <c r="C462" t="s">
        <v>380</v>
      </c>
      <c r="D462" t="s">
        <v>840</v>
      </c>
      <c r="E462" t="s">
        <v>136</v>
      </c>
      <c r="F462" s="33">
        <v>0</v>
      </c>
      <c r="G462">
        <v>0</v>
      </c>
      <c r="H462" s="33">
        <v>0</v>
      </c>
      <c r="I462" s="33">
        <v>54663066</v>
      </c>
      <c r="J462" s="33">
        <v>54663066</v>
      </c>
    </row>
    <row r="463" spans="1:10">
      <c r="A463">
        <v>23</v>
      </c>
      <c r="B463" t="s">
        <v>841</v>
      </c>
      <c r="C463" t="s">
        <v>842</v>
      </c>
      <c r="E463" t="s">
        <v>129</v>
      </c>
      <c r="F463" s="33">
        <v>0</v>
      </c>
      <c r="G463">
        <v>0</v>
      </c>
      <c r="H463" s="33">
        <v>0</v>
      </c>
      <c r="I463" s="33">
        <v>1637776</v>
      </c>
      <c r="J463" s="33">
        <v>1637776</v>
      </c>
    </row>
    <row r="464" spans="1:10">
      <c r="A464">
        <v>24</v>
      </c>
      <c r="B464" t="s">
        <v>843</v>
      </c>
      <c r="C464" t="s">
        <v>844</v>
      </c>
      <c r="E464" t="s">
        <v>129</v>
      </c>
      <c r="F464" s="33">
        <v>0</v>
      </c>
      <c r="G464">
        <v>0</v>
      </c>
      <c r="H464" s="33">
        <v>0</v>
      </c>
      <c r="I464" s="33">
        <v>9796094</v>
      </c>
      <c r="J464" s="33">
        <v>9796094</v>
      </c>
    </row>
    <row r="465" spans="1:10">
      <c r="A465">
        <v>25</v>
      </c>
      <c r="B465" t="s">
        <v>845</v>
      </c>
      <c r="C465" t="s">
        <v>846</v>
      </c>
      <c r="D465" t="s">
        <v>847</v>
      </c>
      <c r="E465" t="s">
        <v>191</v>
      </c>
      <c r="F465" s="33">
        <v>0</v>
      </c>
      <c r="G465">
        <v>0</v>
      </c>
      <c r="H465" s="33">
        <v>0</v>
      </c>
      <c r="I465" s="33">
        <v>0</v>
      </c>
      <c r="J465" s="33">
        <v>0</v>
      </c>
    </row>
    <row r="466" spans="1:10">
      <c r="A466">
        <v>26</v>
      </c>
      <c r="B466" t="s">
        <v>848</v>
      </c>
      <c r="C466" t="s">
        <v>849</v>
      </c>
      <c r="D466" t="s">
        <v>653</v>
      </c>
      <c r="E466" t="s">
        <v>131</v>
      </c>
      <c r="F466" s="33">
        <v>0</v>
      </c>
      <c r="G466">
        <v>0</v>
      </c>
      <c r="H466" s="33">
        <v>0</v>
      </c>
      <c r="I466" s="33">
        <v>2669935</v>
      </c>
      <c r="J466" s="33">
        <v>2669935</v>
      </c>
    </row>
    <row r="467" spans="1:10">
      <c r="A467">
        <v>27</v>
      </c>
      <c r="B467" t="s">
        <v>850</v>
      </c>
      <c r="C467" t="s">
        <v>851</v>
      </c>
      <c r="D467" t="s">
        <v>852</v>
      </c>
      <c r="E467" t="s">
        <v>129</v>
      </c>
      <c r="F467" s="33">
        <v>0</v>
      </c>
      <c r="G467">
        <v>0</v>
      </c>
      <c r="H467" s="33">
        <v>0</v>
      </c>
      <c r="I467" s="33">
        <v>47872755</v>
      </c>
      <c r="J467" s="33">
        <v>47872755</v>
      </c>
    </row>
    <row r="468" spans="1:10">
      <c r="A468">
        <v>28</v>
      </c>
      <c r="B468" t="s">
        <v>818</v>
      </c>
      <c r="C468" t="s">
        <v>853</v>
      </c>
      <c r="D468" t="s">
        <v>782</v>
      </c>
      <c r="E468" t="s">
        <v>148</v>
      </c>
      <c r="F468" s="33">
        <v>0</v>
      </c>
      <c r="G468">
        <v>0</v>
      </c>
      <c r="H468" s="33">
        <v>0</v>
      </c>
      <c r="I468" s="33">
        <v>46154324</v>
      </c>
      <c r="J468" s="33">
        <v>46154324</v>
      </c>
    </row>
    <row r="469" spans="1:10">
      <c r="A469">
        <v>29</v>
      </c>
      <c r="B469" t="s">
        <v>854</v>
      </c>
      <c r="C469" t="s">
        <v>855</v>
      </c>
      <c r="D469" t="s">
        <v>764</v>
      </c>
      <c r="E469" t="s">
        <v>154</v>
      </c>
      <c r="F469" s="33">
        <v>0</v>
      </c>
      <c r="G469">
        <v>0</v>
      </c>
      <c r="H469" s="33">
        <v>0</v>
      </c>
      <c r="I469" s="33">
        <v>16668668</v>
      </c>
      <c r="J469" s="33">
        <v>16668668</v>
      </c>
    </row>
    <row r="470" spans="1:10">
      <c r="A470">
        <v>30</v>
      </c>
      <c r="B470" t="s">
        <v>856</v>
      </c>
      <c r="C470" t="s">
        <v>556</v>
      </c>
      <c r="E470" t="s">
        <v>129</v>
      </c>
      <c r="F470" s="33">
        <v>0</v>
      </c>
      <c r="G470">
        <v>0</v>
      </c>
      <c r="H470" s="33">
        <v>0</v>
      </c>
      <c r="I470" s="33">
        <v>0</v>
      </c>
      <c r="J470" s="33">
        <v>0</v>
      </c>
    </row>
    <row r="471" spans="1:10">
      <c r="A471">
        <v>31</v>
      </c>
      <c r="B471" t="s">
        <v>857</v>
      </c>
      <c r="C471" t="s">
        <v>858</v>
      </c>
      <c r="E471" t="s">
        <v>129</v>
      </c>
      <c r="F471" s="33">
        <v>0</v>
      </c>
      <c r="G471">
        <v>0</v>
      </c>
      <c r="H471" s="33">
        <v>0</v>
      </c>
      <c r="I471" s="33">
        <v>22682660</v>
      </c>
      <c r="J471" s="33">
        <v>22682660</v>
      </c>
    </row>
    <row r="472" spans="1:10">
      <c r="A472">
        <v>32</v>
      </c>
      <c r="B472" t="s">
        <v>859</v>
      </c>
      <c r="C472" t="s">
        <v>860</v>
      </c>
      <c r="E472" t="s">
        <v>129</v>
      </c>
      <c r="F472" s="33">
        <v>0</v>
      </c>
      <c r="G472">
        <v>0</v>
      </c>
      <c r="H472" s="33">
        <v>0</v>
      </c>
      <c r="I472" s="33">
        <v>103651195</v>
      </c>
      <c r="J472" s="33">
        <v>103651195</v>
      </c>
    </row>
    <row r="473" spans="1:10">
      <c r="A473">
        <v>33</v>
      </c>
      <c r="B473" t="s">
        <v>813</v>
      </c>
      <c r="C473" t="s">
        <v>412</v>
      </c>
      <c r="D473" t="s">
        <v>861</v>
      </c>
      <c r="E473" t="s">
        <v>129</v>
      </c>
      <c r="F473" s="33">
        <v>0</v>
      </c>
      <c r="G473">
        <v>0</v>
      </c>
      <c r="H473" s="33">
        <v>0</v>
      </c>
      <c r="I473" s="33">
        <v>7835554</v>
      </c>
      <c r="J473" s="33">
        <v>7835554</v>
      </c>
    </row>
    <row r="474" spans="1:10">
      <c r="A474">
        <v>34</v>
      </c>
      <c r="B474" t="s">
        <v>862</v>
      </c>
      <c r="C474" t="s">
        <v>469</v>
      </c>
      <c r="D474" t="s">
        <v>764</v>
      </c>
      <c r="E474" t="s">
        <v>129</v>
      </c>
      <c r="F474" s="33">
        <v>65000000</v>
      </c>
      <c r="G474">
        <v>0</v>
      </c>
      <c r="H474" s="33">
        <v>0</v>
      </c>
      <c r="I474" s="33">
        <v>516279</v>
      </c>
      <c r="J474" s="33">
        <v>516279</v>
      </c>
    </row>
    <row r="475" spans="1:10">
      <c r="A475">
        <v>35</v>
      </c>
      <c r="B475" t="s">
        <v>863</v>
      </c>
      <c r="C475" t="s">
        <v>864</v>
      </c>
      <c r="D475" t="s">
        <v>596</v>
      </c>
      <c r="E475" t="s">
        <v>131</v>
      </c>
      <c r="F475" s="33">
        <v>0</v>
      </c>
      <c r="G475">
        <v>0</v>
      </c>
      <c r="H475" s="33">
        <v>0</v>
      </c>
      <c r="I475" s="33">
        <v>3375245</v>
      </c>
      <c r="J475" s="33">
        <v>3375245</v>
      </c>
    </row>
    <row r="476" spans="1:10">
      <c r="A476">
        <v>36</v>
      </c>
      <c r="B476" t="s">
        <v>865</v>
      </c>
      <c r="C476" t="s">
        <v>866</v>
      </c>
      <c r="D476" t="s">
        <v>867</v>
      </c>
      <c r="E476" t="s">
        <v>131</v>
      </c>
      <c r="F476" s="33">
        <v>0</v>
      </c>
      <c r="G476">
        <v>0</v>
      </c>
      <c r="H476" s="33">
        <v>0</v>
      </c>
      <c r="I476" s="33">
        <v>157683</v>
      </c>
      <c r="J476" s="33">
        <v>157683</v>
      </c>
    </row>
    <row r="477" spans="1:10">
      <c r="A477">
        <v>37</v>
      </c>
      <c r="B477" t="s">
        <v>868</v>
      </c>
      <c r="C477" t="s">
        <v>869</v>
      </c>
      <c r="D477" t="s">
        <v>870</v>
      </c>
      <c r="E477" t="s">
        <v>127</v>
      </c>
      <c r="F477" s="33">
        <v>0</v>
      </c>
      <c r="G477">
        <v>0</v>
      </c>
      <c r="H477" s="33">
        <v>0</v>
      </c>
      <c r="I477" s="33">
        <v>84717566</v>
      </c>
      <c r="J477" s="33">
        <v>84717566</v>
      </c>
    </row>
    <row r="478" spans="1:10">
      <c r="A478">
        <v>38</v>
      </c>
      <c r="B478" t="s">
        <v>871</v>
      </c>
      <c r="C478" t="s">
        <v>433</v>
      </c>
      <c r="E478" t="s">
        <v>127</v>
      </c>
      <c r="F478" s="33">
        <v>0</v>
      </c>
      <c r="G478">
        <v>0</v>
      </c>
      <c r="H478" s="33">
        <v>0</v>
      </c>
      <c r="I478" s="33">
        <v>2379961</v>
      </c>
      <c r="J478" s="33">
        <v>2379961</v>
      </c>
    </row>
    <row r="479" spans="1:10">
      <c r="A479">
        <v>39</v>
      </c>
      <c r="B479" t="s">
        <v>872</v>
      </c>
      <c r="C479" t="s">
        <v>873</v>
      </c>
      <c r="E479" t="s">
        <v>131</v>
      </c>
      <c r="F479" s="33">
        <v>0</v>
      </c>
      <c r="G479">
        <v>0</v>
      </c>
      <c r="H479" s="33">
        <v>0</v>
      </c>
      <c r="I479" s="33">
        <v>1424520</v>
      </c>
      <c r="J479" s="33">
        <v>1424520</v>
      </c>
    </row>
    <row r="480" spans="1:10">
      <c r="A480">
        <v>40</v>
      </c>
      <c r="B480" t="s">
        <v>874</v>
      </c>
      <c r="C480" t="s">
        <v>875</v>
      </c>
      <c r="E480" t="s">
        <v>129</v>
      </c>
      <c r="F480" s="33">
        <v>0</v>
      </c>
      <c r="G480">
        <v>0</v>
      </c>
      <c r="H480" s="33">
        <v>0</v>
      </c>
      <c r="I480" s="33">
        <v>79214896</v>
      </c>
      <c r="J480" s="33">
        <v>79214896</v>
      </c>
    </row>
    <row r="481" spans="1:10">
      <c r="A481">
        <v>41</v>
      </c>
      <c r="B481" t="s">
        <v>876</v>
      </c>
      <c r="C481" t="s">
        <v>553</v>
      </c>
      <c r="D481" t="s">
        <v>877</v>
      </c>
      <c r="E481" t="s">
        <v>191</v>
      </c>
      <c r="F481" s="33">
        <v>0</v>
      </c>
      <c r="G481">
        <v>0</v>
      </c>
      <c r="H481" s="33">
        <v>0</v>
      </c>
      <c r="I481" s="33">
        <v>0</v>
      </c>
      <c r="J481" s="33">
        <v>0</v>
      </c>
    </row>
    <row r="482" spans="1:10">
      <c r="A482">
        <v>42</v>
      </c>
      <c r="B482" t="s">
        <v>830</v>
      </c>
      <c r="C482" t="s">
        <v>878</v>
      </c>
      <c r="D482" t="s">
        <v>879</v>
      </c>
      <c r="E482" t="s">
        <v>136</v>
      </c>
      <c r="F482" s="33">
        <v>0</v>
      </c>
      <c r="G482">
        <v>0</v>
      </c>
      <c r="H482" s="33">
        <v>0</v>
      </c>
      <c r="I482" s="33">
        <v>0</v>
      </c>
      <c r="J482" s="33">
        <v>0</v>
      </c>
    </row>
    <row r="483" spans="1:10">
      <c r="A483">
        <v>43</v>
      </c>
      <c r="B483" t="s">
        <v>880</v>
      </c>
      <c r="C483" t="s">
        <v>881</v>
      </c>
      <c r="E483" t="s">
        <v>154</v>
      </c>
      <c r="F483" s="33">
        <v>0</v>
      </c>
      <c r="G483">
        <v>0</v>
      </c>
      <c r="H483" s="33">
        <v>0</v>
      </c>
      <c r="I483" s="33">
        <v>35045171</v>
      </c>
      <c r="J483" s="33">
        <v>35045171</v>
      </c>
    </row>
    <row r="484" spans="1:10">
      <c r="A484">
        <v>44</v>
      </c>
      <c r="B484" t="s">
        <v>882</v>
      </c>
      <c r="C484" t="s">
        <v>423</v>
      </c>
      <c r="E484" t="s">
        <v>127</v>
      </c>
      <c r="F484" s="33">
        <v>0</v>
      </c>
      <c r="G484">
        <v>0</v>
      </c>
      <c r="H484" s="33">
        <v>0</v>
      </c>
      <c r="I484" s="33">
        <v>4668484</v>
      </c>
      <c r="J484" s="33">
        <v>4668484</v>
      </c>
    </row>
    <row r="485" spans="1:10">
      <c r="A485">
        <v>45</v>
      </c>
      <c r="B485" t="s">
        <v>883</v>
      </c>
      <c r="C485" t="s">
        <v>884</v>
      </c>
      <c r="E485" t="s">
        <v>127</v>
      </c>
      <c r="F485" s="33">
        <v>0</v>
      </c>
      <c r="G485">
        <v>0</v>
      </c>
      <c r="H485" s="33">
        <v>0</v>
      </c>
      <c r="I485" s="33">
        <v>1689811</v>
      </c>
      <c r="J485" s="33">
        <v>1689811</v>
      </c>
    </row>
    <row r="486" spans="1:10">
      <c r="F486" s="33"/>
      <c r="H486" s="33"/>
      <c r="I486" s="33"/>
      <c r="J486" s="33"/>
    </row>
    <row r="487" spans="1:10">
      <c r="A487" t="s">
        <v>564</v>
      </c>
    </row>
    <row r="488" spans="1:10">
      <c r="A488" t="s">
        <v>565</v>
      </c>
    </row>
    <row r="489" spans="1:10">
      <c r="A489" t="s">
        <v>566</v>
      </c>
    </row>
    <row r="490" spans="1:10">
      <c r="A490" t="s">
        <v>809</v>
      </c>
    </row>
    <row r="491" spans="1:10">
      <c r="A491" t="s">
        <v>810</v>
      </c>
    </row>
    <row r="492" spans="1:10">
      <c r="A492" t="s">
        <v>670</v>
      </c>
    </row>
    <row r="493" spans="1:10">
      <c r="A493" t="s">
        <v>671</v>
      </c>
    </row>
    <row r="494" spans="1:10">
      <c r="A494" t="s">
        <v>885</v>
      </c>
    </row>
    <row r="495" spans="1:10">
      <c r="A495" t="s">
        <v>572</v>
      </c>
    </row>
    <row r="497" spans="1:10">
      <c r="A497" t="s">
        <v>22</v>
      </c>
      <c r="B497" t="s">
        <v>573</v>
      </c>
      <c r="C497" t="s">
        <v>574</v>
      </c>
      <c r="D497" t="s">
        <v>575</v>
      </c>
    </row>
    <row r="498" spans="1:10">
      <c r="A498" t="s">
        <v>576</v>
      </c>
      <c r="B498" t="s">
        <v>123</v>
      </c>
      <c r="C498" t="s">
        <v>577</v>
      </c>
    </row>
    <row r="499" spans="1:10">
      <c r="A499" t="s">
        <v>578</v>
      </c>
      <c r="B499" t="s">
        <v>579</v>
      </c>
    </row>
    <row r="500" spans="1:10">
      <c r="A500" t="s">
        <v>580</v>
      </c>
      <c r="B500" t="s">
        <v>581</v>
      </c>
    </row>
    <row r="501" spans="1:10">
      <c r="A501" t="s">
        <v>582</v>
      </c>
      <c r="B501" t="s">
        <v>583</v>
      </c>
      <c r="F501" s="33"/>
      <c r="H501" s="33"/>
      <c r="I501" s="33"/>
      <c r="J501" s="33"/>
    </row>
    <row r="502" spans="1:10">
      <c r="A502" t="s">
        <v>584</v>
      </c>
      <c r="B502" t="s">
        <v>585</v>
      </c>
      <c r="F502" s="33"/>
      <c r="H502" s="33"/>
      <c r="I502" s="33"/>
      <c r="J502" s="33"/>
    </row>
    <row r="503" spans="1:10">
      <c r="A503" t="s">
        <v>584</v>
      </c>
      <c r="F503" s="33"/>
      <c r="H503" s="33"/>
      <c r="I503" s="33"/>
      <c r="J503" s="33"/>
    </row>
    <row r="504" spans="1:10">
      <c r="A504">
        <v>1</v>
      </c>
      <c r="B504" t="s">
        <v>886</v>
      </c>
      <c r="C504" t="s">
        <v>887</v>
      </c>
      <c r="E504" t="s">
        <v>131</v>
      </c>
      <c r="F504" s="33">
        <v>0</v>
      </c>
      <c r="G504">
        <v>0</v>
      </c>
      <c r="H504" s="33">
        <v>0</v>
      </c>
      <c r="I504" s="33">
        <v>161474</v>
      </c>
      <c r="J504" s="33">
        <v>161474</v>
      </c>
    </row>
    <row r="505" spans="1:10">
      <c r="A505">
        <v>2</v>
      </c>
      <c r="B505" t="s">
        <v>886</v>
      </c>
      <c r="C505" t="s">
        <v>888</v>
      </c>
      <c r="E505" t="s">
        <v>193</v>
      </c>
      <c r="F505" s="33">
        <v>0</v>
      </c>
      <c r="G505">
        <v>0</v>
      </c>
      <c r="H505" s="33">
        <v>0</v>
      </c>
      <c r="I505" s="33">
        <v>26941</v>
      </c>
      <c r="J505" s="33">
        <v>26941</v>
      </c>
    </row>
    <row r="506" spans="1:10">
      <c r="A506">
        <v>3</v>
      </c>
      <c r="B506" t="s">
        <v>886</v>
      </c>
      <c r="C506" t="s">
        <v>889</v>
      </c>
      <c r="E506" t="s">
        <v>253</v>
      </c>
      <c r="F506" s="33">
        <v>0</v>
      </c>
      <c r="G506">
        <v>0</v>
      </c>
      <c r="H506" s="33">
        <v>0</v>
      </c>
      <c r="I506" s="33">
        <v>100000</v>
      </c>
      <c r="J506" s="33">
        <v>100000</v>
      </c>
    </row>
    <row r="507" spans="1:10">
      <c r="A507">
        <v>4</v>
      </c>
      <c r="B507" t="s">
        <v>886</v>
      </c>
      <c r="C507" t="s">
        <v>502</v>
      </c>
      <c r="E507" t="s">
        <v>148</v>
      </c>
      <c r="F507" s="33">
        <v>0</v>
      </c>
      <c r="G507">
        <v>0</v>
      </c>
      <c r="H507" s="33">
        <v>0</v>
      </c>
      <c r="I507" s="33">
        <v>142235</v>
      </c>
      <c r="J507" s="33">
        <v>142235</v>
      </c>
    </row>
    <row r="508" spans="1:10">
      <c r="A508">
        <v>5</v>
      </c>
      <c r="B508" t="s">
        <v>886</v>
      </c>
      <c r="C508" t="s">
        <v>890</v>
      </c>
      <c r="E508" t="s">
        <v>136</v>
      </c>
      <c r="F508" s="33">
        <v>0</v>
      </c>
      <c r="G508">
        <v>0</v>
      </c>
      <c r="H508" s="33">
        <v>0</v>
      </c>
      <c r="I508" s="33">
        <v>0</v>
      </c>
      <c r="J508" s="33">
        <v>0</v>
      </c>
    </row>
    <row r="509" spans="1:10">
      <c r="A509">
        <v>6</v>
      </c>
      <c r="B509" t="s">
        <v>886</v>
      </c>
      <c r="C509" t="s">
        <v>891</v>
      </c>
      <c r="E509" t="s">
        <v>127</v>
      </c>
      <c r="F509" s="33">
        <v>0</v>
      </c>
      <c r="G509">
        <v>0</v>
      </c>
      <c r="H509" s="33">
        <v>0</v>
      </c>
      <c r="I509" s="33">
        <v>754959</v>
      </c>
      <c r="J509" s="33">
        <v>754959</v>
      </c>
    </row>
    <row r="510" spans="1:10">
      <c r="A510">
        <v>7</v>
      </c>
      <c r="B510" t="s">
        <v>886</v>
      </c>
      <c r="C510" t="s">
        <v>892</v>
      </c>
      <c r="E510" t="s">
        <v>191</v>
      </c>
      <c r="F510" s="33">
        <v>0</v>
      </c>
      <c r="G510">
        <v>0</v>
      </c>
      <c r="H510" s="33">
        <v>0</v>
      </c>
      <c r="I510" s="33">
        <v>26942</v>
      </c>
      <c r="J510" s="33">
        <v>26942</v>
      </c>
    </row>
    <row r="511" spans="1:10">
      <c r="A511">
        <v>8</v>
      </c>
      <c r="B511" t="s">
        <v>886</v>
      </c>
      <c r="C511" t="s">
        <v>893</v>
      </c>
      <c r="E511" t="s">
        <v>131</v>
      </c>
      <c r="F511" s="33">
        <v>0</v>
      </c>
      <c r="G511">
        <v>0</v>
      </c>
      <c r="H511" s="33">
        <v>0</v>
      </c>
      <c r="I511" s="33">
        <v>287404</v>
      </c>
      <c r="J511" s="33">
        <v>287404</v>
      </c>
    </row>
    <row r="512" spans="1:10">
      <c r="A512">
        <v>9</v>
      </c>
      <c r="B512" t="s">
        <v>886</v>
      </c>
      <c r="C512" t="s">
        <v>894</v>
      </c>
      <c r="E512" t="s">
        <v>131</v>
      </c>
      <c r="F512" s="33">
        <v>0</v>
      </c>
      <c r="G512">
        <v>0</v>
      </c>
      <c r="H512" s="33">
        <v>0</v>
      </c>
      <c r="I512" s="33">
        <v>61616</v>
      </c>
      <c r="J512" s="33">
        <v>61616</v>
      </c>
    </row>
    <row r="513" spans="1:10">
      <c r="A513">
        <v>10</v>
      </c>
      <c r="B513" t="s">
        <v>886</v>
      </c>
      <c r="C513" t="s">
        <v>895</v>
      </c>
      <c r="E513" t="s">
        <v>129</v>
      </c>
      <c r="F513" s="33">
        <v>0</v>
      </c>
      <c r="G513">
        <v>0</v>
      </c>
      <c r="H513" s="33">
        <v>0</v>
      </c>
      <c r="I513" s="33">
        <v>14651659</v>
      </c>
      <c r="J513" s="33">
        <v>14651659</v>
      </c>
    </row>
    <row r="514" spans="1:10">
      <c r="A514">
        <v>11</v>
      </c>
      <c r="B514" t="s">
        <v>886</v>
      </c>
      <c r="C514" t="s">
        <v>896</v>
      </c>
      <c r="E514" t="s">
        <v>129</v>
      </c>
      <c r="F514" s="33">
        <v>0</v>
      </c>
      <c r="G514">
        <v>0</v>
      </c>
      <c r="H514" s="33">
        <v>0</v>
      </c>
      <c r="I514" s="33">
        <v>4013</v>
      </c>
      <c r="J514" s="33">
        <v>4013</v>
      </c>
    </row>
    <row r="515" spans="1:10">
      <c r="A515">
        <v>12</v>
      </c>
      <c r="B515" t="s">
        <v>886</v>
      </c>
      <c r="C515" t="s">
        <v>897</v>
      </c>
      <c r="E515" t="s">
        <v>127</v>
      </c>
      <c r="F515" s="33">
        <v>0</v>
      </c>
      <c r="G515">
        <v>0</v>
      </c>
      <c r="H515" s="33">
        <v>0</v>
      </c>
      <c r="I515" s="33">
        <v>265272</v>
      </c>
      <c r="J515" s="33">
        <v>265272</v>
      </c>
    </row>
    <row r="516" spans="1:10">
      <c r="A516">
        <v>13</v>
      </c>
      <c r="B516" t="s">
        <v>886</v>
      </c>
      <c r="C516" t="s">
        <v>898</v>
      </c>
      <c r="E516" t="s">
        <v>131</v>
      </c>
      <c r="F516" s="33">
        <v>0</v>
      </c>
      <c r="G516">
        <v>0</v>
      </c>
      <c r="H516" s="33">
        <v>0</v>
      </c>
      <c r="I516" s="33">
        <v>11688</v>
      </c>
      <c r="J516" s="33">
        <v>11688</v>
      </c>
    </row>
    <row r="517" spans="1:10">
      <c r="A517">
        <v>14</v>
      </c>
      <c r="B517" t="s">
        <v>886</v>
      </c>
      <c r="C517" t="s">
        <v>899</v>
      </c>
      <c r="E517" t="s">
        <v>127</v>
      </c>
      <c r="F517" s="33">
        <v>0</v>
      </c>
      <c r="G517">
        <v>0</v>
      </c>
      <c r="H517" s="33">
        <v>0</v>
      </c>
      <c r="I517" s="33">
        <v>296807</v>
      </c>
      <c r="J517" s="33">
        <v>296807</v>
      </c>
    </row>
    <row r="518" spans="1:10">
      <c r="A518">
        <v>15</v>
      </c>
      <c r="B518" t="s">
        <v>886</v>
      </c>
      <c r="C518" t="s">
        <v>900</v>
      </c>
      <c r="F518" s="33">
        <v>0</v>
      </c>
      <c r="G518">
        <v>0</v>
      </c>
      <c r="H518" s="33">
        <v>0</v>
      </c>
      <c r="I518" s="33">
        <v>10981</v>
      </c>
      <c r="J518" s="33">
        <v>10981</v>
      </c>
    </row>
    <row r="519" spans="1:10">
      <c r="A519">
        <v>16</v>
      </c>
      <c r="B519" t="s">
        <v>886</v>
      </c>
      <c r="C519" t="s">
        <v>901</v>
      </c>
      <c r="F519" s="33">
        <v>0</v>
      </c>
      <c r="G519">
        <v>0</v>
      </c>
      <c r="H519" s="33">
        <v>0</v>
      </c>
      <c r="I519" s="33">
        <v>190536</v>
      </c>
      <c r="J519" s="33">
        <v>190536</v>
      </c>
    </row>
    <row r="520" spans="1:10">
      <c r="A520">
        <v>17</v>
      </c>
      <c r="B520" t="s">
        <v>886</v>
      </c>
      <c r="C520" t="s">
        <v>902</v>
      </c>
      <c r="E520" t="s">
        <v>131</v>
      </c>
      <c r="F520" s="33">
        <v>0</v>
      </c>
      <c r="G520">
        <v>0</v>
      </c>
      <c r="H520" s="33">
        <v>0</v>
      </c>
      <c r="I520" s="33">
        <v>35189</v>
      </c>
      <c r="J520" s="33">
        <v>35189</v>
      </c>
    </row>
    <row r="521" spans="1:10">
      <c r="A521">
        <v>18</v>
      </c>
      <c r="B521" t="s">
        <v>886</v>
      </c>
      <c r="C521" t="s">
        <v>903</v>
      </c>
      <c r="E521" t="s">
        <v>253</v>
      </c>
      <c r="F521" s="33">
        <v>0</v>
      </c>
      <c r="G521">
        <v>0</v>
      </c>
      <c r="H521" s="33">
        <v>0</v>
      </c>
      <c r="I521" s="33">
        <v>1000000</v>
      </c>
      <c r="J521" s="33">
        <v>1000000</v>
      </c>
    </row>
    <row r="522" spans="1:10">
      <c r="A522">
        <v>19</v>
      </c>
      <c r="B522" t="s">
        <v>886</v>
      </c>
      <c r="C522" t="s">
        <v>904</v>
      </c>
      <c r="E522" t="s">
        <v>127</v>
      </c>
      <c r="F522" s="33">
        <v>0</v>
      </c>
      <c r="G522">
        <v>0</v>
      </c>
      <c r="H522" s="33">
        <v>0</v>
      </c>
      <c r="I522" s="33">
        <v>1476950</v>
      </c>
      <c r="J522" s="33">
        <v>1476950</v>
      </c>
    </row>
    <row r="523" spans="1:10">
      <c r="A523">
        <v>20</v>
      </c>
      <c r="B523" t="s">
        <v>886</v>
      </c>
      <c r="C523" t="s">
        <v>905</v>
      </c>
      <c r="E523" t="s">
        <v>127</v>
      </c>
      <c r="F523" s="33">
        <v>0</v>
      </c>
      <c r="G523">
        <v>0</v>
      </c>
      <c r="H523" s="33">
        <v>0</v>
      </c>
      <c r="I523" s="33">
        <v>137155</v>
      </c>
      <c r="J523" s="33">
        <v>137155</v>
      </c>
    </row>
    <row r="524" spans="1:10">
      <c r="A524">
        <v>21</v>
      </c>
      <c r="B524" t="s">
        <v>886</v>
      </c>
      <c r="C524" t="s">
        <v>906</v>
      </c>
      <c r="E524" t="s">
        <v>127</v>
      </c>
      <c r="F524" s="33">
        <v>0</v>
      </c>
      <c r="G524">
        <v>0</v>
      </c>
      <c r="H524" s="33">
        <v>0</v>
      </c>
      <c r="I524" s="33">
        <v>1021930</v>
      </c>
      <c r="J524" s="33">
        <v>1021930</v>
      </c>
    </row>
    <row r="525" spans="1:10">
      <c r="A525">
        <v>22</v>
      </c>
      <c r="B525" t="s">
        <v>886</v>
      </c>
      <c r="C525" t="s">
        <v>907</v>
      </c>
      <c r="F525" s="33">
        <v>0</v>
      </c>
      <c r="G525">
        <v>0</v>
      </c>
      <c r="H525" s="33">
        <v>0</v>
      </c>
      <c r="I525" s="33">
        <v>220000</v>
      </c>
      <c r="J525" s="33">
        <v>220000</v>
      </c>
    </row>
    <row r="526" spans="1:10">
      <c r="A526">
        <v>23</v>
      </c>
      <c r="B526" t="s">
        <v>886</v>
      </c>
      <c r="C526" t="s">
        <v>908</v>
      </c>
      <c r="E526" t="s">
        <v>129</v>
      </c>
      <c r="F526" s="33">
        <v>0</v>
      </c>
      <c r="G526">
        <v>0</v>
      </c>
      <c r="H526" s="33">
        <v>0</v>
      </c>
      <c r="I526" s="33">
        <v>134540</v>
      </c>
      <c r="J526" s="33">
        <v>134540</v>
      </c>
    </row>
    <row r="527" spans="1:10">
      <c r="A527">
        <v>24</v>
      </c>
      <c r="B527" t="s">
        <v>886</v>
      </c>
      <c r="C527" t="s">
        <v>909</v>
      </c>
      <c r="F527" s="33">
        <v>0</v>
      </c>
      <c r="G527">
        <v>0</v>
      </c>
      <c r="H527" s="33">
        <v>0</v>
      </c>
      <c r="I527" s="33">
        <v>45773</v>
      </c>
      <c r="J527" s="33">
        <v>45773</v>
      </c>
    </row>
    <row r="528" spans="1:10">
      <c r="A528">
        <v>25</v>
      </c>
      <c r="B528" t="s">
        <v>886</v>
      </c>
      <c r="C528" t="s">
        <v>910</v>
      </c>
      <c r="E528" t="s">
        <v>127</v>
      </c>
      <c r="F528" s="33">
        <v>0</v>
      </c>
      <c r="G528">
        <v>0</v>
      </c>
      <c r="H528" s="33">
        <v>0</v>
      </c>
      <c r="I528" s="33">
        <v>22542</v>
      </c>
      <c r="J528" s="33">
        <v>22542</v>
      </c>
    </row>
    <row r="529" spans="1:10">
      <c r="A529">
        <v>26</v>
      </c>
      <c r="B529" t="s">
        <v>886</v>
      </c>
      <c r="C529" t="s">
        <v>911</v>
      </c>
      <c r="E529" t="s">
        <v>127</v>
      </c>
      <c r="F529" s="33">
        <v>0</v>
      </c>
      <c r="G529">
        <v>0</v>
      </c>
      <c r="H529" s="33">
        <v>0</v>
      </c>
      <c r="I529" s="33">
        <v>1970000</v>
      </c>
      <c r="J529" s="33">
        <v>1970000</v>
      </c>
    </row>
    <row r="530" spans="1:10">
      <c r="A530">
        <v>27</v>
      </c>
      <c r="B530" t="s">
        <v>886</v>
      </c>
      <c r="C530" t="s">
        <v>912</v>
      </c>
      <c r="E530" t="s">
        <v>131</v>
      </c>
      <c r="F530" s="33">
        <v>0</v>
      </c>
      <c r="G530">
        <v>0</v>
      </c>
      <c r="H530" s="33">
        <v>0</v>
      </c>
      <c r="I530" s="33">
        <v>676981</v>
      </c>
      <c r="J530" s="33">
        <v>676981</v>
      </c>
    </row>
    <row r="531" spans="1:10">
      <c r="A531">
        <v>28</v>
      </c>
      <c r="B531" t="s">
        <v>886</v>
      </c>
      <c r="C531" t="s">
        <v>381</v>
      </c>
      <c r="E531" t="s">
        <v>131</v>
      </c>
      <c r="F531" s="33">
        <v>0</v>
      </c>
      <c r="G531">
        <v>0</v>
      </c>
      <c r="H531" s="33">
        <v>0</v>
      </c>
      <c r="I531" s="33">
        <v>51955230</v>
      </c>
      <c r="J531" s="33">
        <v>51955230</v>
      </c>
    </row>
    <row r="532" spans="1:10">
      <c r="A532">
        <v>29</v>
      </c>
      <c r="B532" t="s">
        <v>886</v>
      </c>
      <c r="C532" t="s">
        <v>913</v>
      </c>
      <c r="F532" s="33">
        <v>0</v>
      </c>
      <c r="G532">
        <v>0</v>
      </c>
      <c r="H532" s="33">
        <v>0</v>
      </c>
      <c r="I532" s="33">
        <v>1307365</v>
      </c>
      <c r="J532" s="33">
        <v>1307365</v>
      </c>
    </row>
    <row r="533" spans="1:10">
      <c r="A533">
        <v>30</v>
      </c>
      <c r="B533" t="s">
        <v>886</v>
      </c>
      <c r="C533" t="s">
        <v>914</v>
      </c>
      <c r="E533" t="s">
        <v>127</v>
      </c>
      <c r="F533" s="33">
        <v>0</v>
      </c>
      <c r="G533">
        <v>0</v>
      </c>
      <c r="H533" s="33">
        <v>0</v>
      </c>
      <c r="I533" s="33">
        <v>390928</v>
      </c>
      <c r="J533" s="33">
        <v>390928</v>
      </c>
    </row>
    <row r="534" spans="1:10">
      <c r="A534">
        <v>31</v>
      </c>
      <c r="B534" t="s">
        <v>886</v>
      </c>
      <c r="C534" t="s">
        <v>915</v>
      </c>
      <c r="E534" t="s">
        <v>129</v>
      </c>
      <c r="F534" s="33">
        <v>0</v>
      </c>
      <c r="G534">
        <v>0</v>
      </c>
      <c r="H534" s="33">
        <v>0</v>
      </c>
      <c r="I534" s="33">
        <v>3257</v>
      </c>
      <c r="J534" s="33">
        <v>3257</v>
      </c>
    </row>
    <row r="535" spans="1:10">
      <c r="A535">
        <v>32</v>
      </c>
      <c r="B535" t="s">
        <v>886</v>
      </c>
      <c r="C535" t="s">
        <v>916</v>
      </c>
      <c r="E535" t="s">
        <v>131</v>
      </c>
      <c r="F535" s="33">
        <v>0</v>
      </c>
      <c r="G535">
        <v>0</v>
      </c>
      <c r="H535" s="33">
        <v>0</v>
      </c>
      <c r="I535" s="33">
        <v>35630</v>
      </c>
      <c r="J535" s="33">
        <v>35630</v>
      </c>
    </row>
    <row r="536" spans="1:10">
      <c r="A536">
        <v>33</v>
      </c>
      <c r="B536" t="s">
        <v>886</v>
      </c>
      <c r="C536" t="s">
        <v>917</v>
      </c>
      <c r="E536" t="s">
        <v>127</v>
      </c>
      <c r="F536" s="33">
        <v>0</v>
      </c>
      <c r="G536">
        <v>0</v>
      </c>
      <c r="H536" s="33">
        <v>0</v>
      </c>
      <c r="I536" s="33">
        <v>744017</v>
      </c>
      <c r="J536" s="33">
        <v>744017</v>
      </c>
    </row>
    <row r="537" spans="1:10">
      <c r="A537">
        <v>34</v>
      </c>
      <c r="B537" t="s">
        <v>886</v>
      </c>
      <c r="C537" t="s">
        <v>918</v>
      </c>
      <c r="E537" t="s">
        <v>131</v>
      </c>
      <c r="F537" s="33">
        <v>0</v>
      </c>
      <c r="G537">
        <v>0</v>
      </c>
      <c r="H537" s="33">
        <v>0</v>
      </c>
      <c r="I537" s="33">
        <v>29725</v>
      </c>
      <c r="J537" s="33">
        <v>29725</v>
      </c>
    </row>
    <row r="538" spans="1:10">
      <c r="A538">
        <v>35</v>
      </c>
      <c r="B538" t="s">
        <v>886</v>
      </c>
      <c r="C538" t="s">
        <v>919</v>
      </c>
      <c r="F538" s="33">
        <v>0</v>
      </c>
      <c r="G538">
        <v>0</v>
      </c>
      <c r="H538" s="33">
        <v>0</v>
      </c>
      <c r="I538" s="33">
        <v>3161317</v>
      </c>
      <c r="J538" s="33">
        <v>3161317</v>
      </c>
    </row>
    <row r="539" spans="1:10">
      <c r="A539">
        <v>36</v>
      </c>
      <c r="B539" t="s">
        <v>886</v>
      </c>
      <c r="C539" t="s">
        <v>920</v>
      </c>
      <c r="E539" t="s">
        <v>127</v>
      </c>
      <c r="F539" s="33">
        <v>0</v>
      </c>
      <c r="G539">
        <v>0</v>
      </c>
      <c r="H539" s="33">
        <v>0</v>
      </c>
      <c r="I539" s="33">
        <v>23130468</v>
      </c>
      <c r="J539" s="33">
        <v>23130468</v>
      </c>
    </row>
    <row r="540" spans="1:10">
      <c r="A540">
        <v>37</v>
      </c>
      <c r="B540" t="s">
        <v>886</v>
      </c>
      <c r="C540" t="s">
        <v>921</v>
      </c>
      <c r="E540" t="s">
        <v>127</v>
      </c>
      <c r="F540" s="33">
        <v>0</v>
      </c>
      <c r="G540">
        <v>0</v>
      </c>
      <c r="H540" s="33">
        <v>0</v>
      </c>
      <c r="I540" s="33">
        <v>301159</v>
      </c>
      <c r="J540" s="33">
        <v>301159</v>
      </c>
    </row>
    <row r="541" spans="1:10">
      <c r="A541">
        <v>38</v>
      </c>
      <c r="B541" t="s">
        <v>886</v>
      </c>
      <c r="C541" t="s">
        <v>247</v>
      </c>
      <c r="E541" t="s">
        <v>191</v>
      </c>
      <c r="F541" s="33">
        <v>0</v>
      </c>
      <c r="G541">
        <v>0</v>
      </c>
      <c r="H541" s="33">
        <v>0</v>
      </c>
      <c r="I541" s="33">
        <v>1250000</v>
      </c>
      <c r="J541" s="33">
        <v>1250000</v>
      </c>
    </row>
    <row r="542" spans="1:10">
      <c r="A542">
        <v>39</v>
      </c>
      <c r="B542" t="s">
        <v>886</v>
      </c>
      <c r="C542" t="s">
        <v>475</v>
      </c>
      <c r="E542" t="s">
        <v>131</v>
      </c>
      <c r="F542" s="33">
        <v>0</v>
      </c>
      <c r="G542">
        <v>0</v>
      </c>
      <c r="H542" s="33">
        <v>0</v>
      </c>
      <c r="I542" s="33">
        <v>408244</v>
      </c>
      <c r="J542" s="33">
        <v>408244</v>
      </c>
    </row>
    <row r="543" spans="1:10">
      <c r="A543">
        <v>40</v>
      </c>
      <c r="B543" t="s">
        <v>886</v>
      </c>
      <c r="C543" t="s">
        <v>922</v>
      </c>
      <c r="E543" t="s">
        <v>131</v>
      </c>
      <c r="F543" s="33">
        <v>0</v>
      </c>
      <c r="G543">
        <v>0</v>
      </c>
      <c r="H543" s="33">
        <v>0</v>
      </c>
      <c r="I543" s="33">
        <v>23493</v>
      </c>
      <c r="J543" s="33">
        <v>23493</v>
      </c>
    </row>
    <row r="544" spans="1:10">
      <c r="A544">
        <v>41</v>
      </c>
      <c r="B544" t="s">
        <v>886</v>
      </c>
      <c r="C544" t="s">
        <v>923</v>
      </c>
      <c r="E544" t="s">
        <v>136</v>
      </c>
      <c r="F544" s="33">
        <v>0</v>
      </c>
      <c r="G544">
        <v>0</v>
      </c>
      <c r="H544" s="33">
        <v>0</v>
      </c>
      <c r="I544" s="33">
        <v>1431283</v>
      </c>
      <c r="J544" s="33">
        <v>1431283</v>
      </c>
    </row>
    <row r="545" spans="1:10">
      <c r="A545">
        <v>42</v>
      </c>
      <c r="B545" t="s">
        <v>886</v>
      </c>
      <c r="C545" t="s">
        <v>924</v>
      </c>
      <c r="E545" t="s">
        <v>131</v>
      </c>
      <c r="F545" s="33">
        <v>0</v>
      </c>
      <c r="G545">
        <v>0</v>
      </c>
      <c r="H545" s="33">
        <v>0</v>
      </c>
      <c r="I545" s="33">
        <v>1546530</v>
      </c>
      <c r="J545" s="33">
        <v>1546530</v>
      </c>
    </row>
    <row r="546" spans="1:10">
      <c r="F546" s="33"/>
      <c r="H546" s="33"/>
      <c r="I546" s="33"/>
      <c r="J546" s="33"/>
    </row>
    <row r="547" spans="1:10">
      <c r="A547" t="s">
        <v>565</v>
      </c>
    </row>
    <row r="548" spans="1:10">
      <c r="A548" t="s">
        <v>566</v>
      </c>
    </row>
    <row r="549" spans="1:10">
      <c r="A549" t="s">
        <v>809</v>
      </c>
    </row>
    <row r="550" spans="1:10">
      <c r="A550" t="s">
        <v>810</v>
      </c>
    </row>
    <row r="551" spans="1:10">
      <c r="A551" t="s">
        <v>670</v>
      </c>
    </row>
    <row r="552" spans="1:10">
      <c r="A552" t="s">
        <v>671</v>
      </c>
    </row>
    <row r="553" spans="1:10">
      <c r="A553" t="s">
        <v>925</v>
      </c>
    </row>
    <row r="554" spans="1:10">
      <c r="A554" t="s">
        <v>926</v>
      </c>
    </row>
    <row r="555" spans="1:10">
      <c r="A555" t="s">
        <v>572</v>
      </c>
    </row>
    <row r="557" spans="1:10">
      <c r="A557" t="s">
        <v>22</v>
      </c>
      <c r="B557" t="s">
        <v>573</v>
      </c>
      <c r="C557" t="s">
        <v>574</v>
      </c>
      <c r="D557" t="s">
        <v>575</v>
      </c>
    </row>
    <row r="558" spans="1:10">
      <c r="A558" t="s">
        <v>576</v>
      </c>
      <c r="B558" t="s">
        <v>123</v>
      </c>
      <c r="C558" t="s">
        <v>577</v>
      </c>
    </row>
    <row r="559" spans="1:10">
      <c r="A559" t="s">
        <v>578</v>
      </c>
      <c r="B559" t="s">
        <v>579</v>
      </c>
    </row>
    <row r="560" spans="1:10">
      <c r="A560" t="s">
        <v>580</v>
      </c>
      <c r="B560" t="s">
        <v>581</v>
      </c>
    </row>
    <row r="561" spans="1:10">
      <c r="A561" t="s">
        <v>582</v>
      </c>
      <c r="B561" t="s">
        <v>583</v>
      </c>
    </row>
    <row r="562" spans="1:10">
      <c r="A562" t="s">
        <v>584</v>
      </c>
      <c r="B562" t="s">
        <v>585</v>
      </c>
    </row>
    <row r="563" spans="1:10">
      <c r="A563" t="s">
        <v>584</v>
      </c>
      <c r="F563" s="33"/>
      <c r="H563" s="33"/>
      <c r="I563" s="33"/>
      <c r="J563" s="33"/>
    </row>
    <row r="564" spans="1:10">
      <c r="A564">
        <v>1</v>
      </c>
      <c r="B564" t="s">
        <v>886</v>
      </c>
      <c r="C564" t="s">
        <v>494</v>
      </c>
      <c r="E564" t="s">
        <v>193</v>
      </c>
      <c r="F564" s="33">
        <v>0</v>
      </c>
      <c r="G564">
        <v>0</v>
      </c>
      <c r="H564" s="33">
        <v>0</v>
      </c>
      <c r="I564" s="33">
        <v>190532</v>
      </c>
      <c r="J564" s="33">
        <v>190532</v>
      </c>
    </row>
    <row r="565" spans="1:10">
      <c r="A565">
        <v>2</v>
      </c>
      <c r="B565" t="s">
        <v>886</v>
      </c>
      <c r="C565" t="s">
        <v>489</v>
      </c>
      <c r="E565" t="s">
        <v>136</v>
      </c>
      <c r="F565" s="33">
        <v>0</v>
      </c>
      <c r="G565">
        <v>0</v>
      </c>
      <c r="H565" s="33">
        <v>0</v>
      </c>
      <c r="I565" s="33">
        <v>213273</v>
      </c>
      <c r="J565" s="33">
        <v>213273</v>
      </c>
    </row>
    <row r="566" spans="1:10">
      <c r="A566">
        <v>3</v>
      </c>
      <c r="B566" t="s">
        <v>886</v>
      </c>
      <c r="C566" t="s">
        <v>927</v>
      </c>
      <c r="E566" t="s">
        <v>191</v>
      </c>
      <c r="F566" s="33">
        <v>0</v>
      </c>
      <c r="G566">
        <v>0</v>
      </c>
      <c r="H566" s="33">
        <v>0</v>
      </c>
      <c r="I566" s="33">
        <v>1420000</v>
      </c>
      <c r="J566" s="33">
        <v>1420000</v>
      </c>
    </row>
    <row r="567" spans="1:10">
      <c r="A567">
        <v>4</v>
      </c>
      <c r="B567" t="s">
        <v>886</v>
      </c>
      <c r="C567" t="s">
        <v>928</v>
      </c>
      <c r="E567" t="s">
        <v>129</v>
      </c>
      <c r="F567" s="33">
        <v>0</v>
      </c>
      <c r="G567">
        <v>0</v>
      </c>
      <c r="H567" s="33">
        <v>0</v>
      </c>
      <c r="I567" s="33">
        <v>7053</v>
      </c>
      <c r="J567" s="33">
        <v>7053</v>
      </c>
    </row>
    <row r="568" spans="1:10">
      <c r="A568">
        <v>5</v>
      </c>
      <c r="B568" t="s">
        <v>886</v>
      </c>
      <c r="C568" t="s">
        <v>479</v>
      </c>
      <c r="E568" t="s">
        <v>193</v>
      </c>
      <c r="F568" s="33">
        <v>0</v>
      </c>
      <c r="G568">
        <v>0</v>
      </c>
      <c r="H568" s="33">
        <v>0</v>
      </c>
      <c r="I568" s="33">
        <v>363597</v>
      </c>
      <c r="J568" s="33">
        <v>363597</v>
      </c>
    </row>
    <row r="569" spans="1:10">
      <c r="A569">
        <v>6</v>
      </c>
      <c r="B569" t="s">
        <v>886</v>
      </c>
      <c r="C569" t="s">
        <v>929</v>
      </c>
      <c r="E569" t="s">
        <v>127</v>
      </c>
      <c r="F569" s="33">
        <v>0</v>
      </c>
      <c r="G569">
        <v>0</v>
      </c>
      <c r="H569" s="33">
        <v>0</v>
      </c>
      <c r="I569" s="33">
        <v>29343</v>
      </c>
      <c r="J569" s="33">
        <v>29343</v>
      </c>
    </row>
    <row r="570" spans="1:10">
      <c r="A570">
        <v>7</v>
      </c>
      <c r="B570" t="s">
        <v>886</v>
      </c>
      <c r="C570" t="s">
        <v>285</v>
      </c>
      <c r="E570" t="s">
        <v>193</v>
      </c>
      <c r="F570" s="33">
        <v>0</v>
      </c>
      <c r="G570">
        <v>0</v>
      </c>
      <c r="H570" s="33">
        <v>0</v>
      </c>
      <c r="I570" s="33">
        <v>276486</v>
      </c>
      <c r="J570" s="33">
        <v>276486</v>
      </c>
    </row>
    <row r="571" spans="1:10">
      <c r="A571">
        <v>8</v>
      </c>
      <c r="B571" t="s">
        <v>886</v>
      </c>
      <c r="C571" t="s">
        <v>456</v>
      </c>
      <c r="E571" t="s">
        <v>127</v>
      </c>
      <c r="F571" s="33">
        <v>0</v>
      </c>
      <c r="G571">
        <v>0</v>
      </c>
      <c r="H571" s="33">
        <v>0</v>
      </c>
      <c r="I571" s="33">
        <v>726371</v>
      </c>
      <c r="J571" s="33">
        <v>726371</v>
      </c>
    </row>
    <row r="572" spans="1:10">
      <c r="A572">
        <v>9</v>
      </c>
      <c r="B572" t="s">
        <v>886</v>
      </c>
      <c r="C572" t="s">
        <v>930</v>
      </c>
      <c r="E572" t="s">
        <v>127</v>
      </c>
      <c r="F572" s="33">
        <v>0</v>
      </c>
      <c r="G572">
        <v>0</v>
      </c>
      <c r="H572" s="33">
        <v>0</v>
      </c>
      <c r="I572" s="33">
        <v>740000</v>
      </c>
      <c r="J572" s="33">
        <v>740000</v>
      </c>
    </row>
    <row r="573" spans="1:10">
      <c r="A573">
        <v>10</v>
      </c>
      <c r="B573" t="s">
        <v>886</v>
      </c>
      <c r="C573" t="s">
        <v>931</v>
      </c>
      <c r="E573" t="s">
        <v>154</v>
      </c>
      <c r="F573" s="33">
        <v>0</v>
      </c>
      <c r="G573">
        <v>0</v>
      </c>
      <c r="H573" s="33">
        <v>0</v>
      </c>
      <c r="I573" s="33">
        <v>661229</v>
      </c>
      <c r="J573" s="33">
        <v>661229</v>
      </c>
    </row>
    <row r="574" spans="1:10">
      <c r="A574">
        <v>11</v>
      </c>
      <c r="B574" t="s">
        <v>886</v>
      </c>
      <c r="C574" t="s">
        <v>339</v>
      </c>
      <c r="E574" t="s">
        <v>129</v>
      </c>
      <c r="F574" s="33">
        <v>0</v>
      </c>
      <c r="G574">
        <v>0</v>
      </c>
      <c r="H574" s="33">
        <v>0</v>
      </c>
      <c r="I574" s="33">
        <v>11263</v>
      </c>
      <c r="J574" s="33">
        <v>11263</v>
      </c>
    </row>
    <row r="575" spans="1:10">
      <c r="A575">
        <v>12</v>
      </c>
      <c r="B575" t="s">
        <v>886</v>
      </c>
      <c r="C575" t="s">
        <v>522</v>
      </c>
      <c r="E575" t="s">
        <v>131</v>
      </c>
      <c r="F575" s="33">
        <v>0</v>
      </c>
      <c r="G575">
        <v>0</v>
      </c>
      <c r="H575" s="33">
        <v>0</v>
      </c>
      <c r="I575" s="33">
        <v>46380</v>
      </c>
      <c r="J575" s="33">
        <v>46380</v>
      </c>
    </row>
    <row r="576" spans="1:10">
      <c r="A576">
        <v>13</v>
      </c>
      <c r="B576" t="s">
        <v>886</v>
      </c>
      <c r="C576" t="s">
        <v>480</v>
      </c>
      <c r="E576" t="s">
        <v>193</v>
      </c>
      <c r="F576" s="33">
        <v>0</v>
      </c>
      <c r="G576">
        <v>0</v>
      </c>
      <c r="H576" s="33">
        <v>0</v>
      </c>
      <c r="I576" s="33">
        <v>342389</v>
      </c>
      <c r="J576" s="33">
        <v>342389</v>
      </c>
    </row>
    <row r="577" spans="1:10">
      <c r="A577">
        <v>14</v>
      </c>
      <c r="B577" t="s">
        <v>886</v>
      </c>
      <c r="C577" t="s">
        <v>932</v>
      </c>
      <c r="E577" t="s">
        <v>129</v>
      </c>
      <c r="F577" s="33">
        <v>0</v>
      </c>
      <c r="G577">
        <v>0</v>
      </c>
      <c r="H577" s="33">
        <v>0</v>
      </c>
      <c r="I577" s="33">
        <v>3604</v>
      </c>
      <c r="J577" s="33">
        <v>3604</v>
      </c>
    </row>
    <row r="578" spans="1:10">
      <c r="A578">
        <v>15</v>
      </c>
      <c r="B578" t="s">
        <v>886</v>
      </c>
      <c r="C578" t="s">
        <v>459</v>
      </c>
      <c r="E578" t="s">
        <v>127</v>
      </c>
      <c r="F578" s="33">
        <v>0</v>
      </c>
      <c r="G578">
        <v>0</v>
      </c>
      <c r="H578" s="33">
        <v>0</v>
      </c>
      <c r="I578" s="33">
        <v>695621</v>
      </c>
      <c r="J578" s="33">
        <v>695621</v>
      </c>
    </row>
    <row r="579" spans="1:10">
      <c r="A579">
        <v>16</v>
      </c>
      <c r="B579" t="s">
        <v>886</v>
      </c>
      <c r="C579" t="s">
        <v>481</v>
      </c>
      <c r="E579" t="s">
        <v>193</v>
      </c>
      <c r="F579" s="33">
        <v>0</v>
      </c>
      <c r="G579">
        <v>0</v>
      </c>
      <c r="H579" s="33">
        <v>0</v>
      </c>
      <c r="I579" s="33">
        <v>326131</v>
      </c>
      <c r="J579" s="33">
        <v>326131</v>
      </c>
    </row>
    <row r="580" spans="1:10">
      <c r="A580">
        <v>17</v>
      </c>
      <c r="B580" t="s">
        <v>886</v>
      </c>
      <c r="C580" t="s">
        <v>933</v>
      </c>
      <c r="E580" t="s">
        <v>127</v>
      </c>
      <c r="F580" s="33">
        <v>0</v>
      </c>
      <c r="G580">
        <v>0</v>
      </c>
      <c r="H580" s="33">
        <v>0</v>
      </c>
      <c r="I580" s="33">
        <v>4129689</v>
      </c>
      <c r="J580" s="33">
        <v>4129689</v>
      </c>
    </row>
    <row r="581" spans="1:10">
      <c r="A581">
        <v>18</v>
      </c>
      <c r="B581" t="s">
        <v>886</v>
      </c>
      <c r="C581" t="s">
        <v>934</v>
      </c>
      <c r="E581" t="s">
        <v>154</v>
      </c>
      <c r="F581" s="33">
        <v>0</v>
      </c>
      <c r="G581">
        <v>0</v>
      </c>
      <c r="H581" s="33">
        <v>0</v>
      </c>
      <c r="I581" s="33">
        <v>468683</v>
      </c>
      <c r="J581" s="33">
        <v>468683</v>
      </c>
    </row>
    <row r="582" spans="1:10">
      <c r="A582">
        <v>19</v>
      </c>
      <c r="B582" t="s">
        <v>886</v>
      </c>
      <c r="C582" t="s">
        <v>935</v>
      </c>
      <c r="E582" t="s">
        <v>127</v>
      </c>
      <c r="F582" s="33">
        <v>0</v>
      </c>
      <c r="G582">
        <v>0</v>
      </c>
      <c r="H582" s="33">
        <v>0</v>
      </c>
      <c r="I582" s="33">
        <v>45521268</v>
      </c>
      <c r="J582" s="33">
        <v>45521268</v>
      </c>
    </row>
    <row r="583" spans="1:10">
      <c r="A583">
        <v>20</v>
      </c>
      <c r="B583" t="s">
        <v>886</v>
      </c>
      <c r="C583" t="s">
        <v>335</v>
      </c>
      <c r="E583" t="s">
        <v>148</v>
      </c>
      <c r="F583" s="33">
        <v>0</v>
      </c>
      <c r="G583">
        <v>0</v>
      </c>
      <c r="H583" s="33">
        <v>0</v>
      </c>
      <c r="I583" s="33">
        <v>15410</v>
      </c>
      <c r="J583" s="33">
        <v>15410</v>
      </c>
    </row>
    <row r="584" spans="1:10">
      <c r="A584">
        <v>21</v>
      </c>
      <c r="B584" t="s">
        <v>886</v>
      </c>
      <c r="C584" t="s">
        <v>460</v>
      </c>
      <c r="E584" t="s">
        <v>154</v>
      </c>
      <c r="F584" s="33">
        <v>0</v>
      </c>
      <c r="G584">
        <v>0</v>
      </c>
      <c r="H584" s="33">
        <v>0</v>
      </c>
      <c r="I584" s="33">
        <v>688869</v>
      </c>
      <c r="J584" s="33">
        <v>688869</v>
      </c>
    </row>
    <row r="585" spans="1:10">
      <c r="A585">
        <v>22</v>
      </c>
      <c r="B585" t="s">
        <v>886</v>
      </c>
      <c r="C585" t="s">
        <v>936</v>
      </c>
      <c r="E585" t="s">
        <v>154</v>
      </c>
      <c r="F585" s="33">
        <v>0</v>
      </c>
      <c r="G585">
        <v>0</v>
      </c>
      <c r="H585" s="33">
        <v>0</v>
      </c>
      <c r="I585" s="33">
        <v>210967</v>
      </c>
      <c r="J585" s="33">
        <v>210967</v>
      </c>
    </row>
    <row r="586" spans="1:10">
      <c r="A586">
        <v>23</v>
      </c>
      <c r="B586" t="s">
        <v>886</v>
      </c>
      <c r="C586" t="s">
        <v>937</v>
      </c>
      <c r="E586" t="s">
        <v>129</v>
      </c>
      <c r="F586" s="33">
        <v>0</v>
      </c>
      <c r="G586">
        <v>0</v>
      </c>
      <c r="H586" s="33">
        <v>0</v>
      </c>
      <c r="I586" s="33">
        <v>12185</v>
      </c>
      <c r="J586" s="33">
        <v>12185</v>
      </c>
    </row>
    <row r="587" spans="1:10">
      <c r="A587">
        <v>24</v>
      </c>
      <c r="B587" t="s">
        <v>886</v>
      </c>
      <c r="C587" t="s">
        <v>278</v>
      </c>
      <c r="E587" t="s">
        <v>154</v>
      </c>
      <c r="F587" s="33">
        <v>0</v>
      </c>
      <c r="G587">
        <v>0</v>
      </c>
      <c r="H587" s="33">
        <v>0</v>
      </c>
      <c r="I587" s="33">
        <v>435861</v>
      </c>
      <c r="J587" s="33">
        <v>435861</v>
      </c>
    </row>
    <row r="588" spans="1:10">
      <c r="A588">
        <v>25</v>
      </c>
      <c r="B588" t="s">
        <v>886</v>
      </c>
      <c r="C588" t="s">
        <v>541</v>
      </c>
      <c r="E588" t="s">
        <v>148</v>
      </c>
      <c r="F588" s="33">
        <v>0</v>
      </c>
      <c r="G588">
        <v>0</v>
      </c>
      <c r="H588" s="33">
        <v>0</v>
      </c>
      <c r="I588" s="33">
        <v>12751</v>
      </c>
      <c r="J588" s="33">
        <v>12751</v>
      </c>
    </row>
    <row r="589" spans="1:10">
      <c r="A589">
        <v>26</v>
      </c>
      <c r="B589" t="s">
        <v>886</v>
      </c>
      <c r="C589" t="s">
        <v>398</v>
      </c>
      <c r="E589" t="s">
        <v>131</v>
      </c>
      <c r="F589" s="33">
        <v>0</v>
      </c>
      <c r="G589">
        <v>0</v>
      </c>
      <c r="H589" s="33">
        <v>0</v>
      </c>
      <c r="I589" s="33">
        <v>12104346</v>
      </c>
      <c r="J589" s="33">
        <v>12104346</v>
      </c>
    </row>
    <row r="590" spans="1:10">
      <c r="A590">
        <v>27</v>
      </c>
      <c r="B590" t="s">
        <v>886</v>
      </c>
      <c r="C590" t="s">
        <v>938</v>
      </c>
      <c r="E590" t="s">
        <v>154</v>
      </c>
      <c r="F590" s="33">
        <v>0</v>
      </c>
      <c r="G590">
        <v>0</v>
      </c>
      <c r="H590" s="33">
        <v>0</v>
      </c>
      <c r="I590" s="33">
        <v>128296</v>
      </c>
      <c r="J590" s="33">
        <v>128296</v>
      </c>
    </row>
    <row r="591" spans="1:10">
      <c r="A591">
        <v>28</v>
      </c>
      <c r="B591" t="s">
        <v>886</v>
      </c>
      <c r="C591" t="s">
        <v>939</v>
      </c>
      <c r="F591" s="33">
        <v>0</v>
      </c>
      <c r="G591">
        <v>0</v>
      </c>
      <c r="H591" s="33">
        <v>0</v>
      </c>
      <c r="I591" s="33">
        <v>114006</v>
      </c>
      <c r="J591" s="33">
        <v>114006</v>
      </c>
    </row>
    <row r="592" spans="1:10">
      <c r="A592">
        <v>29</v>
      </c>
      <c r="B592" t="s">
        <v>886</v>
      </c>
      <c r="C592" t="s">
        <v>485</v>
      </c>
      <c r="E592" t="s">
        <v>154</v>
      </c>
      <c r="F592" s="33">
        <v>0</v>
      </c>
      <c r="G592">
        <v>0</v>
      </c>
      <c r="H592" s="33">
        <v>0</v>
      </c>
      <c r="I592" s="33">
        <v>287293</v>
      </c>
      <c r="J592" s="33">
        <v>287293</v>
      </c>
    </row>
    <row r="593" spans="1:10">
      <c r="A593">
        <v>30</v>
      </c>
      <c r="B593" t="s">
        <v>886</v>
      </c>
      <c r="C593" t="s">
        <v>940</v>
      </c>
      <c r="E593" t="s">
        <v>131</v>
      </c>
      <c r="F593" s="33">
        <v>0</v>
      </c>
      <c r="G593">
        <v>0</v>
      </c>
      <c r="H593" s="33">
        <v>0</v>
      </c>
      <c r="I593" s="33">
        <v>640000</v>
      </c>
      <c r="J593" s="33">
        <v>640000</v>
      </c>
    </row>
    <row r="594" spans="1:10">
      <c r="A594">
        <v>31</v>
      </c>
      <c r="B594" t="s">
        <v>886</v>
      </c>
      <c r="C594" t="s">
        <v>941</v>
      </c>
      <c r="E594" t="s">
        <v>127</v>
      </c>
      <c r="F594" s="33">
        <v>0</v>
      </c>
      <c r="G594">
        <v>0</v>
      </c>
      <c r="H594" s="33">
        <v>0</v>
      </c>
      <c r="I594" s="33">
        <v>5484138</v>
      </c>
      <c r="J594" s="33">
        <v>5484138</v>
      </c>
    </row>
    <row r="595" spans="1:10">
      <c r="A595">
        <v>32</v>
      </c>
      <c r="B595" t="s">
        <v>886</v>
      </c>
      <c r="C595" t="s">
        <v>942</v>
      </c>
      <c r="E595" t="s">
        <v>131</v>
      </c>
      <c r="F595" s="33">
        <v>0</v>
      </c>
      <c r="G595">
        <v>0</v>
      </c>
      <c r="H595" s="33">
        <v>0</v>
      </c>
      <c r="I595" s="33">
        <v>41259</v>
      </c>
      <c r="J595" s="33">
        <v>41259</v>
      </c>
    </row>
    <row r="596" spans="1:10">
      <c r="A596">
        <v>33</v>
      </c>
      <c r="B596" t="s">
        <v>886</v>
      </c>
      <c r="C596" t="s">
        <v>943</v>
      </c>
      <c r="E596" t="s">
        <v>193</v>
      </c>
      <c r="F596" s="33">
        <v>0</v>
      </c>
      <c r="G596">
        <v>0</v>
      </c>
      <c r="H596" s="33">
        <v>0</v>
      </c>
      <c r="I596" s="33">
        <v>145250</v>
      </c>
      <c r="J596" s="33">
        <v>145250</v>
      </c>
    </row>
    <row r="597" spans="1:10">
      <c r="A597">
        <v>34</v>
      </c>
      <c r="B597" t="s">
        <v>886</v>
      </c>
      <c r="C597" t="s">
        <v>944</v>
      </c>
      <c r="E597" t="s">
        <v>127</v>
      </c>
      <c r="F597" s="33">
        <v>0</v>
      </c>
      <c r="G597">
        <v>0</v>
      </c>
      <c r="H597" s="33">
        <v>0</v>
      </c>
      <c r="I597" s="33">
        <v>312295</v>
      </c>
      <c r="J597" s="33">
        <v>312295</v>
      </c>
    </row>
    <row r="598" spans="1:10">
      <c r="A598">
        <v>35</v>
      </c>
      <c r="B598" t="s">
        <v>886</v>
      </c>
      <c r="C598" t="s">
        <v>945</v>
      </c>
      <c r="E598" t="s">
        <v>136</v>
      </c>
      <c r="F598" s="33">
        <v>0</v>
      </c>
      <c r="G598">
        <v>0</v>
      </c>
      <c r="H598" s="33">
        <v>0</v>
      </c>
      <c r="I598" s="33">
        <v>9135</v>
      </c>
      <c r="J598" s="33">
        <v>9135</v>
      </c>
    </row>
    <row r="599" spans="1:10">
      <c r="A599">
        <v>36</v>
      </c>
      <c r="B599" t="s">
        <v>886</v>
      </c>
      <c r="C599" t="s">
        <v>946</v>
      </c>
      <c r="F599" s="33">
        <v>0</v>
      </c>
      <c r="G599">
        <v>0</v>
      </c>
      <c r="H599" s="33">
        <v>0</v>
      </c>
      <c r="I599" s="33">
        <v>1494779</v>
      </c>
      <c r="J599" s="33">
        <v>1494779</v>
      </c>
    </row>
    <row r="600" spans="1:10">
      <c r="A600">
        <v>37</v>
      </c>
      <c r="B600" t="s">
        <v>886</v>
      </c>
      <c r="C600" t="s">
        <v>257</v>
      </c>
      <c r="E600" t="s">
        <v>193</v>
      </c>
      <c r="F600" s="33">
        <v>0</v>
      </c>
      <c r="G600">
        <v>0</v>
      </c>
      <c r="H600" s="33">
        <v>0</v>
      </c>
      <c r="I600" s="33">
        <v>787747</v>
      </c>
      <c r="J600" s="33">
        <v>787747</v>
      </c>
    </row>
    <row r="601" spans="1:10">
      <c r="A601">
        <v>38</v>
      </c>
      <c r="B601" t="s">
        <v>886</v>
      </c>
      <c r="C601" t="s">
        <v>464</v>
      </c>
      <c r="E601" t="s">
        <v>131</v>
      </c>
      <c r="F601" s="33">
        <v>0</v>
      </c>
      <c r="G601">
        <v>0</v>
      </c>
      <c r="H601" s="33">
        <v>0</v>
      </c>
      <c r="I601" s="33">
        <v>625975</v>
      </c>
      <c r="J601" s="33">
        <v>625975</v>
      </c>
    </row>
    <row r="602" spans="1:10">
      <c r="A602">
        <v>39</v>
      </c>
      <c r="B602" t="s">
        <v>886</v>
      </c>
      <c r="C602" t="s">
        <v>342</v>
      </c>
      <c r="E602" t="s">
        <v>131</v>
      </c>
      <c r="F602" s="33">
        <v>0</v>
      </c>
      <c r="G602">
        <v>0</v>
      </c>
      <c r="H602" s="33">
        <v>0</v>
      </c>
      <c r="I602" s="33">
        <v>10608</v>
      </c>
      <c r="J602" s="33">
        <v>10608</v>
      </c>
    </row>
    <row r="603" spans="1:10">
      <c r="A603">
        <v>40</v>
      </c>
      <c r="B603" t="s">
        <v>886</v>
      </c>
      <c r="C603" t="s">
        <v>947</v>
      </c>
      <c r="E603" t="s">
        <v>131</v>
      </c>
      <c r="F603" s="33">
        <v>0</v>
      </c>
      <c r="G603">
        <v>0</v>
      </c>
      <c r="H603" s="33">
        <v>0</v>
      </c>
      <c r="I603" s="33">
        <v>11386</v>
      </c>
      <c r="J603" s="33">
        <v>11386</v>
      </c>
    </row>
    <row r="604" spans="1:10">
      <c r="A604">
        <v>41</v>
      </c>
      <c r="B604" t="s">
        <v>886</v>
      </c>
      <c r="C604" t="s">
        <v>244</v>
      </c>
      <c r="E604" t="s">
        <v>127</v>
      </c>
      <c r="F604" s="33">
        <v>0</v>
      </c>
      <c r="G604">
        <v>0</v>
      </c>
      <c r="H604" s="33">
        <v>0</v>
      </c>
      <c r="I604" s="33">
        <v>1456558</v>
      </c>
      <c r="J604" s="33">
        <v>1456558</v>
      </c>
    </row>
    <row r="605" spans="1:10">
      <c r="A605">
        <v>42</v>
      </c>
      <c r="B605" t="s">
        <v>886</v>
      </c>
      <c r="C605" t="s">
        <v>948</v>
      </c>
      <c r="E605" t="s">
        <v>127</v>
      </c>
      <c r="F605" s="33">
        <v>0</v>
      </c>
      <c r="G605">
        <v>0</v>
      </c>
      <c r="H605" s="33">
        <v>0</v>
      </c>
      <c r="I605" s="33">
        <v>26102</v>
      </c>
      <c r="J605" s="33">
        <v>26102</v>
      </c>
    </row>
    <row r="606" spans="1:10">
      <c r="A606">
        <v>43</v>
      </c>
      <c r="B606" t="s">
        <v>886</v>
      </c>
      <c r="C606" t="s">
        <v>321</v>
      </c>
      <c r="E606" t="s">
        <v>131</v>
      </c>
      <c r="F606" s="33">
        <v>0</v>
      </c>
      <c r="G606">
        <v>0</v>
      </c>
      <c r="H606" s="33">
        <v>0</v>
      </c>
      <c r="I606" s="33">
        <v>42815</v>
      </c>
      <c r="J606" s="33">
        <v>42815</v>
      </c>
    </row>
    <row r="607" spans="1:10">
      <c r="A607">
        <v>44</v>
      </c>
      <c r="B607" t="s">
        <v>886</v>
      </c>
      <c r="C607" t="s">
        <v>396</v>
      </c>
      <c r="E607" t="s">
        <v>127</v>
      </c>
      <c r="F607" s="33">
        <v>0</v>
      </c>
      <c r="G607">
        <v>0</v>
      </c>
      <c r="H607" s="33">
        <v>0</v>
      </c>
      <c r="I607" s="33">
        <v>15382225</v>
      </c>
      <c r="J607" s="33">
        <v>15382225</v>
      </c>
    </row>
    <row r="608" spans="1:10">
      <c r="A608">
        <v>45</v>
      </c>
      <c r="B608" t="s">
        <v>886</v>
      </c>
      <c r="C608" t="s">
        <v>949</v>
      </c>
      <c r="E608" t="s">
        <v>191</v>
      </c>
      <c r="F608" s="33">
        <v>0</v>
      </c>
      <c r="G608">
        <v>0</v>
      </c>
      <c r="H608" s="33">
        <v>0</v>
      </c>
      <c r="I608" s="33">
        <v>2890000</v>
      </c>
      <c r="J608" s="33">
        <v>2890000</v>
      </c>
    </row>
    <row r="609" spans="1:10">
      <c r="A609">
        <v>46</v>
      </c>
      <c r="B609" t="s">
        <v>886</v>
      </c>
      <c r="C609" t="s">
        <v>950</v>
      </c>
      <c r="E609" t="s">
        <v>191</v>
      </c>
      <c r="F609" s="33">
        <v>0</v>
      </c>
      <c r="G609">
        <v>0</v>
      </c>
      <c r="H609" s="33">
        <v>0</v>
      </c>
      <c r="I609" s="33">
        <v>0</v>
      </c>
      <c r="J609" s="33">
        <v>0</v>
      </c>
    </row>
    <row r="610" spans="1:10">
      <c r="A610">
        <v>47</v>
      </c>
      <c r="B610" t="s">
        <v>886</v>
      </c>
      <c r="C610" t="s">
        <v>403</v>
      </c>
      <c r="E610" t="s">
        <v>136</v>
      </c>
      <c r="F610" s="33">
        <v>0</v>
      </c>
      <c r="G610">
        <v>0</v>
      </c>
      <c r="H610" s="33">
        <v>0</v>
      </c>
      <c r="I610" s="33">
        <v>11440000</v>
      </c>
      <c r="J610" s="33">
        <v>11440000</v>
      </c>
    </row>
    <row r="611" spans="1:10">
      <c r="A611">
        <v>48</v>
      </c>
      <c r="B611" t="s">
        <v>886</v>
      </c>
      <c r="C611" t="s">
        <v>951</v>
      </c>
      <c r="E611" t="s">
        <v>127</v>
      </c>
      <c r="F611" s="33">
        <v>0</v>
      </c>
      <c r="G611">
        <v>0</v>
      </c>
      <c r="H611" s="33">
        <v>0</v>
      </c>
      <c r="I611" s="33">
        <v>220000</v>
      </c>
      <c r="J611" s="33">
        <v>220000</v>
      </c>
    </row>
    <row r="612" spans="1:10">
      <c r="F612" s="33"/>
      <c r="H612" s="33"/>
      <c r="I612" s="33"/>
      <c r="J612" s="33"/>
    </row>
    <row r="613" spans="1:10">
      <c r="A613" t="s">
        <v>564</v>
      </c>
    </row>
    <row r="614" spans="1:10">
      <c r="A614" t="s">
        <v>565</v>
      </c>
    </row>
    <row r="615" spans="1:10">
      <c r="A615" t="s">
        <v>566</v>
      </c>
    </row>
    <row r="616" spans="1:10">
      <c r="A616" t="s">
        <v>809</v>
      </c>
    </row>
    <row r="617" spans="1:10">
      <c r="A617" t="s">
        <v>810</v>
      </c>
    </row>
    <row r="618" spans="1:10">
      <c r="A618" t="s">
        <v>670</v>
      </c>
    </row>
    <row r="619" spans="1:10">
      <c r="A619" t="s">
        <v>671</v>
      </c>
    </row>
    <row r="620" spans="1:10">
      <c r="A620" t="s">
        <v>952</v>
      </c>
    </row>
    <row r="621" spans="1:10">
      <c r="A621" t="s">
        <v>953</v>
      </c>
    </row>
    <row r="622" spans="1:10">
      <c r="A622" t="s">
        <v>572</v>
      </c>
    </row>
    <row r="624" spans="1:10">
      <c r="A624" t="s">
        <v>22</v>
      </c>
      <c r="B624" t="s">
        <v>573</v>
      </c>
      <c r="C624" t="s">
        <v>574</v>
      </c>
      <c r="D624" t="s">
        <v>575</v>
      </c>
    </row>
    <row r="625" spans="1:10">
      <c r="A625" t="s">
        <v>576</v>
      </c>
      <c r="B625" t="s">
        <v>123</v>
      </c>
      <c r="C625" t="s">
        <v>577</v>
      </c>
    </row>
    <row r="626" spans="1:10">
      <c r="A626" t="s">
        <v>578</v>
      </c>
      <c r="B626" t="s">
        <v>579</v>
      </c>
    </row>
    <row r="627" spans="1:10">
      <c r="A627" t="s">
        <v>580</v>
      </c>
      <c r="B627" t="s">
        <v>581</v>
      </c>
    </row>
    <row r="628" spans="1:10">
      <c r="A628" t="s">
        <v>582</v>
      </c>
      <c r="B628" t="s">
        <v>583</v>
      </c>
    </row>
    <row r="629" spans="1:10">
      <c r="A629" t="s">
        <v>584</v>
      </c>
      <c r="B629" t="s">
        <v>585</v>
      </c>
    </row>
    <row r="630" spans="1:10">
      <c r="A630" t="s">
        <v>584</v>
      </c>
    </row>
    <row r="631" spans="1:10">
      <c r="A631">
        <v>1</v>
      </c>
      <c r="B631" t="s">
        <v>886</v>
      </c>
      <c r="C631" t="s">
        <v>954</v>
      </c>
      <c r="E631" t="s">
        <v>131</v>
      </c>
      <c r="F631" s="33">
        <v>0</v>
      </c>
      <c r="G631">
        <v>0</v>
      </c>
      <c r="H631" s="33">
        <v>0</v>
      </c>
      <c r="I631" s="33">
        <v>210000</v>
      </c>
      <c r="J631" s="33">
        <v>210000</v>
      </c>
    </row>
    <row r="632" spans="1:10">
      <c r="A632">
        <v>2</v>
      </c>
      <c r="B632" t="s">
        <v>886</v>
      </c>
      <c r="C632" t="s">
        <v>955</v>
      </c>
      <c r="E632" t="s">
        <v>131</v>
      </c>
      <c r="F632" s="33">
        <v>0</v>
      </c>
      <c r="G632">
        <v>0</v>
      </c>
      <c r="H632" s="33">
        <v>0</v>
      </c>
      <c r="I632" s="33">
        <v>29637</v>
      </c>
      <c r="J632" s="33">
        <v>29637</v>
      </c>
    </row>
    <row r="633" spans="1:10">
      <c r="A633">
        <v>3</v>
      </c>
      <c r="B633" t="s">
        <v>886</v>
      </c>
      <c r="C633" t="s">
        <v>956</v>
      </c>
      <c r="F633" s="33">
        <v>0</v>
      </c>
      <c r="G633">
        <v>0</v>
      </c>
      <c r="H633" s="33">
        <v>0</v>
      </c>
      <c r="I633" s="33">
        <v>779255</v>
      </c>
      <c r="J633" s="33">
        <v>779255</v>
      </c>
    </row>
    <row r="634" spans="1:10">
      <c r="A634">
        <v>4</v>
      </c>
      <c r="B634" t="s">
        <v>886</v>
      </c>
      <c r="C634" t="s">
        <v>957</v>
      </c>
      <c r="E634" t="s">
        <v>127</v>
      </c>
      <c r="F634" s="33">
        <v>0</v>
      </c>
      <c r="G634">
        <v>0</v>
      </c>
      <c r="H634" s="33">
        <v>0</v>
      </c>
      <c r="I634" s="33">
        <v>9484078</v>
      </c>
      <c r="J634" s="33">
        <v>9484078</v>
      </c>
    </row>
    <row r="635" spans="1:10">
      <c r="A635">
        <v>5</v>
      </c>
      <c r="B635" t="s">
        <v>886</v>
      </c>
      <c r="C635" t="s">
        <v>472</v>
      </c>
      <c r="E635" t="s">
        <v>193</v>
      </c>
      <c r="F635" s="33">
        <v>0</v>
      </c>
      <c r="G635">
        <v>0</v>
      </c>
      <c r="H635" s="33">
        <v>0</v>
      </c>
      <c r="I635" s="33">
        <v>475322</v>
      </c>
      <c r="J635" s="33">
        <v>475322</v>
      </c>
    </row>
    <row r="636" spans="1:10">
      <c r="A636">
        <v>6</v>
      </c>
      <c r="B636" t="s">
        <v>886</v>
      </c>
      <c r="C636" t="s">
        <v>958</v>
      </c>
      <c r="E636" t="s">
        <v>131</v>
      </c>
      <c r="F636" s="33">
        <v>0</v>
      </c>
      <c r="G636">
        <v>0</v>
      </c>
      <c r="H636" s="33">
        <v>0</v>
      </c>
      <c r="I636" s="33">
        <v>4984</v>
      </c>
      <c r="J636" s="33">
        <v>4984</v>
      </c>
    </row>
    <row r="637" spans="1:10">
      <c r="A637">
        <v>7</v>
      </c>
      <c r="B637" t="s">
        <v>886</v>
      </c>
      <c r="C637" t="s">
        <v>478</v>
      </c>
      <c r="E637" t="s">
        <v>193</v>
      </c>
      <c r="F637" s="33">
        <v>0</v>
      </c>
      <c r="G637">
        <v>0</v>
      </c>
      <c r="H637" s="33">
        <v>0</v>
      </c>
      <c r="I637" s="33">
        <v>367754</v>
      </c>
      <c r="J637" s="33">
        <v>367754</v>
      </c>
    </row>
    <row r="638" spans="1:10">
      <c r="A638">
        <v>8</v>
      </c>
      <c r="B638" t="s">
        <v>886</v>
      </c>
      <c r="C638" t="s">
        <v>291</v>
      </c>
      <c r="E638" t="s">
        <v>148</v>
      </c>
      <c r="F638" s="33">
        <v>0</v>
      </c>
      <c r="G638">
        <v>0</v>
      </c>
      <c r="H638" s="33">
        <v>0</v>
      </c>
      <c r="I638" s="33">
        <v>202339</v>
      </c>
      <c r="J638" s="33">
        <v>202339</v>
      </c>
    </row>
    <row r="639" spans="1:10">
      <c r="A639">
        <v>9</v>
      </c>
      <c r="B639" t="s">
        <v>886</v>
      </c>
      <c r="C639" t="s">
        <v>468</v>
      </c>
      <c r="E639" t="s">
        <v>264</v>
      </c>
      <c r="F639" s="33">
        <v>0</v>
      </c>
      <c r="G639">
        <v>0</v>
      </c>
      <c r="H639" s="33">
        <v>0</v>
      </c>
      <c r="I639" s="33">
        <v>518385</v>
      </c>
      <c r="J639" s="33">
        <v>518385</v>
      </c>
    </row>
    <row r="640" spans="1:10">
      <c r="A640">
        <v>10</v>
      </c>
      <c r="B640" t="s">
        <v>886</v>
      </c>
      <c r="C640" t="s">
        <v>184</v>
      </c>
      <c r="E640" t="s">
        <v>136</v>
      </c>
      <c r="F640" s="33">
        <v>0</v>
      </c>
      <c r="G640">
        <v>0</v>
      </c>
      <c r="H640" s="33">
        <v>0</v>
      </c>
      <c r="I640" s="33">
        <v>9345649</v>
      </c>
      <c r="J640" s="33">
        <v>9345649</v>
      </c>
    </row>
    <row r="641" spans="1:10">
      <c r="A641">
        <v>11</v>
      </c>
      <c r="B641" t="s">
        <v>886</v>
      </c>
      <c r="C641" t="s">
        <v>527</v>
      </c>
      <c r="E641" t="s">
        <v>131</v>
      </c>
      <c r="F641" s="33">
        <v>0</v>
      </c>
      <c r="G641">
        <v>0</v>
      </c>
      <c r="H641" s="33">
        <v>0</v>
      </c>
      <c r="I641" s="33">
        <v>30744</v>
      </c>
      <c r="J641" s="33">
        <v>30744</v>
      </c>
    </row>
    <row r="642" spans="1:10">
      <c r="A642">
        <v>12</v>
      </c>
      <c r="B642" t="s">
        <v>886</v>
      </c>
      <c r="C642" t="s">
        <v>544</v>
      </c>
      <c r="E642" t="s">
        <v>131</v>
      </c>
      <c r="F642" s="33">
        <v>0</v>
      </c>
      <c r="G642">
        <v>0</v>
      </c>
      <c r="H642" s="33">
        <v>0</v>
      </c>
      <c r="I642" s="33">
        <v>7898</v>
      </c>
      <c r="J642" s="33">
        <v>7898</v>
      </c>
    </row>
    <row r="643" spans="1:10">
      <c r="A643">
        <v>13</v>
      </c>
      <c r="B643" t="s">
        <v>886</v>
      </c>
      <c r="C643" t="s">
        <v>516</v>
      </c>
      <c r="E643" t="s">
        <v>148</v>
      </c>
      <c r="F643" s="33">
        <v>0</v>
      </c>
      <c r="G643">
        <v>0</v>
      </c>
      <c r="H643" s="33">
        <v>0</v>
      </c>
      <c r="I643" s="33">
        <v>65446</v>
      </c>
      <c r="J643" s="33">
        <v>65446</v>
      </c>
    </row>
    <row r="644" spans="1:10">
      <c r="A644">
        <v>14</v>
      </c>
      <c r="B644" t="s">
        <v>886</v>
      </c>
      <c r="C644" t="s">
        <v>524</v>
      </c>
      <c r="E644" t="s">
        <v>154</v>
      </c>
      <c r="F644" s="33">
        <v>0</v>
      </c>
      <c r="G644">
        <v>0</v>
      </c>
      <c r="H644" s="33">
        <v>0</v>
      </c>
      <c r="I644" s="33">
        <v>40417</v>
      </c>
      <c r="J644" s="33">
        <v>40417</v>
      </c>
    </row>
    <row r="645" spans="1:10">
      <c r="A645">
        <v>15</v>
      </c>
      <c r="B645" t="s">
        <v>886</v>
      </c>
      <c r="C645" t="s">
        <v>259</v>
      </c>
      <c r="E645" t="s">
        <v>131</v>
      </c>
      <c r="F645" s="33">
        <v>0</v>
      </c>
      <c r="G645">
        <v>0</v>
      </c>
      <c r="H645" s="33">
        <v>0</v>
      </c>
      <c r="I645" s="33">
        <v>738015</v>
      </c>
      <c r="J645" s="33">
        <v>738015</v>
      </c>
    </row>
    <row r="646" spans="1:10">
      <c r="A646">
        <v>16</v>
      </c>
      <c r="B646" t="s">
        <v>886</v>
      </c>
      <c r="C646" t="s">
        <v>214</v>
      </c>
      <c r="E646" t="s">
        <v>131</v>
      </c>
      <c r="F646" s="33">
        <v>0</v>
      </c>
      <c r="G646">
        <v>0</v>
      </c>
      <c r="H646" s="33">
        <v>0</v>
      </c>
      <c r="I646" s="33">
        <v>3493631</v>
      </c>
      <c r="J646" s="33">
        <v>3493631</v>
      </c>
    </row>
    <row r="647" spans="1:10">
      <c r="A647">
        <v>17</v>
      </c>
      <c r="B647" t="s">
        <v>886</v>
      </c>
      <c r="C647" t="s">
        <v>959</v>
      </c>
      <c r="F647" s="33">
        <v>0</v>
      </c>
      <c r="G647">
        <v>0</v>
      </c>
      <c r="H647" s="33">
        <v>0</v>
      </c>
      <c r="I647" s="33">
        <v>4979</v>
      </c>
      <c r="J647" s="33">
        <v>4979</v>
      </c>
    </row>
    <row r="648" spans="1:10">
      <c r="A648">
        <v>18</v>
      </c>
      <c r="B648" t="s">
        <v>886</v>
      </c>
      <c r="C648" t="s">
        <v>960</v>
      </c>
      <c r="E648" t="s">
        <v>193</v>
      </c>
      <c r="F648" s="33">
        <v>0</v>
      </c>
      <c r="G648">
        <v>0</v>
      </c>
      <c r="H648" s="33">
        <v>0</v>
      </c>
      <c r="I648" s="33">
        <v>202398</v>
      </c>
      <c r="J648" s="33">
        <v>202398</v>
      </c>
    </row>
    <row r="649" spans="1:10">
      <c r="A649">
        <v>19</v>
      </c>
      <c r="B649" t="s">
        <v>886</v>
      </c>
      <c r="C649" t="s">
        <v>437</v>
      </c>
      <c r="E649" t="s">
        <v>131</v>
      </c>
      <c r="F649" s="33">
        <v>0</v>
      </c>
      <c r="G649">
        <v>0</v>
      </c>
      <c r="H649" s="33">
        <v>0</v>
      </c>
      <c r="I649" s="33">
        <v>1440000</v>
      </c>
      <c r="J649" s="33">
        <v>1440000</v>
      </c>
    </row>
    <row r="650" spans="1:10">
      <c r="A650">
        <v>20</v>
      </c>
      <c r="B650" t="s">
        <v>886</v>
      </c>
      <c r="C650" t="s">
        <v>361</v>
      </c>
      <c r="E650" t="s">
        <v>148</v>
      </c>
      <c r="F650" s="33">
        <v>0</v>
      </c>
      <c r="G650">
        <v>0</v>
      </c>
      <c r="H650" s="33">
        <v>0</v>
      </c>
      <c r="I650" s="33">
        <v>366961920</v>
      </c>
      <c r="J650" s="33">
        <v>366961920</v>
      </c>
    </row>
    <row r="651" spans="1:10">
      <c r="A651">
        <v>21</v>
      </c>
      <c r="B651" t="s">
        <v>886</v>
      </c>
      <c r="C651" t="s">
        <v>288</v>
      </c>
      <c r="E651" t="s">
        <v>136</v>
      </c>
      <c r="F651" s="33">
        <v>0</v>
      </c>
      <c r="G651">
        <v>0</v>
      </c>
      <c r="H651" s="33">
        <v>0</v>
      </c>
      <c r="I651" s="33">
        <v>223188</v>
      </c>
      <c r="J651" s="33">
        <v>223188</v>
      </c>
    </row>
    <row r="652" spans="1:10">
      <c r="A652">
        <v>22</v>
      </c>
      <c r="B652" t="s">
        <v>886</v>
      </c>
      <c r="C652" t="s">
        <v>345</v>
      </c>
      <c r="E652" t="s">
        <v>129</v>
      </c>
      <c r="F652" s="33">
        <v>0</v>
      </c>
      <c r="G652">
        <v>0</v>
      </c>
      <c r="H652" s="33">
        <v>0</v>
      </c>
      <c r="I652" s="33">
        <v>6534</v>
      </c>
      <c r="J652" s="33">
        <v>6534</v>
      </c>
    </row>
    <row r="653" spans="1:10">
      <c r="A653">
        <v>23</v>
      </c>
      <c r="B653" t="s">
        <v>886</v>
      </c>
      <c r="C653" t="s">
        <v>441</v>
      </c>
      <c r="E653" t="s">
        <v>131</v>
      </c>
      <c r="F653" s="33">
        <v>0</v>
      </c>
      <c r="G653">
        <v>0</v>
      </c>
      <c r="H653" s="33">
        <v>0</v>
      </c>
      <c r="I653" s="33">
        <v>1371255</v>
      </c>
      <c r="J653" s="33">
        <v>1371255</v>
      </c>
    </row>
    <row r="654" spans="1:10">
      <c r="A654">
        <v>24</v>
      </c>
      <c r="B654" t="s">
        <v>886</v>
      </c>
      <c r="C654" t="s">
        <v>525</v>
      </c>
      <c r="E654" t="s">
        <v>131</v>
      </c>
      <c r="F654" s="33">
        <v>0</v>
      </c>
      <c r="G654">
        <v>0</v>
      </c>
      <c r="H654" s="33">
        <v>0</v>
      </c>
      <c r="I654" s="33">
        <v>37853</v>
      </c>
      <c r="J654" s="33">
        <v>37853</v>
      </c>
    </row>
    <row r="655" spans="1:10">
      <c r="A655">
        <v>25</v>
      </c>
      <c r="B655" t="s">
        <v>886</v>
      </c>
      <c r="C655" t="s">
        <v>428</v>
      </c>
      <c r="E655" t="s">
        <v>131</v>
      </c>
      <c r="F655" s="33">
        <v>0</v>
      </c>
      <c r="G655">
        <v>0</v>
      </c>
      <c r="H655" s="33">
        <v>0</v>
      </c>
      <c r="I655" s="33">
        <v>3004460</v>
      </c>
      <c r="J655" s="33">
        <v>3004460</v>
      </c>
    </row>
    <row r="656" spans="1:10">
      <c r="A656">
        <v>26</v>
      </c>
      <c r="B656" t="s">
        <v>886</v>
      </c>
      <c r="C656" t="s">
        <v>961</v>
      </c>
      <c r="E656" t="s">
        <v>127</v>
      </c>
      <c r="F656" s="33">
        <v>0</v>
      </c>
      <c r="G656">
        <v>0</v>
      </c>
      <c r="H656" s="33">
        <v>0</v>
      </c>
      <c r="I656" s="33">
        <v>256787</v>
      </c>
      <c r="J656" s="33">
        <v>256787</v>
      </c>
    </row>
    <row r="657" spans="1:10">
      <c r="A657">
        <v>27</v>
      </c>
      <c r="B657" t="s">
        <v>886</v>
      </c>
      <c r="C657" t="s">
        <v>962</v>
      </c>
      <c r="E657" t="s">
        <v>131</v>
      </c>
      <c r="F657" s="33">
        <v>0</v>
      </c>
      <c r="G657">
        <v>0</v>
      </c>
      <c r="H657" s="33">
        <v>0</v>
      </c>
      <c r="I657" s="33">
        <v>34759</v>
      </c>
      <c r="J657" s="33">
        <v>34759</v>
      </c>
    </row>
    <row r="658" spans="1:10">
      <c r="A658">
        <v>28</v>
      </c>
      <c r="B658" t="s">
        <v>886</v>
      </c>
      <c r="C658" t="s">
        <v>440</v>
      </c>
      <c r="E658" t="s">
        <v>148</v>
      </c>
      <c r="F658" s="33">
        <v>0</v>
      </c>
      <c r="G658">
        <v>0</v>
      </c>
      <c r="H658" s="33">
        <v>0</v>
      </c>
      <c r="I658" s="33">
        <v>1380000</v>
      </c>
      <c r="J658" s="33">
        <v>1380000</v>
      </c>
    </row>
    <row r="659" spans="1:10">
      <c r="A659">
        <v>29</v>
      </c>
      <c r="B659" t="s">
        <v>886</v>
      </c>
      <c r="C659" t="s">
        <v>963</v>
      </c>
      <c r="E659" t="s">
        <v>191</v>
      </c>
      <c r="F659" s="33">
        <v>0</v>
      </c>
      <c r="G659">
        <v>0</v>
      </c>
      <c r="H659" s="33">
        <v>0</v>
      </c>
      <c r="I659" s="33">
        <v>33862</v>
      </c>
      <c r="J659" s="33">
        <v>33862</v>
      </c>
    </row>
    <row r="660" spans="1:10">
      <c r="A660">
        <v>30</v>
      </c>
      <c r="B660" t="s">
        <v>886</v>
      </c>
      <c r="C660" t="s">
        <v>203</v>
      </c>
      <c r="E660" t="s">
        <v>129</v>
      </c>
      <c r="F660" s="33">
        <v>0</v>
      </c>
      <c r="G660">
        <v>0</v>
      </c>
      <c r="H660" s="33">
        <v>0</v>
      </c>
      <c r="I660" s="33">
        <v>5755641</v>
      </c>
      <c r="J660" s="33">
        <v>5755641</v>
      </c>
    </row>
    <row r="661" spans="1:10">
      <c r="A661">
        <v>31</v>
      </c>
      <c r="B661" t="s">
        <v>886</v>
      </c>
      <c r="C661" t="s">
        <v>326</v>
      </c>
      <c r="E661" t="s">
        <v>129</v>
      </c>
      <c r="F661" s="33">
        <v>0</v>
      </c>
      <c r="G661">
        <v>0</v>
      </c>
      <c r="H661" s="33">
        <v>0</v>
      </c>
      <c r="I661" s="33">
        <v>24930</v>
      </c>
      <c r="J661" s="33">
        <v>24930</v>
      </c>
    </row>
    <row r="662" spans="1:10">
      <c r="A662">
        <v>32</v>
      </c>
      <c r="B662" t="s">
        <v>886</v>
      </c>
      <c r="C662" t="s">
        <v>374</v>
      </c>
      <c r="E662" t="s">
        <v>136</v>
      </c>
      <c r="F662" s="33">
        <v>0</v>
      </c>
      <c r="G662">
        <v>0</v>
      </c>
      <c r="H662" s="33">
        <v>0</v>
      </c>
      <c r="I662" s="33">
        <v>86876449</v>
      </c>
      <c r="J662" s="33">
        <v>86876449</v>
      </c>
    </row>
    <row r="663" spans="1:10">
      <c r="A663">
        <v>33</v>
      </c>
      <c r="B663" t="s">
        <v>886</v>
      </c>
      <c r="C663" t="s">
        <v>363</v>
      </c>
      <c r="E663" t="s">
        <v>148</v>
      </c>
      <c r="F663" s="33">
        <v>0</v>
      </c>
      <c r="G663">
        <v>0</v>
      </c>
      <c r="H663" s="33">
        <v>0</v>
      </c>
      <c r="I663" s="33">
        <v>209221328</v>
      </c>
      <c r="J663" s="33">
        <v>209221328</v>
      </c>
    </row>
    <row r="664" spans="1:10">
      <c r="A664">
        <v>34</v>
      </c>
      <c r="B664" t="s">
        <v>886</v>
      </c>
      <c r="C664" t="s">
        <v>385</v>
      </c>
      <c r="E664" t="s">
        <v>136</v>
      </c>
      <c r="F664" s="33">
        <v>0</v>
      </c>
      <c r="G664">
        <v>0</v>
      </c>
      <c r="H664" s="33">
        <v>0</v>
      </c>
      <c r="I664" s="33">
        <v>37516290</v>
      </c>
      <c r="J664" s="33">
        <v>37516290</v>
      </c>
    </row>
    <row r="665" spans="1:10">
      <c r="A665">
        <v>35</v>
      </c>
      <c r="B665" t="s">
        <v>886</v>
      </c>
      <c r="C665" t="s">
        <v>964</v>
      </c>
      <c r="E665" t="s">
        <v>131</v>
      </c>
      <c r="F665" s="33">
        <v>0</v>
      </c>
      <c r="G665">
        <v>0</v>
      </c>
      <c r="H665" s="33">
        <v>0</v>
      </c>
      <c r="I665" s="33">
        <v>157047</v>
      </c>
      <c r="J665" s="33">
        <v>157047</v>
      </c>
    </row>
    <row r="666" spans="1:10">
      <c r="A666">
        <v>36</v>
      </c>
      <c r="B666" t="s">
        <v>886</v>
      </c>
      <c r="C666" t="s">
        <v>145</v>
      </c>
      <c r="E666" t="s">
        <v>127</v>
      </c>
      <c r="F666" s="33">
        <v>0</v>
      </c>
      <c r="G666">
        <v>0</v>
      </c>
      <c r="H666" s="33">
        <v>0</v>
      </c>
      <c r="I666" s="33">
        <v>107906177</v>
      </c>
      <c r="J666" s="33">
        <v>107906177</v>
      </c>
    </row>
    <row r="667" spans="1:10">
      <c r="A667">
        <v>37</v>
      </c>
      <c r="B667" t="s">
        <v>886</v>
      </c>
      <c r="C667" t="s">
        <v>149</v>
      </c>
      <c r="E667" t="s">
        <v>136</v>
      </c>
      <c r="F667" s="33">
        <v>0</v>
      </c>
      <c r="G667">
        <v>0</v>
      </c>
      <c r="H667" s="33">
        <v>0</v>
      </c>
      <c r="I667" s="33">
        <v>92796952</v>
      </c>
      <c r="J667" s="33">
        <v>92796952</v>
      </c>
    </row>
    <row r="668" spans="1:10">
      <c r="A668">
        <v>38</v>
      </c>
      <c r="B668" t="s">
        <v>886</v>
      </c>
      <c r="C668" t="s">
        <v>965</v>
      </c>
      <c r="E668" t="s">
        <v>193</v>
      </c>
      <c r="F668" s="33">
        <v>0</v>
      </c>
      <c r="G668">
        <v>0</v>
      </c>
      <c r="H668" s="33">
        <v>0</v>
      </c>
      <c r="I668" s="33">
        <v>311586</v>
      </c>
      <c r="J668" s="33">
        <v>311586</v>
      </c>
    </row>
    <row r="669" spans="1:10">
      <c r="A669">
        <v>39</v>
      </c>
      <c r="B669" t="s">
        <v>886</v>
      </c>
      <c r="C669" t="s">
        <v>546</v>
      </c>
      <c r="E669" t="s">
        <v>131</v>
      </c>
      <c r="F669" s="33">
        <v>0</v>
      </c>
      <c r="G669">
        <v>0</v>
      </c>
      <c r="H669" s="33">
        <v>0</v>
      </c>
      <c r="I669" s="33">
        <v>6057</v>
      </c>
      <c r="J669" s="33">
        <v>6057</v>
      </c>
    </row>
    <row r="670" spans="1:10">
      <c r="A670">
        <v>40</v>
      </c>
      <c r="B670" t="s">
        <v>886</v>
      </c>
      <c r="C670" t="s">
        <v>484</v>
      </c>
      <c r="E670" t="s">
        <v>131</v>
      </c>
      <c r="F670" s="33">
        <v>0</v>
      </c>
      <c r="G670">
        <v>0</v>
      </c>
      <c r="H670" s="33">
        <v>0</v>
      </c>
      <c r="I670" s="33">
        <v>299510</v>
      </c>
      <c r="J670" s="33">
        <v>299510</v>
      </c>
    </row>
    <row r="671" spans="1:10">
      <c r="A671">
        <v>41</v>
      </c>
      <c r="B671" t="s">
        <v>886</v>
      </c>
      <c r="C671" t="s">
        <v>476</v>
      </c>
      <c r="E671" t="s">
        <v>131</v>
      </c>
      <c r="F671" s="33">
        <v>0</v>
      </c>
      <c r="G671">
        <v>0</v>
      </c>
      <c r="H671" s="33">
        <v>0</v>
      </c>
      <c r="I671" s="33">
        <v>399868</v>
      </c>
      <c r="J671" s="33">
        <v>399868</v>
      </c>
    </row>
    <row r="672" spans="1:10">
      <c r="A672">
        <v>42</v>
      </c>
      <c r="B672" t="s">
        <v>886</v>
      </c>
      <c r="C672" t="s">
        <v>966</v>
      </c>
      <c r="E672" t="s">
        <v>131</v>
      </c>
      <c r="F672" s="33">
        <v>0</v>
      </c>
      <c r="G672">
        <v>0</v>
      </c>
      <c r="H672" s="33">
        <v>0</v>
      </c>
      <c r="I672" s="33">
        <v>156248</v>
      </c>
      <c r="J672" s="33">
        <v>156248</v>
      </c>
    </row>
    <row r="673" spans="1:10">
      <c r="A673">
        <v>43</v>
      </c>
      <c r="B673" t="s">
        <v>886</v>
      </c>
      <c r="C673" t="s">
        <v>549</v>
      </c>
      <c r="E673" t="s">
        <v>136</v>
      </c>
      <c r="F673" s="33">
        <v>0</v>
      </c>
      <c r="G673">
        <v>0</v>
      </c>
      <c r="H673" s="33">
        <v>0</v>
      </c>
      <c r="I673" s="33">
        <v>4995</v>
      </c>
      <c r="J673" s="33">
        <v>4995</v>
      </c>
    </row>
    <row r="674" spans="1:10">
      <c r="A674">
        <v>44</v>
      </c>
      <c r="B674" t="s">
        <v>886</v>
      </c>
      <c r="C674" t="s">
        <v>967</v>
      </c>
      <c r="E674" t="s">
        <v>154</v>
      </c>
      <c r="F674" s="33">
        <v>0</v>
      </c>
      <c r="G674">
        <v>0</v>
      </c>
      <c r="H674" s="33">
        <v>0</v>
      </c>
      <c r="I674" s="33">
        <v>36375</v>
      </c>
      <c r="J674" s="33">
        <v>36375</v>
      </c>
    </row>
    <row r="675" spans="1:10">
      <c r="A675">
        <v>45</v>
      </c>
      <c r="B675" t="s">
        <v>886</v>
      </c>
      <c r="C675" t="s">
        <v>474</v>
      </c>
      <c r="E675" t="s">
        <v>131</v>
      </c>
      <c r="F675" s="33">
        <v>0</v>
      </c>
      <c r="G675">
        <v>0</v>
      </c>
      <c r="H675" s="33">
        <v>0</v>
      </c>
      <c r="I675" s="33">
        <v>447191</v>
      </c>
      <c r="J675" s="33">
        <v>447191</v>
      </c>
    </row>
    <row r="676" spans="1:10">
      <c r="A676">
        <v>46</v>
      </c>
      <c r="B676" t="s">
        <v>886</v>
      </c>
      <c r="C676" t="s">
        <v>473</v>
      </c>
      <c r="E676" t="s">
        <v>148</v>
      </c>
      <c r="F676" s="33">
        <v>0</v>
      </c>
      <c r="G676">
        <v>0</v>
      </c>
      <c r="H676" s="33">
        <v>0</v>
      </c>
      <c r="I676" s="33">
        <v>457137</v>
      </c>
      <c r="J676" s="33">
        <v>457137</v>
      </c>
    </row>
    <row r="677" spans="1:10">
      <c r="A677">
        <v>47</v>
      </c>
      <c r="B677" t="s">
        <v>886</v>
      </c>
      <c r="C677" t="s">
        <v>551</v>
      </c>
      <c r="E677" t="s">
        <v>131</v>
      </c>
      <c r="F677" s="33">
        <v>0</v>
      </c>
      <c r="G677">
        <v>0</v>
      </c>
      <c r="H677" s="33">
        <v>0</v>
      </c>
      <c r="I677" s="33">
        <v>2198</v>
      </c>
      <c r="J677" s="33">
        <v>2198</v>
      </c>
    </row>
    <row r="678" spans="1:10">
      <c r="A678">
        <v>48</v>
      </c>
      <c r="B678" t="s">
        <v>886</v>
      </c>
      <c r="C678" t="s">
        <v>968</v>
      </c>
      <c r="E678" t="s">
        <v>131</v>
      </c>
      <c r="F678" s="33">
        <v>0</v>
      </c>
      <c r="G678">
        <v>0</v>
      </c>
      <c r="H678" s="33">
        <v>0</v>
      </c>
      <c r="I678" s="33">
        <v>208209</v>
      </c>
      <c r="J678" s="33">
        <v>208209</v>
      </c>
    </row>
    <row r="679" spans="1:10">
      <c r="A679">
        <v>49</v>
      </c>
      <c r="B679" t="s">
        <v>886</v>
      </c>
      <c r="C679" t="s">
        <v>511</v>
      </c>
      <c r="E679" t="s">
        <v>154</v>
      </c>
      <c r="F679" s="33">
        <v>0</v>
      </c>
      <c r="G679">
        <v>0</v>
      </c>
      <c r="H679" s="33">
        <v>0</v>
      </c>
      <c r="I679" s="33">
        <v>92673</v>
      </c>
      <c r="J679" s="33">
        <v>92673</v>
      </c>
    </row>
    <row r="680" spans="1:10">
      <c r="A680">
        <v>50</v>
      </c>
      <c r="B680" t="s">
        <v>886</v>
      </c>
      <c r="C680" t="s">
        <v>232</v>
      </c>
      <c r="E680" t="s">
        <v>136</v>
      </c>
      <c r="F680" s="33">
        <v>0</v>
      </c>
      <c r="G680">
        <v>0</v>
      </c>
      <c r="H680" s="33">
        <v>0</v>
      </c>
      <c r="I680" s="33">
        <v>2415054</v>
      </c>
      <c r="J680" s="33">
        <v>2415054</v>
      </c>
    </row>
    <row r="681" spans="1:10">
      <c r="A681">
        <v>51</v>
      </c>
      <c r="B681" t="s">
        <v>886</v>
      </c>
      <c r="C681" t="s">
        <v>969</v>
      </c>
      <c r="E681" t="s">
        <v>136</v>
      </c>
      <c r="F681" s="33">
        <v>0</v>
      </c>
      <c r="G681">
        <v>0</v>
      </c>
      <c r="H681" s="33">
        <v>0</v>
      </c>
      <c r="I681" s="33">
        <v>49227</v>
      </c>
      <c r="J681" s="33">
        <v>49227</v>
      </c>
    </row>
    <row r="682" spans="1:10">
      <c r="A682">
        <v>52</v>
      </c>
      <c r="B682" t="s">
        <v>886</v>
      </c>
      <c r="C682" t="s">
        <v>970</v>
      </c>
      <c r="E682" t="s">
        <v>154</v>
      </c>
      <c r="F682" s="33">
        <v>0</v>
      </c>
      <c r="G682">
        <v>0</v>
      </c>
      <c r="H682" s="33">
        <v>0</v>
      </c>
      <c r="I682" s="33">
        <v>36540</v>
      </c>
      <c r="J682" s="33">
        <v>36540</v>
      </c>
    </row>
    <row r="683" spans="1:10">
      <c r="A683">
        <v>53</v>
      </c>
      <c r="B683" t="s">
        <v>886</v>
      </c>
      <c r="C683" t="s">
        <v>971</v>
      </c>
      <c r="F683" s="33">
        <v>0</v>
      </c>
      <c r="G683">
        <v>0</v>
      </c>
      <c r="H683" s="33">
        <v>0</v>
      </c>
      <c r="I683" s="33">
        <v>32279</v>
      </c>
      <c r="J683" s="33">
        <v>32279</v>
      </c>
    </row>
    <row r="684" spans="1:10">
      <c r="A684">
        <v>54</v>
      </c>
      <c r="B684" t="s">
        <v>886</v>
      </c>
      <c r="C684" t="s">
        <v>972</v>
      </c>
      <c r="E684" t="s">
        <v>191</v>
      </c>
      <c r="F684" s="33">
        <v>0</v>
      </c>
      <c r="G684">
        <v>0</v>
      </c>
      <c r="H684" s="33">
        <v>0</v>
      </c>
      <c r="I684" s="33">
        <v>16915</v>
      </c>
      <c r="J684" s="33">
        <v>16915</v>
      </c>
    </row>
    <row r="685" spans="1:10">
      <c r="A685">
        <v>55</v>
      </c>
      <c r="B685" t="s">
        <v>886</v>
      </c>
      <c r="C685" t="s">
        <v>540</v>
      </c>
      <c r="E685" t="s">
        <v>136</v>
      </c>
      <c r="F685" s="33">
        <v>0</v>
      </c>
      <c r="G685">
        <v>0</v>
      </c>
      <c r="H685" s="33">
        <v>0</v>
      </c>
      <c r="I685" s="33">
        <v>14496</v>
      </c>
      <c r="J685" s="33">
        <v>14496</v>
      </c>
    </row>
    <row r="686" spans="1:10">
      <c r="A686">
        <v>56</v>
      </c>
      <c r="B686" t="s">
        <v>886</v>
      </c>
      <c r="C686" t="s">
        <v>194</v>
      </c>
      <c r="E686" t="s">
        <v>148</v>
      </c>
      <c r="F686" s="33">
        <v>0</v>
      </c>
      <c r="G686">
        <v>0</v>
      </c>
      <c r="H686" s="33">
        <v>0</v>
      </c>
      <c r="I686" s="33">
        <v>7322128</v>
      </c>
      <c r="J686" s="33">
        <v>7322128</v>
      </c>
    </row>
    <row r="687" spans="1:10">
      <c r="A687">
        <v>57</v>
      </c>
      <c r="B687" t="s">
        <v>886</v>
      </c>
      <c r="C687" t="s">
        <v>973</v>
      </c>
      <c r="E687" t="s">
        <v>131</v>
      </c>
      <c r="F687" s="33">
        <v>0</v>
      </c>
      <c r="G687">
        <v>0</v>
      </c>
      <c r="H687" s="33">
        <v>0</v>
      </c>
      <c r="I687" s="33">
        <v>62950</v>
      </c>
      <c r="J687" s="33">
        <v>62950</v>
      </c>
    </row>
    <row r="688" spans="1:10">
      <c r="A688">
        <v>58</v>
      </c>
      <c r="B688" t="s">
        <v>886</v>
      </c>
      <c r="C688" t="s">
        <v>347</v>
      </c>
      <c r="E688" t="s">
        <v>131</v>
      </c>
      <c r="F688" s="33">
        <v>0</v>
      </c>
      <c r="G688">
        <v>0</v>
      </c>
      <c r="H688" s="33">
        <v>0</v>
      </c>
      <c r="I688" s="33">
        <v>2508</v>
      </c>
      <c r="J688" s="33">
        <v>2508</v>
      </c>
    </row>
    <row r="689" spans="1:10">
      <c r="A689">
        <v>59</v>
      </c>
      <c r="B689" t="s">
        <v>886</v>
      </c>
      <c r="C689" t="s">
        <v>370</v>
      </c>
      <c r="E689" t="s">
        <v>131</v>
      </c>
      <c r="F689" s="33">
        <v>0</v>
      </c>
      <c r="G689">
        <v>0</v>
      </c>
      <c r="H689" s="33">
        <v>0</v>
      </c>
      <c r="I689" s="33">
        <v>94951615</v>
      </c>
      <c r="J689" s="33">
        <v>94951615</v>
      </c>
    </row>
    <row r="690" spans="1:10">
      <c r="A690">
        <v>60</v>
      </c>
      <c r="B690" t="s">
        <v>886</v>
      </c>
      <c r="C690" t="s">
        <v>974</v>
      </c>
      <c r="F690" s="33">
        <v>0</v>
      </c>
      <c r="G690">
        <v>0</v>
      </c>
      <c r="H690" s="33">
        <v>0</v>
      </c>
      <c r="I690" s="33">
        <v>70589</v>
      </c>
      <c r="J690" s="33">
        <v>70589</v>
      </c>
    </row>
    <row r="691" spans="1:10">
      <c r="A691">
        <v>61</v>
      </c>
      <c r="B691" t="s">
        <v>886</v>
      </c>
      <c r="C691" t="s">
        <v>421</v>
      </c>
      <c r="E691" t="s">
        <v>127</v>
      </c>
      <c r="F691" s="33">
        <v>0</v>
      </c>
      <c r="G691">
        <v>0</v>
      </c>
      <c r="H691" s="33">
        <v>0</v>
      </c>
      <c r="I691" s="33">
        <v>5160000</v>
      </c>
      <c r="J691" s="33">
        <v>5160000</v>
      </c>
    </row>
    <row r="692" spans="1:10">
      <c r="A692">
        <v>62</v>
      </c>
      <c r="B692" t="s">
        <v>975</v>
      </c>
      <c r="C692" t="s">
        <v>976</v>
      </c>
      <c r="E692" t="s">
        <v>131</v>
      </c>
      <c r="F692" s="33">
        <v>0</v>
      </c>
      <c r="G692">
        <v>0</v>
      </c>
      <c r="H692" s="33">
        <v>0</v>
      </c>
      <c r="I692" s="33">
        <v>4447734</v>
      </c>
      <c r="J692" s="33">
        <v>4447734</v>
      </c>
    </row>
    <row r="693" spans="1:10">
      <c r="A693">
        <v>63</v>
      </c>
      <c r="B693" t="s">
        <v>886</v>
      </c>
      <c r="C693" t="s">
        <v>308</v>
      </c>
      <c r="E693" t="s">
        <v>131</v>
      </c>
      <c r="F693" s="33">
        <v>0</v>
      </c>
      <c r="G693">
        <v>0</v>
      </c>
      <c r="H693" s="33">
        <v>0</v>
      </c>
      <c r="I693" s="33">
        <v>102030</v>
      </c>
      <c r="J693" s="33">
        <v>102030</v>
      </c>
    </row>
    <row r="694" spans="1:10">
      <c r="A694">
        <v>64</v>
      </c>
      <c r="B694" t="s">
        <v>886</v>
      </c>
      <c r="C694" t="s">
        <v>420</v>
      </c>
      <c r="E694" t="s">
        <v>154</v>
      </c>
      <c r="F694" s="33">
        <v>0</v>
      </c>
      <c r="G694">
        <v>0</v>
      </c>
      <c r="H694" s="33">
        <v>0</v>
      </c>
      <c r="I694" s="33">
        <v>5483241</v>
      </c>
      <c r="J694" s="33">
        <v>5483241</v>
      </c>
    </row>
    <row r="695" spans="1:10">
      <c r="A695">
        <v>65</v>
      </c>
      <c r="B695" t="s">
        <v>886</v>
      </c>
      <c r="C695" t="s">
        <v>977</v>
      </c>
      <c r="E695" t="s">
        <v>131</v>
      </c>
      <c r="F695" s="33">
        <v>0</v>
      </c>
      <c r="G695">
        <v>0</v>
      </c>
      <c r="H695" s="33">
        <v>0</v>
      </c>
      <c r="I695" s="33">
        <v>113615</v>
      </c>
      <c r="J695" s="33">
        <v>113615</v>
      </c>
    </row>
    <row r="696" spans="1:10">
      <c r="A696">
        <v>66</v>
      </c>
      <c r="B696" t="s">
        <v>886</v>
      </c>
      <c r="C696" t="s">
        <v>978</v>
      </c>
      <c r="E696" t="s">
        <v>131</v>
      </c>
      <c r="F696" s="33">
        <v>0</v>
      </c>
      <c r="G696">
        <v>0</v>
      </c>
      <c r="H696" s="33">
        <v>0</v>
      </c>
      <c r="I696" s="33">
        <v>27225</v>
      </c>
      <c r="J696" s="33">
        <v>27225</v>
      </c>
    </row>
    <row r="697" spans="1:10">
      <c r="A697">
        <v>67</v>
      </c>
      <c r="B697" t="s">
        <v>886</v>
      </c>
      <c r="C697" t="s">
        <v>391</v>
      </c>
      <c r="E697" t="s">
        <v>129</v>
      </c>
      <c r="F697" s="33">
        <v>0</v>
      </c>
      <c r="G697">
        <v>0</v>
      </c>
      <c r="H697" s="33">
        <v>0</v>
      </c>
      <c r="I697" s="33">
        <v>20079528</v>
      </c>
      <c r="J697" s="33">
        <v>20079528</v>
      </c>
    </row>
    <row r="698" spans="1:10">
      <c r="A698">
        <v>68</v>
      </c>
      <c r="B698" t="s">
        <v>886</v>
      </c>
      <c r="C698" t="s">
        <v>493</v>
      </c>
      <c r="E698" t="s">
        <v>154</v>
      </c>
      <c r="F698" s="33">
        <v>0</v>
      </c>
      <c r="G698">
        <v>0</v>
      </c>
      <c r="H698" s="33">
        <v>0</v>
      </c>
      <c r="I698" s="33">
        <v>193005</v>
      </c>
      <c r="J698" s="33">
        <v>193005</v>
      </c>
    </row>
    <row r="699" spans="1:10">
      <c r="A699">
        <v>69</v>
      </c>
      <c r="B699" t="s">
        <v>886</v>
      </c>
      <c r="C699" t="s">
        <v>979</v>
      </c>
      <c r="E699" t="s">
        <v>131</v>
      </c>
      <c r="F699" s="33">
        <v>0</v>
      </c>
      <c r="G699">
        <v>0</v>
      </c>
      <c r="H699" s="33">
        <v>0</v>
      </c>
      <c r="I699" s="33">
        <v>3541</v>
      </c>
      <c r="J699" s="33">
        <v>3541</v>
      </c>
    </row>
    <row r="700" spans="1:10">
      <c r="A700">
        <v>70</v>
      </c>
      <c r="B700" t="s">
        <v>886</v>
      </c>
      <c r="C700" t="s">
        <v>397</v>
      </c>
      <c r="E700" t="s">
        <v>136</v>
      </c>
      <c r="F700" s="33">
        <v>0</v>
      </c>
      <c r="G700">
        <v>0</v>
      </c>
      <c r="H700" s="33">
        <v>0</v>
      </c>
      <c r="I700" s="33">
        <v>14798770</v>
      </c>
      <c r="J700" s="33">
        <v>14798770</v>
      </c>
    </row>
    <row r="701" spans="1:10">
      <c r="A701">
        <v>71</v>
      </c>
      <c r="B701" t="s">
        <v>886</v>
      </c>
      <c r="C701" t="s">
        <v>292</v>
      </c>
      <c r="E701" t="s">
        <v>131</v>
      </c>
      <c r="F701" s="33">
        <v>0</v>
      </c>
      <c r="G701">
        <v>0</v>
      </c>
      <c r="H701" s="33">
        <v>0</v>
      </c>
      <c r="I701" s="33">
        <v>193338</v>
      </c>
      <c r="J701" s="33">
        <v>193338</v>
      </c>
    </row>
    <row r="702" spans="1:10">
      <c r="A702">
        <v>72</v>
      </c>
      <c r="B702" t="s">
        <v>886</v>
      </c>
      <c r="C702" t="s">
        <v>435</v>
      </c>
      <c r="E702" t="s">
        <v>148</v>
      </c>
      <c r="F702" s="33">
        <v>0</v>
      </c>
      <c r="G702">
        <v>0</v>
      </c>
      <c r="H702" s="33">
        <v>0</v>
      </c>
      <c r="I702" s="33">
        <v>1838382</v>
      </c>
      <c r="J702" s="33">
        <v>1838382</v>
      </c>
    </row>
    <row r="703" spans="1:10">
      <c r="A703">
        <v>73</v>
      </c>
      <c r="B703" t="s">
        <v>886</v>
      </c>
      <c r="C703" t="s">
        <v>980</v>
      </c>
      <c r="E703" t="s">
        <v>148</v>
      </c>
      <c r="F703" s="33">
        <v>0</v>
      </c>
      <c r="G703">
        <v>0</v>
      </c>
      <c r="H703" s="33">
        <v>0</v>
      </c>
      <c r="I703" s="33">
        <v>17106</v>
      </c>
      <c r="J703" s="33">
        <v>17106</v>
      </c>
    </row>
    <row r="704" spans="1:10">
      <c r="A704">
        <v>74</v>
      </c>
      <c r="B704" t="s">
        <v>886</v>
      </c>
      <c r="C704" t="s">
        <v>405</v>
      </c>
      <c r="E704" t="s">
        <v>154</v>
      </c>
      <c r="F704" s="33">
        <v>0</v>
      </c>
      <c r="G704">
        <v>0</v>
      </c>
      <c r="H704" s="33">
        <v>0</v>
      </c>
      <c r="I704" s="33">
        <v>10657326</v>
      </c>
      <c r="J704" s="33">
        <v>10657326</v>
      </c>
    </row>
    <row r="705" spans="1:10">
      <c r="A705">
        <v>75</v>
      </c>
      <c r="B705" t="s">
        <v>886</v>
      </c>
      <c r="C705" t="s">
        <v>981</v>
      </c>
      <c r="E705" t="s">
        <v>131</v>
      </c>
      <c r="F705" s="33">
        <v>0</v>
      </c>
      <c r="G705">
        <v>0</v>
      </c>
      <c r="H705" s="33">
        <v>0</v>
      </c>
      <c r="I705" s="33">
        <v>599574</v>
      </c>
      <c r="J705" s="33">
        <v>599574</v>
      </c>
    </row>
    <row r="706" spans="1:10">
      <c r="A706">
        <v>76</v>
      </c>
      <c r="B706" t="s">
        <v>886</v>
      </c>
      <c r="C706" t="s">
        <v>982</v>
      </c>
      <c r="E706" t="s">
        <v>127</v>
      </c>
      <c r="F706" s="33">
        <v>0</v>
      </c>
      <c r="G706">
        <v>0</v>
      </c>
      <c r="H706" s="33">
        <v>0</v>
      </c>
      <c r="I706" s="33">
        <v>93792</v>
      </c>
      <c r="J706" s="33">
        <v>93792</v>
      </c>
    </row>
    <row r="707" spans="1:10">
      <c r="A707">
        <v>77</v>
      </c>
      <c r="B707" t="s">
        <v>886</v>
      </c>
      <c r="C707" t="s">
        <v>252</v>
      </c>
      <c r="E707" t="s">
        <v>253</v>
      </c>
      <c r="F707" s="33">
        <v>0</v>
      </c>
      <c r="G707">
        <v>0</v>
      </c>
      <c r="H707" s="33">
        <v>0</v>
      </c>
      <c r="I707" s="33">
        <v>1106083</v>
      </c>
      <c r="J707" s="33">
        <v>1106083</v>
      </c>
    </row>
    <row r="708" spans="1:10">
      <c r="A708">
        <v>78</v>
      </c>
      <c r="B708" t="s">
        <v>886</v>
      </c>
      <c r="C708" t="s">
        <v>482</v>
      </c>
      <c r="E708" t="s">
        <v>193</v>
      </c>
      <c r="F708" s="33">
        <v>0</v>
      </c>
      <c r="G708">
        <v>0</v>
      </c>
      <c r="H708" s="33">
        <v>0</v>
      </c>
      <c r="I708" s="33">
        <v>314854</v>
      </c>
      <c r="J708" s="33">
        <v>314854</v>
      </c>
    </row>
    <row r="709" spans="1:10">
      <c r="A709">
        <v>79</v>
      </c>
      <c r="B709" t="s">
        <v>886</v>
      </c>
      <c r="C709" t="s">
        <v>983</v>
      </c>
      <c r="E709" t="s">
        <v>131</v>
      </c>
      <c r="F709" s="33">
        <v>0</v>
      </c>
      <c r="G709">
        <v>0</v>
      </c>
      <c r="H709" s="33">
        <v>0</v>
      </c>
      <c r="I709" s="33">
        <v>9144</v>
      </c>
      <c r="J709" s="33">
        <v>9144</v>
      </c>
    </row>
    <row r="710" spans="1:10">
      <c r="A710">
        <v>80</v>
      </c>
      <c r="B710" t="s">
        <v>886</v>
      </c>
      <c r="C710" t="s">
        <v>984</v>
      </c>
      <c r="E710" t="s">
        <v>191</v>
      </c>
      <c r="F710" s="33">
        <v>0</v>
      </c>
      <c r="G710">
        <v>0</v>
      </c>
      <c r="H710" s="33">
        <v>0</v>
      </c>
      <c r="I710" s="33">
        <v>693523</v>
      </c>
      <c r="J710" s="33">
        <v>693523</v>
      </c>
    </row>
    <row r="711" spans="1:10">
      <c r="A711">
        <v>81</v>
      </c>
      <c r="B711" t="s">
        <v>886</v>
      </c>
      <c r="C711" t="s">
        <v>985</v>
      </c>
      <c r="E711" t="s">
        <v>131</v>
      </c>
      <c r="F711" s="33">
        <v>0</v>
      </c>
      <c r="G711">
        <v>0</v>
      </c>
      <c r="H711" s="33">
        <v>0</v>
      </c>
      <c r="I711" s="33">
        <v>331844</v>
      </c>
      <c r="J711" s="33">
        <v>331844</v>
      </c>
    </row>
    <row r="712" spans="1:10">
      <c r="A712">
        <v>82</v>
      </c>
      <c r="B712" t="s">
        <v>886</v>
      </c>
      <c r="C712" t="s">
        <v>519</v>
      </c>
      <c r="E712" t="s">
        <v>131</v>
      </c>
      <c r="F712" s="33">
        <v>0</v>
      </c>
      <c r="G712">
        <v>0</v>
      </c>
      <c r="H712" s="33">
        <v>0</v>
      </c>
      <c r="I712" s="33">
        <v>51996</v>
      </c>
      <c r="J712" s="33">
        <v>51996</v>
      </c>
    </row>
    <row r="713" spans="1:10">
      <c r="A713">
        <v>83</v>
      </c>
      <c r="B713" t="s">
        <v>886</v>
      </c>
      <c r="C713" t="s">
        <v>228</v>
      </c>
      <c r="E713" t="s">
        <v>136</v>
      </c>
      <c r="F713" s="33">
        <v>0</v>
      </c>
      <c r="G713">
        <v>0</v>
      </c>
      <c r="H713" s="33">
        <v>0</v>
      </c>
      <c r="I713" s="33">
        <v>2704326</v>
      </c>
      <c r="J713" s="33">
        <v>2704326</v>
      </c>
    </row>
    <row r="714" spans="1:10">
      <c r="A714">
        <v>84</v>
      </c>
      <c r="B714" t="s">
        <v>886</v>
      </c>
      <c r="C714" t="s">
        <v>986</v>
      </c>
      <c r="E714" t="s">
        <v>131</v>
      </c>
      <c r="F714" s="33">
        <v>0</v>
      </c>
      <c r="G714">
        <v>0</v>
      </c>
      <c r="H714" s="33">
        <v>0</v>
      </c>
      <c r="I714" s="33">
        <v>2789574</v>
      </c>
      <c r="J714" s="33">
        <v>2789574</v>
      </c>
    </row>
    <row r="715" spans="1:10">
      <c r="A715">
        <v>85</v>
      </c>
      <c r="B715" t="s">
        <v>886</v>
      </c>
      <c r="C715" t="s">
        <v>338</v>
      </c>
      <c r="E715" t="s">
        <v>136</v>
      </c>
      <c r="F715" s="33">
        <v>0</v>
      </c>
      <c r="G715">
        <v>0</v>
      </c>
      <c r="H715" s="33">
        <v>0</v>
      </c>
      <c r="I715" s="33">
        <v>11412</v>
      </c>
      <c r="J715" s="33">
        <v>11412</v>
      </c>
    </row>
    <row r="716" spans="1:10">
      <c r="A716">
        <v>86</v>
      </c>
      <c r="B716" t="s">
        <v>886</v>
      </c>
      <c r="C716" t="s">
        <v>987</v>
      </c>
      <c r="E716" t="s">
        <v>131</v>
      </c>
      <c r="F716" s="33">
        <v>0</v>
      </c>
      <c r="G716">
        <v>0</v>
      </c>
      <c r="H716" s="33">
        <v>0</v>
      </c>
      <c r="I716" s="33">
        <v>3346</v>
      </c>
      <c r="J716" s="33">
        <v>3346</v>
      </c>
    </row>
    <row r="717" spans="1:10">
      <c r="A717">
        <v>87</v>
      </c>
      <c r="B717" t="s">
        <v>886</v>
      </c>
      <c r="C717" t="s">
        <v>988</v>
      </c>
      <c r="E717" t="s">
        <v>131</v>
      </c>
      <c r="F717" s="33">
        <v>0</v>
      </c>
      <c r="G717">
        <v>0</v>
      </c>
      <c r="H717" s="33">
        <v>0</v>
      </c>
      <c r="I717" s="33">
        <v>214567</v>
      </c>
      <c r="J717" s="33">
        <v>214567</v>
      </c>
    </row>
    <row r="718" spans="1:10">
      <c r="A718">
        <v>88</v>
      </c>
      <c r="B718" t="s">
        <v>886</v>
      </c>
      <c r="C718" t="s">
        <v>989</v>
      </c>
      <c r="E718" t="s">
        <v>136</v>
      </c>
      <c r="F718" s="33">
        <v>0</v>
      </c>
      <c r="G718">
        <v>0</v>
      </c>
      <c r="H718" s="33">
        <v>0</v>
      </c>
      <c r="I718" s="33">
        <v>4449</v>
      </c>
      <c r="J718" s="33">
        <v>4449</v>
      </c>
    </row>
    <row r="719" spans="1:10">
      <c r="A719">
        <v>89</v>
      </c>
      <c r="B719" t="s">
        <v>886</v>
      </c>
      <c r="C719" t="s">
        <v>990</v>
      </c>
      <c r="E719" t="s">
        <v>193</v>
      </c>
      <c r="F719" s="33">
        <v>0</v>
      </c>
      <c r="G719">
        <v>0</v>
      </c>
      <c r="H719" s="33">
        <v>0</v>
      </c>
      <c r="I719" s="33">
        <v>295719</v>
      </c>
      <c r="J719" s="33">
        <v>295719</v>
      </c>
    </row>
    <row r="720" spans="1:10">
      <c r="A720">
        <v>90</v>
      </c>
      <c r="B720" t="s">
        <v>886</v>
      </c>
      <c r="C720" t="s">
        <v>991</v>
      </c>
      <c r="E720" t="s">
        <v>136</v>
      </c>
      <c r="F720" s="33">
        <v>0</v>
      </c>
      <c r="G720">
        <v>0</v>
      </c>
      <c r="H720" s="33">
        <v>0</v>
      </c>
      <c r="I720" s="33">
        <v>5197</v>
      </c>
      <c r="J720" s="33">
        <v>5197</v>
      </c>
    </row>
    <row r="721" spans="1:10">
      <c r="A721">
        <v>91</v>
      </c>
      <c r="B721" t="s">
        <v>886</v>
      </c>
      <c r="C721" t="s">
        <v>271</v>
      </c>
      <c r="E721" t="s">
        <v>191</v>
      </c>
      <c r="F721" s="33">
        <v>0</v>
      </c>
      <c r="G721">
        <v>0</v>
      </c>
      <c r="H721" s="33">
        <v>0</v>
      </c>
      <c r="I721" s="33">
        <v>508836</v>
      </c>
      <c r="J721" s="33">
        <v>508836</v>
      </c>
    </row>
    <row r="722" spans="1:10">
      <c r="A722">
        <v>92</v>
      </c>
      <c r="B722" t="s">
        <v>886</v>
      </c>
      <c r="C722" t="s">
        <v>153</v>
      </c>
      <c r="E722" t="s">
        <v>154</v>
      </c>
      <c r="F722" s="33">
        <v>0</v>
      </c>
      <c r="G722">
        <v>0</v>
      </c>
      <c r="H722" s="33">
        <v>0</v>
      </c>
      <c r="I722" s="33">
        <v>56040680</v>
      </c>
      <c r="J722" s="33">
        <v>56040680</v>
      </c>
    </row>
    <row r="723" spans="1:10">
      <c r="A723">
        <v>93</v>
      </c>
      <c r="B723" t="s">
        <v>886</v>
      </c>
      <c r="C723" t="s">
        <v>491</v>
      </c>
      <c r="E723" t="s">
        <v>193</v>
      </c>
      <c r="F723" s="33">
        <v>0</v>
      </c>
      <c r="G723">
        <v>0</v>
      </c>
      <c r="H723" s="33">
        <v>0</v>
      </c>
      <c r="I723" s="33">
        <v>211751</v>
      </c>
      <c r="J723" s="33">
        <v>211751</v>
      </c>
    </row>
    <row r="724" spans="1:10">
      <c r="A724">
        <v>94</v>
      </c>
      <c r="B724" t="s">
        <v>886</v>
      </c>
      <c r="C724" t="s">
        <v>313</v>
      </c>
      <c r="E724" t="s">
        <v>148</v>
      </c>
      <c r="F724" s="33">
        <v>0</v>
      </c>
      <c r="G724">
        <v>0</v>
      </c>
      <c r="H724" s="33">
        <v>0</v>
      </c>
      <c r="I724" s="33">
        <v>75888</v>
      </c>
      <c r="J724" s="33">
        <v>75888</v>
      </c>
    </row>
    <row r="725" spans="1:10">
      <c r="A725">
        <v>95</v>
      </c>
      <c r="B725" t="s">
        <v>886</v>
      </c>
      <c r="C725" t="s">
        <v>471</v>
      </c>
      <c r="E725" t="s">
        <v>148</v>
      </c>
      <c r="F725" s="33">
        <v>0</v>
      </c>
      <c r="G725">
        <v>0</v>
      </c>
      <c r="H725" s="33">
        <v>0</v>
      </c>
      <c r="I725" s="33">
        <v>483331</v>
      </c>
      <c r="J725" s="33">
        <v>483331</v>
      </c>
    </row>
    <row r="726" spans="1:10">
      <c r="A726">
        <v>96</v>
      </c>
      <c r="B726" t="s">
        <v>886</v>
      </c>
      <c r="C726" t="s">
        <v>439</v>
      </c>
      <c r="E726" t="s">
        <v>129</v>
      </c>
      <c r="F726" s="33">
        <v>0</v>
      </c>
      <c r="G726">
        <v>0</v>
      </c>
      <c r="H726" s="33">
        <v>0</v>
      </c>
      <c r="I726" s="33">
        <v>1422563</v>
      </c>
      <c r="J726" s="33">
        <v>1422563</v>
      </c>
    </row>
    <row r="728" spans="1:10">
      <c r="A728" t="s">
        <v>564</v>
      </c>
    </row>
    <row r="729" spans="1:10">
      <c r="A729" t="s">
        <v>565</v>
      </c>
    </row>
    <row r="730" spans="1:10">
      <c r="A730" t="s">
        <v>566</v>
      </c>
    </row>
    <row r="731" spans="1:10">
      <c r="A731" t="s">
        <v>809</v>
      </c>
    </row>
    <row r="732" spans="1:10">
      <c r="A732" t="s">
        <v>810</v>
      </c>
    </row>
    <row r="733" spans="1:10">
      <c r="A733" t="s">
        <v>670</v>
      </c>
    </row>
    <row r="734" spans="1:10">
      <c r="A734" t="s">
        <v>671</v>
      </c>
    </row>
    <row r="735" spans="1:10">
      <c r="A735" t="s">
        <v>992</v>
      </c>
    </row>
    <row r="736" spans="1:10">
      <c r="A736" t="s">
        <v>993</v>
      </c>
    </row>
    <row r="737" spans="1:10">
      <c r="A737" t="s">
        <v>572</v>
      </c>
    </row>
    <row r="739" spans="1:10">
      <c r="A739" t="s">
        <v>22</v>
      </c>
      <c r="B739" t="s">
        <v>573</v>
      </c>
      <c r="C739" t="s">
        <v>574</v>
      </c>
      <c r="D739" t="s">
        <v>575</v>
      </c>
    </row>
    <row r="740" spans="1:10">
      <c r="A740" t="s">
        <v>576</v>
      </c>
      <c r="B740" t="s">
        <v>123</v>
      </c>
      <c r="C740" t="s">
        <v>577</v>
      </c>
    </row>
    <row r="741" spans="1:10">
      <c r="A741" t="s">
        <v>578</v>
      </c>
      <c r="B741" t="s">
        <v>579</v>
      </c>
    </row>
    <row r="742" spans="1:10">
      <c r="A742" t="s">
        <v>580</v>
      </c>
      <c r="B742" t="s">
        <v>581</v>
      </c>
    </row>
    <row r="743" spans="1:10">
      <c r="A743" t="s">
        <v>582</v>
      </c>
      <c r="B743" t="s">
        <v>583</v>
      </c>
    </row>
    <row r="744" spans="1:10">
      <c r="A744" t="s">
        <v>584</v>
      </c>
      <c r="B744" t="s">
        <v>585</v>
      </c>
    </row>
    <row r="745" spans="1:10">
      <c r="A745" t="s">
        <v>584</v>
      </c>
    </row>
    <row r="746" spans="1:10">
      <c r="A746">
        <v>1</v>
      </c>
      <c r="B746" t="s">
        <v>994</v>
      </c>
      <c r="C746" t="s">
        <v>394</v>
      </c>
      <c r="D746" t="s">
        <v>626</v>
      </c>
      <c r="E746" t="s">
        <v>127</v>
      </c>
      <c r="F746" s="33">
        <v>0</v>
      </c>
      <c r="G746">
        <v>21</v>
      </c>
      <c r="H746" s="33">
        <v>35363</v>
      </c>
      <c r="I746" s="33">
        <v>18382575</v>
      </c>
      <c r="J746" s="33">
        <v>18485628</v>
      </c>
    </row>
    <row r="747" spans="1:10">
      <c r="A747">
        <v>2</v>
      </c>
      <c r="B747" t="s">
        <v>886</v>
      </c>
      <c r="C747" t="s">
        <v>165</v>
      </c>
      <c r="E747" t="s">
        <v>154</v>
      </c>
      <c r="F747" s="33">
        <v>0</v>
      </c>
      <c r="G747">
        <v>0</v>
      </c>
      <c r="H747" s="33">
        <v>0</v>
      </c>
      <c r="I747" s="33">
        <v>25293852</v>
      </c>
      <c r="J747" s="33">
        <v>25293852</v>
      </c>
    </row>
    <row r="748" spans="1:10">
      <c r="A748">
        <v>3</v>
      </c>
      <c r="B748" t="s">
        <v>886</v>
      </c>
      <c r="C748" t="s">
        <v>280</v>
      </c>
      <c r="E748" t="s">
        <v>136</v>
      </c>
      <c r="F748" s="33">
        <v>0</v>
      </c>
      <c r="G748">
        <v>0</v>
      </c>
      <c r="H748" s="33">
        <v>0</v>
      </c>
      <c r="I748" s="33">
        <v>376898</v>
      </c>
      <c r="J748" s="33">
        <v>376898</v>
      </c>
    </row>
    <row r="749" spans="1:10">
      <c r="A749">
        <v>4</v>
      </c>
      <c r="B749" t="s">
        <v>886</v>
      </c>
      <c r="C749" t="s">
        <v>542</v>
      </c>
      <c r="E749" t="s">
        <v>131</v>
      </c>
      <c r="F749" s="33">
        <v>0</v>
      </c>
      <c r="G749">
        <v>0</v>
      </c>
      <c r="H749" s="33">
        <v>0</v>
      </c>
      <c r="I749" s="33">
        <v>11350</v>
      </c>
      <c r="J749" s="33">
        <v>11350</v>
      </c>
    </row>
    <row r="750" spans="1:10">
      <c r="A750">
        <v>5</v>
      </c>
      <c r="B750" t="s">
        <v>886</v>
      </c>
      <c r="C750" t="s">
        <v>346</v>
      </c>
      <c r="E750" t="s">
        <v>131</v>
      </c>
      <c r="F750" s="33">
        <v>0</v>
      </c>
      <c r="G750">
        <v>0</v>
      </c>
      <c r="H750" s="33">
        <v>0</v>
      </c>
      <c r="I750" s="33">
        <v>2759</v>
      </c>
      <c r="J750" s="33">
        <v>2759</v>
      </c>
    </row>
    <row r="751" spans="1:10">
      <c r="A751">
        <v>6</v>
      </c>
      <c r="B751" t="s">
        <v>886</v>
      </c>
      <c r="C751" t="s">
        <v>995</v>
      </c>
      <c r="F751" s="33">
        <v>0</v>
      </c>
      <c r="G751">
        <v>0</v>
      </c>
      <c r="H751" s="33">
        <v>0</v>
      </c>
      <c r="I751" s="33">
        <v>16504</v>
      </c>
      <c r="J751" s="33">
        <v>16504</v>
      </c>
    </row>
    <row r="752" spans="1:10">
      <c r="A752">
        <v>7</v>
      </c>
      <c r="B752" t="s">
        <v>886</v>
      </c>
      <c r="C752" t="s">
        <v>996</v>
      </c>
      <c r="E752" t="s">
        <v>136</v>
      </c>
      <c r="F752" s="33">
        <v>0</v>
      </c>
      <c r="G752">
        <v>0</v>
      </c>
      <c r="H752" s="33">
        <v>0</v>
      </c>
      <c r="I752" s="33">
        <v>10890</v>
      </c>
      <c r="J752" s="33">
        <v>10890</v>
      </c>
    </row>
    <row r="753" spans="1:10">
      <c r="A753">
        <v>8</v>
      </c>
      <c r="B753" t="s">
        <v>886</v>
      </c>
      <c r="C753" t="s">
        <v>997</v>
      </c>
      <c r="F753" s="33">
        <v>0</v>
      </c>
      <c r="G753">
        <v>0</v>
      </c>
      <c r="H753" s="33">
        <v>0</v>
      </c>
      <c r="I753" s="33">
        <v>797024</v>
      </c>
      <c r="J753" s="33">
        <v>797024</v>
      </c>
    </row>
    <row r="754" spans="1:10">
      <c r="A754">
        <v>9</v>
      </c>
      <c r="B754" t="s">
        <v>886</v>
      </c>
      <c r="C754" t="s">
        <v>330</v>
      </c>
      <c r="E754" t="s">
        <v>131</v>
      </c>
      <c r="F754" s="33">
        <v>0</v>
      </c>
      <c r="G754">
        <v>0</v>
      </c>
      <c r="H754" s="33">
        <v>0</v>
      </c>
      <c r="I754" s="33">
        <v>22337</v>
      </c>
      <c r="J754" s="33">
        <v>22337</v>
      </c>
    </row>
    <row r="755" spans="1:10">
      <c r="A755">
        <v>10</v>
      </c>
      <c r="B755" t="s">
        <v>886</v>
      </c>
      <c r="C755" t="s">
        <v>998</v>
      </c>
      <c r="F755" s="33">
        <v>0</v>
      </c>
      <c r="G755">
        <v>0</v>
      </c>
      <c r="H755" s="33">
        <v>0</v>
      </c>
      <c r="I755" s="33">
        <v>5356</v>
      </c>
      <c r="J755" s="33">
        <v>5356</v>
      </c>
    </row>
    <row r="756" spans="1:10">
      <c r="A756">
        <v>11</v>
      </c>
      <c r="B756" t="s">
        <v>886</v>
      </c>
      <c r="C756" t="s">
        <v>260</v>
      </c>
      <c r="E756" t="s">
        <v>131</v>
      </c>
      <c r="F756" s="33">
        <v>0</v>
      </c>
      <c r="G756">
        <v>0</v>
      </c>
      <c r="H756" s="33">
        <v>0</v>
      </c>
      <c r="I756" s="33">
        <v>720000</v>
      </c>
      <c r="J756" s="33">
        <v>720000</v>
      </c>
    </row>
    <row r="757" spans="1:10">
      <c r="A757">
        <v>12</v>
      </c>
      <c r="B757" t="s">
        <v>886</v>
      </c>
      <c r="C757" t="s">
        <v>999</v>
      </c>
      <c r="E757" t="s">
        <v>131</v>
      </c>
      <c r="F757" s="33">
        <v>0</v>
      </c>
      <c r="G757">
        <v>0</v>
      </c>
      <c r="H757" s="33">
        <v>0</v>
      </c>
      <c r="I757" s="33">
        <v>3739582</v>
      </c>
      <c r="J757" s="33">
        <v>3739582</v>
      </c>
    </row>
    <row r="758" spans="1:10">
      <c r="A758">
        <v>13</v>
      </c>
      <c r="B758" t="s">
        <v>886</v>
      </c>
      <c r="C758" t="s">
        <v>376</v>
      </c>
      <c r="E758" t="s">
        <v>148</v>
      </c>
      <c r="F758" s="33">
        <v>0</v>
      </c>
      <c r="G758">
        <v>0</v>
      </c>
      <c r="H758" s="33">
        <v>0</v>
      </c>
      <c r="I758" s="33">
        <v>81096320</v>
      </c>
      <c r="J758" s="33">
        <v>81096320</v>
      </c>
    </row>
    <row r="759" spans="1:10">
      <c r="A759">
        <v>14</v>
      </c>
      <c r="B759" t="s">
        <v>886</v>
      </c>
      <c r="C759" t="s">
        <v>414</v>
      </c>
      <c r="E759" t="s">
        <v>136</v>
      </c>
      <c r="F759" s="33">
        <v>0</v>
      </c>
      <c r="G759">
        <v>0</v>
      </c>
      <c r="H759" s="33">
        <v>0</v>
      </c>
      <c r="I759" s="33">
        <v>7423443</v>
      </c>
      <c r="J759" s="33">
        <v>7423443</v>
      </c>
    </row>
    <row r="760" spans="1:10">
      <c r="A760">
        <v>15</v>
      </c>
      <c r="B760" t="s">
        <v>886</v>
      </c>
      <c r="C760" t="s">
        <v>495</v>
      </c>
      <c r="E760" t="s">
        <v>191</v>
      </c>
      <c r="F760" s="33">
        <v>0</v>
      </c>
      <c r="G760">
        <v>0</v>
      </c>
      <c r="H760" s="33">
        <v>0</v>
      </c>
      <c r="I760" s="33">
        <v>187922</v>
      </c>
      <c r="J760" s="33">
        <v>187922</v>
      </c>
    </row>
    <row r="761" spans="1:10">
      <c r="A761">
        <v>16</v>
      </c>
      <c r="B761" t="s">
        <v>886</v>
      </c>
      <c r="C761" t="s">
        <v>1000</v>
      </c>
      <c r="E761" t="s">
        <v>131</v>
      </c>
      <c r="F761" s="33">
        <v>0</v>
      </c>
      <c r="G761">
        <v>0</v>
      </c>
      <c r="H761" s="33">
        <v>0</v>
      </c>
      <c r="I761" s="33">
        <v>63769</v>
      </c>
      <c r="J761" s="33">
        <v>63769</v>
      </c>
    </row>
    <row r="762" spans="1:10">
      <c r="A762">
        <v>17</v>
      </c>
      <c r="B762" t="s">
        <v>886</v>
      </c>
      <c r="C762" t="s">
        <v>455</v>
      </c>
      <c r="E762" t="s">
        <v>154</v>
      </c>
      <c r="F762" s="33">
        <v>0</v>
      </c>
      <c r="G762">
        <v>0</v>
      </c>
      <c r="H762" s="33">
        <v>0</v>
      </c>
      <c r="I762" s="33">
        <v>739245</v>
      </c>
      <c r="J762" s="33">
        <v>739245</v>
      </c>
    </row>
    <row r="763" spans="1:10">
      <c r="A763">
        <v>18</v>
      </c>
      <c r="B763" t="s">
        <v>886</v>
      </c>
      <c r="C763" t="s">
        <v>248</v>
      </c>
      <c r="E763" t="s">
        <v>191</v>
      </c>
      <c r="F763" s="33">
        <v>0</v>
      </c>
      <c r="G763">
        <v>0</v>
      </c>
      <c r="H763" s="33">
        <v>0</v>
      </c>
      <c r="I763" s="33">
        <v>1196360</v>
      </c>
      <c r="J763" s="33">
        <v>1196360</v>
      </c>
    </row>
    <row r="764" spans="1:10">
      <c r="A764">
        <v>19</v>
      </c>
      <c r="B764" t="s">
        <v>886</v>
      </c>
      <c r="C764" t="s">
        <v>1001</v>
      </c>
      <c r="E764" t="s">
        <v>131</v>
      </c>
      <c r="F764" s="33">
        <v>0</v>
      </c>
      <c r="G764">
        <v>0</v>
      </c>
      <c r="H764" s="33">
        <v>0</v>
      </c>
      <c r="I764" s="33">
        <v>11958</v>
      </c>
      <c r="J764" s="33">
        <v>11958</v>
      </c>
    </row>
    <row r="765" spans="1:10">
      <c r="A765">
        <v>20</v>
      </c>
      <c r="B765" t="s">
        <v>886</v>
      </c>
      <c r="C765" t="s">
        <v>311</v>
      </c>
      <c r="F765" s="33">
        <v>0</v>
      </c>
      <c r="G765">
        <v>0</v>
      </c>
      <c r="H765" s="33">
        <v>0</v>
      </c>
      <c r="I765" s="33">
        <v>87578</v>
      </c>
      <c r="J765" s="33">
        <v>87578</v>
      </c>
    </row>
    <row r="766" spans="1:10">
      <c r="A766">
        <v>21</v>
      </c>
      <c r="B766" t="s">
        <v>886</v>
      </c>
      <c r="C766" t="s">
        <v>487</v>
      </c>
      <c r="E766" t="s">
        <v>131</v>
      </c>
      <c r="F766" s="33">
        <v>0</v>
      </c>
      <c r="G766">
        <v>0</v>
      </c>
      <c r="H766" s="33">
        <v>0</v>
      </c>
      <c r="I766" s="33">
        <v>263814</v>
      </c>
      <c r="J766" s="33">
        <v>263814</v>
      </c>
    </row>
    <row r="767" spans="1:10">
      <c r="A767">
        <v>22</v>
      </c>
      <c r="B767" t="s">
        <v>886</v>
      </c>
      <c r="C767" t="s">
        <v>1002</v>
      </c>
      <c r="E767" t="s">
        <v>131</v>
      </c>
      <c r="F767" s="33">
        <v>0</v>
      </c>
      <c r="G767">
        <v>0</v>
      </c>
      <c r="H767" s="33">
        <v>0</v>
      </c>
      <c r="I767" s="33">
        <v>0</v>
      </c>
      <c r="J767" s="33">
        <v>0</v>
      </c>
    </row>
    <row r="768" spans="1:10">
      <c r="A768">
        <v>23</v>
      </c>
      <c r="B768" t="s">
        <v>886</v>
      </c>
      <c r="C768" t="s">
        <v>463</v>
      </c>
      <c r="E768" t="s">
        <v>131</v>
      </c>
      <c r="F768" s="33">
        <v>0</v>
      </c>
      <c r="G768">
        <v>0</v>
      </c>
      <c r="H768" s="33">
        <v>0</v>
      </c>
      <c r="I768" s="33">
        <v>630896</v>
      </c>
      <c r="J768" s="33">
        <v>630896</v>
      </c>
    </row>
    <row r="769" spans="1:10">
      <c r="A769">
        <v>24</v>
      </c>
      <c r="B769" t="s">
        <v>886</v>
      </c>
      <c r="C769" t="s">
        <v>137</v>
      </c>
      <c r="E769" t="s">
        <v>136</v>
      </c>
      <c r="F769" s="33">
        <v>0</v>
      </c>
      <c r="G769">
        <v>0</v>
      </c>
      <c r="H769" s="33">
        <v>0</v>
      </c>
      <c r="I769" s="33">
        <v>255832826</v>
      </c>
      <c r="J769" s="33">
        <v>255832826</v>
      </c>
    </row>
    <row r="770" spans="1:10">
      <c r="A770">
        <v>25</v>
      </c>
      <c r="B770" t="s">
        <v>886</v>
      </c>
      <c r="C770" t="s">
        <v>486</v>
      </c>
      <c r="F770" s="33">
        <v>0</v>
      </c>
      <c r="G770">
        <v>0</v>
      </c>
      <c r="H770" s="33">
        <v>0</v>
      </c>
      <c r="I770" s="33">
        <v>285872</v>
      </c>
      <c r="J770" s="33">
        <v>285872</v>
      </c>
    </row>
    <row r="771" spans="1:10">
      <c r="A771">
        <v>26</v>
      </c>
      <c r="B771" t="s">
        <v>886</v>
      </c>
      <c r="C771" t="s">
        <v>323</v>
      </c>
      <c r="F771" s="33">
        <v>0</v>
      </c>
      <c r="G771">
        <v>0</v>
      </c>
      <c r="H771" s="33">
        <v>0</v>
      </c>
      <c r="I771" s="33">
        <v>34755</v>
      </c>
      <c r="J771" s="33">
        <v>34755</v>
      </c>
    </row>
    <row r="772" spans="1:10">
      <c r="A772">
        <v>27</v>
      </c>
      <c r="B772" t="s">
        <v>886</v>
      </c>
      <c r="C772" t="s">
        <v>1003</v>
      </c>
      <c r="E772" t="s">
        <v>131</v>
      </c>
      <c r="F772" s="33">
        <v>0</v>
      </c>
      <c r="G772">
        <v>0</v>
      </c>
      <c r="H772" s="33">
        <v>0</v>
      </c>
      <c r="I772" s="33">
        <v>339673</v>
      </c>
      <c r="J772" s="33">
        <v>339673</v>
      </c>
    </row>
    <row r="773" spans="1:10">
      <c r="A773">
        <v>28</v>
      </c>
      <c r="B773" t="s">
        <v>886</v>
      </c>
      <c r="C773" t="s">
        <v>461</v>
      </c>
      <c r="F773" s="33">
        <v>0</v>
      </c>
      <c r="G773">
        <v>0</v>
      </c>
      <c r="H773" s="33">
        <v>0</v>
      </c>
      <c r="I773" s="33">
        <v>678553</v>
      </c>
      <c r="J773" s="33">
        <v>678553</v>
      </c>
    </row>
    <row r="774" spans="1:10">
      <c r="A774">
        <v>29</v>
      </c>
      <c r="B774" t="s">
        <v>886</v>
      </c>
      <c r="C774" t="s">
        <v>518</v>
      </c>
      <c r="E774" t="s">
        <v>129</v>
      </c>
      <c r="F774" s="33">
        <v>0</v>
      </c>
      <c r="G774">
        <v>0</v>
      </c>
      <c r="H774" s="33">
        <v>0</v>
      </c>
      <c r="I774" s="33">
        <v>56948</v>
      </c>
      <c r="J774" s="33">
        <v>56948</v>
      </c>
    </row>
    <row r="775" spans="1:10">
      <c r="A775">
        <v>30</v>
      </c>
      <c r="B775" t="s">
        <v>886</v>
      </c>
      <c r="C775" t="s">
        <v>513</v>
      </c>
      <c r="E775" t="s">
        <v>154</v>
      </c>
      <c r="F775" s="33">
        <v>0</v>
      </c>
      <c r="G775">
        <v>0</v>
      </c>
      <c r="H775" s="33">
        <v>0</v>
      </c>
      <c r="I775" s="33">
        <v>69175</v>
      </c>
      <c r="J775" s="33">
        <v>69175</v>
      </c>
    </row>
    <row r="776" spans="1:10">
      <c r="A776">
        <v>31</v>
      </c>
      <c r="B776" t="s">
        <v>886</v>
      </c>
      <c r="C776" t="s">
        <v>294</v>
      </c>
      <c r="E776" t="s">
        <v>131</v>
      </c>
      <c r="F776" s="33">
        <v>0</v>
      </c>
      <c r="G776">
        <v>0</v>
      </c>
      <c r="H776" s="33">
        <v>0</v>
      </c>
      <c r="I776" s="33">
        <v>159503</v>
      </c>
      <c r="J776" s="33">
        <v>159503</v>
      </c>
    </row>
    <row r="777" spans="1:10">
      <c r="A777">
        <v>32</v>
      </c>
      <c r="B777" t="s">
        <v>886</v>
      </c>
      <c r="C777" t="s">
        <v>303</v>
      </c>
      <c r="E777" t="s">
        <v>148</v>
      </c>
      <c r="F777" s="33">
        <v>0</v>
      </c>
      <c r="G777">
        <v>0</v>
      </c>
      <c r="H777" s="33">
        <v>0</v>
      </c>
      <c r="I777" s="33">
        <v>119943</v>
      </c>
      <c r="J777" s="33">
        <v>119943</v>
      </c>
    </row>
    <row r="778" spans="1:10">
      <c r="A778">
        <v>33</v>
      </c>
      <c r="B778" t="s">
        <v>886</v>
      </c>
      <c r="C778" t="s">
        <v>465</v>
      </c>
      <c r="E778" t="s">
        <v>131</v>
      </c>
      <c r="F778" s="33">
        <v>0</v>
      </c>
      <c r="G778">
        <v>0</v>
      </c>
      <c r="H778" s="33">
        <v>0</v>
      </c>
      <c r="I778" s="33">
        <v>550000</v>
      </c>
      <c r="J778" s="33">
        <v>550000</v>
      </c>
    </row>
    <row r="779" spans="1:10">
      <c r="A779">
        <v>34</v>
      </c>
      <c r="B779" t="s">
        <v>886</v>
      </c>
      <c r="C779" t="s">
        <v>496</v>
      </c>
      <c r="E779" t="s">
        <v>136</v>
      </c>
      <c r="F779" s="33">
        <v>0</v>
      </c>
      <c r="G779">
        <v>0</v>
      </c>
      <c r="H779" s="33">
        <v>0</v>
      </c>
      <c r="I779" s="33">
        <v>186226</v>
      </c>
      <c r="J779" s="33">
        <v>186226</v>
      </c>
    </row>
    <row r="780" spans="1:10">
      <c r="A780">
        <v>35</v>
      </c>
      <c r="B780" t="s">
        <v>886</v>
      </c>
      <c r="C780" t="s">
        <v>498</v>
      </c>
      <c r="E780" t="s">
        <v>191</v>
      </c>
      <c r="F780" s="33">
        <v>0</v>
      </c>
      <c r="G780">
        <v>0</v>
      </c>
      <c r="H780" s="33">
        <v>0</v>
      </c>
      <c r="I780" s="33">
        <v>173603</v>
      </c>
      <c r="J780" s="33">
        <v>173603</v>
      </c>
    </row>
    <row r="781" spans="1:10">
      <c r="A781">
        <v>36</v>
      </c>
      <c r="B781" t="s">
        <v>886</v>
      </c>
      <c r="C781" t="s">
        <v>454</v>
      </c>
      <c r="E781" t="s">
        <v>191</v>
      </c>
      <c r="F781" s="33">
        <v>0</v>
      </c>
      <c r="G781">
        <v>0</v>
      </c>
      <c r="H781" s="33">
        <v>0</v>
      </c>
      <c r="I781" s="33">
        <v>761348</v>
      </c>
      <c r="J781" s="33">
        <v>761348</v>
      </c>
    </row>
    <row r="782" spans="1:10">
      <c r="A782">
        <v>37</v>
      </c>
      <c r="B782" t="s">
        <v>886</v>
      </c>
      <c r="C782" t="s">
        <v>341</v>
      </c>
      <c r="E782" t="s">
        <v>148</v>
      </c>
      <c r="F782" s="33">
        <v>0</v>
      </c>
      <c r="G782">
        <v>0</v>
      </c>
      <c r="H782" s="33">
        <v>0</v>
      </c>
      <c r="I782" s="33">
        <v>11039</v>
      </c>
      <c r="J782" s="33">
        <v>11039</v>
      </c>
    </row>
    <row r="783" spans="1:10">
      <c r="A783">
        <v>38</v>
      </c>
      <c r="B783" t="s">
        <v>886</v>
      </c>
      <c r="C783" t="s">
        <v>344</v>
      </c>
      <c r="E783" t="s">
        <v>191</v>
      </c>
      <c r="F783" s="33">
        <v>0</v>
      </c>
      <c r="G783">
        <v>0</v>
      </c>
      <c r="H783" s="33">
        <v>0</v>
      </c>
      <c r="I783" s="33">
        <v>10188</v>
      </c>
      <c r="J783" s="33">
        <v>10188</v>
      </c>
    </row>
    <row r="784" spans="1:10">
      <c r="A784">
        <v>39</v>
      </c>
      <c r="B784" t="s">
        <v>886</v>
      </c>
      <c r="C784" t="s">
        <v>426</v>
      </c>
      <c r="E784" t="s">
        <v>131</v>
      </c>
      <c r="F784" s="33">
        <v>0</v>
      </c>
      <c r="G784">
        <v>0</v>
      </c>
      <c r="H784" s="33">
        <v>0</v>
      </c>
      <c r="I784" s="33">
        <v>3042381</v>
      </c>
      <c r="J784" s="33">
        <v>3042381</v>
      </c>
    </row>
    <row r="785" spans="1:10">
      <c r="A785">
        <v>40</v>
      </c>
      <c r="B785" t="s">
        <v>886</v>
      </c>
      <c r="C785" t="s">
        <v>1004</v>
      </c>
      <c r="E785" t="s">
        <v>131</v>
      </c>
      <c r="F785" s="33">
        <v>0</v>
      </c>
      <c r="G785">
        <v>0</v>
      </c>
      <c r="H785" s="33">
        <v>0</v>
      </c>
      <c r="I785" s="33">
        <v>1630917</v>
      </c>
      <c r="J785" s="33">
        <v>1630917</v>
      </c>
    </row>
    <row r="786" spans="1:10">
      <c r="A786">
        <v>41</v>
      </c>
      <c r="B786" t="s">
        <v>886</v>
      </c>
      <c r="C786" t="s">
        <v>442</v>
      </c>
      <c r="E786" t="s">
        <v>127</v>
      </c>
      <c r="F786" s="33">
        <v>0</v>
      </c>
      <c r="G786">
        <v>0</v>
      </c>
      <c r="H786" s="33">
        <v>0</v>
      </c>
      <c r="I786" s="33">
        <v>1197984</v>
      </c>
      <c r="J786" s="33">
        <v>1197984</v>
      </c>
    </row>
    <row r="787" spans="1:10">
      <c r="A787">
        <v>42</v>
      </c>
      <c r="B787" t="s">
        <v>886</v>
      </c>
      <c r="C787" t="s">
        <v>320</v>
      </c>
      <c r="E787" t="s">
        <v>131</v>
      </c>
      <c r="F787" s="33">
        <v>0</v>
      </c>
      <c r="G787">
        <v>0</v>
      </c>
      <c r="H787" s="33">
        <v>0</v>
      </c>
      <c r="I787" s="33">
        <v>45804</v>
      </c>
      <c r="J787" s="33">
        <v>45804</v>
      </c>
    </row>
    <row r="788" spans="1:10">
      <c r="A788">
        <v>43</v>
      </c>
      <c r="B788" t="s">
        <v>886</v>
      </c>
      <c r="C788" t="s">
        <v>416</v>
      </c>
      <c r="E788" t="s">
        <v>136</v>
      </c>
      <c r="F788" s="33">
        <v>0</v>
      </c>
      <c r="G788">
        <v>0</v>
      </c>
      <c r="H788" s="33">
        <v>0</v>
      </c>
      <c r="I788" s="33">
        <v>6849959</v>
      </c>
      <c r="J788" s="33">
        <v>6849959</v>
      </c>
    </row>
    <row r="789" spans="1:10">
      <c r="A789">
        <v>44</v>
      </c>
      <c r="B789" t="s">
        <v>886</v>
      </c>
      <c r="C789" t="s">
        <v>1005</v>
      </c>
      <c r="E789" t="s">
        <v>131</v>
      </c>
      <c r="F789" s="33">
        <v>0</v>
      </c>
      <c r="G789">
        <v>0</v>
      </c>
      <c r="H789" s="33">
        <v>0</v>
      </c>
      <c r="I789" s="33">
        <v>730000</v>
      </c>
      <c r="J789" s="33">
        <v>730000</v>
      </c>
    </row>
    <row r="790" spans="1:10">
      <c r="A790">
        <v>45</v>
      </c>
      <c r="B790" t="s">
        <v>886</v>
      </c>
      <c r="C790" t="s">
        <v>1006</v>
      </c>
      <c r="E790" t="s">
        <v>131</v>
      </c>
      <c r="F790" s="33">
        <v>0</v>
      </c>
      <c r="G790">
        <v>0</v>
      </c>
      <c r="H790" s="33">
        <v>0</v>
      </c>
      <c r="I790" s="33">
        <v>100000</v>
      </c>
      <c r="J790" s="33">
        <v>100000</v>
      </c>
    </row>
    <row r="791" spans="1:10">
      <c r="A791">
        <v>46</v>
      </c>
      <c r="B791" t="s">
        <v>886</v>
      </c>
      <c r="C791" t="s">
        <v>1007</v>
      </c>
      <c r="E791" t="s">
        <v>131</v>
      </c>
      <c r="F791" s="33">
        <v>0</v>
      </c>
      <c r="G791">
        <v>0</v>
      </c>
      <c r="H791" s="33">
        <v>0</v>
      </c>
      <c r="I791" s="33">
        <v>218412</v>
      </c>
      <c r="J791" s="33">
        <v>218412</v>
      </c>
    </row>
    <row r="792" spans="1:10">
      <c r="A792">
        <v>47</v>
      </c>
      <c r="B792" t="s">
        <v>886</v>
      </c>
      <c r="C792" t="s">
        <v>517</v>
      </c>
      <c r="E792" t="s">
        <v>129</v>
      </c>
      <c r="F792" s="33">
        <v>0</v>
      </c>
      <c r="G792">
        <v>0</v>
      </c>
      <c r="H792" s="33">
        <v>0</v>
      </c>
      <c r="I792" s="33">
        <v>62007</v>
      </c>
      <c r="J792" s="33">
        <v>62007</v>
      </c>
    </row>
    <row r="793" spans="1:10">
      <c r="A793">
        <v>48</v>
      </c>
      <c r="B793" t="s">
        <v>886</v>
      </c>
      <c r="C793" t="s">
        <v>1008</v>
      </c>
      <c r="E793" t="s">
        <v>129</v>
      </c>
      <c r="F793" s="33">
        <v>0</v>
      </c>
      <c r="G793">
        <v>0</v>
      </c>
      <c r="H793" s="33">
        <v>0</v>
      </c>
      <c r="I793" s="33">
        <v>185427900</v>
      </c>
      <c r="J793" s="33">
        <v>185427900</v>
      </c>
    </row>
    <row r="794" spans="1:10">
      <c r="A794">
        <v>49</v>
      </c>
      <c r="B794" t="s">
        <v>886</v>
      </c>
      <c r="C794" t="s">
        <v>1009</v>
      </c>
      <c r="E794" t="s">
        <v>131</v>
      </c>
      <c r="F794" s="33">
        <v>0</v>
      </c>
      <c r="G794">
        <v>0</v>
      </c>
      <c r="H794" s="33">
        <v>0</v>
      </c>
      <c r="I794" s="33">
        <v>1752067</v>
      </c>
      <c r="J794" s="33">
        <v>1752067</v>
      </c>
    </row>
    <row r="795" spans="1:10">
      <c r="A795">
        <v>50</v>
      </c>
      <c r="B795" t="s">
        <v>886</v>
      </c>
      <c r="C795" t="s">
        <v>274</v>
      </c>
      <c r="E795" t="s">
        <v>131</v>
      </c>
      <c r="F795" s="33">
        <v>0</v>
      </c>
      <c r="G795">
        <v>0</v>
      </c>
      <c r="H795" s="33">
        <v>0</v>
      </c>
      <c r="I795" s="33">
        <v>462886</v>
      </c>
      <c r="J795" s="33">
        <v>462886</v>
      </c>
    </row>
    <row r="796" spans="1:10">
      <c r="A796">
        <v>51</v>
      </c>
      <c r="B796" t="s">
        <v>886</v>
      </c>
      <c r="C796" t="s">
        <v>325</v>
      </c>
      <c r="E796" t="s">
        <v>131</v>
      </c>
      <c r="F796" s="33">
        <v>0</v>
      </c>
      <c r="G796">
        <v>0</v>
      </c>
      <c r="H796" s="33">
        <v>0</v>
      </c>
      <c r="I796" s="33">
        <v>27149</v>
      </c>
      <c r="J796" s="33">
        <v>27149</v>
      </c>
    </row>
    <row r="797" spans="1:10">
      <c r="A797">
        <v>52</v>
      </c>
      <c r="B797" t="s">
        <v>886</v>
      </c>
      <c r="C797" t="s">
        <v>250</v>
      </c>
      <c r="E797" t="s">
        <v>154</v>
      </c>
      <c r="F797" s="33">
        <v>0</v>
      </c>
      <c r="G797">
        <v>0</v>
      </c>
      <c r="H797" s="33">
        <v>0</v>
      </c>
      <c r="I797" s="33">
        <v>1162914</v>
      </c>
      <c r="J797" s="33">
        <v>1162914</v>
      </c>
    </row>
    <row r="798" spans="1:10">
      <c r="A798">
        <v>53</v>
      </c>
      <c r="B798" t="s">
        <v>886</v>
      </c>
      <c r="C798" t="s">
        <v>1010</v>
      </c>
      <c r="E798" t="s">
        <v>131</v>
      </c>
      <c r="F798" s="33">
        <v>0</v>
      </c>
      <c r="G798">
        <v>0</v>
      </c>
      <c r="H798" s="33">
        <v>0</v>
      </c>
      <c r="I798" s="33">
        <v>3632046</v>
      </c>
      <c r="J798" s="33">
        <v>3632046</v>
      </c>
    </row>
    <row r="799" spans="1:10">
      <c r="A799">
        <v>54</v>
      </c>
      <c r="B799" t="s">
        <v>886</v>
      </c>
      <c r="C799" t="s">
        <v>425</v>
      </c>
      <c r="E799" t="s">
        <v>131</v>
      </c>
      <c r="F799" s="33">
        <v>0</v>
      </c>
      <c r="G799">
        <v>0</v>
      </c>
      <c r="H799" s="33">
        <v>0</v>
      </c>
      <c r="I799" s="33">
        <v>3576269</v>
      </c>
      <c r="J799" s="33">
        <v>3576269</v>
      </c>
    </row>
    <row r="800" spans="1:10">
      <c r="A800">
        <v>55</v>
      </c>
      <c r="B800" t="s">
        <v>886</v>
      </c>
      <c r="C800" t="s">
        <v>419</v>
      </c>
      <c r="E800" t="s">
        <v>148</v>
      </c>
      <c r="F800" s="33">
        <v>0</v>
      </c>
      <c r="G800">
        <v>0</v>
      </c>
      <c r="H800" s="33">
        <v>0</v>
      </c>
      <c r="I800" s="33">
        <v>5504562</v>
      </c>
      <c r="J800" s="33">
        <v>5504562</v>
      </c>
    </row>
    <row r="801" spans="1:10">
      <c r="A801">
        <v>56</v>
      </c>
      <c r="B801" t="s">
        <v>886</v>
      </c>
      <c r="C801" t="s">
        <v>135</v>
      </c>
      <c r="E801" t="s">
        <v>136</v>
      </c>
      <c r="F801" s="33">
        <v>0</v>
      </c>
      <c r="G801">
        <v>0</v>
      </c>
      <c r="H801" s="33">
        <v>0</v>
      </c>
      <c r="I801" s="33">
        <v>326150303</v>
      </c>
      <c r="J801" s="33">
        <v>326150303</v>
      </c>
    </row>
    <row r="802" spans="1:10">
      <c r="A802">
        <v>57</v>
      </c>
      <c r="B802" t="s">
        <v>886</v>
      </c>
      <c r="C802" t="s">
        <v>500</v>
      </c>
      <c r="E802" t="s">
        <v>131</v>
      </c>
      <c r="F802" s="33">
        <v>0</v>
      </c>
      <c r="G802">
        <v>0</v>
      </c>
      <c r="H802" s="33">
        <v>0</v>
      </c>
      <c r="I802" s="33">
        <v>157874</v>
      </c>
      <c r="J802" s="33">
        <v>157874</v>
      </c>
    </row>
    <row r="803" spans="1:10">
      <c r="A803">
        <v>58</v>
      </c>
      <c r="B803" t="s">
        <v>886</v>
      </c>
      <c r="C803" t="s">
        <v>273</v>
      </c>
      <c r="E803" t="s">
        <v>131</v>
      </c>
      <c r="F803" s="33">
        <v>0</v>
      </c>
      <c r="G803">
        <v>0</v>
      </c>
      <c r="H803" s="33">
        <v>0</v>
      </c>
      <c r="I803" s="33">
        <v>474656</v>
      </c>
      <c r="J803" s="33">
        <v>474656</v>
      </c>
    </row>
    <row r="804" spans="1:10">
      <c r="A804">
        <v>59</v>
      </c>
      <c r="B804" t="s">
        <v>886</v>
      </c>
      <c r="C804" t="s">
        <v>1011</v>
      </c>
      <c r="F804" s="33">
        <v>0</v>
      </c>
      <c r="G804">
        <v>0</v>
      </c>
      <c r="H804" s="33">
        <v>0</v>
      </c>
      <c r="I804" s="33">
        <v>35259</v>
      </c>
      <c r="J804" s="33">
        <v>35259</v>
      </c>
    </row>
    <row r="805" spans="1:10">
      <c r="A805">
        <v>60</v>
      </c>
      <c r="B805" t="s">
        <v>886</v>
      </c>
      <c r="C805" t="s">
        <v>1012</v>
      </c>
      <c r="E805" t="s">
        <v>131</v>
      </c>
      <c r="F805" s="33">
        <v>0</v>
      </c>
      <c r="G805">
        <v>0</v>
      </c>
      <c r="H805" s="33">
        <v>0</v>
      </c>
      <c r="I805" s="33">
        <v>1339004</v>
      </c>
      <c r="J805" s="33">
        <v>1339004</v>
      </c>
    </row>
    <row r="806" spans="1:10">
      <c r="A806">
        <v>61</v>
      </c>
      <c r="B806" t="s">
        <v>886</v>
      </c>
      <c r="C806" t="s">
        <v>508</v>
      </c>
      <c r="E806" t="s">
        <v>264</v>
      </c>
      <c r="F806" s="33">
        <v>0</v>
      </c>
      <c r="G806">
        <v>0</v>
      </c>
      <c r="H806" s="33">
        <v>0</v>
      </c>
      <c r="I806" s="33">
        <v>99673</v>
      </c>
      <c r="J806" s="33">
        <v>99673</v>
      </c>
    </row>
    <row r="807" spans="1:10">
      <c r="A807">
        <v>62</v>
      </c>
      <c r="B807" t="s">
        <v>886</v>
      </c>
      <c r="C807" t="s">
        <v>268</v>
      </c>
      <c r="E807" t="s">
        <v>131</v>
      </c>
      <c r="F807" s="33">
        <v>0</v>
      </c>
      <c r="G807">
        <v>0</v>
      </c>
      <c r="H807" s="33">
        <v>0</v>
      </c>
      <c r="I807" s="33">
        <v>577923</v>
      </c>
      <c r="J807" s="33">
        <v>577923</v>
      </c>
    </row>
    <row r="808" spans="1:10">
      <c r="A808">
        <v>63</v>
      </c>
      <c r="B808" t="s">
        <v>886</v>
      </c>
      <c r="C808" t="s">
        <v>514</v>
      </c>
      <c r="E808" t="s">
        <v>136</v>
      </c>
      <c r="F808" s="33">
        <v>0</v>
      </c>
      <c r="G808">
        <v>0</v>
      </c>
      <c r="H808" s="33">
        <v>0</v>
      </c>
      <c r="I808" s="33">
        <v>68836</v>
      </c>
      <c r="J808" s="33">
        <v>68836</v>
      </c>
    </row>
    <row r="809" spans="1:10">
      <c r="A809">
        <v>64</v>
      </c>
      <c r="B809" t="s">
        <v>886</v>
      </c>
      <c r="C809" t="s">
        <v>143</v>
      </c>
      <c r="E809" t="s">
        <v>129</v>
      </c>
      <c r="F809" s="33">
        <v>0</v>
      </c>
      <c r="G809">
        <v>0</v>
      </c>
      <c r="H809" s="33">
        <v>0</v>
      </c>
      <c r="I809" s="33">
        <v>115687407</v>
      </c>
      <c r="J809" s="33">
        <v>115687407</v>
      </c>
    </row>
    <row r="810" spans="1:10">
      <c r="A810">
        <v>65</v>
      </c>
      <c r="B810" t="s">
        <v>886</v>
      </c>
      <c r="C810" t="s">
        <v>1013</v>
      </c>
      <c r="F810" s="33">
        <v>0</v>
      </c>
      <c r="G810">
        <v>0</v>
      </c>
      <c r="H810" s="33">
        <v>0</v>
      </c>
      <c r="I810" s="33">
        <v>8405</v>
      </c>
      <c r="J810" s="33">
        <v>8405</v>
      </c>
    </row>
    <row r="811" spans="1:10">
      <c r="A811">
        <v>66</v>
      </c>
      <c r="B811" t="s">
        <v>886</v>
      </c>
      <c r="C811" t="s">
        <v>413</v>
      </c>
      <c r="E811" t="s">
        <v>131</v>
      </c>
      <c r="F811" s="33">
        <v>0</v>
      </c>
      <c r="G811">
        <v>0</v>
      </c>
      <c r="H811" s="33">
        <v>0</v>
      </c>
      <c r="I811" s="33">
        <v>7448509</v>
      </c>
      <c r="J811" s="33">
        <v>7448509</v>
      </c>
    </row>
    <row r="812" spans="1:10">
      <c r="A812">
        <v>67</v>
      </c>
      <c r="B812" t="s">
        <v>886</v>
      </c>
      <c r="C812" t="s">
        <v>1014</v>
      </c>
      <c r="E812" t="s">
        <v>127</v>
      </c>
      <c r="F812" s="33">
        <v>0</v>
      </c>
      <c r="G812">
        <v>0</v>
      </c>
      <c r="H812" s="33">
        <v>0</v>
      </c>
      <c r="I812" s="33">
        <v>16558135</v>
      </c>
      <c r="J812" s="33">
        <v>16558135</v>
      </c>
    </row>
    <row r="813" spans="1:10">
      <c r="A813">
        <v>68</v>
      </c>
      <c r="B813" t="s">
        <v>886</v>
      </c>
      <c r="C813" t="s">
        <v>1015</v>
      </c>
      <c r="E813" t="s">
        <v>131</v>
      </c>
      <c r="F813" s="33">
        <v>0</v>
      </c>
      <c r="G813">
        <v>0</v>
      </c>
      <c r="H813" s="33">
        <v>0</v>
      </c>
      <c r="I813" s="33">
        <v>48389</v>
      </c>
      <c r="J813" s="33">
        <v>48389</v>
      </c>
    </row>
    <row r="814" spans="1:10">
      <c r="A814">
        <v>69</v>
      </c>
      <c r="B814" t="s">
        <v>886</v>
      </c>
      <c r="C814" t="s">
        <v>1016</v>
      </c>
      <c r="E814" t="s">
        <v>131</v>
      </c>
      <c r="F814" s="33">
        <v>0</v>
      </c>
      <c r="G814">
        <v>0</v>
      </c>
      <c r="H814" s="33">
        <v>0</v>
      </c>
      <c r="I814" s="33">
        <v>39290</v>
      </c>
      <c r="J814" s="33">
        <v>39290</v>
      </c>
    </row>
    <row r="815" spans="1:10">
      <c r="A815">
        <v>70</v>
      </c>
      <c r="B815" t="s">
        <v>886</v>
      </c>
      <c r="C815" t="s">
        <v>277</v>
      </c>
      <c r="E815" t="s">
        <v>127</v>
      </c>
      <c r="F815" s="33">
        <v>0</v>
      </c>
      <c r="G815">
        <v>0</v>
      </c>
      <c r="H815" s="33">
        <v>0</v>
      </c>
      <c r="I815" s="33">
        <v>442969</v>
      </c>
      <c r="J815" s="33">
        <v>442969</v>
      </c>
    </row>
    <row r="816" spans="1:10">
      <c r="A816">
        <v>71</v>
      </c>
      <c r="B816" t="s">
        <v>886</v>
      </c>
      <c r="C816" t="s">
        <v>1017</v>
      </c>
      <c r="E816" t="s">
        <v>131</v>
      </c>
      <c r="F816" s="33">
        <v>0</v>
      </c>
      <c r="G816">
        <v>0</v>
      </c>
      <c r="H816" s="33">
        <v>0</v>
      </c>
      <c r="I816" s="33">
        <v>255779</v>
      </c>
      <c r="J816" s="33">
        <v>255779</v>
      </c>
    </row>
    <row r="817" spans="1:10">
      <c r="A817">
        <v>72</v>
      </c>
      <c r="B817" t="s">
        <v>886</v>
      </c>
      <c r="C817" t="s">
        <v>1018</v>
      </c>
      <c r="E817" t="s">
        <v>131</v>
      </c>
      <c r="F817" s="33">
        <v>0</v>
      </c>
      <c r="G817">
        <v>0</v>
      </c>
      <c r="H817" s="33">
        <v>0</v>
      </c>
      <c r="I817" s="33">
        <v>76483</v>
      </c>
      <c r="J817" s="33">
        <v>76483</v>
      </c>
    </row>
    <row r="818" spans="1:10">
      <c r="A818">
        <v>73</v>
      </c>
      <c r="B818" t="s">
        <v>886</v>
      </c>
      <c r="C818" t="s">
        <v>443</v>
      </c>
      <c r="E818" t="s">
        <v>131</v>
      </c>
      <c r="F818" s="33">
        <v>0</v>
      </c>
      <c r="G818">
        <v>0</v>
      </c>
      <c r="H818" s="33">
        <v>0</v>
      </c>
      <c r="I818" s="33">
        <v>1160000</v>
      </c>
      <c r="J818" s="33">
        <v>1160000</v>
      </c>
    </row>
    <row r="819" spans="1:10">
      <c r="A819">
        <v>74</v>
      </c>
      <c r="B819" t="s">
        <v>886</v>
      </c>
      <c r="C819" t="s">
        <v>557</v>
      </c>
      <c r="E819" t="s">
        <v>131</v>
      </c>
      <c r="F819" s="33">
        <v>0</v>
      </c>
      <c r="G819">
        <v>0</v>
      </c>
      <c r="H819" s="33">
        <v>0</v>
      </c>
      <c r="I819" s="33">
        <v>0</v>
      </c>
      <c r="J819" s="33">
        <v>0</v>
      </c>
    </row>
    <row r="820" spans="1:10">
      <c r="A820">
        <v>75</v>
      </c>
      <c r="B820" t="s">
        <v>886</v>
      </c>
      <c r="C820" t="s">
        <v>1019</v>
      </c>
      <c r="E820" t="s">
        <v>191</v>
      </c>
      <c r="F820" s="33">
        <v>0</v>
      </c>
      <c r="G820">
        <v>0</v>
      </c>
      <c r="H820" s="33">
        <v>0</v>
      </c>
      <c r="I820" s="33">
        <v>146050</v>
      </c>
      <c r="J820" s="33">
        <v>146050</v>
      </c>
    </row>
    <row r="821" spans="1:10">
      <c r="A821">
        <v>76</v>
      </c>
      <c r="B821" t="s">
        <v>886</v>
      </c>
      <c r="C821" t="s">
        <v>1020</v>
      </c>
      <c r="E821" t="s">
        <v>136</v>
      </c>
      <c r="F821" s="33">
        <v>0</v>
      </c>
      <c r="G821">
        <v>0</v>
      </c>
      <c r="H821" s="33">
        <v>0</v>
      </c>
      <c r="I821" s="33">
        <v>2754</v>
      </c>
      <c r="J821" s="33">
        <v>2754</v>
      </c>
    </row>
    <row r="822" spans="1:10">
      <c r="A822">
        <v>77</v>
      </c>
      <c r="B822" t="s">
        <v>886</v>
      </c>
      <c r="C822" t="s">
        <v>1021</v>
      </c>
      <c r="E822" t="s">
        <v>131</v>
      </c>
      <c r="F822" s="33">
        <v>0</v>
      </c>
      <c r="G822">
        <v>0</v>
      </c>
      <c r="H822" s="33">
        <v>0</v>
      </c>
      <c r="I822" s="33">
        <v>25049</v>
      </c>
      <c r="J822" s="33">
        <v>25049</v>
      </c>
    </row>
    <row r="823" spans="1:10">
      <c r="A823">
        <v>78</v>
      </c>
      <c r="B823" t="s">
        <v>886</v>
      </c>
      <c r="C823" t="s">
        <v>240</v>
      </c>
      <c r="E823" t="s">
        <v>127</v>
      </c>
      <c r="F823" s="33">
        <v>0</v>
      </c>
      <c r="G823">
        <v>0</v>
      </c>
      <c r="H823" s="33">
        <v>0</v>
      </c>
      <c r="I823" s="33">
        <v>1562462</v>
      </c>
      <c r="J823" s="33">
        <v>1562462</v>
      </c>
    </row>
    <row r="824" spans="1:10">
      <c r="A824">
        <v>79</v>
      </c>
      <c r="B824" t="s">
        <v>886</v>
      </c>
      <c r="C824" t="s">
        <v>241</v>
      </c>
      <c r="E824" t="s">
        <v>191</v>
      </c>
      <c r="F824" s="33">
        <v>0</v>
      </c>
      <c r="G824">
        <v>0</v>
      </c>
      <c r="H824" s="33">
        <v>0</v>
      </c>
      <c r="I824" s="33">
        <v>1561731</v>
      </c>
      <c r="J824" s="33">
        <v>1561731</v>
      </c>
    </row>
    <row r="825" spans="1:10">
      <c r="A825">
        <v>80</v>
      </c>
      <c r="B825" t="s">
        <v>886</v>
      </c>
      <c r="C825" t="s">
        <v>552</v>
      </c>
      <c r="E825" t="s">
        <v>131</v>
      </c>
      <c r="F825" s="33">
        <v>0</v>
      </c>
      <c r="G825">
        <v>0</v>
      </c>
      <c r="H825" s="33">
        <v>0</v>
      </c>
      <c r="I825" s="33">
        <v>1968</v>
      </c>
      <c r="J825" s="33">
        <v>1968</v>
      </c>
    </row>
    <row r="826" spans="1:10">
      <c r="A826">
        <v>81</v>
      </c>
      <c r="B826" t="s">
        <v>886</v>
      </c>
      <c r="C826" t="s">
        <v>383</v>
      </c>
      <c r="E826" t="s">
        <v>131</v>
      </c>
      <c r="F826" s="33">
        <v>0</v>
      </c>
      <c r="G826">
        <v>0</v>
      </c>
      <c r="H826" s="33">
        <v>0</v>
      </c>
      <c r="I826" s="33">
        <v>41046927</v>
      </c>
      <c r="J826" s="33">
        <v>41046927</v>
      </c>
    </row>
    <row r="827" spans="1:10">
      <c r="A827">
        <v>82</v>
      </c>
      <c r="B827" t="s">
        <v>886</v>
      </c>
      <c r="C827" t="s">
        <v>1022</v>
      </c>
      <c r="E827" t="s">
        <v>131</v>
      </c>
      <c r="F827" s="33">
        <v>0</v>
      </c>
      <c r="G827">
        <v>0</v>
      </c>
      <c r="H827" s="33">
        <v>0</v>
      </c>
      <c r="I827" s="33">
        <v>19583</v>
      </c>
      <c r="J827" s="33">
        <v>19583</v>
      </c>
    </row>
    <row r="828" spans="1:10">
      <c r="A828">
        <v>83</v>
      </c>
      <c r="B828" t="s">
        <v>886</v>
      </c>
      <c r="C828" t="s">
        <v>220</v>
      </c>
      <c r="E828" t="s">
        <v>136</v>
      </c>
      <c r="F828" s="33">
        <v>0</v>
      </c>
      <c r="G828">
        <v>0</v>
      </c>
      <c r="H828" s="33">
        <v>0</v>
      </c>
      <c r="I828" s="33">
        <v>3154206</v>
      </c>
      <c r="J828" s="33">
        <v>3154206</v>
      </c>
    </row>
    <row r="829" spans="1:10">
      <c r="A829">
        <v>84</v>
      </c>
      <c r="B829" t="s">
        <v>886</v>
      </c>
      <c r="C829" t="s">
        <v>422</v>
      </c>
      <c r="E829" t="s">
        <v>148</v>
      </c>
      <c r="F829" s="33">
        <v>0</v>
      </c>
      <c r="G829">
        <v>0</v>
      </c>
      <c r="H829" s="33">
        <v>0</v>
      </c>
      <c r="I829" s="33">
        <v>4778869</v>
      </c>
      <c r="J829" s="33">
        <v>4778869</v>
      </c>
    </row>
    <row r="830" spans="1:10">
      <c r="A830">
        <v>85</v>
      </c>
      <c r="B830" t="s">
        <v>886</v>
      </c>
      <c r="C830" t="s">
        <v>302</v>
      </c>
      <c r="F830" s="33">
        <v>0</v>
      </c>
      <c r="G830">
        <v>0</v>
      </c>
      <c r="H830" s="33">
        <v>0</v>
      </c>
      <c r="I830" s="33">
        <v>127410</v>
      </c>
      <c r="J830" s="33">
        <v>127410</v>
      </c>
    </row>
    <row r="831" spans="1:10">
      <c r="A831">
        <v>86</v>
      </c>
      <c r="B831" t="s">
        <v>886</v>
      </c>
      <c r="C831" t="s">
        <v>512</v>
      </c>
      <c r="E831" t="s">
        <v>129</v>
      </c>
      <c r="F831" s="33">
        <v>0</v>
      </c>
      <c r="G831">
        <v>0</v>
      </c>
      <c r="H831" s="33">
        <v>0</v>
      </c>
      <c r="I831" s="33">
        <v>91014</v>
      </c>
      <c r="J831" s="33">
        <v>91014</v>
      </c>
    </row>
    <row r="832" spans="1:10">
      <c r="A832">
        <v>87</v>
      </c>
      <c r="B832" t="s">
        <v>886</v>
      </c>
      <c r="C832" t="s">
        <v>1023</v>
      </c>
      <c r="E832" t="s">
        <v>131</v>
      </c>
      <c r="F832" s="33">
        <v>0</v>
      </c>
      <c r="G832">
        <v>0</v>
      </c>
      <c r="H832" s="33">
        <v>0</v>
      </c>
      <c r="I832" s="33">
        <v>18516</v>
      </c>
      <c r="J832" s="33">
        <v>18516</v>
      </c>
    </row>
    <row r="833" spans="1:10">
      <c r="A833">
        <v>88</v>
      </c>
      <c r="B833" t="s">
        <v>886</v>
      </c>
      <c r="C833" t="s">
        <v>1024</v>
      </c>
      <c r="E833" t="s">
        <v>136</v>
      </c>
      <c r="F833" s="33">
        <v>0</v>
      </c>
      <c r="G833">
        <v>0</v>
      </c>
      <c r="H833" s="33">
        <v>0</v>
      </c>
      <c r="I833" s="33">
        <v>469140</v>
      </c>
      <c r="J833" s="33">
        <v>469140</v>
      </c>
    </row>
    <row r="834" spans="1:10">
      <c r="A834">
        <v>89</v>
      </c>
      <c r="B834" t="s">
        <v>886</v>
      </c>
      <c r="C834" t="s">
        <v>1025</v>
      </c>
      <c r="E834" t="s">
        <v>131</v>
      </c>
      <c r="F834" s="33">
        <v>0</v>
      </c>
      <c r="G834">
        <v>0</v>
      </c>
      <c r="H834" s="33">
        <v>0</v>
      </c>
      <c r="I834" s="33">
        <v>43523</v>
      </c>
      <c r="J834" s="33">
        <v>43523</v>
      </c>
    </row>
    <row r="835" spans="1:10">
      <c r="A835">
        <v>90</v>
      </c>
      <c r="B835" t="s">
        <v>886</v>
      </c>
      <c r="C835" t="s">
        <v>387</v>
      </c>
      <c r="E835" t="s">
        <v>127</v>
      </c>
      <c r="F835" s="33">
        <v>0</v>
      </c>
      <c r="G835">
        <v>0</v>
      </c>
      <c r="H835" s="33">
        <v>0</v>
      </c>
      <c r="I835" s="33">
        <v>30355804</v>
      </c>
      <c r="J835" s="33">
        <v>30355804</v>
      </c>
    </row>
    <row r="836" spans="1:10">
      <c r="A836">
        <v>91</v>
      </c>
      <c r="B836" t="s">
        <v>886</v>
      </c>
      <c r="C836" t="s">
        <v>242</v>
      </c>
      <c r="E836" t="s">
        <v>131</v>
      </c>
      <c r="F836" s="33">
        <v>0</v>
      </c>
      <c r="G836">
        <v>0</v>
      </c>
      <c r="H836" s="33">
        <v>0</v>
      </c>
      <c r="I836" s="33">
        <v>1487745</v>
      </c>
      <c r="J836" s="33">
        <v>1487745</v>
      </c>
    </row>
    <row r="837" spans="1:10">
      <c r="A837">
        <v>92</v>
      </c>
      <c r="B837" t="s">
        <v>886</v>
      </c>
      <c r="C837" t="s">
        <v>467</v>
      </c>
      <c r="E837" t="s">
        <v>154</v>
      </c>
      <c r="F837" s="33">
        <v>0</v>
      </c>
      <c r="G837">
        <v>0</v>
      </c>
      <c r="H837" s="33">
        <v>0</v>
      </c>
      <c r="I837" s="33">
        <v>542586</v>
      </c>
      <c r="J837" s="33">
        <v>542586</v>
      </c>
    </row>
    <row r="838" spans="1:10">
      <c r="A838">
        <v>93</v>
      </c>
      <c r="B838" t="s">
        <v>886</v>
      </c>
      <c r="C838" t="s">
        <v>155</v>
      </c>
      <c r="E838" t="s">
        <v>131</v>
      </c>
      <c r="F838" s="33">
        <v>0</v>
      </c>
      <c r="G838">
        <v>0</v>
      </c>
      <c r="H838" s="33">
        <v>0</v>
      </c>
      <c r="I838" s="33">
        <v>50885008</v>
      </c>
      <c r="J838" s="33">
        <v>50885008</v>
      </c>
    </row>
    <row r="839" spans="1:10">
      <c r="A839">
        <v>94</v>
      </c>
      <c r="B839" t="s">
        <v>886</v>
      </c>
      <c r="C839" t="s">
        <v>431</v>
      </c>
      <c r="E839" t="s">
        <v>131</v>
      </c>
      <c r="F839" s="33">
        <v>0</v>
      </c>
      <c r="G839">
        <v>0</v>
      </c>
      <c r="H839" s="33">
        <v>0</v>
      </c>
      <c r="I839" s="33">
        <v>2585854</v>
      </c>
      <c r="J839" s="33">
        <v>2585854</v>
      </c>
    </row>
    <row r="840" spans="1:10">
      <c r="A840">
        <v>95</v>
      </c>
      <c r="B840" t="s">
        <v>886</v>
      </c>
      <c r="C840" t="s">
        <v>548</v>
      </c>
      <c r="E840" t="s">
        <v>129</v>
      </c>
      <c r="F840" s="33">
        <v>0</v>
      </c>
      <c r="G840">
        <v>0</v>
      </c>
      <c r="H840" s="33">
        <v>0</v>
      </c>
      <c r="I840" s="33">
        <v>5281</v>
      </c>
      <c r="J840" s="33">
        <v>5281</v>
      </c>
    </row>
    <row r="842" spans="1:10">
      <c r="A842" t="s">
        <v>564</v>
      </c>
    </row>
    <row r="843" spans="1:10">
      <c r="A843" t="s">
        <v>565</v>
      </c>
    </row>
    <row r="844" spans="1:10">
      <c r="A844" t="s">
        <v>566</v>
      </c>
    </row>
    <row r="845" spans="1:10">
      <c r="A845" t="s">
        <v>809</v>
      </c>
    </row>
    <row r="846" spans="1:10">
      <c r="A846" t="s">
        <v>810</v>
      </c>
    </row>
    <row r="847" spans="1:10">
      <c r="A847" t="s">
        <v>670</v>
      </c>
    </row>
    <row r="848" spans="1:10">
      <c r="A848" t="s">
        <v>671</v>
      </c>
    </row>
    <row r="849" spans="1:10">
      <c r="A849" t="s">
        <v>1026</v>
      </c>
    </row>
    <row r="850" spans="1:10">
      <c r="A850" t="s">
        <v>571</v>
      </c>
    </row>
    <row r="851" spans="1:10">
      <c r="A851" t="s">
        <v>572</v>
      </c>
    </row>
    <row r="853" spans="1:10">
      <c r="A853" t="s">
        <v>22</v>
      </c>
      <c r="B853" t="s">
        <v>573</v>
      </c>
      <c r="C853" t="s">
        <v>574</v>
      </c>
      <c r="D853" t="s">
        <v>575</v>
      </c>
    </row>
    <row r="854" spans="1:10">
      <c r="A854" t="s">
        <v>576</v>
      </c>
      <c r="B854" t="s">
        <v>123</v>
      </c>
      <c r="C854" t="s">
        <v>577</v>
      </c>
    </row>
    <row r="855" spans="1:10">
      <c r="A855" t="s">
        <v>578</v>
      </c>
      <c r="B855" t="s">
        <v>579</v>
      </c>
    </row>
    <row r="856" spans="1:10">
      <c r="A856" t="s">
        <v>580</v>
      </c>
      <c r="B856" t="s">
        <v>581</v>
      </c>
    </row>
    <row r="857" spans="1:10">
      <c r="A857" t="s">
        <v>582</v>
      </c>
      <c r="B857" t="s">
        <v>583</v>
      </c>
    </row>
    <row r="858" spans="1:10">
      <c r="A858" t="s">
        <v>584</v>
      </c>
      <c r="B858" t="s">
        <v>585</v>
      </c>
    </row>
    <row r="859" spans="1:10">
      <c r="A859" t="s">
        <v>584</v>
      </c>
    </row>
    <row r="860" spans="1:10">
      <c r="A860">
        <v>1</v>
      </c>
      <c r="B860" t="s">
        <v>886</v>
      </c>
      <c r="C860" t="s">
        <v>375</v>
      </c>
      <c r="E860" t="s">
        <v>131</v>
      </c>
      <c r="F860" s="33">
        <v>0</v>
      </c>
      <c r="G860">
        <v>0</v>
      </c>
      <c r="H860" s="33">
        <v>0</v>
      </c>
      <c r="I860" s="33">
        <v>85170584</v>
      </c>
      <c r="J860" s="33">
        <v>85170584</v>
      </c>
    </row>
    <row r="861" spans="1:10">
      <c r="A861">
        <v>2</v>
      </c>
      <c r="B861" t="s">
        <v>886</v>
      </c>
      <c r="C861" t="s">
        <v>1027</v>
      </c>
      <c r="E861" t="s">
        <v>131</v>
      </c>
      <c r="F861" s="33">
        <v>0</v>
      </c>
      <c r="G861">
        <v>0</v>
      </c>
      <c r="H861" s="33">
        <v>0</v>
      </c>
      <c r="I861" s="33">
        <v>0</v>
      </c>
      <c r="J861" s="33">
        <v>0</v>
      </c>
    </row>
    <row r="862" spans="1:10">
      <c r="A862">
        <v>3</v>
      </c>
      <c r="B862" t="s">
        <v>886</v>
      </c>
      <c r="C862" t="s">
        <v>190</v>
      </c>
      <c r="E862" t="s">
        <v>191</v>
      </c>
      <c r="F862" s="33">
        <v>0</v>
      </c>
      <c r="G862">
        <v>0</v>
      </c>
      <c r="H862" s="33">
        <v>0</v>
      </c>
      <c r="I862" s="33">
        <v>8091941</v>
      </c>
      <c r="J862" s="33">
        <v>8091941</v>
      </c>
    </row>
    <row r="863" spans="1:10">
      <c r="A863">
        <v>4</v>
      </c>
      <c r="B863" t="s">
        <v>975</v>
      </c>
      <c r="C863" t="s">
        <v>1028</v>
      </c>
      <c r="E863" t="s">
        <v>193</v>
      </c>
      <c r="F863" s="33">
        <v>0</v>
      </c>
      <c r="G863">
        <v>0</v>
      </c>
      <c r="H863" s="33">
        <v>0</v>
      </c>
      <c r="I863" s="33">
        <v>32449600</v>
      </c>
      <c r="J863" s="33">
        <v>32449600</v>
      </c>
    </row>
    <row r="864" spans="1:10">
      <c r="A864">
        <v>5</v>
      </c>
      <c r="B864" t="s">
        <v>886</v>
      </c>
      <c r="C864" t="s">
        <v>415</v>
      </c>
      <c r="E864" t="s">
        <v>127</v>
      </c>
      <c r="F864" s="33">
        <v>0</v>
      </c>
      <c r="G864">
        <v>0</v>
      </c>
      <c r="H864" s="33">
        <v>0</v>
      </c>
      <c r="I864" s="33">
        <v>7353354</v>
      </c>
      <c r="J864" s="33">
        <v>7353354</v>
      </c>
    </row>
    <row r="865" spans="1:10">
      <c r="A865">
        <v>6</v>
      </c>
      <c r="B865" t="s">
        <v>886</v>
      </c>
      <c r="C865" t="s">
        <v>1029</v>
      </c>
      <c r="E865" t="s">
        <v>131</v>
      </c>
      <c r="F865" s="33">
        <v>0</v>
      </c>
      <c r="G865">
        <v>0</v>
      </c>
      <c r="H865" s="33">
        <v>0</v>
      </c>
      <c r="I865" s="33">
        <v>60326</v>
      </c>
      <c r="J865" s="33">
        <v>60326</v>
      </c>
    </row>
    <row r="866" spans="1:10">
      <c r="A866">
        <v>7</v>
      </c>
      <c r="B866" t="s">
        <v>886</v>
      </c>
      <c r="C866" t="s">
        <v>180</v>
      </c>
      <c r="E866" t="s">
        <v>131</v>
      </c>
      <c r="F866" s="33">
        <v>0</v>
      </c>
      <c r="G866">
        <v>0</v>
      </c>
      <c r="H866" s="33">
        <v>0</v>
      </c>
      <c r="I866" s="33">
        <v>9626679</v>
      </c>
      <c r="J866" s="33">
        <v>9626679</v>
      </c>
    </row>
    <row r="867" spans="1:10">
      <c r="A867">
        <v>8</v>
      </c>
      <c r="B867" t="s">
        <v>886</v>
      </c>
      <c r="C867" t="s">
        <v>377</v>
      </c>
      <c r="E867" t="s">
        <v>127</v>
      </c>
      <c r="F867" s="33">
        <v>0</v>
      </c>
      <c r="G867">
        <v>0</v>
      </c>
      <c r="H867" s="33">
        <v>0</v>
      </c>
      <c r="I867" s="33">
        <v>74842075</v>
      </c>
      <c r="J867" s="33">
        <v>74842075</v>
      </c>
    </row>
    <row r="868" spans="1:10">
      <c r="A868">
        <v>9</v>
      </c>
      <c r="B868" t="s">
        <v>886</v>
      </c>
      <c r="C868" t="s">
        <v>1030</v>
      </c>
      <c r="E868" t="s">
        <v>131</v>
      </c>
      <c r="F868" s="33">
        <v>0</v>
      </c>
      <c r="G868">
        <v>0</v>
      </c>
      <c r="H868" s="33">
        <v>0</v>
      </c>
      <c r="I868" s="33">
        <v>151826</v>
      </c>
      <c r="J868" s="33">
        <v>151826</v>
      </c>
    </row>
    <row r="869" spans="1:10">
      <c r="A869">
        <v>10</v>
      </c>
      <c r="B869" t="s">
        <v>886</v>
      </c>
      <c r="C869" t="s">
        <v>53</v>
      </c>
      <c r="E869" t="s">
        <v>148</v>
      </c>
      <c r="F869" s="33">
        <v>0</v>
      </c>
      <c r="G869">
        <v>0</v>
      </c>
      <c r="H869" s="33">
        <v>0</v>
      </c>
      <c r="I869" s="33">
        <v>28792065</v>
      </c>
      <c r="J869" s="33">
        <v>28792065</v>
      </c>
    </row>
    <row r="870" spans="1:10">
      <c r="A870">
        <v>11</v>
      </c>
      <c r="B870" t="s">
        <v>886</v>
      </c>
      <c r="C870" t="s">
        <v>332</v>
      </c>
      <c r="E870" t="s">
        <v>131</v>
      </c>
      <c r="F870" s="33">
        <v>0</v>
      </c>
      <c r="G870">
        <v>0</v>
      </c>
      <c r="H870" s="33">
        <v>0</v>
      </c>
      <c r="I870" s="33">
        <v>18176</v>
      </c>
      <c r="J870" s="33">
        <v>18176</v>
      </c>
    </row>
    <row r="872" spans="1:10">
      <c r="A872" t="s">
        <v>564</v>
      </c>
    </row>
    <row r="873" spans="1:10">
      <c r="A873" t="s">
        <v>762</v>
      </c>
    </row>
    <row r="874" spans="1:10">
      <c r="A874" t="s">
        <v>566</v>
      </c>
    </row>
    <row r="875" spans="1:10">
      <c r="A875" t="s">
        <v>809</v>
      </c>
    </row>
    <row r="876" spans="1:10">
      <c r="A876" t="s">
        <v>810</v>
      </c>
    </row>
    <row r="877" spans="1:10">
      <c r="A877" t="s">
        <v>569</v>
      </c>
    </row>
    <row r="878" spans="1:10">
      <c r="A878" t="s">
        <v>671</v>
      </c>
    </row>
    <row r="879" spans="1:10">
      <c r="A879" t="s">
        <v>571</v>
      </c>
    </row>
    <row r="880" spans="1:10">
      <c r="A880" t="s">
        <v>572</v>
      </c>
    </row>
    <row r="882" spans="1:10">
      <c r="A882" t="s">
        <v>22</v>
      </c>
      <c r="B882" t="s">
        <v>573</v>
      </c>
      <c r="C882" t="s">
        <v>574</v>
      </c>
      <c r="D882" t="s">
        <v>575</v>
      </c>
    </row>
    <row r="883" spans="1:10">
      <c r="A883" t="s">
        <v>576</v>
      </c>
      <c r="B883" t="s">
        <v>123</v>
      </c>
      <c r="C883" t="s">
        <v>577</v>
      </c>
    </row>
    <row r="884" spans="1:10">
      <c r="A884" t="s">
        <v>578</v>
      </c>
      <c r="B884" t="s">
        <v>579</v>
      </c>
    </row>
    <row r="885" spans="1:10">
      <c r="A885" t="s">
        <v>580</v>
      </c>
      <c r="B885" t="s">
        <v>581</v>
      </c>
    </row>
    <row r="886" spans="1:10">
      <c r="A886" t="s">
        <v>582</v>
      </c>
      <c r="B886" t="s">
        <v>583</v>
      </c>
    </row>
    <row r="887" spans="1:10">
      <c r="A887" t="s">
        <v>584</v>
      </c>
      <c r="B887" t="s">
        <v>585</v>
      </c>
    </row>
    <row r="888" spans="1:10">
      <c r="A888" t="s">
        <v>584</v>
      </c>
    </row>
    <row r="889" spans="1:10">
      <c r="A889">
        <v>1</v>
      </c>
      <c r="B889" t="s">
        <v>1031</v>
      </c>
      <c r="C889" t="s">
        <v>1032</v>
      </c>
      <c r="D889" t="s">
        <v>601</v>
      </c>
      <c r="E889" t="s">
        <v>129</v>
      </c>
      <c r="F889" s="33">
        <v>0</v>
      </c>
      <c r="G889">
        <v>34</v>
      </c>
      <c r="H889" s="33">
        <v>121391</v>
      </c>
      <c r="I889" s="33">
        <v>45879283</v>
      </c>
      <c r="J889" s="33">
        <v>46165078</v>
      </c>
    </row>
    <row r="890" spans="1:10">
      <c r="A890">
        <v>2</v>
      </c>
      <c r="B890" t="s">
        <v>817</v>
      </c>
      <c r="C890" t="s">
        <v>373</v>
      </c>
      <c r="D890" t="s">
        <v>601</v>
      </c>
      <c r="E890" t="s">
        <v>129</v>
      </c>
      <c r="F890" s="33">
        <v>0</v>
      </c>
      <c r="G890">
        <v>31</v>
      </c>
      <c r="H890" s="33">
        <v>126929</v>
      </c>
      <c r="I890" s="33">
        <v>89772584</v>
      </c>
      <c r="J890" s="33">
        <v>90035547</v>
      </c>
    </row>
    <row r="891" spans="1:10">
      <c r="A891">
        <v>3</v>
      </c>
      <c r="B891" t="s">
        <v>813</v>
      </c>
      <c r="C891" t="s">
        <v>1033</v>
      </c>
      <c r="D891" t="s">
        <v>626</v>
      </c>
      <c r="E891" t="s">
        <v>136</v>
      </c>
      <c r="F891" s="33">
        <v>0</v>
      </c>
      <c r="G891">
        <v>10</v>
      </c>
      <c r="H891" s="33">
        <v>62235</v>
      </c>
      <c r="I891" s="33">
        <v>0</v>
      </c>
      <c r="J891" s="33">
        <v>208351</v>
      </c>
    </row>
    <row r="892" spans="1:10">
      <c r="A892">
        <v>4</v>
      </c>
      <c r="B892" t="s">
        <v>848</v>
      </c>
      <c r="C892" t="s">
        <v>1034</v>
      </c>
      <c r="D892" t="s">
        <v>601</v>
      </c>
      <c r="E892" t="s">
        <v>253</v>
      </c>
      <c r="F892" s="33">
        <v>0</v>
      </c>
      <c r="G892">
        <v>25</v>
      </c>
      <c r="H892" s="33">
        <v>41225</v>
      </c>
      <c r="I892" s="33">
        <v>21366084</v>
      </c>
      <c r="J892" s="33">
        <v>21451708</v>
      </c>
    </row>
    <row r="893" spans="1:10">
      <c r="A893">
        <v>5</v>
      </c>
      <c r="B893" t="s">
        <v>818</v>
      </c>
      <c r="C893" t="s">
        <v>827</v>
      </c>
      <c r="D893" t="s">
        <v>626</v>
      </c>
      <c r="E893" t="s">
        <v>131</v>
      </c>
      <c r="F893" s="33">
        <v>0</v>
      </c>
      <c r="G893">
        <v>21</v>
      </c>
      <c r="H893" s="33">
        <v>39584</v>
      </c>
      <c r="I893" s="33">
        <v>35288134</v>
      </c>
      <c r="J893" s="33">
        <v>35327718</v>
      </c>
    </row>
    <row r="894" spans="1:10">
      <c r="A894">
        <v>6</v>
      </c>
      <c r="B894" t="s">
        <v>828</v>
      </c>
      <c r="C894" t="s">
        <v>407</v>
      </c>
      <c r="D894" t="s">
        <v>601</v>
      </c>
      <c r="E894" t="s">
        <v>136</v>
      </c>
      <c r="F894" s="33">
        <v>0</v>
      </c>
      <c r="G894">
        <v>4</v>
      </c>
      <c r="H894" s="33">
        <v>15044</v>
      </c>
      <c r="I894" s="33">
        <v>10244720</v>
      </c>
      <c r="J894" s="33">
        <v>10281835</v>
      </c>
    </row>
    <row r="895" spans="1:10">
      <c r="A895">
        <v>7</v>
      </c>
      <c r="B895" t="s">
        <v>835</v>
      </c>
      <c r="C895" t="s">
        <v>836</v>
      </c>
      <c r="D895" t="s">
        <v>626</v>
      </c>
      <c r="E895" t="s">
        <v>136</v>
      </c>
      <c r="F895" s="33">
        <v>0</v>
      </c>
      <c r="G895">
        <v>8</v>
      </c>
      <c r="H895" s="33">
        <v>7950</v>
      </c>
      <c r="I895" s="33">
        <v>1264734</v>
      </c>
      <c r="J895" s="33">
        <v>1278065</v>
      </c>
    </row>
    <row r="896" spans="1:10">
      <c r="A896">
        <v>8</v>
      </c>
      <c r="B896" t="s">
        <v>824</v>
      </c>
      <c r="C896" t="s">
        <v>38</v>
      </c>
      <c r="D896" t="s">
        <v>624</v>
      </c>
      <c r="E896" t="s">
        <v>154</v>
      </c>
      <c r="F896" s="33">
        <v>0</v>
      </c>
      <c r="G896">
        <v>2</v>
      </c>
      <c r="H896" s="33">
        <v>0</v>
      </c>
      <c r="I896" s="33">
        <v>0</v>
      </c>
      <c r="J896" s="33">
        <v>7639</v>
      </c>
    </row>
    <row r="897" spans="1:10">
      <c r="A897">
        <v>9</v>
      </c>
      <c r="B897" t="s">
        <v>837</v>
      </c>
      <c r="C897" t="s">
        <v>838</v>
      </c>
      <c r="D897" t="s">
        <v>839</v>
      </c>
      <c r="E897" t="s">
        <v>191</v>
      </c>
      <c r="F897" s="33">
        <v>0</v>
      </c>
      <c r="G897">
        <v>1</v>
      </c>
      <c r="H897" s="33">
        <v>456</v>
      </c>
      <c r="I897" s="33">
        <v>0</v>
      </c>
      <c r="J897" s="33">
        <v>1034</v>
      </c>
    </row>
    <row r="898" spans="1:10">
      <c r="A898">
        <v>10</v>
      </c>
      <c r="B898" t="s">
        <v>886</v>
      </c>
      <c r="C898" t="s">
        <v>143</v>
      </c>
      <c r="E898" t="s">
        <v>129</v>
      </c>
      <c r="F898" s="33">
        <v>0</v>
      </c>
      <c r="G898">
        <v>0</v>
      </c>
      <c r="H898" s="33">
        <v>0</v>
      </c>
      <c r="I898" s="33">
        <v>115687407</v>
      </c>
      <c r="J898" s="33">
        <v>115687407</v>
      </c>
    </row>
    <row r="899" spans="1:10">
      <c r="A899">
        <v>11</v>
      </c>
      <c r="B899" t="s">
        <v>886</v>
      </c>
      <c r="C899" t="s">
        <v>247</v>
      </c>
      <c r="E899" t="s">
        <v>191</v>
      </c>
      <c r="F899" s="33">
        <v>0</v>
      </c>
      <c r="G899">
        <v>0</v>
      </c>
      <c r="H899" s="33">
        <v>0</v>
      </c>
      <c r="I899" s="33">
        <v>1250000</v>
      </c>
      <c r="J899" s="33">
        <v>1250000</v>
      </c>
    </row>
    <row r="900" spans="1:10">
      <c r="A900">
        <v>12</v>
      </c>
      <c r="B900" t="s">
        <v>886</v>
      </c>
      <c r="C900" t="s">
        <v>1008</v>
      </c>
      <c r="E900" t="s">
        <v>129</v>
      </c>
      <c r="F900" s="33">
        <v>0</v>
      </c>
      <c r="G900">
        <v>0</v>
      </c>
      <c r="H900" s="33">
        <v>0</v>
      </c>
      <c r="I900" s="33">
        <v>185427900</v>
      </c>
      <c r="J900" s="33">
        <v>185427900</v>
      </c>
    </row>
    <row r="901" spans="1:10">
      <c r="A901">
        <v>13</v>
      </c>
      <c r="B901" t="s">
        <v>857</v>
      </c>
      <c r="C901" t="s">
        <v>858</v>
      </c>
      <c r="E901" t="s">
        <v>129</v>
      </c>
      <c r="F901" s="33">
        <v>0</v>
      </c>
      <c r="G901">
        <v>0</v>
      </c>
      <c r="H901" s="33">
        <v>0</v>
      </c>
      <c r="I901" s="33">
        <v>22682660</v>
      </c>
      <c r="J901" s="33">
        <v>22682660</v>
      </c>
    </row>
    <row r="902" spans="1:10">
      <c r="A902">
        <v>14</v>
      </c>
      <c r="B902" t="s">
        <v>886</v>
      </c>
      <c r="C902" t="s">
        <v>165</v>
      </c>
      <c r="E902" t="s">
        <v>154</v>
      </c>
      <c r="F902" s="33">
        <v>0</v>
      </c>
      <c r="G902">
        <v>0</v>
      </c>
      <c r="H902" s="33">
        <v>0</v>
      </c>
      <c r="I902" s="33">
        <v>25293852</v>
      </c>
      <c r="J902" s="33">
        <v>25293852</v>
      </c>
    </row>
    <row r="903" spans="1:10">
      <c r="A903">
        <v>15</v>
      </c>
      <c r="B903" t="s">
        <v>886</v>
      </c>
      <c r="C903" t="s">
        <v>1035</v>
      </c>
      <c r="E903" t="s">
        <v>129</v>
      </c>
      <c r="F903" s="33">
        <v>0</v>
      </c>
      <c r="G903">
        <v>0</v>
      </c>
      <c r="H903" s="33">
        <v>0</v>
      </c>
      <c r="I903" s="33">
        <v>63931005</v>
      </c>
      <c r="J903" s="33">
        <v>63931005</v>
      </c>
    </row>
    <row r="904" spans="1:10">
      <c r="A904">
        <v>16</v>
      </c>
      <c r="B904" t="s">
        <v>1036</v>
      </c>
      <c r="C904" t="s">
        <v>1037</v>
      </c>
      <c r="E904" t="s">
        <v>131</v>
      </c>
      <c r="F904" s="33">
        <v>0</v>
      </c>
      <c r="G904">
        <v>0</v>
      </c>
      <c r="H904" s="33">
        <v>0</v>
      </c>
      <c r="I904" s="33">
        <v>0</v>
      </c>
      <c r="J904" s="33">
        <v>0</v>
      </c>
    </row>
    <row r="905" spans="1:10">
      <c r="A905">
        <v>17</v>
      </c>
      <c r="B905" t="s">
        <v>886</v>
      </c>
      <c r="C905" t="s">
        <v>1038</v>
      </c>
      <c r="F905" s="33">
        <v>0</v>
      </c>
      <c r="G905">
        <v>0</v>
      </c>
      <c r="H905" s="33">
        <v>0</v>
      </c>
      <c r="I905" s="33">
        <v>4815816</v>
      </c>
      <c r="J905" s="33">
        <v>4815816</v>
      </c>
    </row>
    <row r="906" spans="1:10">
      <c r="A906">
        <v>18</v>
      </c>
      <c r="B906" t="s">
        <v>886</v>
      </c>
      <c r="C906" t="s">
        <v>230</v>
      </c>
      <c r="E906" t="s">
        <v>148</v>
      </c>
      <c r="F906" s="33">
        <v>0</v>
      </c>
      <c r="G906">
        <v>0</v>
      </c>
      <c r="H906" s="33">
        <v>0</v>
      </c>
      <c r="I906" s="33">
        <v>2610000</v>
      </c>
      <c r="J906" s="33">
        <v>2610000</v>
      </c>
    </row>
    <row r="907" spans="1:10">
      <c r="A907">
        <v>19</v>
      </c>
      <c r="B907" t="s">
        <v>886</v>
      </c>
      <c r="C907" t="s">
        <v>1039</v>
      </c>
      <c r="E907" t="s">
        <v>131</v>
      </c>
      <c r="F907" s="33">
        <v>0</v>
      </c>
      <c r="G907">
        <v>0</v>
      </c>
      <c r="H907" s="33">
        <v>0</v>
      </c>
      <c r="I907" s="33">
        <v>95649</v>
      </c>
      <c r="J907" s="33">
        <v>95649</v>
      </c>
    </row>
    <row r="908" spans="1:10">
      <c r="A908">
        <v>20</v>
      </c>
      <c r="B908" t="s">
        <v>874</v>
      </c>
      <c r="C908" t="s">
        <v>875</v>
      </c>
      <c r="E908" t="s">
        <v>129</v>
      </c>
      <c r="F908" s="33">
        <v>0</v>
      </c>
      <c r="G908">
        <v>0</v>
      </c>
      <c r="H908" s="33">
        <v>0</v>
      </c>
      <c r="I908" s="33">
        <v>79214896</v>
      </c>
      <c r="J908" s="33">
        <v>79214896</v>
      </c>
    </row>
    <row r="909" spans="1:10">
      <c r="A909">
        <v>21</v>
      </c>
      <c r="B909" t="s">
        <v>1040</v>
      </c>
      <c r="C909" t="s">
        <v>554</v>
      </c>
      <c r="D909" t="s">
        <v>1041</v>
      </c>
      <c r="E909" t="s">
        <v>191</v>
      </c>
      <c r="F909" s="33">
        <v>0</v>
      </c>
      <c r="G909">
        <v>0</v>
      </c>
      <c r="H909" s="33">
        <v>0</v>
      </c>
      <c r="I909" s="33">
        <v>0</v>
      </c>
      <c r="J909" s="33">
        <v>0</v>
      </c>
    </row>
    <row r="910" spans="1:10">
      <c r="A910">
        <v>22</v>
      </c>
      <c r="B910" t="s">
        <v>886</v>
      </c>
      <c r="C910" t="s">
        <v>405</v>
      </c>
      <c r="E910" t="s">
        <v>154</v>
      </c>
      <c r="F910" s="33">
        <v>0</v>
      </c>
      <c r="G910">
        <v>0</v>
      </c>
      <c r="H910" s="33">
        <v>0</v>
      </c>
      <c r="I910" s="33">
        <v>10657326</v>
      </c>
      <c r="J910" s="33">
        <v>10657326</v>
      </c>
    </row>
    <row r="911" spans="1:10">
      <c r="A911">
        <v>23</v>
      </c>
      <c r="B911" t="s">
        <v>1042</v>
      </c>
      <c r="C911" t="s">
        <v>1043</v>
      </c>
      <c r="E911" t="s">
        <v>129</v>
      </c>
      <c r="F911" s="33">
        <v>0</v>
      </c>
      <c r="G911">
        <v>0</v>
      </c>
      <c r="H911" s="33">
        <v>0</v>
      </c>
      <c r="I911" s="33">
        <v>0</v>
      </c>
      <c r="J911" s="33">
        <v>0</v>
      </c>
    </row>
    <row r="912" spans="1:10">
      <c r="A912">
        <v>24</v>
      </c>
      <c r="B912" t="s">
        <v>886</v>
      </c>
      <c r="C912" t="s">
        <v>1044</v>
      </c>
      <c r="E912" t="s">
        <v>136</v>
      </c>
      <c r="F912" s="33">
        <v>0</v>
      </c>
      <c r="G912">
        <v>0</v>
      </c>
      <c r="H912" s="33">
        <v>0</v>
      </c>
      <c r="I912" s="33">
        <v>22446966</v>
      </c>
      <c r="J912" s="33">
        <v>22446966</v>
      </c>
    </row>
    <row r="913" spans="1:10">
      <c r="A913">
        <v>25</v>
      </c>
      <c r="B913" t="s">
        <v>886</v>
      </c>
      <c r="C913" t="s">
        <v>414</v>
      </c>
      <c r="E913" t="s">
        <v>136</v>
      </c>
      <c r="F913" s="33">
        <v>0</v>
      </c>
      <c r="G913">
        <v>0</v>
      </c>
      <c r="H913" s="33">
        <v>0</v>
      </c>
      <c r="I913" s="33">
        <v>7423443</v>
      </c>
      <c r="J913" s="33">
        <v>7423443</v>
      </c>
    </row>
    <row r="914" spans="1:10">
      <c r="A914">
        <v>26</v>
      </c>
      <c r="B914" t="s">
        <v>886</v>
      </c>
      <c r="C914" t="s">
        <v>327</v>
      </c>
      <c r="E914" t="s">
        <v>136</v>
      </c>
      <c r="F914" s="33">
        <v>0</v>
      </c>
      <c r="G914">
        <v>0</v>
      </c>
      <c r="H914" s="33">
        <v>0</v>
      </c>
      <c r="I914" s="33">
        <v>24927</v>
      </c>
      <c r="J914" s="33">
        <v>24927</v>
      </c>
    </row>
    <row r="915" spans="1:10">
      <c r="A915">
        <v>27</v>
      </c>
      <c r="B915" t="s">
        <v>886</v>
      </c>
      <c r="C915" t="s">
        <v>232</v>
      </c>
      <c r="E915" t="s">
        <v>136</v>
      </c>
      <c r="F915" s="33">
        <v>0</v>
      </c>
      <c r="G915">
        <v>0</v>
      </c>
      <c r="H915" s="33">
        <v>0</v>
      </c>
      <c r="I915" s="33">
        <v>2415054</v>
      </c>
      <c r="J915" s="33">
        <v>2415054</v>
      </c>
    </row>
    <row r="916" spans="1:10">
      <c r="A916">
        <v>28</v>
      </c>
      <c r="B916" t="s">
        <v>886</v>
      </c>
      <c r="C916" t="s">
        <v>1045</v>
      </c>
      <c r="E916" t="s">
        <v>148</v>
      </c>
      <c r="F916" s="33">
        <v>0</v>
      </c>
      <c r="G916">
        <v>0</v>
      </c>
      <c r="H916" s="33">
        <v>0</v>
      </c>
      <c r="I916" s="33">
        <v>120837</v>
      </c>
      <c r="J916" s="33">
        <v>120837</v>
      </c>
    </row>
    <row r="917" spans="1:10">
      <c r="A917">
        <v>29</v>
      </c>
      <c r="B917" t="s">
        <v>850</v>
      </c>
      <c r="C917" t="s">
        <v>851</v>
      </c>
      <c r="D917" t="s">
        <v>852</v>
      </c>
      <c r="E917" t="s">
        <v>129</v>
      </c>
      <c r="F917" s="33">
        <v>0</v>
      </c>
      <c r="G917">
        <v>0</v>
      </c>
      <c r="H917" s="33">
        <v>0</v>
      </c>
      <c r="I917" s="33">
        <v>47872755</v>
      </c>
      <c r="J917" s="33">
        <v>47872755</v>
      </c>
    </row>
    <row r="918" spans="1:10">
      <c r="A918">
        <v>30</v>
      </c>
      <c r="B918" t="s">
        <v>886</v>
      </c>
      <c r="C918" t="s">
        <v>1046</v>
      </c>
      <c r="E918" t="s">
        <v>154</v>
      </c>
      <c r="F918" s="33">
        <v>0</v>
      </c>
      <c r="G918">
        <v>0</v>
      </c>
      <c r="H918" s="33">
        <v>0</v>
      </c>
      <c r="I918" s="33">
        <v>0</v>
      </c>
      <c r="J918" s="33">
        <v>0</v>
      </c>
    </row>
    <row r="919" spans="1:10">
      <c r="A919">
        <v>31</v>
      </c>
      <c r="B919" t="s">
        <v>886</v>
      </c>
      <c r="C919" t="s">
        <v>1047</v>
      </c>
      <c r="E919" t="s">
        <v>253</v>
      </c>
      <c r="F919" s="33">
        <v>0</v>
      </c>
      <c r="G919">
        <v>0</v>
      </c>
      <c r="H919" s="33">
        <v>0</v>
      </c>
      <c r="I919" s="33">
        <v>280417</v>
      </c>
      <c r="J919" s="33">
        <v>280417</v>
      </c>
    </row>
    <row r="920" spans="1:10">
      <c r="A920">
        <v>32</v>
      </c>
      <c r="B920" t="s">
        <v>886</v>
      </c>
      <c r="C920" t="s">
        <v>54</v>
      </c>
      <c r="E920" t="s">
        <v>154</v>
      </c>
      <c r="F920" s="33">
        <v>0</v>
      </c>
      <c r="G920">
        <v>0</v>
      </c>
      <c r="H920" s="33">
        <v>0</v>
      </c>
      <c r="I920" s="33">
        <v>186027770</v>
      </c>
      <c r="J920" s="33">
        <v>186027770</v>
      </c>
    </row>
    <row r="921" spans="1:10">
      <c r="A921">
        <v>33</v>
      </c>
      <c r="B921" t="s">
        <v>886</v>
      </c>
      <c r="C921" t="s">
        <v>1048</v>
      </c>
      <c r="E921" t="s">
        <v>131</v>
      </c>
      <c r="F921" s="33">
        <v>0</v>
      </c>
      <c r="G921">
        <v>0</v>
      </c>
      <c r="H921" s="33">
        <v>0</v>
      </c>
      <c r="I921" s="33">
        <v>0</v>
      </c>
      <c r="J921" s="33">
        <v>0</v>
      </c>
    </row>
    <row r="923" spans="1:10">
      <c r="A923" t="s">
        <v>564</v>
      </c>
    </row>
    <row r="924" spans="1:10">
      <c r="A924" t="s">
        <v>792</v>
      </c>
    </row>
    <row r="925" spans="1:10">
      <c r="A925" t="s">
        <v>566</v>
      </c>
    </row>
    <row r="926" spans="1:10">
      <c r="A926" t="s">
        <v>809</v>
      </c>
    </row>
    <row r="927" spans="1:10">
      <c r="A927" t="s">
        <v>810</v>
      </c>
    </row>
    <row r="928" spans="1:10">
      <c r="A928" t="s">
        <v>569</v>
      </c>
    </row>
    <row r="929" spans="1:10">
      <c r="A929" t="s">
        <v>671</v>
      </c>
    </row>
    <row r="930" spans="1:10">
      <c r="A930" t="s">
        <v>571</v>
      </c>
    </row>
    <row r="931" spans="1:10">
      <c r="A931" t="s">
        <v>572</v>
      </c>
    </row>
    <row r="933" spans="1:10">
      <c r="A933" t="s">
        <v>22</v>
      </c>
      <c r="B933" t="s">
        <v>573</v>
      </c>
      <c r="C933" t="s">
        <v>574</v>
      </c>
      <c r="D933" t="s">
        <v>575</v>
      </c>
    </row>
    <row r="934" spans="1:10">
      <c r="A934" t="s">
        <v>576</v>
      </c>
      <c r="B934" t="s">
        <v>123</v>
      </c>
      <c r="C934" t="s">
        <v>577</v>
      </c>
    </row>
    <row r="935" spans="1:10">
      <c r="A935" t="s">
        <v>578</v>
      </c>
      <c r="B935" t="s">
        <v>579</v>
      </c>
    </row>
    <row r="936" spans="1:10">
      <c r="A936" t="s">
        <v>580</v>
      </c>
      <c r="B936" t="s">
        <v>581</v>
      </c>
    </row>
    <row r="937" spans="1:10">
      <c r="A937" t="s">
        <v>582</v>
      </c>
      <c r="B937" t="s">
        <v>583</v>
      </c>
    </row>
    <row r="938" spans="1:10">
      <c r="A938" t="s">
        <v>584</v>
      </c>
      <c r="B938" t="s">
        <v>585</v>
      </c>
    </row>
    <row r="939" spans="1:10">
      <c r="A939" t="s">
        <v>584</v>
      </c>
    </row>
    <row r="940" spans="1:10">
      <c r="A940">
        <v>1</v>
      </c>
      <c r="B940" t="s">
        <v>824</v>
      </c>
      <c r="C940" t="s">
        <v>38</v>
      </c>
      <c r="D940" t="s">
        <v>624</v>
      </c>
      <c r="E940" t="s">
        <v>154</v>
      </c>
      <c r="F940" s="33">
        <v>0</v>
      </c>
      <c r="G940">
        <v>2</v>
      </c>
      <c r="H940" s="33">
        <v>0</v>
      </c>
      <c r="I940" s="33">
        <v>0</v>
      </c>
      <c r="J940" s="33">
        <v>7639</v>
      </c>
    </row>
    <row r="941" spans="1:10">
      <c r="A941">
        <v>2</v>
      </c>
      <c r="B941" t="s">
        <v>886</v>
      </c>
      <c r="C941" t="s">
        <v>557</v>
      </c>
      <c r="E941" t="s">
        <v>131</v>
      </c>
      <c r="F941" s="33">
        <v>0</v>
      </c>
      <c r="G941">
        <v>0</v>
      </c>
      <c r="H941" s="33">
        <v>0</v>
      </c>
      <c r="I941" s="33">
        <v>0</v>
      </c>
      <c r="J941" s="33">
        <v>0</v>
      </c>
    </row>
    <row r="942" spans="1:10">
      <c r="A942">
        <v>3</v>
      </c>
      <c r="B942" t="s">
        <v>886</v>
      </c>
      <c r="C942" t="s">
        <v>1049</v>
      </c>
      <c r="E942" t="s">
        <v>148</v>
      </c>
      <c r="F942" s="33">
        <v>0</v>
      </c>
      <c r="G942">
        <v>0</v>
      </c>
      <c r="H942" s="33">
        <v>0</v>
      </c>
      <c r="I942" s="33">
        <v>116521</v>
      </c>
      <c r="J942" s="33">
        <v>116521</v>
      </c>
    </row>
    <row r="943" spans="1:10">
      <c r="A943">
        <v>4</v>
      </c>
      <c r="B943" t="s">
        <v>886</v>
      </c>
      <c r="C943" t="s">
        <v>324</v>
      </c>
      <c r="E943" t="s">
        <v>193</v>
      </c>
      <c r="F943" s="33">
        <v>0</v>
      </c>
      <c r="G943">
        <v>0</v>
      </c>
      <c r="H943" s="33">
        <v>0</v>
      </c>
      <c r="I943" s="33">
        <v>30778</v>
      </c>
      <c r="J943" s="33">
        <v>30778</v>
      </c>
    </row>
    <row r="944" spans="1:10">
      <c r="A944">
        <v>5</v>
      </c>
      <c r="B944" t="s">
        <v>1050</v>
      </c>
      <c r="C944" t="s">
        <v>559</v>
      </c>
      <c r="D944" t="s">
        <v>1051</v>
      </c>
      <c r="E944" t="s">
        <v>191</v>
      </c>
      <c r="F944" s="33">
        <v>0</v>
      </c>
      <c r="G944">
        <v>0</v>
      </c>
      <c r="H944" s="33">
        <v>0</v>
      </c>
      <c r="I944" s="33">
        <v>0</v>
      </c>
      <c r="J944" s="33">
        <v>0</v>
      </c>
    </row>
    <row r="945" spans="1:10">
      <c r="A945">
        <v>6</v>
      </c>
      <c r="B945" t="s">
        <v>886</v>
      </c>
      <c r="C945" t="s">
        <v>53</v>
      </c>
      <c r="E945" t="s">
        <v>148</v>
      </c>
      <c r="F945" s="33">
        <v>0</v>
      </c>
      <c r="G945">
        <v>0</v>
      </c>
      <c r="H945" s="33">
        <v>0</v>
      </c>
      <c r="I945" s="33">
        <v>28792065</v>
      </c>
      <c r="J945" s="33">
        <v>28792065</v>
      </c>
    </row>
    <row r="946" spans="1:10">
      <c r="A946">
        <v>7</v>
      </c>
      <c r="B946" t="s">
        <v>1042</v>
      </c>
      <c r="C946" t="s">
        <v>1043</v>
      </c>
      <c r="E946" t="s">
        <v>129</v>
      </c>
      <c r="F946" s="33">
        <v>0</v>
      </c>
      <c r="G946">
        <v>0</v>
      </c>
      <c r="H946" s="33">
        <v>0</v>
      </c>
      <c r="I946" s="33">
        <v>0</v>
      </c>
      <c r="J946" s="33">
        <v>0</v>
      </c>
    </row>
    <row r="947" spans="1:10">
      <c r="A947">
        <v>8</v>
      </c>
      <c r="B947" t="s">
        <v>886</v>
      </c>
      <c r="C947" t="s">
        <v>561</v>
      </c>
      <c r="E947" t="s">
        <v>129</v>
      </c>
      <c r="F947" s="33">
        <v>0</v>
      </c>
      <c r="G947">
        <v>0</v>
      </c>
      <c r="H947" s="33">
        <v>0</v>
      </c>
      <c r="I947" s="33">
        <v>0</v>
      </c>
      <c r="J947" s="33">
        <v>0</v>
      </c>
    </row>
    <row r="948" spans="1:10">
      <c r="A948">
        <v>9</v>
      </c>
      <c r="B948" t="s">
        <v>886</v>
      </c>
      <c r="C948" t="s">
        <v>300</v>
      </c>
      <c r="E948" t="s">
        <v>131</v>
      </c>
      <c r="F948" s="33">
        <v>0</v>
      </c>
      <c r="G948">
        <v>0</v>
      </c>
      <c r="H948" s="33">
        <v>0</v>
      </c>
      <c r="I948" s="33">
        <v>130446</v>
      </c>
      <c r="J948" s="33">
        <v>130446</v>
      </c>
    </row>
    <row r="950" spans="1:10">
      <c r="A950" t="s">
        <v>564</v>
      </c>
    </row>
    <row r="951" spans="1:10">
      <c r="A951" t="s">
        <v>799</v>
      </c>
    </row>
    <row r="952" spans="1:10">
      <c r="A952" t="s">
        <v>566</v>
      </c>
    </row>
    <row r="953" spans="1:10">
      <c r="A953" t="s">
        <v>809</v>
      </c>
    </row>
    <row r="954" spans="1:10">
      <c r="A954" t="s">
        <v>810</v>
      </c>
    </row>
    <row r="955" spans="1:10">
      <c r="A955" t="s">
        <v>569</v>
      </c>
    </row>
    <row r="956" spans="1:10">
      <c r="A956" t="s">
        <v>671</v>
      </c>
    </row>
    <row r="957" spans="1:10">
      <c r="A957" t="s">
        <v>571</v>
      </c>
    </row>
    <row r="958" spans="1:10">
      <c r="A958" t="s">
        <v>572</v>
      </c>
    </row>
    <row r="960" spans="1:10">
      <c r="A960" t="s">
        <v>22</v>
      </c>
      <c r="B960" t="s">
        <v>573</v>
      </c>
      <c r="C960" t="s">
        <v>574</v>
      </c>
      <c r="D960" t="s">
        <v>575</v>
      </c>
    </row>
    <row r="961" spans="1:10">
      <c r="A961" t="s">
        <v>576</v>
      </c>
      <c r="B961" t="s">
        <v>123</v>
      </c>
      <c r="C961" t="s">
        <v>577</v>
      </c>
    </row>
    <row r="962" spans="1:10">
      <c r="A962" t="s">
        <v>578</v>
      </c>
      <c r="B962" t="s">
        <v>579</v>
      </c>
    </row>
    <row r="963" spans="1:10">
      <c r="A963" t="s">
        <v>580</v>
      </c>
      <c r="B963" t="s">
        <v>581</v>
      </c>
    </row>
    <row r="964" spans="1:10">
      <c r="A964" t="s">
        <v>582</v>
      </c>
      <c r="B964" t="s">
        <v>583</v>
      </c>
    </row>
    <row r="965" spans="1:10">
      <c r="A965" t="s">
        <v>584</v>
      </c>
      <c r="B965" t="s">
        <v>585</v>
      </c>
    </row>
    <row r="966" spans="1:10">
      <c r="A966" t="s">
        <v>584</v>
      </c>
    </row>
    <row r="967" spans="1:10">
      <c r="A967">
        <v>1</v>
      </c>
      <c r="B967" t="s">
        <v>871</v>
      </c>
      <c r="C967" t="s">
        <v>1052</v>
      </c>
      <c r="D967" t="s">
        <v>1053</v>
      </c>
      <c r="E967" t="s">
        <v>191</v>
      </c>
      <c r="F967" s="33">
        <v>0</v>
      </c>
      <c r="G967">
        <v>0</v>
      </c>
      <c r="H967" s="33">
        <v>0</v>
      </c>
      <c r="I967" s="33">
        <v>0</v>
      </c>
      <c r="J967" s="33">
        <v>0</v>
      </c>
    </row>
    <row r="968" spans="1:10">
      <c r="A968">
        <v>2</v>
      </c>
      <c r="B968" t="s">
        <v>886</v>
      </c>
      <c r="C968" t="s">
        <v>1054</v>
      </c>
      <c r="E968" t="s">
        <v>154</v>
      </c>
      <c r="F968" s="33">
        <v>0</v>
      </c>
      <c r="G968">
        <v>0</v>
      </c>
      <c r="H968" s="33">
        <v>0</v>
      </c>
      <c r="I968" s="33">
        <v>1612</v>
      </c>
      <c r="J968" s="33">
        <v>1612</v>
      </c>
    </row>
    <row r="970" spans="1:10">
      <c r="A970" t="s">
        <v>564</v>
      </c>
    </row>
    <row r="971" spans="1:10">
      <c r="A971" t="s">
        <v>565</v>
      </c>
    </row>
    <row r="972" spans="1:10">
      <c r="A972" t="s">
        <v>566</v>
      </c>
    </row>
    <row r="973" spans="1:10">
      <c r="A973" t="s">
        <v>1055</v>
      </c>
    </row>
    <row r="974" spans="1:10">
      <c r="A974" t="s">
        <v>1056</v>
      </c>
    </row>
    <row r="975" spans="1:10">
      <c r="A975" t="s">
        <v>569</v>
      </c>
    </row>
    <row r="976" spans="1:10">
      <c r="A976" t="s">
        <v>656</v>
      </c>
    </row>
    <row r="977" spans="1:10">
      <c r="A977" t="s">
        <v>571</v>
      </c>
    </row>
    <row r="978" spans="1:10">
      <c r="A978" t="s">
        <v>572</v>
      </c>
    </row>
    <row r="980" spans="1:10">
      <c r="A980" t="s">
        <v>22</v>
      </c>
      <c r="B980" t="s">
        <v>573</v>
      </c>
      <c r="C980" t="s">
        <v>574</v>
      </c>
      <c r="D980" t="s">
        <v>575</v>
      </c>
    </row>
    <row r="981" spans="1:10">
      <c r="A981" t="s">
        <v>576</v>
      </c>
      <c r="B981" t="s">
        <v>123</v>
      </c>
      <c r="C981" t="s">
        <v>577</v>
      </c>
    </row>
    <row r="982" spans="1:10">
      <c r="A982" t="s">
        <v>578</v>
      </c>
      <c r="B982" t="s">
        <v>579</v>
      </c>
    </row>
    <row r="983" spans="1:10">
      <c r="A983" t="s">
        <v>580</v>
      </c>
      <c r="B983" t="s">
        <v>581</v>
      </c>
    </row>
    <row r="984" spans="1:10">
      <c r="A984" t="s">
        <v>582</v>
      </c>
      <c r="B984" t="s">
        <v>583</v>
      </c>
    </row>
    <row r="985" spans="1:10">
      <c r="A985" t="s">
        <v>584</v>
      </c>
      <c r="B985" t="s">
        <v>585</v>
      </c>
    </row>
    <row r="986" spans="1:10">
      <c r="A986" t="s">
        <v>584</v>
      </c>
    </row>
    <row r="987" spans="1:10">
      <c r="A987">
        <v>1</v>
      </c>
      <c r="B987" t="s">
        <v>1057</v>
      </c>
      <c r="C987" t="s">
        <v>1058</v>
      </c>
      <c r="D987" t="s">
        <v>653</v>
      </c>
      <c r="E987" t="s">
        <v>129</v>
      </c>
      <c r="F987" s="33">
        <v>150000000</v>
      </c>
      <c r="G987" s="35">
        <v>3328</v>
      </c>
      <c r="H987" s="33">
        <v>18469620</v>
      </c>
      <c r="I987" s="33">
        <v>289329747</v>
      </c>
      <c r="J987" s="33">
        <v>334486852</v>
      </c>
    </row>
    <row r="988" spans="1:10">
      <c r="A988">
        <v>2</v>
      </c>
      <c r="B988" t="s">
        <v>1059</v>
      </c>
      <c r="C988" t="s">
        <v>1060</v>
      </c>
      <c r="D988" t="s">
        <v>609</v>
      </c>
      <c r="E988" t="s">
        <v>129</v>
      </c>
      <c r="F988" s="33">
        <v>35000000</v>
      </c>
      <c r="G988" s="35">
        <v>2515</v>
      </c>
      <c r="H988" s="33">
        <v>13113024</v>
      </c>
      <c r="I988" s="33">
        <v>106389853</v>
      </c>
      <c r="J988" s="33">
        <v>140783360</v>
      </c>
    </row>
    <row r="989" spans="1:10">
      <c r="A989">
        <v>3</v>
      </c>
      <c r="B989" t="s">
        <v>1061</v>
      </c>
      <c r="C989" t="s">
        <v>1062</v>
      </c>
      <c r="D989" t="s">
        <v>1063</v>
      </c>
      <c r="E989" t="s">
        <v>191</v>
      </c>
      <c r="F989" s="33">
        <v>0</v>
      </c>
      <c r="G989" s="35">
        <v>1508</v>
      </c>
      <c r="H989" s="33">
        <v>4790367</v>
      </c>
      <c r="I989" s="33">
        <v>11164532</v>
      </c>
      <c r="J989" s="33">
        <v>25037743</v>
      </c>
    </row>
    <row r="990" spans="1:10">
      <c r="A990">
        <v>4</v>
      </c>
      <c r="B990" t="s">
        <v>1064</v>
      </c>
      <c r="C990" t="s">
        <v>1065</v>
      </c>
      <c r="D990" t="s">
        <v>764</v>
      </c>
      <c r="E990" t="s">
        <v>127</v>
      </c>
      <c r="F990" s="33">
        <v>60000000</v>
      </c>
      <c r="G990" s="35">
        <v>2077</v>
      </c>
      <c r="H990" s="33">
        <v>3704749</v>
      </c>
      <c r="I990" s="33">
        <v>14727942</v>
      </c>
      <c r="J990" s="33">
        <v>24148488</v>
      </c>
    </row>
    <row r="991" spans="1:10">
      <c r="A991">
        <v>5</v>
      </c>
      <c r="B991" t="s">
        <v>1066</v>
      </c>
      <c r="C991" t="s">
        <v>8</v>
      </c>
      <c r="D991" t="s">
        <v>1067</v>
      </c>
      <c r="E991" t="s">
        <v>129</v>
      </c>
      <c r="F991" s="33">
        <v>0</v>
      </c>
      <c r="G991">
        <v>53</v>
      </c>
      <c r="H991" s="33">
        <v>219022</v>
      </c>
      <c r="I991" s="33">
        <v>832753071</v>
      </c>
      <c r="J991" s="33">
        <v>835474171</v>
      </c>
    </row>
    <row r="992" spans="1:10">
      <c r="A992">
        <v>6</v>
      </c>
      <c r="B992" t="s">
        <v>1068</v>
      </c>
      <c r="C992" t="s">
        <v>1069</v>
      </c>
      <c r="D992" t="s">
        <v>641</v>
      </c>
      <c r="E992" t="s">
        <v>129</v>
      </c>
      <c r="F992" s="33">
        <v>0</v>
      </c>
      <c r="G992">
        <v>67</v>
      </c>
      <c r="H992" s="33">
        <v>463883</v>
      </c>
      <c r="I992" s="33">
        <v>247924803</v>
      </c>
      <c r="J992" s="33">
        <v>248805149</v>
      </c>
    </row>
    <row r="993" spans="1:10">
      <c r="A993">
        <v>7</v>
      </c>
      <c r="B993" t="s">
        <v>1070</v>
      </c>
      <c r="C993" t="s">
        <v>1071</v>
      </c>
      <c r="D993" t="s">
        <v>626</v>
      </c>
      <c r="E993" t="s">
        <v>154</v>
      </c>
      <c r="F993" s="33">
        <v>0</v>
      </c>
      <c r="G993">
        <v>46</v>
      </c>
      <c r="H993" s="33">
        <v>323207</v>
      </c>
      <c r="I993" s="33">
        <v>58576718</v>
      </c>
      <c r="J993" s="33">
        <v>59263153</v>
      </c>
    </row>
    <row r="994" spans="1:10">
      <c r="A994">
        <v>8</v>
      </c>
      <c r="B994" t="s">
        <v>1072</v>
      </c>
      <c r="C994" t="s">
        <v>1073</v>
      </c>
      <c r="D994" t="s">
        <v>626</v>
      </c>
      <c r="E994" t="s">
        <v>154</v>
      </c>
      <c r="F994" s="33">
        <v>20000000</v>
      </c>
      <c r="G994">
        <v>42</v>
      </c>
      <c r="H994" s="33">
        <v>224942</v>
      </c>
      <c r="I994" s="33">
        <v>43301061</v>
      </c>
      <c r="J994" s="33">
        <v>43888531</v>
      </c>
    </row>
    <row r="995" spans="1:10">
      <c r="A995">
        <v>9</v>
      </c>
      <c r="B995" t="s">
        <v>1074</v>
      </c>
      <c r="C995" t="s">
        <v>1075</v>
      </c>
      <c r="D995" t="s">
        <v>601</v>
      </c>
      <c r="E995" t="s">
        <v>131</v>
      </c>
      <c r="F995" s="33">
        <v>0</v>
      </c>
      <c r="G995">
        <v>51</v>
      </c>
      <c r="H995" s="33">
        <v>249933</v>
      </c>
      <c r="I995" s="33">
        <v>82406221</v>
      </c>
      <c r="J995" s="33">
        <v>82891949</v>
      </c>
    </row>
    <row r="996" spans="1:10">
      <c r="A996">
        <v>10</v>
      </c>
      <c r="B996" t="s">
        <v>1076</v>
      </c>
      <c r="C996" t="s">
        <v>1077</v>
      </c>
      <c r="D996" t="s">
        <v>626</v>
      </c>
      <c r="E996" t="s">
        <v>131</v>
      </c>
      <c r="F996" s="33">
        <v>0</v>
      </c>
      <c r="G996">
        <v>30</v>
      </c>
      <c r="H996" s="33">
        <v>160739</v>
      </c>
      <c r="I996" s="33">
        <v>152549032</v>
      </c>
      <c r="J996" s="33">
        <v>153018738</v>
      </c>
    </row>
    <row r="997" spans="1:10">
      <c r="A997">
        <v>11</v>
      </c>
      <c r="B997" t="s">
        <v>1078</v>
      </c>
      <c r="C997" t="s">
        <v>1079</v>
      </c>
      <c r="D997" t="s">
        <v>601</v>
      </c>
      <c r="E997" t="s">
        <v>129</v>
      </c>
      <c r="F997" s="33">
        <v>0</v>
      </c>
      <c r="G997">
        <v>52</v>
      </c>
      <c r="H997" s="33">
        <v>138346</v>
      </c>
      <c r="I997" s="33">
        <v>87512183</v>
      </c>
      <c r="J997" s="33">
        <v>87969037</v>
      </c>
    </row>
    <row r="998" spans="1:10">
      <c r="A998">
        <v>12</v>
      </c>
      <c r="B998" t="s">
        <v>1080</v>
      </c>
      <c r="C998" t="s">
        <v>1081</v>
      </c>
      <c r="D998" t="s">
        <v>601</v>
      </c>
      <c r="E998" t="s">
        <v>129</v>
      </c>
      <c r="F998" s="33">
        <v>0</v>
      </c>
      <c r="G998">
        <v>27</v>
      </c>
      <c r="H998" s="33">
        <v>111979</v>
      </c>
      <c r="I998" s="33">
        <v>255641470</v>
      </c>
      <c r="J998" s="33">
        <v>256004127</v>
      </c>
    </row>
    <row r="999" spans="1:10">
      <c r="A999">
        <v>13</v>
      </c>
      <c r="B999" t="s">
        <v>1082</v>
      </c>
      <c r="C999" t="s">
        <v>1083</v>
      </c>
      <c r="D999" t="s">
        <v>601</v>
      </c>
      <c r="E999" t="s">
        <v>136</v>
      </c>
      <c r="F999" s="33">
        <v>0</v>
      </c>
      <c r="G999">
        <v>36</v>
      </c>
      <c r="H999" s="33">
        <v>135252</v>
      </c>
      <c r="I999" s="33">
        <v>30658944</v>
      </c>
      <c r="J999" s="33">
        <v>30996614</v>
      </c>
    </row>
    <row r="1000" spans="1:10">
      <c r="A1000">
        <v>14</v>
      </c>
      <c r="B1000" t="s">
        <v>1084</v>
      </c>
      <c r="C1000" t="s">
        <v>1085</v>
      </c>
      <c r="D1000" t="s">
        <v>601</v>
      </c>
      <c r="E1000" t="s">
        <v>264</v>
      </c>
      <c r="F1000" s="33">
        <v>0</v>
      </c>
      <c r="G1000">
        <v>43</v>
      </c>
      <c r="H1000" s="33">
        <v>115524</v>
      </c>
      <c r="I1000" s="33">
        <v>68409784</v>
      </c>
      <c r="J1000" s="33">
        <v>68722321</v>
      </c>
    </row>
    <row r="1001" spans="1:10">
      <c r="A1001">
        <v>15</v>
      </c>
      <c r="B1001" t="s">
        <v>1080</v>
      </c>
      <c r="C1001" t="s">
        <v>1086</v>
      </c>
      <c r="D1001" t="s">
        <v>626</v>
      </c>
      <c r="E1001" t="s">
        <v>129</v>
      </c>
      <c r="F1001" s="33">
        <v>0</v>
      </c>
      <c r="G1001">
        <v>55</v>
      </c>
      <c r="H1001" s="33">
        <v>181705</v>
      </c>
      <c r="I1001" s="33">
        <v>109911139</v>
      </c>
      <c r="J1001" s="33">
        <v>110203801</v>
      </c>
    </row>
    <row r="1002" spans="1:10">
      <c r="A1002">
        <v>16</v>
      </c>
      <c r="B1002" t="s">
        <v>1087</v>
      </c>
      <c r="C1002" t="s">
        <v>1088</v>
      </c>
      <c r="D1002" t="s">
        <v>601</v>
      </c>
      <c r="E1002" t="s">
        <v>129</v>
      </c>
      <c r="F1002" s="33">
        <v>0</v>
      </c>
      <c r="G1002">
        <v>43</v>
      </c>
      <c r="H1002" s="33">
        <v>116211</v>
      </c>
      <c r="I1002" s="33">
        <v>101595233</v>
      </c>
      <c r="J1002" s="33">
        <v>101813277</v>
      </c>
    </row>
    <row r="1003" spans="1:10">
      <c r="A1003">
        <v>17</v>
      </c>
      <c r="B1003" t="s">
        <v>1089</v>
      </c>
      <c r="C1003" t="s">
        <v>1090</v>
      </c>
      <c r="D1003" t="s">
        <v>601</v>
      </c>
      <c r="E1003" t="s">
        <v>154</v>
      </c>
      <c r="F1003" s="33">
        <v>0</v>
      </c>
      <c r="G1003">
        <v>17</v>
      </c>
      <c r="H1003" s="33">
        <v>68614</v>
      </c>
      <c r="I1003" s="33">
        <v>36585148</v>
      </c>
      <c r="J1003" s="33">
        <v>36801704</v>
      </c>
    </row>
    <row r="1004" spans="1:10">
      <c r="A1004">
        <v>18</v>
      </c>
      <c r="B1004" t="s">
        <v>1091</v>
      </c>
      <c r="C1004" t="s">
        <v>1092</v>
      </c>
      <c r="D1004" t="s">
        <v>626</v>
      </c>
      <c r="E1004" t="s">
        <v>129</v>
      </c>
      <c r="F1004" s="33">
        <v>0</v>
      </c>
      <c r="G1004">
        <v>33</v>
      </c>
      <c r="H1004" s="33">
        <v>55307</v>
      </c>
      <c r="I1004" s="33">
        <v>7618024</v>
      </c>
      <c r="J1004" s="33">
        <v>7736408</v>
      </c>
    </row>
    <row r="1005" spans="1:10">
      <c r="A1005">
        <v>19</v>
      </c>
      <c r="B1005" t="s">
        <v>1093</v>
      </c>
      <c r="C1005" t="s">
        <v>1094</v>
      </c>
      <c r="D1005" t="s">
        <v>626</v>
      </c>
      <c r="E1005" t="s">
        <v>131</v>
      </c>
      <c r="F1005" s="33">
        <v>0</v>
      </c>
      <c r="G1005">
        <v>18</v>
      </c>
      <c r="H1005" s="33">
        <v>50619</v>
      </c>
      <c r="I1005" s="33">
        <v>9387872</v>
      </c>
      <c r="J1005" s="33">
        <v>9499456</v>
      </c>
    </row>
    <row r="1006" spans="1:10">
      <c r="A1006">
        <v>20</v>
      </c>
      <c r="B1006" t="s">
        <v>1095</v>
      </c>
      <c r="C1006" t="s">
        <v>1096</v>
      </c>
      <c r="D1006" t="s">
        <v>601</v>
      </c>
      <c r="E1006" t="s">
        <v>129</v>
      </c>
      <c r="F1006" s="33">
        <v>0</v>
      </c>
      <c r="G1006">
        <v>20</v>
      </c>
      <c r="H1006" s="33">
        <v>54276</v>
      </c>
      <c r="I1006" s="33">
        <v>29836276</v>
      </c>
      <c r="J1006" s="33">
        <v>29945246</v>
      </c>
    </row>
    <row r="1007" spans="1:10">
      <c r="A1007">
        <v>21</v>
      </c>
      <c r="B1007" t="s">
        <v>1097</v>
      </c>
      <c r="C1007" t="s">
        <v>1098</v>
      </c>
      <c r="D1007" t="s">
        <v>601</v>
      </c>
      <c r="E1007" t="s">
        <v>129</v>
      </c>
      <c r="F1007" s="33">
        <v>0</v>
      </c>
      <c r="G1007">
        <v>27</v>
      </c>
      <c r="H1007" s="33">
        <v>23912</v>
      </c>
      <c r="I1007" s="33">
        <v>9506524</v>
      </c>
      <c r="J1007" s="33">
        <v>9560020</v>
      </c>
    </row>
    <row r="1008" spans="1:10">
      <c r="A1008">
        <v>22</v>
      </c>
      <c r="B1008" t="s">
        <v>1099</v>
      </c>
      <c r="C1008" t="s">
        <v>1100</v>
      </c>
      <c r="D1008" t="s">
        <v>626</v>
      </c>
      <c r="E1008" t="s">
        <v>131</v>
      </c>
      <c r="F1008" s="33">
        <v>0</v>
      </c>
      <c r="G1008">
        <v>6</v>
      </c>
      <c r="H1008" s="33">
        <v>5942</v>
      </c>
      <c r="I1008" s="33">
        <v>2580320</v>
      </c>
      <c r="J1008" s="33">
        <v>2632086</v>
      </c>
    </row>
    <row r="1009" spans="1:10">
      <c r="A1009">
        <v>23</v>
      </c>
      <c r="B1009" t="s">
        <v>1101</v>
      </c>
      <c r="C1009" t="s">
        <v>1102</v>
      </c>
      <c r="D1009" t="s">
        <v>626</v>
      </c>
      <c r="E1009" t="s">
        <v>148</v>
      </c>
      <c r="F1009" s="33">
        <v>0</v>
      </c>
      <c r="G1009">
        <v>10</v>
      </c>
      <c r="H1009" s="33">
        <v>42230</v>
      </c>
      <c r="I1009" s="33">
        <v>95655578</v>
      </c>
      <c r="J1009" s="33">
        <v>95697808</v>
      </c>
    </row>
    <row r="1010" spans="1:10">
      <c r="A1010">
        <v>24</v>
      </c>
      <c r="B1010" t="s">
        <v>1103</v>
      </c>
      <c r="C1010" t="s">
        <v>1104</v>
      </c>
      <c r="D1010" t="s">
        <v>622</v>
      </c>
      <c r="E1010" t="s">
        <v>191</v>
      </c>
      <c r="F1010" s="33">
        <v>0</v>
      </c>
      <c r="G1010">
        <v>1</v>
      </c>
      <c r="H1010" s="33">
        <v>5141</v>
      </c>
      <c r="I1010" s="33">
        <v>12006</v>
      </c>
      <c r="J1010" s="33">
        <v>41056</v>
      </c>
    </row>
    <row r="1011" spans="1:10">
      <c r="A1011">
        <v>25</v>
      </c>
      <c r="B1011" t="s">
        <v>1105</v>
      </c>
      <c r="C1011" t="s">
        <v>1106</v>
      </c>
      <c r="D1011" t="s">
        <v>626</v>
      </c>
      <c r="E1011" t="s">
        <v>191</v>
      </c>
      <c r="F1011" s="33">
        <v>425000</v>
      </c>
      <c r="G1011">
        <v>11</v>
      </c>
      <c r="H1011" s="33">
        <v>22222</v>
      </c>
      <c r="I1011" s="33">
        <v>25711603</v>
      </c>
      <c r="J1011" s="33">
        <v>25733825</v>
      </c>
    </row>
    <row r="1012" spans="1:10">
      <c r="A1012">
        <v>26</v>
      </c>
      <c r="B1012" t="s">
        <v>1107</v>
      </c>
      <c r="C1012" t="s">
        <v>1108</v>
      </c>
      <c r="D1012" t="s">
        <v>601</v>
      </c>
      <c r="E1012" t="s">
        <v>129</v>
      </c>
      <c r="F1012" s="33">
        <v>0</v>
      </c>
      <c r="G1012">
        <v>4</v>
      </c>
      <c r="H1012" s="33">
        <v>5122</v>
      </c>
      <c r="I1012" s="33">
        <v>17269548</v>
      </c>
      <c r="J1012" s="33">
        <v>17283136</v>
      </c>
    </row>
    <row r="1013" spans="1:10">
      <c r="A1013">
        <v>27</v>
      </c>
      <c r="B1013" t="s">
        <v>1109</v>
      </c>
      <c r="C1013" t="s">
        <v>1110</v>
      </c>
      <c r="D1013" t="s">
        <v>774</v>
      </c>
      <c r="E1013" t="s">
        <v>131</v>
      </c>
      <c r="F1013" s="33">
        <v>0</v>
      </c>
      <c r="G1013">
        <v>2</v>
      </c>
      <c r="H1013" s="33">
        <v>1355</v>
      </c>
      <c r="I1013" s="33">
        <v>487625</v>
      </c>
      <c r="J1013" s="33">
        <v>491294</v>
      </c>
    </row>
    <row r="1014" spans="1:10">
      <c r="A1014">
        <v>28</v>
      </c>
      <c r="B1014" t="s">
        <v>1111</v>
      </c>
      <c r="C1014" t="s">
        <v>1112</v>
      </c>
      <c r="D1014" t="s">
        <v>1113</v>
      </c>
      <c r="E1014" t="s">
        <v>131</v>
      </c>
      <c r="F1014" s="33">
        <v>0</v>
      </c>
      <c r="G1014">
        <v>0</v>
      </c>
      <c r="H1014" s="33">
        <v>0</v>
      </c>
      <c r="I1014" s="33">
        <v>0</v>
      </c>
      <c r="J1014" s="33">
        <v>0</v>
      </c>
    </row>
    <row r="1015" spans="1:10">
      <c r="A1015">
        <v>29</v>
      </c>
      <c r="B1015" t="s">
        <v>1114</v>
      </c>
      <c r="C1015" t="s">
        <v>1115</v>
      </c>
      <c r="E1015" t="s">
        <v>129</v>
      </c>
      <c r="F1015" s="33">
        <v>0</v>
      </c>
      <c r="G1015">
        <v>0</v>
      </c>
      <c r="H1015" s="33">
        <v>0</v>
      </c>
      <c r="I1015" s="33">
        <v>230000</v>
      </c>
      <c r="J1015" s="33">
        <v>230000</v>
      </c>
    </row>
    <row r="1016" spans="1:10">
      <c r="A1016">
        <v>30</v>
      </c>
      <c r="B1016" t="s">
        <v>1082</v>
      </c>
      <c r="C1016" t="s">
        <v>1116</v>
      </c>
      <c r="D1016" t="s">
        <v>1117</v>
      </c>
      <c r="E1016" t="s">
        <v>129</v>
      </c>
      <c r="F1016" s="33">
        <v>0</v>
      </c>
      <c r="G1016">
        <v>0</v>
      </c>
      <c r="H1016" s="33">
        <v>0</v>
      </c>
      <c r="I1016" s="33">
        <v>3303741</v>
      </c>
      <c r="J1016" s="33">
        <v>3303741</v>
      </c>
    </row>
    <row r="1017" spans="1:10">
      <c r="A1017">
        <v>31</v>
      </c>
      <c r="B1017" t="s">
        <v>1080</v>
      </c>
      <c r="C1017" t="s">
        <v>1118</v>
      </c>
      <c r="D1017" t="s">
        <v>1119</v>
      </c>
      <c r="E1017" t="s">
        <v>191</v>
      </c>
      <c r="F1017" s="33">
        <v>0</v>
      </c>
      <c r="G1017">
        <v>0</v>
      </c>
      <c r="H1017" s="33">
        <v>0</v>
      </c>
      <c r="I1017" s="33">
        <v>0</v>
      </c>
      <c r="J1017" s="33">
        <v>0</v>
      </c>
    </row>
    <row r="1018" spans="1:10">
      <c r="A1018">
        <v>32</v>
      </c>
      <c r="B1018" t="s">
        <v>1120</v>
      </c>
      <c r="C1018" t="s">
        <v>1121</v>
      </c>
      <c r="E1018" t="s">
        <v>136</v>
      </c>
      <c r="F1018" s="33">
        <v>0</v>
      </c>
      <c r="G1018">
        <v>0</v>
      </c>
      <c r="H1018" s="33">
        <v>0</v>
      </c>
      <c r="I1018" s="33">
        <v>0</v>
      </c>
      <c r="J1018" s="33">
        <v>0</v>
      </c>
    </row>
    <row r="1019" spans="1:10">
      <c r="A1019">
        <v>33</v>
      </c>
      <c r="B1019" t="s">
        <v>1122</v>
      </c>
      <c r="C1019" t="s">
        <v>1123</v>
      </c>
      <c r="E1019" t="s">
        <v>127</v>
      </c>
      <c r="F1019" s="33">
        <v>0</v>
      </c>
      <c r="G1019">
        <v>0</v>
      </c>
      <c r="H1019" s="33">
        <v>0</v>
      </c>
      <c r="I1019" s="33">
        <v>916822</v>
      </c>
      <c r="J1019" s="33">
        <v>916822</v>
      </c>
    </row>
    <row r="1020" spans="1:10">
      <c r="A1020">
        <v>34</v>
      </c>
      <c r="B1020" t="s">
        <v>1124</v>
      </c>
      <c r="C1020" t="s">
        <v>1125</v>
      </c>
      <c r="E1020" t="s">
        <v>136</v>
      </c>
      <c r="F1020" s="33">
        <v>0</v>
      </c>
      <c r="G1020">
        <v>0</v>
      </c>
      <c r="H1020" s="33">
        <v>0</v>
      </c>
      <c r="I1020" s="33">
        <v>790000</v>
      </c>
      <c r="J1020" s="33">
        <v>790000</v>
      </c>
    </row>
    <row r="1022" spans="1:10">
      <c r="A1022" t="s">
        <v>565</v>
      </c>
    </row>
    <row r="1023" spans="1:10">
      <c r="A1023" t="s">
        <v>566</v>
      </c>
    </row>
    <row r="1024" spans="1:10">
      <c r="A1024" t="s">
        <v>1055</v>
      </c>
    </row>
    <row r="1025" spans="1:10">
      <c r="A1025" t="s">
        <v>1056</v>
      </c>
    </row>
    <row r="1026" spans="1:10">
      <c r="A1026" t="s">
        <v>670</v>
      </c>
    </row>
    <row r="1027" spans="1:10">
      <c r="A1027" t="s">
        <v>671</v>
      </c>
    </row>
    <row r="1028" spans="1:10">
      <c r="A1028" t="s">
        <v>926</v>
      </c>
    </row>
    <row r="1029" spans="1:10">
      <c r="A1029" t="s">
        <v>572</v>
      </c>
    </row>
    <row r="1031" spans="1:10">
      <c r="A1031" t="s">
        <v>22</v>
      </c>
      <c r="B1031" t="s">
        <v>573</v>
      </c>
      <c r="C1031" t="s">
        <v>574</v>
      </c>
      <c r="D1031" t="s">
        <v>575</v>
      </c>
    </row>
    <row r="1032" spans="1:10">
      <c r="A1032" t="s">
        <v>576</v>
      </c>
      <c r="B1032" t="s">
        <v>123</v>
      </c>
      <c r="C1032" t="s">
        <v>577</v>
      </c>
    </row>
    <row r="1033" spans="1:10">
      <c r="A1033" t="s">
        <v>578</v>
      </c>
      <c r="B1033" t="s">
        <v>579</v>
      </c>
    </row>
    <row r="1034" spans="1:10">
      <c r="A1034" t="s">
        <v>580</v>
      </c>
      <c r="B1034" t="s">
        <v>581</v>
      </c>
    </row>
    <row r="1035" spans="1:10">
      <c r="A1035" t="s">
        <v>582</v>
      </c>
      <c r="B1035" t="s">
        <v>583</v>
      </c>
    </row>
    <row r="1036" spans="1:10">
      <c r="A1036" t="s">
        <v>584</v>
      </c>
      <c r="B1036" t="s">
        <v>585</v>
      </c>
    </row>
    <row r="1037" spans="1:10">
      <c r="A1037" t="s">
        <v>584</v>
      </c>
    </row>
    <row r="1038" spans="1:10">
      <c r="A1038">
        <v>1</v>
      </c>
      <c r="B1038" t="s">
        <v>1126</v>
      </c>
      <c r="C1038" t="s">
        <v>1127</v>
      </c>
      <c r="F1038" s="33">
        <v>0</v>
      </c>
      <c r="G1038">
        <v>0</v>
      </c>
      <c r="H1038" s="33">
        <v>0</v>
      </c>
      <c r="I1038" s="33">
        <v>41413</v>
      </c>
      <c r="J1038" s="33">
        <v>41413</v>
      </c>
    </row>
    <row r="1039" spans="1:10">
      <c r="A1039">
        <v>2</v>
      </c>
      <c r="B1039" t="s">
        <v>1126</v>
      </c>
      <c r="C1039" t="s">
        <v>1128</v>
      </c>
      <c r="E1039" t="s">
        <v>193</v>
      </c>
      <c r="F1039" s="33">
        <v>0</v>
      </c>
      <c r="G1039">
        <v>0</v>
      </c>
      <c r="H1039" s="33">
        <v>0</v>
      </c>
      <c r="I1039" s="33">
        <v>203386</v>
      </c>
      <c r="J1039" s="33">
        <v>203386</v>
      </c>
    </row>
    <row r="1040" spans="1:10">
      <c r="A1040">
        <v>3</v>
      </c>
      <c r="B1040" t="s">
        <v>1126</v>
      </c>
      <c r="C1040" t="s">
        <v>1129</v>
      </c>
      <c r="F1040" s="33">
        <v>0</v>
      </c>
      <c r="G1040">
        <v>0</v>
      </c>
      <c r="H1040" s="33">
        <v>0</v>
      </c>
      <c r="I1040" s="33">
        <v>9215</v>
      </c>
      <c r="J1040" s="33">
        <v>9215</v>
      </c>
    </row>
    <row r="1041" spans="1:10">
      <c r="A1041">
        <v>4</v>
      </c>
      <c r="B1041" t="s">
        <v>1126</v>
      </c>
      <c r="C1041" t="s">
        <v>1130</v>
      </c>
      <c r="E1041" t="s">
        <v>127</v>
      </c>
      <c r="F1041" s="33">
        <v>0</v>
      </c>
      <c r="G1041">
        <v>0</v>
      </c>
      <c r="H1041" s="33">
        <v>0</v>
      </c>
      <c r="I1041" s="33">
        <v>185876</v>
      </c>
      <c r="J1041" s="33">
        <v>185876</v>
      </c>
    </row>
    <row r="1042" spans="1:10">
      <c r="A1042">
        <v>5</v>
      </c>
      <c r="B1042" t="s">
        <v>1126</v>
      </c>
      <c r="C1042" t="s">
        <v>1131</v>
      </c>
      <c r="E1042" t="s">
        <v>129</v>
      </c>
      <c r="F1042" s="33">
        <v>0</v>
      </c>
      <c r="G1042">
        <v>0</v>
      </c>
      <c r="H1042" s="33">
        <v>0</v>
      </c>
      <c r="I1042" s="33">
        <v>0</v>
      </c>
      <c r="J1042" s="33">
        <v>0</v>
      </c>
    </row>
    <row r="1043" spans="1:10">
      <c r="A1043">
        <v>6</v>
      </c>
      <c r="B1043" t="s">
        <v>1126</v>
      </c>
      <c r="C1043" t="s">
        <v>488</v>
      </c>
      <c r="E1043" t="s">
        <v>127</v>
      </c>
      <c r="F1043" s="33">
        <v>0</v>
      </c>
      <c r="G1043">
        <v>0</v>
      </c>
      <c r="H1043" s="33">
        <v>0</v>
      </c>
      <c r="I1043" s="33">
        <v>238049</v>
      </c>
      <c r="J1043" s="33">
        <v>238049</v>
      </c>
    </row>
    <row r="1044" spans="1:10">
      <c r="A1044">
        <v>7</v>
      </c>
      <c r="B1044" t="s">
        <v>1126</v>
      </c>
      <c r="C1044" t="s">
        <v>1132</v>
      </c>
      <c r="E1044" t="s">
        <v>193</v>
      </c>
      <c r="F1044" s="33">
        <v>0</v>
      </c>
      <c r="G1044">
        <v>0</v>
      </c>
      <c r="H1044" s="33">
        <v>0</v>
      </c>
      <c r="I1044" s="33">
        <v>18487</v>
      </c>
      <c r="J1044" s="33">
        <v>18487</v>
      </c>
    </row>
    <row r="1045" spans="1:10">
      <c r="A1045">
        <v>8</v>
      </c>
      <c r="B1045" t="s">
        <v>1126</v>
      </c>
      <c r="C1045" t="s">
        <v>1133</v>
      </c>
      <c r="F1045" s="33">
        <v>0</v>
      </c>
      <c r="G1045">
        <v>0</v>
      </c>
      <c r="H1045" s="33">
        <v>0</v>
      </c>
      <c r="I1045" s="33">
        <v>36568</v>
      </c>
      <c r="J1045" s="33">
        <v>36568</v>
      </c>
    </row>
    <row r="1046" spans="1:10">
      <c r="A1046">
        <v>9</v>
      </c>
      <c r="B1046" t="s">
        <v>1126</v>
      </c>
      <c r="C1046" t="s">
        <v>1134</v>
      </c>
      <c r="E1046" t="s">
        <v>154</v>
      </c>
      <c r="F1046" s="33">
        <v>0</v>
      </c>
      <c r="G1046">
        <v>0</v>
      </c>
      <c r="H1046" s="33">
        <v>0</v>
      </c>
      <c r="I1046" s="33">
        <v>2155017</v>
      </c>
      <c r="J1046" s="33">
        <v>2155017</v>
      </c>
    </row>
    <row r="1047" spans="1:10">
      <c r="A1047">
        <v>10</v>
      </c>
      <c r="B1047" t="s">
        <v>1126</v>
      </c>
      <c r="C1047" t="s">
        <v>1135</v>
      </c>
      <c r="E1047" t="s">
        <v>131</v>
      </c>
      <c r="F1047" s="33">
        <v>0</v>
      </c>
      <c r="G1047">
        <v>0</v>
      </c>
      <c r="H1047" s="33">
        <v>0</v>
      </c>
      <c r="I1047" s="33">
        <v>1270000</v>
      </c>
      <c r="J1047" s="33">
        <v>1270000</v>
      </c>
    </row>
    <row r="1048" spans="1:10">
      <c r="A1048">
        <v>11</v>
      </c>
      <c r="B1048" t="s">
        <v>1126</v>
      </c>
      <c r="C1048" t="s">
        <v>1136</v>
      </c>
      <c r="F1048" s="33">
        <v>0</v>
      </c>
      <c r="G1048">
        <v>0</v>
      </c>
      <c r="H1048" s="33">
        <v>0</v>
      </c>
      <c r="I1048" s="33">
        <v>5726</v>
      </c>
      <c r="J1048" s="33">
        <v>5726</v>
      </c>
    </row>
    <row r="1049" spans="1:10">
      <c r="A1049">
        <v>12</v>
      </c>
      <c r="B1049" t="s">
        <v>1126</v>
      </c>
      <c r="C1049" t="s">
        <v>1137</v>
      </c>
      <c r="E1049" t="s">
        <v>127</v>
      </c>
      <c r="F1049" s="33">
        <v>0</v>
      </c>
      <c r="G1049">
        <v>0</v>
      </c>
      <c r="H1049" s="33">
        <v>0</v>
      </c>
      <c r="I1049" s="33">
        <v>4483</v>
      </c>
      <c r="J1049" s="33">
        <v>4483</v>
      </c>
    </row>
    <row r="1050" spans="1:10">
      <c r="A1050">
        <v>13</v>
      </c>
      <c r="B1050" t="s">
        <v>1126</v>
      </c>
      <c r="C1050" t="s">
        <v>1138</v>
      </c>
      <c r="E1050" t="s">
        <v>131</v>
      </c>
      <c r="F1050" s="33">
        <v>0</v>
      </c>
      <c r="G1050">
        <v>0</v>
      </c>
      <c r="H1050" s="33">
        <v>0</v>
      </c>
      <c r="I1050" s="33">
        <v>3741863</v>
      </c>
      <c r="J1050" s="33">
        <v>3741863</v>
      </c>
    </row>
    <row r="1051" spans="1:10">
      <c r="A1051">
        <v>14</v>
      </c>
      <c r="B1051" t="s">
        <v>1126</v>
      </c>
      <c r="C1051" t="s">
        <v>1139</v>
      </c>
      <c r="E1051" t="s">
        <v>127</v>
      </c>
      <c r="F1051" s="33">
        <v>0</v>
      </c>
      <c r="G1051">
        <v>0</v>
      </c>
      <c r="H1051" s="33">
        <v>0</v>
      </c>
      <c r="I1051" s="33">
        <v>506150</v>
      </c>
      <c r="J1051" s="33">
        <v>506150</v>
      </c>
    </row>
    <row r="1052" spans="1:10">
      <c r="A1052">
        <v>15</v>
      </c>
      <c r="B1052" t="s">
        <v>1126</v>
      </c>
      <c r="C1052" t="s">
        <v>1140</v>
      </c>
      <c r="E1052" t="s">
        <v>129</v>
      </c>
      <c r="F1052" s="33">
        <v>0</v>
      </c>
      <c r="G1052">
        <v>0</v>
      </c>
      <c r="H1052" s="33">
        <v>0</v>
      </c>
      <c r="I1052" s="33">
        <v>15044</v>
      </c>
      <c r="J1052" s="33">
        <v>15044</v>
      </c>
    </row>
    <row r="1053" spans="1:10">
      <c r="A1053">
        <v>16</v>
      </c>
      <c r="B1053" t="s">
        <v>1126</v>
      </c>
      <c r="C1053" t="s">
        <v>1141</v>
      </c>
      <c r="F1053" s="33">
        <v>0</v>
      </c>
      <c r="G1053">
        <v>0</v>
      </c>
      <c r="H1053" s="33">
        <v>0</v>
      </c>
      <c r="I1053" s="33">
        <v>157828</v>
      </c>
      <c r="J1053" s="33">
        <v>157828</v>
      </c>
    </row>
    <row r="1054" spans="1:10">
      <c r="A1054">
        <v>17</v>
      </c>
      <c r="B1054" t="s">
        <v>1126</v>
      </c>
      <c r="C1054" t="s">
        <v>1142</v>
      </c>
      <c r="E1054" t="s">
        <v>127</v>
      </c>
      <c r="F1054" s="33">
        <v>0</v>
      </c>
      <c r="G1054">
        <v>0</v>
      </c>
      <c r="H1054" s="33">
        <v>0</v>
      </c>
      <c r="I1054" s="33">
        <v>7784033</v>
      </c>
      <c r="J1054" s="33">
        <v>7784033</v>
      </c>
    </row>
    <row r="1055" spans="1:10">
      <c r="A1055">
        <v>18</v>
      </c>
      <c r="B1055" t="s">
        <v>1126</v>
      </c>
      <c r="C1055" t="s">
        <v>1143</v>
      </c>
      <c r="F1055" s="33">
        <v>0</v>
      </c>
      <c r="G1055">
        <v>0</v>
      </c>
      <c r="H1055" s="33">
        <v>0</v>
      </c>
      <c r="I1055" s="33">
        <v>55966</v>
      </c>
      <c r="J1055" s="33">
        <v>55966</v>
      </c>
    </row>
    <row r="1056" spans="1:10">
      <c r="A1056">
        <v>19</v>
      </c>
      <c r="B1056" t="s">
        <v>1126</v>
      </c>
      <c r="C1056" t="s">
        <v>545</v>
      </c>
      <c r="E1056" t="s">
        <v>136</v>
      </c>
      <c r="F1056" s="33">
        <v>0</v>
      </c>
      <c r="G1056">
        <v>0</v>
      </c>
      <c r="H1056" s="33">
        <v>0</v>
      </c>
      <c r="I1056" s="33">
        <v>7432</v>
      </c>
      <c r="J1056" s="33">
        <v>7432</v>
      </c>
    </row>
    <row r="1057" spans="1:10">
      <c r="A1057">
        <v>20</v>
      </c>
      <c r="B1057" t="s">
        <v>1126</v>
      </c>
      <c r="C1057" t="s">
        <v>1144</v>
      </c>
      <c r="F1057" s="33">
        <v>0</v>
      </c>
      <c r="G1057">
        <v>0</v>
      </c>
      <c r="H1057" s="33">
        <v>0</v>
      </c>
      <c r="I1057" s="33">
        <v>19287</v>
      </c>
      <c r="J1057" s="33">
        <v>19287</v>
      </c>
    </row>
    <row r="1058" spans="1:10">
      <c r="A1058">
        <v>21</v>
      </c>
      <c r="B1058" t="s">
        <v>1126</v>
      </c>
      <c r="C1058" t="s">
        <v>1145</v>
      </c>
      <c r="E1058" t="s">
        <v>131</v>
      </c>
      <c r="F1058" s="33">
        <v>0</v>
      </c>
      <c r="G1058">
        <v>0</v>
      </c>
      <c r="H1058" s="33">
        <v>0</v>
      </c>
      <c r="I1058" s="33">
        <v>73772</v>
      </c>
      <c r="J1058" s="33">
        <v>73772</v>
      </c>
    </row>
    <row r="1059" spans="1:10">
      <c r="A1059">
        <v>22</v>
      </c>
      <c r="B1059" t="s">
        <v>1126</v>
      </c>
      <c r="C1059" t="s">
        <v>1146</v>
      </c>
      <c r="E1059" t="s">
        <v>131</v>
      </c>
      <c r="F1059" s="33">
        <v>0</v>
      </c>
      <c r="G1059">
        <v>0</v>
      </c>
      <c r="H1059" s="33">
        <v>0</v>
      </c>
      <c r="I1059" s="33">
        <v>60000</v>
      </c>
      <c r="J1059" s="33">
        <v>60000</v>
      </c>
    </row>
    <row r="1060" spans="1:10">
      <c r="A1060">
        <v>23</v>
      </c>
      <c r="B1060" t="s">
        <v>1126</v>
      </c>
      <c r="C1060" t="s">
        <v>1147</v>
      </c>
      <c r="E1060" t="s">
        <v>191</v>
      </c>
      <c r="F1060" s="33">
        <v>0</v>
      </c>
      <c r="G1060">
        <v>0</v>
      </c>
      <c r="H1060" s="33">
        <v>0</v>
      </c>
      <c r="I1060" s="33">
        <v>156145</v>
      </c>
      <c r="J1060" s="33">
        <v>156145</v>
      </c>
    </row>
    <row r="1061" spans="1:10">
      <c r="A1061">
        <v>24</v>
      </c>
      <c r="B1061" t="s">
        <v>1126</v>
      </c>
      <c r="C1061" t="s">
        <v>1148</v>
      </c>
      <c r="F1061" s="33">
        <v>0</v>
      </c>
      <c r="G1061">
        <v>0</v>
      </c>
      <c r="H1061" s="33">
        <v>0</v>
      </c>
      <c r="I1061" s="33">
        <v>12536</v>
      </c>
      <c r="J1061" s="33">
        <v>12536</v>
      </c>
    </row>
    <row r="1062" spans="1:10">
      <c r="A1062">
        <v>25</v>
      </c>
      <c r="B1062" t="s">
        <v>1126</v>
      </c>
      <c r="C1062" t="s">
        <v>1149</v>
      </c>
      <c r="E1062" t="s">
        <v>193</v>
      </c>
      <c r="F1062" s="33">
        <v>0</v>
      </c>
      <c r="G1062">
        <v>0</v>
      </c>
      <c r="H1062" s="33">
        <v>0</v>
      </c>
      <c r="I1062" s="33">
        <v>306411</v>
      </c>
      <c r="J1062" s="33">
        <v>306411</v>
      </c>
    </row>
    <row r="1063" spans="1:10">
      <c r="A1063">
        <v>26</v>
      </c>
      <c r="B1063" t="s">
        <v>1126</v>
      </c>
      <c r="C1063" t="s">
        <v>1150</v>
      </c>
      <c r="E1063" t="s">
        <v>129</v>
      </c>
      <c r="F1063" s="33">
        <v>0</v>
      </c>
      <c r="G1063">
        <v>0</v>
      </c>
      <c r="H1063" s="33">
        <v>0</v>
      </c>
      <c r="I1063" s="33">
        <v>381071</v>
      </c>
      <c r="J1063" s="33">
        <v>381071</v>
      </c>
    </row>
    <row r="1064" spans="1:10">
      <c r="A1064">
        <v>27</v>
      </c>
      <c r="B1064" t="s">
        <v>1126</v>
      </c>
      <c r="C1064" t="s">
        <v>1151</v>
      </c>
      <c r="F1064" s="33">
        <v>0</v>
      </c>
      <c r="G1064">
        <v>0</v>
      </c>
      <c r="H1064" s="33">
        <v>0</v>
      </c>
      <c r="I1064" s="33">
        <v>126654</v>
      </c>
      <c r="J1064" s="33">
        <v>126654</v>
      </c>
    </row>
    <row r="1065" spans="1:10">
      <c r="A1065">
        <v>28</v>
      </c>
      <c r="B1065" t="s">
        <v>1126</v>
      </c>
      <c r="C1065" t="s">
        <v>1152</v>
      </c>
      <c r="F1065" s="33">
        <v>0</v>
      </c>
      <c r="G1065">
        <v>0</v>
      </c>
      <c r="H1065" s="33">
        <v>0</v>
      </c>
      <c r="I1065" s="33">
        <v>30652</v>
      </c>
      <c r="J1065" s="33">
        <v>30652</v>
      </c>
    </row>
    <row r="1066" spans="1:10">
      <c r="A1066">
        <v>29</v>
      </c>
      <c r="B1066" t="s">
        <v>1126</v>
      </c>
      <c r="C1066" t="s">
        <v>1153</v>
      </c>
      <c r="E1066" t="s">
        <v>193</v>
      </c>
      <c r="F1066" s="33">
        <v>0</v>
      </c>
      <c r="G1066">
        <v>0</v>
      </c>
      <c r="H1066" s="33">
        <v>0</v>
      </c>
      <c r="I1066" s="33">
        <v>378192</v>
      </c>
      <c r="J1066" s="33">
        <v>378192</v>
      </c>
    </row>
    <row r="1067" spans="1:10">
      <c r="A1067">
        <v>30</v>
      </c>
      <c r="B1067" t="s">
        <v>1126</v>
      </c>
      <c r="C1067" t="s">
        <v>1154</v>
      </c>
      <c r="E1067" t="s">
        <v>131</v>
      </c>
      <c r="F1067" s="33">
        <v>0</v>
      </c>
      <c r="G1067">
        <v>0</v>
      </c>
      <c r="H1067" s="33">
        <v>0</v>
      </c>
      <c r="I1067" s="33">
        <v>5726</v>
      </c>
      <c r="J1067" s="33">
        <v>5726</v>
      </c>
    </row>
    <row r="1068" spans="1:10">
      <c r="A1068">
        <v>31</v>
      </c>
      <c r="B1068" t="s">
        <v>1126</v>
      </c>
      <c r="C1068" t="s">
        <v>1155</v>
      </c>
      <c r="E1068" t="s">
        <v>127</v>
      </c>
      <c r="F1068" s="33">
        <v>0</v>
      </c>
      <c r="G1068">
        <v>0</v>
      </c>
      <c r="H1068" s="33">
        <v>0</v>
      </c>
      <c r="I1068" s="33">
        <v>4015456</v>
      </c>
      <c r="J1068" s="33">
        <v>4015456</v>
      </c>
    </row>
    <row r="1069" spans="1:10">
      <c r="A1069">
        <v>32</v>
      </c>
      <c r="B1069" t="s">
        <v>1126</v>
      </c>
      <c r="C1069" t="s">
        <v>1156</v>
      </c>
      <c r="F1069" s="33">
        <v>0</v>
      </c>
      <c r="G1069">
        <v>0</v>
      </c>
      <c r="H1069" s="33">
        <v>0</v>
      </c>
      <c r="I1069" s="33">
        <v>313957</v>
      </c>
      <c r="J1069" s="33">
        <v>313957</v>
      </c>
    </row>
    <row r="1070" spans="1:10">
      <c r="A1070">
        <v>33</v>
      </c>
      <c r="B1070" t="s">
        <v>1126</v>
      </c>
      <c r="C1070" t="s">
        <v>1157</v>
      </c>
      <c r="E1070" t="s">
        <v>193</v>
      </c>
      <c r="F1070" s="33">
        <v>0</v>
      </c>
      <c r="G1070">
        <v>0</v>
      </c>
      <c r="H1070" s="33">
        <v>0</v>
      </c>
      <c r="I1070" s="33">
        <v>439839</v>
      </c>
      <c r="J1070" s="33">
        <v>439839</v>
      </c>
    </row>
    <row r="1071" spans="1:10">
      <c r="A1071">
        <v>34</v>
      </c>
      <c r="B1071" t="s">
        <v>1126</v>
      </c>
      <c r="C1071" t="s">
        <v>1158</v>
      </c>
      <c r="F1071" s="33">
        <v>0</v>
      </c>
      <c r="G1071">
        <v>0</v>
      </c>
      <c r="H1071" s="33">
        <v>0</v>
      </c>
      <c r="I1071" s="33">
        <v>3805</v>
      </c>
      <c r="J1071" s="33">
        <v>3805</v>
      </c>
    </row>
    <row r="1072" spans="1:10">
      <c r="A1072">
        <v>35</v>
      </c>
      <c r="B1072" t="s">
        <v>1126</v>
      </c>
      <c r="C1072" t="s">
        <v>1159</v>
      </c>
      <c r="E1072" t="s">
        <v>127</v>
      </c>
      <c r="F1072" s="33">
        <v>0</v>
      </c>
      <c r="G1072">
        <v>0</v>
      </c>
      <c r="H1072" s="33">
        <v>0</v>
      </c>
      <c r="I1072" s="33">
        <v>2813572</v>
      </c>
      <c r="J1072" s="33">
        <v>2813572</v>
      </c>
    </row>
    <row r="1073" spans="1:10">
      <c r="A1073">
        <v>36</v>
      </c>
      <c r="B1073" t="s">
        <v>1126</v>
      </c>
      <c r="C1073" t="s">
        <v>1160</v>
      </c>
      <c r="E1073" t="s">
        <v>193</v>
      </c>
      <c r="F1073" s="33">
        <v>0</v>
      </c>
      <c r="G1073">
        <v>0</v>
      </c>
      <c r="H1073" s="33">
        <v>0</v>
      </c>
      <c r="I1073" s="33">
        <v>143451</v>
      </c>
      <c r="J1073" s="33">
        <v>143451</v>
      </c>
    </row>
    <row r="1074" spans="1:10">
      <c r="A1074">
        <v>37</v>
      </c>
      <c r="B1074" t="s">
        <v>1126</v>
      </c>
      <c r="C1074" t="s">
        <v>1161</v>
      </c>
      <c r="E1074" t="s">
        <v>129</v>
      </c>
      <c r="F1074" s="33">
        <v>0</v>
      </c>
      <c r="G1074">
        <v>0</v>
      </c>
      <c r="H1074" s="33">
        <v>0</v>
      </c>
      <c r="I1074" s="33">
        <v>6120728</v>
      </c>
      <c r="J1074" s="33">
        <v>6120728</v>
      </c>
    </row>
    <row r="1075" spans="1:10">
      <c r="A1075">
        <v>38</v>
      </c>
      <c r="B1075" t="s">
        <v>1126</v>
      </c>
      <c r="C1075" t="s">
        <v>1162</v>
      </c>
      <c r="E1075" t="s">
        <v>193</v>
      </c>
      <c r="F1075" s="33">
        <v>0</v>
      </c>
      <c r="G1075">
        <v>0</v>
      </c>
      <c r="H1075" s="33">
        <v>0</v>
      </c>
      <c r="I1075" s="33">
        <v>558953</v>
      </c>
      <c r="J1075" s="33">
        <v>558953</v>
      </c>
    </row>
    <row r="1076" spans="1:10">
      <c r="A1076">
        <v>39</v>
      </c>
      <c r="B1076" t="s">
        <v>1126</v>
      </c>
      <c r="C1076" t="s">
        <v>1163</v>
      </c>
      <c r="E1076" t="s">
        <v>127</v>
      </c>
      <c r="F1076" s="33">
        <v>0</v>
      </c>
      <c r="G1076">
        <v>0</v>
      </c>
      <c r="H1076" s="33">
        <v>0</v>
      </c>
      <c r="I1076" s="33">
        <v>11264408</v>
      </c>
      <c r="J1076" s="33">
        <v>11264408</v>
      </c>
    </row>
    <row r="1077" spans="1:10">
      <c r="A1077">
        <v>40</v>
      </c>
      <c r="B1077" t="s">
        <v>1126</v>
      </c>
      <c r="C1077" t="s">
        <v>1164</v>
      </c>
      <c r="F1077" s="33">
        <v>0</v>
      </c>
      <c r="G1077">
        <v>0</v>
      </c>
      <c r="H1077" s="33">
        <v>0</v>
      </c>
      <c r="I1077" s="33">
        <v>34521</v>
      </c>
      <c r="J1077" s="33">
        <v>34521</v>
      </c>
    </row>
    <row r="1078" spans="1:10">
      <c r="A1078">
        <v>41</v>
      </c>
      <c r="B1078" t="s">
        <v>1126</v>
      </c>
      <c r="C1078" t="s">
        <v>1165</v>
      </c>
      <c r="E1078" t="s">
        <v>131</v>
      </c>
      <c r="F1078" s="33">
        <v>0</v>
      </c>
      <c r="G1078">
        <v>0</v>
      </c>
      <c r="H1078" s="33">
        <v>0</v>
      </c>
      <c r="I1078" s="33">
        <v>600768</v>
      </c>
      <c r="J1078" s="33">
        <v>600768</v>
      </c>
    </row>
    <row r="1079" spans="1:10">
      <c r="A1079">
        <v>42</v>
      </c>
      <c r="B1079" t="s">
        <v>1126</v>
      </c>
      <c r="C1079" t="s">
        <v>523</v>
      </c>
      <c r="E1079" t="s">
        <v>131</v>
      </c>
      <c r="F1079" s="33">
        <v>0</v>
      </c>
      <c r="G1079">
        <v>0</v>
      </c>
      <c r="H1079" s="33">
        <v>0</v>
      </c>
      <c r="I1079" s="33">
        <v>44311</v>
      </c>
      <c r="J1079" s="33">
        <v>44311</v>
      </c>
    </row>
    <row r="1080" spans="1:10">
      <c r="A1080">
        <v>43</v>
      </c>
      <c r="B1080" t="s">
        <v>1126</v>
      </c>
      <c r="C1080" t="s">
        <v>1166</v>
      </c>
      <c r="E1080" t="s">
        <v>191</v>
      </c>
      <c r="F1080" s="33">
        <v>0</v>
      </c>
      <c r="G1080">
        <v>0</v>
      </c>
      <c r="H1080" s="33">
        <v>0</v>
      </c>
      <c r="I1080" s="33">
        <v>346515</v>
      </c>
      <c r="J1080" s="33">
        <v>346515</v>
      </c>
    </row>
    <row r="1081" spans="1:10">
      <c r="A1081">
        <v>44</v>
      </c>
      <c r="B1081" t="s">
        <v>1126</v>
      </c>
      <c r="C1081" t="s">
        <v>1167</v>
      </c>
      <c r="E1081" t="s">
        <v>193</v>
      </c>
      <c r="F1081" s="33">
        <v>0</v>
      </c>
      <c r="G1081">
        <v>0</v>
      </c>
      <c r="H1081" s="33">
        <v>0</v>
      </c>
      <c r="I1081" s="33">
        <v>416698</v>
      </c>
      <c r="J1081" s="33">
        <v>416698</v>
      </c>
    </row>
    <row r="1082" spans="1:10">
      <c r="A1082">
        <v>45</v>
      </c>
      <c r="B1082" t="s">
        <v>1126</v>
      </c>
      <c r="C1082" t="s">
        <v>1168</v>
      </c>
      <c r="E1082" t="s">
        <v>136</v>
      </c>
      <c r="F1082" s="33">
        <v>0</v>
      </c>
      <c r="G1082">
        <v>0</v>
      </c>
      <c r="H1082" s="33">
        <v>0</v>
      </c>
      <c r="I1082" s="33">
        <v>33523</v>
      </c>
      <c r="J1082" s="33">
        <v>33523</v>
      </c>
    </row>
    <row r="1083" spans="1:10">
      <c r="A1083">
        <v>46</v>
      </c>
      <c r="B1083" t="s">
        <v>1126</v>
      </c>
      <c r="C1083" t="s">
        <v>1169</v>
      </c>
      <c r="E1083" t="s">
        <v>131</v>
      </c>
      <c r="F1083" s="33">
        <v>0</v>
      </c>
      <c r="G1083">
        <v>0</v>
      </c>
      <c r="H1083" s="33">
        <v>0</v>
      </c>
      <c r="I1083" s="33">
        <v>120690</v>
      </c>
      <c r="J1083" s="33">
        <v>120690</v>
      </c>
    </row>
    <row r="1084" spans="1:10">
      <c r="A1084">
        <v>47</v>
      </c>
      <c r="B1084" t="s">
        <v>1126</v>
      </c>
      <c r="C1084" t="s">
        <v>1170</v>
      </c>
      <c r="F1084" s="33">
        <v>0</v>
      </c>
      <c r="G1084">
        <v>0</v>
      </c>
      <c r="H1084" s="33">
        <v>0</v>
      </c>
      <c r="I1084" s="33">
        <v>94532</v>
      </c>
      <c r="J1084" s="33">
        <v>94532</v>
      </c>
    </row>
    <row r="1085" spans="1:10">
      <c r="A1085">
        <v>48</v>
      </c>
      <c r="B1085" t="s">
        <v>1126</v>
      </c>
      <c r="C1085" t="s">
        <v>348</v>
      </c>
      <c r="E1085" t="s">
        <v>129</v>
      </c>
      <c r="F1085" s="33">
        <v>0</v>
      </c>
      <c r="G1085">
        <v>0</v>
      </c>
      <c r="H1085" s="33">
        <v>0</v>
      </c>
      <c r="I1085" s="33">
        <v>2033</v>
      </c>
      <c r="J1085" s="33">
        <v>2033</v>
      </c>
    </row>
    <row r="1086" spans="1:10">
      <c r="A1086">
        <v>49</v>
      </c>
      <c r="B1086" t="s">
        <v>1126</v>
      </c>
      <c r="C1086" t="s">
        <v>1171</v>
      </c>
      <c r="E1086" t="s">
        <v>131</v>
      </c>
      <c r="F1086" s="33">
        <v>0</v>
      </c>
      <c r="G1086">
        <v>0</v>
      </c>
      <c r="H1086" s="33">
        <v>0</v>
      </c>
      <c r="I1086" s="33">
        <v>107199</v>
      </c>
      <c r="J1086" s="33">
        <v>107199</v>
      </c>
    </row>
    <row r="1087" spans="1:10">
      <c r="A1087">
        <v>50</v>
      </c>
      <c r="B1087" t="s">
        <v>1126</v>
      </c>
      <c r="C1087" t="s">
        <v>1172</v>
      </c>
      <c r="F1087" s="33">
        <v>0</v>
      </c>
      <c r="G1087">
        <v>0</v>
      </c>
      <c r="H1087" s="33">
        <v>0</v>
      </c>
      <c r="I1087" s="33">
        <v>684806</v>
      </c>
      <c r="J1087" s="33">
        <v>684806</v>
      </c>
    </row>
    <row r="1088" spans="1:10">
      <c r="A1088">
        <v>51</v>
      </c>
      <c r="B1088" t="s">
        <v>1126</v>
      </c>
      <c r="C1088" t="s">
        <v>1173</v>
      </c>
      <c r="E1088" t="s">
        <v>193</v>
      </c>
      <c r="F1088" s="33">
        <v>0</v>
      </c>
      <c r="G1088">
        <v>0</v>
      </c>
      <c r="H1088" s="33">
        <v>0</v>
      </c>
      <c r="I1088" s="33">
        <v>171807</v>
      </c>
      <c r="J1088" s="33">
        <v>171807</v>
      </c>
    </row>
    <row r="1089" spans="1:10">
      <c r="A1089">
        <v>52</v>
      </c>
      <c r="B1089" t="s">
        <v>1126</v>
      </c>
      <c r="C1089" t="s">
        <v>1174</v>
      </c>
      <c r="E1089" t="s">
        <v>127</v>
      </c>
      <c r="F1089" s="33">
        <v>0</v>
      </c>
      <c r="G1089">
        <v>0</v>
      </c>
      <c r="H1089" s="33">
        <v>0</v>
      </c>
      <c r="I1089" s="33">
        <v>2280212</v>
      </c>
      <c r="J1089" s="33">
        <v>2280212</v>
      </c>
    </row>
    <row r="1090" spans="1:10">
      <c r="A1090">
        <v>53</v>
      </c>
      <c r="B1090" t="s">
        <v>1126</v>
      </c>
      <c r="C1090" t="s">
        <v>1175</v>
      </c>
      <c r="F1090" s="33">
        <v>0</v>
      </c>
      <c r="G1090">
        <v>0</v>
      </c>
      <c r="H1090" s="33">
        <v>0</v>
      </c>
      <c r="I1090" s="33">
        <v>38558</v>
      </c>
      <c r="J1090" s="33">
        <v>38558</v>
      </c>
    </row>
    <row r="1091" spans="1:10">
      <c r="A1091">
        <v>54</v>
      </c>
      <c r="B1091" t="s">
        <v>1126</v>
      </c>
      <c r="C1091" t="s">
        <v>1176</v>
      </c>
      <c r="F1091" s="33">
        <v>0</v>
      </c>
      <c r="G1091">
        <v>0</v>
      </c>
      <c r="H1091" s="33">
        <v>0</v>
      </c>
      <c r="I1091" s="33">
        <v>35625</v>
      </c>
      <c r="J1091" s="33">
        <v>35625</v>
      </c>
    </row>
    <row r="1092" spans="1:10">
      <c r="A1092">
        <v>55</v>
      </c>
      <c r="B1092" t="s">
        <v>1126</v>
      </c>
      <c r="C1092" t="s">
        <v>1177</v>
      </c>
      <c r="E1092" t="s">
        <v>154</v>
      </c>
      <c r="F1092" s="33">
        <v>0</v>
      </c>
      <c r="G1092">
        <v>0</v>
      </c>
      <c r="H1092" s="33">
        <v>0</v>
      </c>
      <c r="I1092" s="33">
        <v>1459015</v>
      </c>
      <c r="J1092" s="33">
        <v>1459015</v>
      </c>
    </row>
    <row r="1093" spans="1:10">
      <c r="A1093">
        <v>56</v>
      </c>
      <c r="B1093" t="s">
        <v>1126</v>
      </c>
      <c r="C1093" t="s">
        <v>1178</v>
      </c>
      <c r="E1093" t="s">
        <v>127</v>
      </c>
      <c r="F1093" s="33">
        <v>0</v>
      </c>
      <c r="G1093">
        <v>0</v>
      </c>
      <c r="H1093" s="33">
        <v>0</v>
      </c>
      <c r="I1093" s="33">
        <v>4884807</v>
      </c>
      <c r="J1093" s="33">
        <v>4884807</v>
      </c>
    </row>
    <row r="1094" spans="1:10">
      <c r="A1094">
        <v>57</v>
      </c>
      <c r="B1094" t="s">
        <v>1126</v>
      </c>
      <c r="C1094" t="s">
        <v>1179</v>
      </c>
      <c r="E1094" t="s">
        <v>148</v>
      </c>
      <c r="F1094" s="33">
        <v>0</v>
      </c>
      <c r="G1094">
        <v>0</v>
      </c>
      <c r="H1094" s="33">
        <v>0</v>
      </c>
      <c r="I1094" s="33">
        <v>672565</v>
      </c>
      <c r="J1094" s="33">
        <v>672565</v>
      </c>
    </row>
    <row r="1095" spans="1:10">
      <c r="A1095">
        <v>58</v>
      </c>
      <c r="B1095" t="s">
        <v>1126</v>
      </c>
      <c r="C1095" t="s">
        <v>1180</v>
      </c>
      <c r="E1095" t="s">
        <v>131</v>
      </c>
      <c r="F1095" s="33">
        <v>0</v>
      </c>
      <c r="G1095">
        <v>0</v>
      </c>
      <c r="H1095" s="33">
        <v>0</v>
      </c>
      <c r="I1095" s="33">
        <v>9780</v>
      </c>
      <c r="J1095" s="33">
        <v>9780</v>
      </c>
    </row>
    <row r="1096" spans="1:10">
      <c r="A1096">
        <v>59</v>
      </c>
      <c r="B1096" t="s">
        <v>1126</v>
      </c>
      <c r="C1096" t="s">
        <v>1181</v>
      </c>
      <c r="E1096" t="s">
        <v>193</v>
      </c>
      <c r="F1096" s="33">
        <v>0</v>
      </c>
      <c r="G1096">
        <v>0</v>
      </c>
      <c r="H1096" s="33">
        <v>0</v>
      </c>
      <c r="I1096" s="33">
        <v>1320000</v>
      </c>
      <c r="J1096" s="33">
        <v>1320000</v>
      </c>
    </row>
    <row r="1097" spans="1:10">
      <c r="A1097">
        <v>60</v>
      </c>
      <c r="B1097" t="s">
        <v>1126</v>
      </c>
      <c r="C1097" t="s">
        <v>1182</v>
      </c>
      <c r="F1097" s="33">
        <v>0</v>
      </c>
      <c r="G1097">
        <v>0</v>
      </c>
      <c r="H1097" s="33">
        <v>0</v>
      </c>
      <c r="I1097" s="33">
        <v>480000</v>
      </c>
      <c r="J1097" s="33">
        <v>480000</v>
      </c>
    </row>
    <row r="1098" spans="1:10">
      <c r="A1098">
        <v>61</v>
      </c>
      <c r="B1098" t="s">
        <v>1126</v>
      </c>
      <c r="C1098" t="s">
        <v>1183</v>
      </c>
      <c r="E1098" t="s">
        <v>136</v>
      </c>
      <c r="F1098" s="33">
        <v>0</v>
      </c>
      <c r="G1098">
        <v>0</v>
      </c>
      <c r="H1098" s="33">
        <v>0</v>
      </c>
      <c r="I1098" s="33">
        <v>338690</v>
      </c>
      <c r="J1098" s="33">
        <v>338690</v>
      </c>
    </row>
    <row r="1099" spans="1:10">
      <c r="A1099">
        <v>62</v>
      </c>
      <c r="B1099" t="s">
        <v>1126</v>
      </c>
      <c r="C1099" t="s">
        <v>1184</v>
      </c>
      <c r="F1099" s="33">
        <v>0</v>
      </c>
      <c r="G1099">
        <v>0</v>
      </c>
      <c r="H1099" s="33">
        <v>0</v>
      </c>
      <c r="I1099" s="33">
        <v>1863</v>
      </c>
      <c r="J1099" s="33">
        <v>1863</v>
      </c>
    </row>
    <row r="1100" spans="1:10">
      <c r="A1100">
        <v>63</v>
      </c>
      <c r="B1100" t="s">
        <v>1126</v>
      </c>
      <c r="C1100" t="s">
        <v>538</v>
      </c>
      <c r="E1100" t="s">
        <v>131</v>
      </c>
      <c r="F1100" s="33">
        <v>0</v>
      </c>
      <c r="G1100">
        <v>0</v>
      </c>
      <c r="H1100" s="33">
        <v>0</v>
      </c>
      <c r="I1100" s="33">
        <v>15069</v>
      </c>
      <c r="J1100" s="33">
        <v>15069</v>
      </c>
    </row>
    <row r="1101" spans="1:10">
      <c r="A1101">
        <v>64</v>
      </c>
      <c r="B1101" t="s">
        <v>1126</v>
      </c>
      <c r="C1101" t="s">
        <v>536</v>
      </c>
      <c r="E1101" t="s">
        <v>154</v>
      </c>
      <c r="F1101" s="33">
        <v>0</v>
      </c>
      <c r="G1101">
        <v>0</v>
      </c>
      <c r="H1101" s="33">
        <v>0</v>
      </c>
      <c r="I1101" s="33">
        <v>17177</v>
      </c>
      <c r="J1101" s="33">
        <v>17177</v>
      </c>
    </row>
    <row r="1102" spans="1:10">
      <c r="A1102">
        <v>65</v>
      </c>
      <c r="B1102" t="s">
        <v>1126</v>
      </c>
      <c r="C1102" t="s">
        <v>1185</v>
      </c>
      <c r="F1102" s="33">
        <v>0</v>
      </c>
      <c r="G1102">
        <v>0</v>
      </c>
      <c r="H1102" s="33">
        <v>0</v>
      </c>
      <c r="I1102" s="33">
        <v>42388</v>
      </c>
      <c r="J1102" s="33">
        <v>42388</v>
      </c>
    </row>
    <row r="1104" spans="1:10">
      <c r="A1104" t="s">
        <v>565</v>
      </c>
    </row>
    <row r="1105" spans="1:4">
      <c r="A1105" t="s">
        <v>566</v>
      </c>
    </row>
    <row r="1106" spans="1:4">
      <c r="A1106" t="s">
        <v>1055</v>
      </c>
    </row>
    <row r="1107" spans="1:4">
      <c r="A1107" t="s">
        <v>1056</v>
      </c>
    </row>
    <row r="1108" spans="1:4">
      <c r="A1108" t="s">
        <v>670</v>
      </c>
    </row>
    <row r="1109" spans="1:4">
      <c r="A1109" t="s">
        <v>671</v>
      </c>
    </row>
    <row r="1110" spans="1:4">
      <c r="A1110" t="s">
        <v>952</v>
      </c>
    </row>
    <row r="1111" spans="1:4">
      <c r="A1111" t="s">
        <v>1186</v>
      </c>
    </row>
    <row r="1112" spans="1:4">
      <c r="A1112" t="s">
        <v>572</v>
      </c>
    </row>
    <row r="1114" spans="1:4">
      <c r="A1114" t="s">
        <v>22</v>
      </c>
      <c r="B1114" t="s">
        <v>573</v>
      </c>
      <c r="C1114" t="s">
        <v>574</v>
      </c>
      <c r="D1114" t="s">
        <v>575</v>
      </c>
    </row>
    <row r="1115" spans="1:4">
      <c r="A1115" t="s">
        <v>576</v>
      </c>
      <c r="B1115" t="s">
        <v>123</v>
      </c>
      <c r="C1115" t="s">
        <v>577</v>
      </c>
    </row>
    <row r="1116" spans="1:4">
      <c r="A1116" t="s">
        <v>578</v>
      </c>
      <c r="B1116" t="s">
        <v>579</v>
      </c>
    </row>
    <row r="1117" spans="1:4">
      <c r="A1117" t="s">
        <v>580</v>
      </c>
      <c r="B1117" t="s">
        <v>581</v>
      </c>
    </row>
    <row r="1118" spans="1:4">
      <c r="A1118" t="s">
        <v>582</v>
      </c>
      <c r="B1118" t="s">
        <v>583</v>
      </c>
    </row>
    <row r="1119" spans="1:4">
      <c r="A1119" t="s">
        <v>584</v>
      </c>
      <c r="B1119" t="s">
        <v>585</v>
      </c>
    </row>
    <row r="1120" spans="1:4">
      <c r="A1120" t="s">
        <v>584</v>
      </c>
    </row>
    <row r="1121" spans="1:10">
      <c r="A1121">
        <v>1</v>
      </c>
      <c r="B1121" t="s">
        <v>1126</v>
      </c>
      <c r="C1121" t="s">
        <v>1187</v>
      </c>
      <c r="F1121" s="33">
        <v>0</v>
      </c>
      <c r="G1121">
        <v>0</v>
      </c>
      <c r="H1121" s="33">
        <v>0</v>
      </c>
      <c r="I1121" s="33">
        <v>11347</v>
      </c>
      <c r="J1121" s="33">
        <v>11347</v>
      </c>
    </row>
    <row r="1122" spans="1:10">
      <c r="A1122">
        <v>2</v>
      </c>
      <c r="B1122" t="s">
        <v>1126</v>
      </c>
      <c r="C1122" t="s">
        <v>1188</v>
      </c>
      <c r="E1122" t="s">
        <v>131</v>
      </c>
      <c r="F1122" s="33">
        <v>0</v>
      </c>
      <c r="G1122">
        <v>0</v>
      </c>
      <c r="H1122" s="33">
        <v>0</v>
      </c>
      <c r="I1122" s="33">
        <v>1556202</v>
      </c>
      <c r="J1122" s="33">
        <v>1556202</v>
      </c>
    </row>
    <row r="1123" spans="1:10">
      <c r="A1123">
        <v>3</v>
      </c>
      <c r="B1123" t="s">
        <v>1126</v>
      </c>
      <c r="C1123" t="s">
        <v>1189</v>
      </c>
      <c r="E1123" t="s">
        <v>131</v>
      </c>
      <c r="F1123" s="33">
        <v>0</v>
      </c>
      <c r="G1123">
        <v>0</v>
      </c>
      <c r="H1123" s="33">
        <v>0</v>
      </c>
      <c r="I1123" s="33">
        <v>24077</v>
      </c>
      <c r="J1123" s="33">
        <v>24077</v>
      </c>
    </row>
    <row r="1124" spans="1:10">
      <c r="A1124">
        <v>4</v>
      </c>
      <c r="B1124" t="s">
        <v>1126</v>
      </c>
      <c r="C1124" t="s">
        <v>409</v>
      </c>
      <c r="E1124" t="s">
        <v>129</v>
      </c>
      <c r="F1124" s="33">
        <v>0</v>
      </c>
      <c r="G1124">
        <v>0</v>
      </c>
      <c r="H1124" s="33">
        <v>0</v>
      </c>
      <c r="I1124" s="33">
        <v>10079961</v>
      </c>
      <c r="J1124" s="33">
        <v>10079961</v>
      </c>
    </row>
    <row r="1125" spans="1:10">
      <c r="A1125">
        <v>5</v>
      </c>
      <c r="B1125" t="s">
        <v>1126</v>
      </c>
      <c r="C1125" t="s">
        <v>1190</v>
      </c>
      <c r="E1125" t="s">
        <v>148</v>
      </c>
      <c r="F1125" s="33">
        <v>0</v>
      </c>
      <c r="G1125">
        <v>0</v>
      </c>
      <c r="H1125" s="33">
        <v>0</v>
      </c>
      <c r="I1125" s="33">
        <v>51485</v>
      </c>
      <c r="J1125" s="33">
        <v>51485</v>
      </c>
    </row>
    <row r="1126" spans="1:10">
      <c r="A1126">
        <v>6</v>
      </c>
      <c r="B1126" t="s">
        <v>1126</v>
      </c>
      <c r="C1126" t="s">
        <v>1191</v>
      </c>
      <c r="E1126" t="s">
        <v>131</v>
      </c>
      <c r="F1126" s="33">
        <v>0</v>
      </c>
      <c r="G1126">
        <v>0</v>
      </c>
      <c r="H1126" s="33">
        <v>0</v>
      </c>
      <c r="I1126" s="33">
        <v>89226</v>
      </c>
      <c r="J1126" s="33">
        <v>89226</v>
      </c>
    </row>
    <row r="1127" spans="1:10">
      <c r="A1127">
        <v>7</v>
      </c>
      <c r="B1127" t="s">
        <v>1126</v>
      </c>
      <c r="C1127" t="s">
        <v>1192</v>
      </c>
      <c r="E1127" t="s">
        <v>193</v>
      </c>
      <c r="F1127" s="33">
        <v>0</v>
      </c>
      <c r="G1127">
        <v>0</v>
      </c>
      <c r="H1127" s="33">
        <v>0</v>
      </c>
      <c r="I1127" s="33">
        <v>81834</v>
      </c>
      <c r="J1127" s="33">
        <v>81834</v>
      </c>
    </row>
    <row r="1128" spans="1:10">
      <c r="A1128">
        <v>8</v>
      </c>
      <c r="B1128" t="s">
        <v>1126</v>
      </c>
      <c r="C1128" t="s">
        <v>497</v>
      </c>
      <c r="E1128" t="s">
        <v>131</v>
      </c>
      <c r="F1128" s="33">
        <v>0</v>
      </c>
      <c r="G1128">
        <v>0</v>
      </c>
      <c r="H1128" s="33">
        <v>0</v>
      </c>
      <c r="I1128" s="33">
        <v>175696</v>
      </c>
      <c r="J1128" s="33">
        <v>175696</v>
      </c>
    </row>
    <row r="1129" spans="1:10">
      <c r="A1129">
        <v>9</v>
      </c>
      <c r="B1129" t="s">
        <v>1126</v>
      </c>
      <c r="C1129" t="s">
        <v>1193</v>
      </c>
      <c r="E1129" t="s">
        <v>131</v>
      </c>
      <c r="F1129" s="33">
        <v>0</v>
      </c>
      <c r="G1129">
        <v>0</v>
      </c>
      <c r="H1129" s="33">
        <v>0</v>
      </c>
      <c r="I1129" s="33">
        <v>3314</v>
      </c>
      <c r="J1129" s="33">
        <v>3314</v>
      </c>
    </row>
    <row r="1130" spans="1:10">
      <c r="A1130">
        <v>10</v>
      </c>
      <c r="B1130" t="s">
        <v>1126</v>
      </c>
      <c r="C1130" t="s">
        <v>388</v>
      </c>
      <c r="E1130" t="s">
        <v>136</v>
      </c>
      <c r="F1130" s="33">
        <v>0</v>
      </c>
      <c r="G1130">
        <v>0</v>
      </c>
      <c r="H1130" s="33">
        <v>0</v>
      </c>
      <c r="I1130" s="33">
        <v>26796280</v>
      </c>
      <c r="J1130" s="33">
        <v>26796280</v>
      </c>
    </row>
    <row r="1131" spans="1:10">
      <c r="A1131">
        <v>11</v>
      </c>
      <c r="B1131" t="s">
        <v>1126</v>
      </c>
      <c r="C1131" t="s">
        <v>1194</v>
      </c>
      <c r="F1131" s="33">
        <v>0</v>
      </c>
      <c r="G1131">
        <v>0</v>
      </c>
      <c r="H1131" s="33">
        <v>0</v>
      </c>
      <c r="I1131" s="33">
        <v>278865</v>
      </c>
      <c r="J1131" s="33">
        <v>278865</v>
      </c>
    </row>
    <row r="1132" spans="1:10">
      <c r="A1132">
        <v>12</v>
      </c>
      <c r="B1132" t="s">
        <v>1126</v>
      </c>
      <c r="C1132" t="s">
        <v>535</v>
      </c>
      <c r="E1132" t="s">
        <v>131</v>
      </c>
      <c r="F1132" s="33">
        <v>0</v>
      </c>
      <c r="G1132">
        <v>0</v>
      </c>
      <c r="H1132" s="33">
        <v>0</v>
      </c>
      <c r="I1132" s="33">
        <v>18824</v>
      </c>
      <c r="J1132" s="33">
        <v>18824</v>
      </c>
    </row>
    <row r="1133" spans="1:10">
      <c r="A1133">
        <v>13</v>
      </c>
      <c r="B1133" t="s">
        <v>1126</v>
      </c>
      <c r="C1133" t="s">
        <v>1195</v>
      </c>
      <c r="E1133" t="s">
        <v>129</v>
      </c>
      <c r="F1133" s="33">
        <v>0</v>
      </c>
      <c r="G1133">
        <v>0</v>
      </c>
      <c r="H1133" s="33">
        <v>0</v>
      </c>
      <c r="I1133" s="33">
        <v>23276</v>
      </c>
      <c r="J1133" s="33">
        <v>23276</v>
      </c>
    </row>
    <row r="1134" spans="1:10">
      <c r="A1134">
        <v>14</v>
      </c>
      <c r="B1134" t="s">
        <v>1126</v>
      </c>
      <c r="C1134" t="s">
        <v>395</v>
      </c>
      <c r="E1134" t="s">
        <v>148</v>
      </c>
      <c r="F1134" s="33">
        <v>0</v>
      </c>
      <c r="G1134">
        <v>0</v>
      </c>
      <c r="H1134" s="33">
        <v>0</v>
      </c>
      <c r="I1134" s="33">
        <v>17241380</v>
      </c>
      <c r="J1134" s="33">
        <v>17241380</v>
      </c>
    </row>
    <row r="1135" spans="1:10">
      <c r="A1135">
        <v>15</v>
      </c>
      <c r="B1135" t="s">
        <v>1126</v>
      </c>
      <c r="C1135" t="s">
        <v>1196</v>
      </c>
      <c r="E1135" t="s">
        <v>148</v>
      </c>
      <c r="F1135" s="33">
        <v>0</v>
      </c>
      <c r="G1135">
        <v>0</v>
      </c>
      <c r="H1135" s="33">
        <v>0</v>
      </c>
      <c r="I1135" s="33">
        <v>1443658</v>
      </c>
      <c r="J1135" s="33">
        <v>1443658</v>
      </c>
    </row>
    <row r="1136" spans="1:10">
      <c r="A1136">
        <v>16</v>
      </c>
      <c r="B1136" t="s">
        <v>1126</v>
      </c>
      <c r="C1136" t="s">
        <v>462</v>
      </c>
      <c r="E1136" t="s">
        <v>127</v>
      </c>
      <c r="F1136" s="33">
        <v>0</v>
      </c>
      <c r="G1136">
        <v>0</v>
      </c>
      <c r="H1136" s="33">
        <v>0</v>
      </c>
      <c r="I1136" s="33">
        <v>669128</v>
      </c>
      <c r="J1136" s="33">
        <v>669128</v>
      </c>
    </row>
    <row r="1137" spans="1:10">
      <c r="A1137">
        <v>17</v>
      </c>
      <c r="B1137" t="s">
        <v>1126</v>
      </c>
      <c r="C1137" t="s">
        <v>446</v>
      </c>
      <c r="E1137" t="s">
        <v>131</v>
      </c>
      <c r="F1137" s="33">
        <v>0</v>
      </c>
      <c r="G1137">
        <v>0</v>
      </c>
      <c r="H1137" s="33">
        <v>0</v>
      </c>
      <c r="I1137" s="33">
        <v>1034623</v>
      </c>
      <c r="J1137" s="33">
        <v>1034623</v>
      </c>
    </row>
    <row r="1138" spans="1:10">
      <c r="A1138">
        <v>18</v>
      </c>
      <c r="B1138" t="s">
        <v>1126</v>
      </c>
      <c r="C1138" t="s">
        <v>1197</v>
      </c>
      <c r="E1138" t="s">
        <v>193</v>
      </c>
      <c r="F1138" s="33">
        <v>0</v>
      </c>
      <c r="G1138">
        <v>0</v>
      </c>
      <c r="H1138" s="33">
        <v>0</v>
      </c>
      <c r="I1138" s="33">
        <v>30000</v>
      </c>
      <c r="J1138" s="33">
        <v>30000</v>
      </c>
    </row>
    <row r="1139" spans="1:10">
      <c r="A1139">
        <v>19</v>
      </c>
      <c r="B1139" t="s">
        <v>1126</v>
      </c>
      <c r="C1139" t="s">
        <v>1198</v>
      </c>
      <c r="E1139" t="s">
        <v>127</v>
      </c>
      <c r="F1139" s="33">
        <v>0</v>
      </c>
      <c r="G1139">
        <v>0</v>
      </c>
      <c r="H1139" s="33">
        <v>0</v>
      </c>
      <c r="I1139" s="33">
        <v>79980</v>
      </c>
      <c r="J1139" s="33">
        <v>79980</v>
      </c>
    </row>
    <row r="1140" spans="1:10">
      <c r="A1140">
        <v>20</v>
      </c>
      <c r="B1140" t="s">
        <v>1126</v>
      </c>
      <c r="C1140" t="s">
        <v>1199</v>
      </c>
      <c r="E1140" t="s">
        <v>131</v>
      </c>
      <c r="F1140" s="33">
        <v>0</v>
      </c>
      <c r="G1140">
        <v>0</v>
      </c>
      <c r="H1140" s="33">
        <v>0</v>
      </c>
      <c r="I1140" s="33">
        <v>11037772</v>
      </c>
      <c r="J1140" s="33">
        <v>11037772</v>
      </c>
    </row>
    <row r="1141" spans="1:10">
      <c r="A1141">
        <v>21</v>
      </c>
      <c r="B1141" t="s">
        <v>1126</v>
      </c>
      <c r="C1141" t="s">
        <v>1200</v>
      </c>
      <c r="E1141" t="s">
        <v>129</v>
      </c>
      <c r="F1141" s="33">
        <v>0</v>
      </c>
      <c r="G1141">
        <v>0</v>
      </c>
      <c r="H1141" s="33">
        <v>0</v>
      </c>
      <c r="I1141" s="33">
        <v>11280</v>
      </c>
      <c r="J1141" s="33">
        <v>11280</v>
      </c>
    </row>
    <row r="1142" spans="1:10">
      <c r="A1142">
        <v>22</v>
      </c>
      <c r="B1142" t="s">
        <v>1126</v>
      </c>
      <c r="C1142" t="s">
        <v>1201</v>
      </c>
      <c r="E1142" t="s">
        <v>193</v>
      </c>
      <c r="F1142" s="33">
        <v>0</v>
      </c>
      <c r="G1142">
        <v>0</v>
      </c>
      <c r="H1142" s="33">
        <v>0</v>
      </c>
      <c r="I1142" s="33">
        <v>114402</v>
      </c>
      <c r="J1142" s="33">
        <v>114402</v>
      </c>
    </row>
    <row r="1143" spans="1:10">
      <c r="A1143">
        <v>23</v>
      </c>
      <c r="B1143" t="s">
        <v>1126</v>
      </c>
      <c r="C1143" t="s">
        <v>550</v>
      </c>
      <c r="E1143" t="s">
        <v>148</v>
      </c>
      <c r="F1143" s="33">
        <v>0</v>
      </c>
      <c r="G1143">
        <v>0</v>
      </c>
      <c r="H1143" s="33">
        <v>0</v>
      </c>
      <c r="I1143" s="33">
        <v>4482</v>
      </c>
      <c r="J1143" s="33">
        <v>4482</v>
      </c>
    </row>
    <row r="1144" spans="1:10">
      <c r="A1144">
        <v>24</v>
      </c>
      <c r="B1144" t="s">
        <v>1126</v>
      </c>
      <c r="C1144" t="s">
        <v>1202</v>
      </c>
      <c r="E1144" t="s">
        <v>127</v>
      </c>
      <c r="F1144" s="33">
        <v>0</v>
      </c>
      <c r="G1144">
        <v>0</v>
      </c>
      <c r="H1144" s="33">
        <v>0</v>
      </c>
      <c r="I1144" s="33">
        <v>6425179</v>
      </c>
      <c r="J1144" s="33">
        <v>6425179</v>
      </c>
    </row>
    <row r="1145" spans="1:10">
      <c r="A1145">
        <v>25</v>
      </c>
      <c r="B1145" t="s">
        <v>1126</v>
      </c>
      <c r="C1145" t="s">
        <v>1203</v>
      </c>
      <c r="F1145" s="33">
        <v>0</v>
      </c>
      <c r="G1145">
        <v>0</v>
      </c>
      <c r="H1145" s="33">
        <v>0</v>
      </c>
      <c r="I1145" s="33">
        <v>36355</v>
      </c>
      <c r="J1145" s="33">
        <v>36355</v>
      </c>
    </row>
    <row r="1146" spans="1:10">
      <c r="A1146">
        <v>26</v>
      </c>
      <c r="B1146" t="s">
        <v>1126</v>
      </c>
      <c r="C1146" t="s">
        <v>1204</v>
      </c>
      <c r="E1146" t="s">
        <v>127</v>
      </c>
      <c r="F1146" s="33">
        <v>0</v>
      </c>
      <c r="G1146">
        <v>0</v>
      </c>
      <c r="H1146" s="33">
        <v>0</v>
      </c>
      <c r="I1146" s="33">
        <v>1110000</v>
      </c>
      <c r="J1146" s="33">
        <v>1110000</v>
      </c>
    </row>
    <row r="1147" spans="1:10">
      <c r="A1147">
        <v>27</v>
      </c>
      <c r="B1147" t="s">
        <v>1126</v>
      </c>
      <c r="C1147" t="s">
        <v>1205</v>
      </c>
      <c r="E1147" t="s">
        <v>131</v>
      </c>
      <c r="F1147" s="33">
        <v>0</v>
      </c>
      <c r="G1147">
        <v>0</v>
      </c>
      <c r="H1147" s="33">
        <v>0</v>
      </c>
      <c r="I1147" s="33">
        <v>8134</v>
      </c>
      <c r="J1147" s="33">
        <v>8134</v>
      </c>
    </row>
    <row r="1148" spans="1:10">
      <c r="A1148">
        <v>28</v>
      </c>
      <c r="B1148" t="s">
        <v>1126</v>
      </c>
      <c r="C1148" t="s">
        <v>1206</v>
      </c>
      <c r="E1148" t="s">
        <v>131</v>
      </c>
      <c r="F1148" s="33">
        <v>0</v>
      </c>
      <c r="G1148">
        <v>0</v>
      </c>
      <c r="H1148" s="33">
        <v>0</v>
      </c>
      <c r="I1148" s="33">
        <v>2820000</v>
      </c>
      <c r="J1148" s="33">
        <v>2820000</v>
      </c>
    </row>
    <row r="1149" spans="1:10">
      <c r="A1149">
        <v>29</v>
      </c>
      <c r="B1149" t="s">
        <v>1126</v>
      </c>
      <c r="C1149" t="s">
        <v>1207</v>
      </c>
      <c r="E1149" t="s">
        <v>127</v>
      </c>
      <c r="F1149" s="33">
        <v>0</v>
      </c>
      <c r="G1149">
        <v>0</v>
      </c>
      <c r="H1149" s="33">
        <v>0</v>
      </c>
      <c r="I1149" s="33">
        <v>23337</v>
      </c>
      <c r="J1149" s="33">
        <v>23337</v>
      </c>
    </row>
    <row r="1150" spans="1:10">
      <c r="A1150">
        <v>30</v>
      </c>
      <c r="B1150" t="s">
        <v>1126</v>
      </c>
      <c r="C1150" t="s">
        <v>1208</v>
      </c>
      <c r="E1150" t="s">
        <v>127</v>
      </c>
      <c r="F1150" s="33">
        <v>0</v>
      </c>
      <c r="G1150">
        <v>0</v>
      </c>
      <c r="H1150" s="33">
        <v>0</v>
      </c>
      <c r="I1150" s="33">
        <v>15988889</v>
      </c>
      <c r="J1150" s="33">
        <v>15988889</v>
      </c>
    </row>
    <row r="1151" spans="1:10">
      <c r="A1151">
        <v>31</v>
      </c>
      <c r="B1151" t="s">
        <v>1126</v>
      </c>
      <c r="C1151" t="s">
        <v>1209</v>
      </c>
      <c r="E1151" t="s">
        <v>193</v>
      </c>
      <c r="F1151" s="33">
        <v>0</v>
      </c>
      <c r="G1151">
        <v>0</v>
      </c>
      <c r="H1151" s="33">
        <v>0</v>
      </c>
      <c r="I1151" s="33">
        <v>16919</v>
      </c>
      <c r="J1151" s="33">
        <v>16919</v>
      </c>
    </row>
    <row r="1152" spans="1:10">
      <c r="A1152">
        <v>32</v>
      </c>
      <c r="B1152" t="s">
        <v>1126</v>
      </c>
      <c r="C1152" t="s">
        <v>1210</v>
      </c>
      <c r="E1152" t="s">
        <v>136</v>
      </c>
      <c r="F1152" s="33">
        <v>0</v>
      </c>
      <c r="G1152">
        <v>0</v>
      </c>
      <c r="H1152" s="33">
        <v>0</v>
      </c>
      <c r="I1152" s="33">
        <v>1806679</v>
      </c>
      <c r="J1152" s="33">
        <v>1806679</v>
      </c>
    </row>
    <row r="1153" spans="1:10">
      <c r="A1153">
        <v>33</v>
      </c>
      <c r="B1153" t="s">
        <v>1126</v>
      </c>
      <c r="C1153" t="s">
        <v>1211</v>
      </c>
      <c r="E1153" t="s">
        <v>193</v>
      </c>
      <c r="F1153" s="33">
        <v>0</v>
      </c>
      <c r="G1153">
        <v>0</v>
      </c>
      <c r="H1153" s="33">
        <v>0</v>
      </c>
      <c r="I1153" s="33">
        <v>386634</v>
      </c>
      <c r="J1153" s="33">
        <v>386634</v>
      </c>
    </row>
    <row r="1154" spans="1:10">
      <c r="A1154">
        <v>34</v>
      </c>
      <c r="B1154" t="s">
        <v>1126</v>
      </c>
      <c r="C1154" t="s">
        <v>1212</v>
      </c>
      <c r="E1154" t="s">
        <v>136</v>
      </c>
      <c r="F1154" s="33">
        <v>0</v>
      </c>
      <c r="G1154">
        <v>0</v>
      </c>
      <c r="H1154" s="33">
        <v>0</v>
      </c>
      <c r="I1154" s="33">
        <v>209711</v>
      </c>
      <c r="J1154" s="33">
        <v>209711</v>
      </c>
    </row>
    <row r="1155" spans="1:10">
      <c r="A1155">
        <v>35</v>
      </c>
      <c r="B1155" t="s">
        <v>1126</v>
      </c>
      <c r="C1155" t="s">
        <v>1213</v>
      </c>
      <c r="E1155" t="s">
        <v>148</v>
      </c>
      <c r="F1155" s="33">
        <v>0</v>
      </c>
      <c r="G1155">
        <v>0</v>
      </c>
      <c r="H1155" s="33">
        <v>0</v>
      </c>
      <c r="I1155" s="33">
        <v>337786</v>
      </c>
      <c r="J1155" s="33">
        <v>337786</v>
      </c>
    </row>
    <row r="1156" spans="1:10">
      <c r="A1156">
        <v>36</v>
      </c>
      <c r="B1156" t="s">
        <v>1126</v>
      </c>
      <c r="C1156" t="s">
        <v>1214</v>
      </c>
      <c r="E1156" t="s">
        <v>193</v>
      </c>
      <c r="F1156" s="33">
        <v>0</v>
      </c>
      <c r="G1156">
        <v>0</v>
      </c>
      <c r="H1156" s="33">
        <v>0</v>
      </c>
      <c r="I1156" s="33">
        <v>169861</v>
      </c>
      <c r="J1156" s="33">
        <v>169861</v>
      </c>
    </row>
    <row r="1157" spans="1:10">
      <c r="A1157">
        <v>37</v>
      </c>
      <c r="B1157" t="s">
        <v>1126</v>
      </c>
      <c r="C1157" t="s">
        <v>1215</v>
      </c>
      <c r="E1157" t="s">
        <v>154</v>
      </c>
      <c r="F1157" s="33">
        <v>0</v>
      </c>
      <c r="G1157">
        <v>0</v>
      </c>
      <c r="H1157" s="33">
        <v>0</v>
      </c>
      <c r="I1157" s="33">
        <v>8595808</v>
      </c>
      <c r="J1157" s="33">
        <v>8595808</v>
      </c>
    </row>
    <row r="1158" spans="1:10">
      <c r="A1158">
        <v>38</v>
      </c>
      <c r="B1158" t="s">
        <v>1126</v>
      </c>
      <c r="C1158" t="s">
        <v>369</v>
      </c>
      <c r="E1158" t="s">
        <v>127</v>
      </c>
      <c r="F1158" s="33">
        <v>0</v>
      </c>
      <c r="G1158">
        <v>0</v>
      </c>
      <c r="H1158" s="33">
        <v>0</v>
      </c>
      <c r="I1158" s="33">
        <v>96755799</v>
      </c>
      <c r="J1158" s="33">
        <v>96755799</v>
      </c>
    </row>
    <row r="1159" spans="1:10">
      <c r="A1159">
        <v>39</v>
      </c>
      <c r="B1159" t="s">
        <v>1126</v>
      </c>
      <c r="C1159" t="s">
        <v>1216</v>
      </c>
      <c r="E1159" t="s">
        <v>136</v>
      </c>
      <c r="F1159" s="33">
        <v>0</v>
      </c>
      <c r="G1159">
        <v>0</v>
      </c>
      <c r="H1159" s="33">
        <v>0</v>
      </c>
      <c r="I1159" s="33">
        <v>28219</v>
      </c>
      <c r="J1159" s="33">
        <v>28219</v>
      </c>
    </row>
    <row r="1160" spans="1:10">
      <c r="A1160">
        <v>40</v>
      </c>
      <c r="B1160" t="s">
        <v>1126</v>
      </c>
      <c r="C1160" t="s">
        <v>1217</v>
      </c>
      <c r="E1160" t="s">
        <v>131</v>
      </c>
      <c r="F1160" s="33">
        <v>0</v>
      </c>
      <c r="G1160">
        <v>0</v>
      </c>
      <c r="H1160" s="33">
        <v>0</v>
      </c>
      <c r="I1160" s="33">
        <v>5737</v>
      </c>
      <c r="J1160" s="33">
        <v>5737</v>
      </c>
    </row>
    <row r="1161" spans="1:10">
      <c r="A1161">
        <v>41</v>
      </c>
      <c r="B1161" t="s">
        <v>1126</v>
      </c>
      <c r="C1161" t="s">
        <v>1218</v>
      </c>
      <c r="E1161" t="s">
        <v>131</v>
      </c>
      <c r="F1161" s="33">
        <v>0</v>
      </c>
      <c r="G1161">
        <v>0</v>
      </c>
      <c r="H1161" s="33">
        <v>0</v>
      </c>
      <c r="I1161" s="33">
        <v>1034133</v>
      </c>
      <c r="J1161" s="33">
        <v>1034133</v>
      </c>
    </row>
    <row r="1162" spans="1:10">
      <c r="A1162">
        <v>42</v>
      </c>
      <c r="B1162" t="s">
        <v>1126</v>
      </c>
      <c r="C1162" t="s">
        <v>1219</v>
      </c>
      <c r="E1162" t="s">
        <v>131</v>
      </c>
      <c r="F1162" s="33">
        <v>0</v>
      </c>
      <c r="G1162">
        <v>0</v>
      </c>
      <c r="H1162" s="33">
        <v>0</v>
      </c>
      <c r="I1162" s="33">
        <v>26334</v>
      </c>
      <c r="J1162" s="33">
        <v>26334</v>
      </c>
    </row>
    <row r="1163" spans="1:10">
      <c r="A1163">
        <v>43</v>
      </c>
      <c r="B1163" t="s">
        <v>1126</v>
      </c>
      <c r="C1163" t="s">
        <v>424</v>
      </c>
      <c r="E1163" t="s">
        <v>136</v>
      </c>
      <c r="F1163" s="33">
        <v>0</v>
      </c>
      <c r="G1163">
        <v>0</v>
      </c>
      <c r="H1163" s="33">
        <v>0</v>
      </c>
      <c r="I1163" s="33">
        <v>3791880</v>
      </c>
      <c r="J1163" s="33">
        <v>3791880</v>
      </c>
    </row>
    <row r="1164" spans="1:10">
      <c r="A1164">
        <v>44</v>
      </c>
      <c r="B1164" t="s">
        <v>1126</v>
      </c>
      <c r="C1164" t="s">
        <v>378</v>
      </c>
      <c r="E1164" t="s">
        <v>191</v>
      </c>
      <c r="F1164" s="33">
        <v>0</v>
      </c>
      <c r="G1164">
        <v>0</v>
      </c>
      <c r="H1164" s="33">
        <v>0</v>
      </c>
      <c r="I1164" s="33">
        <v>72506344</v>
      </c>
      <c r="J1164" s="33">
        <v>72506344</v>
      </c>
    </row>
    <row r="1165" spans="1:10">
      <c r="A1165">
        <v>45</v>
      </c>
      <c r="B1165" t="s">
        <v>1126</v>
      </c>
      <c r="C1165" t="s">
        <v>1220</v>
      </c>
      <c r="E1165" t="s">
        <v>127</v>
      </c>
      <c r="F1165" s="33">
        <v>0</v>
      </c>
      <c r="G1165">
        <v>0</v>
      </c>
      <c r="H1165" s="33">
        <v>0</v>
      </c>
      <c r="I1165" s="33">
        <v>3660871</v>
      </c>
      <c r="J1165" s="33">
        <v>3660871</v>
      </c>
    </row>
    <row r="1166" spans="1:10">
      <c r="A1166">
        <v>46</v>
      </c>
      <c r="B1166" t="s">
        <v>1126</v>
      </c>
      <c r="C1166" t="s">
        <v>483</v>
      </c>
      <c r="E1166" t="s">
        <v>131</v>
      </c>
      <c r="F1166" s="33">
        <v>0</v>
      </c>
      <c r="G1166">
        <v>0</v>
      </c>
      <c r="H1166" s="33">
        <v>0</v>
      </c>
      <c r="I1166" s="33">
        <v>300158</v>
      </c>
      <c r="J1166" s="33">
        <v>300158</v>
      </c>
    </row>
    <row r="1167" spans="1:10">
      <c r="A1167">
        <v>47</v>
      </c>
      <c r="B1167" t="s">
        <v>1126</v>
      </c>
      <c r="C1167" t="s">
        <v>1221</v>
      </c>
      <c r="E1167" t="s">
        <v>193</v>
      </c>
      <c r="F1167" s="33">
        <v>0</v>
      </c>
      <c r="G1167">
        <v>0</v>
      </c>
      <c r="H1167" s="33">
        <v>0</v>
      </c>
      <c r="I1167" s="33">
        <v>341673</v>
      </c>
      <c r="J1167" s="33">
        <v>341673</v>
      </c>
    </row>
    <row r="1168" spans="1:10">
      <c r="A1168">
        <v>48</v>
      </c>
      <c r="B1168" t="s">
        <v>1126</v>
      </c>
      <c r="C1168" t="s">
        <v>1222</v>
      </c>
      <c r="E1168" t="s">
        <v>129</v>
      </c>
      <c r="F1168" s="33">
        <v>0</v>
      </c>
      <c r="G1168">
        <v>0</v>
      </c>
      <c r="H1168" s="33">
        <v>0</v>
      </c>
      <c r="I1168" s="33">
        <v>2350000</v>
      </c>
      <c r="J1168" s="33">
        <v>2350000</v>
      </c>
    </row>
    <row r="1169" spans="1:10">
      <c r="A1169">
        <v>49</v>
      </c>
      <c r="B1169" t="s">
        <v>1126</v>
      </c>
      <c r="C1169" t="s">
        <v>1223</v>
      </c>
      <c r="E1169" t="s">
        <v>131</v>
      </c>
      <c r="F1169" s="33">
        <v>0</v>
      </c>
      <c r="G1169">
        <v>0</v>
      </c>
      <c r="H1169" s="33">
        <v>0</v>
      </c>
      <c r="I1169" s="33">
        <v>0</v>
      </c>
      <c r="J1169" s="33">
        <v>0</v>
      </c>
    </row>
    <row r="1170" spans="1:10">
      <c r="A1170">
        <v>50</v>
      </c>
      <c r="B1170" t="s">
        <v>1126</v>
      </c>
      <c r="C1170" t="s">
        <v>1224</v>
      </c>
      <c r="E1170" t="s">
        <v>131</v>
      </c>
      <c r="F1170" s="33">
        <v>0</v>
      </c>
      <c r="G1170">
        <v>0</v>
      </c>
      <c r="H1170" s="33">
        <v>0</v>
      </c>
      <c r="I1170" s="33">
        <v>57229</v>
      </c>
      <c r="J1170" s="33">
        <v>57229</v>
      </c>
    </row>
    <row r="1171" spans="1:10">
      <c r="A1171">
        <v>51</v>
      </c>
      <c r="B1171" t="s">
        <v>1126</v>
      </c>
      <c r="C1171" t="s">
        <v>379</v>
      </c>
      <c r="E1171" t="s">
        <v>131</v>
      </c>
      <c r="F1171" s="33">
        <v>0</v>
      </c>
      <c r="G1171">
        <v>0</v>
      </c>
      <c r="H1171" s="33">
        <v>0</v>
      </c>
      <c r="I1171" s="33">
        <v>56235548</v>
      </c>
      <c r="J1171" s="33">
        <v>56235548</v>
      </c>
    </row>
    <row r="1172" spans="1:10">
      <c r="A1172">
        <v>52</v>
      </c>
      <c r="B1172" t="s">
        <v>1126</v>
      </c>
      <c r="C1172" t="s">
        <v>1225</v>
      </c>
      <c r="E1172" t="s">
        <v>193</v>
      </c>
      <c r="F1172" s="33">
        <v>0</v>
      </c>
      <c r="G1172">
        <v>0</v>
      </c>
      <c r="H1172" s="33">
        <v>0</v>
      </c>
      <c r="I1172" s="33">
        <v>300741</v>
      </c>
      <c r="J1172" s="33">
        <v>300741</v>
      </c>
    </row>
    <row r="1173" spans="1:10">
      <c r="A1173">
        <v>53</v>
      </c>
      <c r="B1173" t="s">
        <v>1126</v>
      </c>
      <c r="C1173" t="s">
        <v>510</v>
      </c>
      <c r="E1173" t="s">
        <v>131</v>
      </c>
      <c r="F1173" s="33">
        <v>0</v>
      </c>
      <c r="G1173">
        <v>0</v>
      </c>
      <c r="H1173" s="33">
        <v>0</v>
      </c>
      <c r="I1173" s="33">
        <v>92700</v>
      </c>
      <c r="J1173" s="33">
        <v>92700</v>
      </c>
    </row>
    <row r="1174" spans="1:10">
      <c r="A1174">
        <v>54</v>
      </c>
      <c r="B1174" t="s">
        <v>1126</v>
      </c>
      <c r="C1174" t="s">
        <v>1226</v>
      </c>
      <c r="E1174" t="s">
        <v>148</v>
      </c>
      <c r="F1174" s="33">
        <v>0</v>
      </c>
      <c r="G1174">
        <v>0</v>
      </c>
      <c r="H1174" s="33">
        <v>0</v>
      </c>
      <c r="I1174" s="33">
        <v>1890232</v>
      </c>
      <c r="J1174" s="33">
        <v>1890232</v>
      </c>
    </row>
    <row r="1175" spans="1:10">
      <c r="A1175">
        <v>55</v>
      </c>
      <c r="B1175" t="s">
        <v>1126</v>
      </c>
      <c r="C1175" t="s">
        <v>1227</v>
      </c>
      <c r="E1175" t="s">
        <v>136</v>
      </c>
      <c r="F1175" s="33">
        <v>0</v>
      </c>
      <c r="G1175">
        <v>0</v>
      </c>
      <c r="H1175" s="33">
        <v>0</v>
      </c>
      <c r="I1175" s="33">
        <v>1440968</v>
      </c>
      <c r="J1175" s="33">
        <v>1440968</v>
      </c>
    </row>
    <row r="1176" spans="1:10">
      <c r="A1176">
        <v>56</v>
      </c>
      <c r="B1176" t="s">
        <v>1126</v>
      </c>
      <c r="C1176" t="s">
        <v>1228</v>
      </c>
      <c r="F1176" s="33">
        <v>0</v>
      </c>
      <c r="G1176">
        <v>0</v>
      </c>
      <c r="H1176" s="33">
        <v>0</v>
      </c>
      <c r="I1176" s="33">
        <v>7876</v>
      </c>
      <c r="J1176" s="33">
        <v>7876</v>
      </c>
    </row>
    <row r="1177" spans="1:10">
      <c r="A1177">
        <v>57</v>
      </c>
      <c r="B1177" t="s">
        <v>1126</v>
      </c>
      <c r="C1177" t="s">
        <v>1229</v>
      </c>
      <c r="E1177" t="s">
        <v>148</v>
      </c>
      <c r="F1177" s="33">
        <v>0</v>
      </c>
      <c r="G1177">
        <v>0</v>
      </c>
      <c r="H1177" s="33">
        <v>0</v>
      </c>
      <c r="I1177" s="33">
        <v>5101</v>
      </c>
      <c r="J1177" s="33">
        <v>5101</v>
      </c>
    </row>
    <row r="1178" spans="1:10">
      <c r="A1178">
        <v>58</v>
      </c>
      <c r="B1178" t="s">
        <v>1126</v>
      </c>
      <c r="C1178" t="s">
        <v>1230</v>
      </c>
      <c r="E1178" t="s">
        <v>136</v>
      </c>
      <c r="F1178" s="33">
        <v>0</v>
      </c>
      <c r="G1178">
        <v>0</v>
      </c>
      <c r="H1178" s="33">
        <v>0</v>
      </c>
      <c r="I1178" s="33">
        <v>63312</v>
      </c>
      <c r="J1178" s="33">
        <v>63312</v>
      </c>
    </row>
    <row r="1179" spans="1:10">
      <c r="A1179">
        <v>59</v>
      </c>
      <c r="B1179" t="s">
        <v>1126</v>
      </c>
      <c r="C1179" t="s">
        <v>1231</v>
      </c>
      <c r="E1179" t="s">
        <v>131</v>
      </c>
      <c r="F1179" s="33">
        <v>0</v>
      </c>
      <c r="G1179">
        <v>0</v>
      </c>
      <c r="H1179" s="33">
        <v>0</v>
      </c>
      <c r="I1179" s="33">
        <v>3670</v>
      </c>
      <c r="J1179" s="33">
        <v>3670</v>
      </c>
    </row>
    <row r="1180" spans="1:10">
      <c r="A1180">
        <v>60</v>
      </c>
      <c r="B1180" t="s">
        <v>1126</v>
      </c>
      <c r="C1180" t="s">
        <v>1232</v>
      </c>
      <c r="E1180" t="s">
        <v>148</v>
      </c>
      <c r="F1180" s="33">
        <v>0</v>
      </c>
      <c r="G1180">
        <v>0</v>
      </c>
      <c r="H1180" s="33">
        <v>0</v>
      </c>
      <c r="I1180" s="33">
        <v>3957193</v>
      </c>
      <c r="J1180" s="33">
        <v>3957193</v>
      </c>
    </row>
    <row r="1181" spans="1:10">
      <c r="A1181">
        <v>61</v>
      </c>
      <c r="B1181" t="s">
        <v>1126</v>
      </c>
      <c r="C1181" t="s">
        <v>1233</v>
      </c>
      <c r="E1181" t="s">
        <v>127</v>
      </c>
      <c r="F1181" s="33">
        <v>0</v>
      </c>
      <c r="G1181">
        <v>0</v>
      </c>
      <c r="H1181" s="33">
        <v>0</v>
      </c>
      <c r="I1181" s="33">
        <v>7330000</v>
      </c>
      <c r="J1181" s="33">
        <v>7330000</v>
      </c>
    </row>
    <row r="1182" spans="1:10">
      <c r="A1182">
        <v>62</v>
      </c>
      <c r="B1182" t="s">
        <v>1126</v>
      </c>
      <c r="C1182" t="s">
        <v>1234</v>
      </c>
      <c r="E1182" t="s">
        <v>193</v>
      </c>
      <c r="F1182" s="33">
        <v>0</v>
      </c>
      <c r="G1182">
        <v>0</v>
      </c>
      <c r="H1182" s="33">
        <v>0</v>
      </c>
      <c r="I1182" s="33">
        <v>234423</v>
      </c>
      <c r="J1182" s="33">
        <v>234423</v>
      </c>
    </row>
    <row r="1183" spans="1:10">
      <c r="A1183">
        <v>63</v>
      </c>
      <c r="B1183" t="s">
        <v>1126</v>
      </c>
      <c r="C1183" t="s">
        <v>1235</v>
      </c>
      <c r="E1183" t="s">
        <v>191</v>
      </c>
      <c r="F1183" s="33">
        <v>0</v>
      </c>
      <c r="G1183">
        <v>0</v>
      </c>
      <c r="H1183" s="33">
        <v>0</v>
      </c>
      <c r="I1183" s="33">
        <v>63802</v>
      </c>
      <c r="J1183" s="33">
        <v>63802</v>
      </c>
    </row>
    <row r="1184" spans="1:10">
      <c r="A1184">
        <v>64</v>
      </c>
      <c r="B1184" t="s">
        <v>1126</v>
      </c>
      <c r="C1184" t="s">
        <v>1236</v>
      </c>
      <c r="E1184" t="s">
        <v>131</v>
      </c>
      <c r="F1184" s="33">
        <v>0</v>
      </c>
      <c r="G1184">
        <v>0</v>
      </c>
      <c r="H1184" s="33">
        <v>0</v>
      </c>
      <c r="I1184" s="33">
        <v>16610</v>
      </c>
      <c r="J1184" s="33">
        <v>16610</v>
      </c>
    </row>
    <row r="1185" spans="1:10">
      <c r="A1185">
        <v>65</v>
      </c>
      <c r="B1185" t="s">
        <v>1126</v>
      </c>
      <c r="C1185" t="s">
        <v>1237</v>
      </c>
      <c r="E1185" t="s">
        <v>193</v>
      </c>
      <c r="F1185" s="33">
        <v>0</v>
      </c>
      <c r="G1185">
        <v>0</v>
      </c>
      <c r="H1185" s="33">
        <v>0</v>
      </c>
      <c r="I1185" s="33">
        <v>41914</v>
      </c>
      <c r="J1185" s="33">
        <v>41914</v>
      </c>
    </row>
    <row r="1186" spans="1:10">
      <c r="A1186">
        <v>66</v>
      </c>
      <c r="B1186" t="s">
        <v>1126</v>
      </c>
      <c r="C1186" t="s">
        <v>1238</v>
      </c>
      <c r="E1186" t="s">
        <v>148</v>
      </c>
      <c r="F1186" s="33">
        <v>0</v>
      </c>
      <c r="G1186">
        <v>0</v>
      </c>
      <c r="H1186" s="33">
        <v>0</v>
      </c>
      <c r="I1186" s="33">
        <v>2749490</v>
      </c>
      <c r="J1186" s="33">
        <v>2749490</v>
      </c>
    </row>
    <row r="1187" spans="1:10">
      <c r="A1187">
        <v>67</v>
      </c>
      <c r="B1187" t="s">
        <v>1126</v>
      </c>
      <c r="C1187" t="s">
        <v>1239</v>
      </c>
      <c r="E1187" t="s">
        <v>131</v>
      </c>
      <c r="F1187" s="33">
        <v>0</v>
      </c>
      <c r="G1187">
        <v>0</v>
      </c>
      <c r="H1187" s="33">
        <v>0</v>
      </c>
      <c r="I1187" s="33">
        <v>17934</v>
      </c>
      <c r="J1187" s="33">
        <v>17934</v>
      </c>
    </row>
    <row r="1188" spans="1:10">
      <c r="A1188">
        <v>68</v>
      </c>
      <c r="B1188" t="s">
        <v>1126</v>
      </c>
      <c r="C1188" t="s">
        <v>1240</v>
      </c>
      <c r="E1188" t="s">
        <v>136</v>
      </c>
      <c r="F1188" s="33">
        <v>0</v>
      </c>
      <c r="G1188">
        <v>0</v>
      </c>
      <c r="H1188" s="33">
        <v>0</v>
      </c>
      <c r="I1188" s="33">
        <v>13867066</v>
      </c>
      <c r="J1188" s="33">
        <v>13867066</v>
      </c>
    </row>
    <row r="1189" spans="1:10">
      <c r="A1189">
        <v>69</v>
      </c>
      <c r="B1189" t="s">
        <v>1126</v>
      </c>
      <c r="C1189" t="s">
        <v>1241</v>
      </c>
      <c r="F1189" s="33">
        <v>0</v>
      </c>
      <c r="G1189">
        <v>0</v>
      </c>
      <c r="H1189" s="33">
        <v>0</v>
      </c>
      <c r="I1189" s="33">
        <v>1706807</v>
      </c>
      <c r="J1189" s="33">
        <v>1706807</v>
      </c>
    </row>
    <row r="1190" spans="1:10">
      <c r="A1190">
        <v>70</v>
      </c>
      <c r="B1190" t="s">
        <v>1126</v>
      </c>
      <c r="C1190" t="s">
        <v>1242</v>
      </c>
      <c r="E1190" t="s">
        <v>131</v>
      </c>
      <c r="F1190" s="33">
        <v>0</v>
      </c>
      <c r="G1190">
        <v>0</v>
      </c>
      <c r="H1190" s="33">
        <v>0</v>
      </c>
      <c r="I1190" s="33">
        <v>129045</v>
      </c>
      <c r="J1190" s="33">
        <v>129045</v>
      </c>
    </row>
    <row r="1191" spans="1:10">
      <c r="A1191">
        <v>71</v>
      </c>
      <c r="B1191" t="s">
        <v>1126</v>
      </c>
      <c r="C1191" t="s">
        <v>1243</v>
      </c>
      <c r="E1191" t="s">
        <v>129</v>
      </c>
      <c r="F1191" s="33">
        <v>0</v>
      </c>
      <c r="G1191">
        <v>0</v>
      </c>
      <c r="H1191" s="33">
        <v>0</v>
      </c>
      <c r="I1191" s="33">
        <v>30994</v>
      </c>
      <c r="J1191" s="33">
        <v>30994</v>
      </c>
    </row>
    <row r="1192" spans="1:10">
      <c r="A1192">
        <v>72</v>
      </c>
      <c r="B1192" t="s">
        <v>1126</v>
      </c>
      <c r="C1192" t="s">
        <v>1244</v>
      </c>
      <c r="E1192" t="s">
        <v>129</v>
      </c>
      <c r="F1192" s="33">
        <v>0</v>
      </c>
      <c r="G1192">
        <v>0</v>
      </c>
      <c r="H1192" s="33">
        <v>0</v>
      </c>
      <c r="I1192" s="33">
        <v>6168544</v>
      </c>
      <c r="J1192" s="33">
        <v>6168544</v>
      </c>
    </row>
    <row r="1193" spans="1:10">
      <c r="A1193">
        <v>73</v>
      </c>
      <c r="B1193" t="s">
        <v>1126</v>
      </c>
      <c r="C1193" t="s">
        <v>1245</v>
      </c>
      <c r="E1193" t="s">
        <v>136</v>
      </c>
      <c r="F1193" s="33">
        <v>0</v>
      </c>
      <c r="G1193">
        <v>0</v>
      </c>
      <c r="H1193" s="33">
        <v>0</v>
      </c>
      <c r="I1193" s="33">
        <v>3713</v>
      </c>
      <c r="J1193" s="33">
        <v>3713</v>
      </c>
    </row>
    <row r="1194" spans="1:10">
      <c r="A1194">
        <v>74</v>
      </c>
      <c r="B1194" t="s">
        <v>1126</v>
      </c>
      <c r="C1194" t="s">
        <v>450</v>
      </c>
      <c r="E1194" t="s">
        <v>127</v>
      </c>
      <c r="F1194" s="33">
        <v>0</v>
      </c>
      <c r="G1194">
        <v>0</v>
      </c>
      <c r="H1194" s="33">
        <v>0</v>
      </c>
      <c r="I1194" s="33">
        <v>933589</v>
      </c>
      <c r="J1194" s="33">
        <v>933589</v>
      </c>
    </row>
    <row r="1195" spans="1:10">
      <c r="A1195">
        <v>75</v>
      </c>
      <c r="B1195" t="s">
        <v>1126</v>
      </c>
      <c r="C1195" t="s">
        <v>1246</v>
      </c>
      <c r="E1195" t="s">
        <v>136</v>
      </c>
      <c r="F1195" s="33">
        <v>0</v>
      </c>
      <c r="G1195">
        <v>0</v>
      </c>
      <c r="H1195" s="33">
        <v>0</v>
      </c>
      <c r="I1195" s="33">
        <v>35929</v>
      </c>
      <c r="J1195" s="33">
        <v>35929</v>
      </c>
    </row>
    <row r="1196" spans="1:10">
      <c r="A1196">
        <v>76</v>
      </c>
      <c r="B1196" t="s">
        <v>1126</v>
      </c>
      <c r="C1196" t="s">
        <v>1247</v>
      </c>
      <c r="E1196" t="s">
        <v>136</v>
      </c>
      <c r="F1196" s="33">
        <v>0</v>
      </c>
      <c r="G1196">
        <v>0</v>
      </c>
      <c r="H1196" s="33">
        <v>0</v>
      </c>
      <c r="I1196" s="33">
        <v>127225</v>
      </c>
      <c r="J1196" s="33">
        <v>127225</v>
      </c>
    </row>
    <row r="1197" spans="1:10">
      <c r="A1197">
        <v>77</v>
      </c>
      <c r="B1197" t="s">
        <v>1126</v>
      </c>
      <c r="C1197" t="s">
        <v>1248</v>
      </c>
      <c r="E1197" t="s">
        <v>131</v>
      </c>
      <c r="F1197" s="33">
        <v>0</v>
      </c>
      <c r="G1197">
        <v>0</v>
      </c>
      <c r="H1197" s="33">
        <v>0</v>
      </c>
      <c r="I1197" s="33">
        <v>5178</v>
      </c>
      <c r="J1197" s="33">
        <v>5178</v>
      </c>
    </row>
    <row r="1198" spans="1:10">
      <c r="A1198">
        <v>78</v>
      </c>
      <c r="B1198" t="s">
        <v>1126</v>
      </c>
      <c r="C1198" t="s">
        <v>427</v>
      </c>
      <c r="E1198" t="s">
        <v>148</v>
      </c>
      <c r="F1198" s="33">
        <v>0</v>
      </c>
      <c r="G1198">
        <v>0</v>
      </c>
      <c r="H1198" s="33">
        <v>0</v>
      </c>
      <c r="I1198" s="33">
        <v>3026917</v>
      </c>
      <c r="J1198" s="33">
        <v>3026917</v>
      </c>
    </row>
    <row r="1199" spans="1:10">
      <c r="A1199">
        <v>79</v>
      </c>
      <c r="B1199" t="s">
        <v>1126</v>
      </c>
      <c r="C1199" t="s">
        <v>1249</v>
      </c>
      <c r="E1199" t="s">
        <v>148</v>
      </c>
      <c r="F1199" s="33">
        <v>0</v>
      </c>
      <c r="G1199">
        <v>0</v>
      </c>
      <c r="H1199" s="33">
        <v>0</v>
      </c>
      <c r="I1199" s="33">
        <v>8878</v>
      </c>
      <c r="J1199" s="33">
        <v>8878</v>
      </c>
    </row>
    <row r="1200" spans="1:10">
      <c r="A1200">
        <v>80</v>
      </c>
      <c r="B1200" t="s">
        <v>1126</v>
      </c>
      <c r="C1200" t="s">
        <v>430</v>
      </c>
      <c r="E1200" t="s">
        <v>136</v>
      </c>
      <c r="F1200" s="33">
        <v>0</v>
      </c>
      <c r="G1200">
        <v>0</v>
      </c>
      <c r="H1200" s="33">
        <v>0</v>
      </c>
      <c r="I1200" s="33">
        <v>2814977</v>
      </c>
      <c r="J1200" s="33">
        <v>2814977</v>
      </c>
    </row>
    <row r="1201" spans="1:10">
      <c r="A1201">
        <v>81</v>
      </c>
      <c r="B1201" t="s">
        <v>1126</v>
      </c>
      <c r="C1201" t="s">
        <v>1250</v>
      </c>
      <c r="E1201" t="s">
        <v>154</v>
      </c>
      <c r="F1201" s="33">
        <v>0</v>
      </c>
      <c r="G1201">
        <v>0</v>
      </c>
      <c r="H1201" s="33">
        <v>0</v>
      </c>
      <c r="I1201" s="33">
        <v>637626</v>
      </c>
      <c r="J1201" s="33">
        <v>637626</v>
      </c>
    </row>
    <row r="1202" spans="1:10">
      <c r="A1202">
        <v>82</v>
      </c>
      <c r="B1202" t="s">
        <v>1126</v>
      </c>
      <c r="C1202" t="s">
        <v>526</v>
      </c>
      <c r="F1202" s="33">
        <v>0</v>
      </c>
      <c r="G1202">
        <v>0</v>
      </c>
      <c r="H1202" s="33">
        <v>0</v>
      </c>
      <c r="I1202" s="33">
        <v>32405</v>
      </c>
      <c r="J1202" s="33">
        <v>32405</v>
      </c>
    </row>
    <row r="1203" spans="1:10">
      <c r="A1203">
        <v>83</v>
      </c>
      <c r="B1203" t="s">
        <v>1126</v>
      </c>
      <c r="C1203" t="s">
        <v>417</v>
      </c>
      <c r="E1203" t="s">
        <v>253</v>
      </c>
      <c r="F1203" s="33">
        <v>0</v>
      </c>
      <c r="G1203">
        <v>0</v>
      </c>
      <c r="H1203" s="33">
        <v>0</v>
      </c>
      <c r="I1203" s="33">
        <v>5957524</v>
      </c>
      <c r="J1203" s="33">
        <v>5957524</v>
      </c>
    </row>
    <row r="1204" spans="1:10">
      <c r="A1204">
        <v>84</v>
      </c>
      <c r="B1204" t="s">
        <v>1126</v>
      </c>
      <c r="C1204" t="s">
        <v>1251</v>
      </c>
      <c r="E1204" t="s">
        <v>148</v>
      </c>
      <c r="F1204" s="33">
        <v>0</v>
      </c>
      <c r="G1204">
        <v>0</v>
      </c>
      <c r="H1204" s="33">
        <v>0</v>
      </c>
      <c r="I1204" s="33">
        <v>1039439</v>
      </c>
      <c r="J1204" s="33">
        <v>1039439</v>
      </c>
    </row>
    <row r="1205" spans="1:10">
      <c r="A1205">
        <v>85</v>
      </c>
      <c r="B1205" t="s">
        <v>1126</v>
      </c>
      <c r="C1205" t="s">
        <v>1252</v>
      </c>
      <c r="E1205" t="s">
        <v>131</v>
      </c>
      <c r="F1205" s="33">
        <v>0</v>
      </c>
      <c r="G1205">
        <v>0</v>
      </c>
      <c r="H1205" s="33">
        <v>0</v>
      </c>
      <c r="I1205" s="33">
        <v>14335</v>
      </c>
      <c r="J1205" s="33">
        <v>14335</v>
      </c>
    </row>
    <row r="1206" spans="1:10">
      <c r="A1206">
        <v>86</v>
      </c>
      <c r="B1206" t="s">
        <v>1126</v>
      </c>
      <c r="C1206" t="s">
        <v>1253</v>
      </c>
      <c r="E1206" t="s">
        <v>131</v>
      </c>
      <c r="F1206" s="33">
        <v>0</v>
      </c>
      <c r="G1206">
        <v>0</v>
      </c>
      <c r="H1206" s="33">
        <v>0</v>
      </c>
      <c r="I1206" s="33">
        <v>141578</v>
      </c>
      <c r="J1206" s="33">
        <v>141578</v>
      </c>
    </row>
    <row r="1207" spans="1:10">
      <c r="A1207">
        <v>87</v>
      </c>
      <c r="B1207" t="s">
        <v>1126</v>
      </c>
      <c r="C1207" t="s">
        <v>1254</v>
      </c>
      <c r="E1207" t="s">
        <v>127</v>
      </c>
      <c r="F1207" s="33">
        <v>0</v>
      </c>
      <c r="G1207">
        <v>0</v>
      </c>
      <c r="H1207" s="33">
        <v>0</v>
      </c>
      <c r="I1207" s="33">
        <v>1653264</v>
      </c>
      <c r="J1207" s="33">
        <v>1653264</v>
      </c>
    </row>
    <row r="1208" spans="1:10">
      <c r="A1208">
        <v>88</v>
      </c>
      <c r="B1208" t="s">
        <v>1126</v>
      </c>
      <c r="C1208" t="s">
        <v>1255</v>
      </c>
      <c r="E1208" t="s">
        <v>131</v>
      </c>
      <c r="F1208" s="33">
        <v>0</v>
      </c>
      <c r="G1208">
        <v>0</v>
      </c>
      <c r="H1208" s="33">
        <v>0</v>
      </c>
      <c r="I1208" s="33">
        <v>5921481</v>
      </c>
      <c r="J1208" s="33">
        <v>5921481</v>
      </c>
    </row>
    <row r="1209" spans="1:10">
      <c r="A1209">
        <v>89</v>
      </c>
      <c r="B1209" t="s">
        <v>1126</v>
      </c>
      <c r="C1209" t="s">
        <v>515</v>
      </c>
      <c r="E1209" t="s">
        <v>154</v>
      </c>
      <c r="F1209" s="33">
        <v>0</v>
      </c>
      <c r="G1209">
        <v>0</v>
      </c>
      <c r="H1209" s="33">
        <v>0</v>
      </c>
      <c r="I1209" s="33">
        <v>65915</v>
      </c>
      <c r="J1209" s="33">
        <v>65915</v>
      </c>
    </row>
    <row r="1210" spans="1:10">
      <c r="A1210">
        <v>90</v>
      </c>
      <c r="B1210" t="s">
        <v>1126</v>
      </c>
      <c r="C1210" t="s">
        <v>1256</v>
      </c>
      <c r="E1210" t="s">
        <v>127</v>
      </c>
      <c r="F1210" s="33">
        <v>0</v>
      </c>
      <c r="G1210">
        <v>0</v>
      </c>
      <c r="H1210" s="33">
        <v>0</v>
      </c>
      <c r="I1210" s="33">
        <v>600000</v>
      </c>
      <c r="J1210" s="33">
        <v>600000</v>
      </c>
    </row>
    <row r="1211" spans="1:10">
      <c r="A1211">
        <v>91</v>
      </c>
      <c r="B1211" t="s">
        <v>1126</v>
      </c>
      <c r="C1211" t="s">
        <v>1257</v>
      </c>
      <c r="E1211" t="s">
        <v>193</v>
      </c>
      <c r="F1211" s="33">
        <v>0</v>
      </c>
      <c r="G1211">
        <v>0</v>
      </c>
      <c r="H1211" s="33">
        <v>0</v>
      </c>
      <c r="I1211" s="33">
        <v>337323</v>
      </c>
      <c r="J1211" s="33">
        <v>337323</v>
      </c>
    </row>
    <row r="1212" spans="1:10">
      <c r="A1212">
        <v>92</v>
      </c>
      <c r="B1212" t="s">
        <v>1126</v>
      </c>
      <c r="C1212" t="s">
        <v>1258</v>
      </c>
      <c r="E1212" t="s">
        <v>148</v>
      </c>
      <c r="F1212" s="33">
        <v>0</v>
      </c>
      <c r="G1212">
        <v>0</v>
      </c>
      <c r="H1212" s="33">
        <v>0</v>
      </c>
      <c r="I1212" s="33">
        <v>83595</v>
      </c>
      <c r="J1212" s="33">
        <v>83595</v>
      </c>
    </row>
    <row r="1213" spans="1:10">
      <c r="A1213">
        <v>93</v>
      </c>
      <c r="B1213" t="s">
        <v>1126</v>
      </c>
      <c r="C1213" t="s">
        <v>466</v>
      </c>
      <c r="E1213" t="s">
        <v>136</v>
      </c>
      <c r="F1213" s="33">
        <v>0</v>
      </c>
      <c r="G1213">
        <v>0</v>
      </c>
      <c r="H1213" s="33">
        <v>0</v>
      </c>
      <c r="I1213" s="33">
        <v>544914</v>
      </c>
      <c r="J1213" s="33">
        <v>544914</v>
      </c>
    </row>
    <row r="1214" spans="1:10">
      <c r="A1214">
        <v>94</v>
      </c>
      <c r="B1214" t="s">
        <v>1126</v>
      </c>
      <c r="C1214" t="s">
        <v>1259</v>
      </c>
      <c r="E1214" t="s">
        <v>131</v>
      </c>
      <c r="F1214" s="33">
        <v>0</v>
      </c>
      <c r="G1214">
        <v>0</v>
      </c>
      <c r="H1214" s="33">
        <v>0</v>
      </c>
      <c r="I1214" s="33">
        <v>1145984</v>
      </c>
      <c r="J1214" s="33">
        <v>1145984</v>
      </c>
    </row>
    <row r="1215" spans="1:10">
      <c r="A1215">
        <v>95</v>
      </c>
      <c r="B1215" t="s">
        <v>1126</v>
      </c>
      <c r="C1215" t="s">
        <v>1260</v>
      </c>
      <c r="E1215" t="s">
        <v>131</v>
      </c>
      <c r="F1215" s="33">
        <v>0</v>
      </c>
      <c r="G1215">
        <v>0</v>
      </c>
      <c r="H1215" s="33">
        <v>0</v>
      </c>
      <c r="I1215" s="33">
        <v>213749</v>
      </c>
      <c r="J1215" s="33">
        <v>213749</v>
      </c>
    </row>
    <row r="1216" spans="1:10">
      <c r="A1216">
        <v>96</v>
      </c>
      <c r="B1216" t="s">
        <v>1126</v>
      </c>
      <c r="C1216" t="s">
        <v>1261</v>
      </c>
      <c r="E1216" t="s">
        <v>148</v>
      </c>
      <c r="F1216" s="33">
        <v>0</v>
      </c>
      <c r="G1216">
        <v>0</v>
      </c>
      <c r="H1216" s="33">
        <v>0</v>
      </c>
      <c r="I1216" s="33">
        <v>2022609</v>
      </c>
      <c r="J1216" s="33">
        <v>2022609</v>
      </c>
    </row>
    <row r="1217" spans="1:10">
      <c r="A1217">
        <v>97</v>
      </c>
      <c r="B1217" t="s">
        <v>1126</v>
      </c>
      <c r="C1217" t="s">
        <v>1262</v>
      </c>
      <c r="F1217" s="33">
        <v>0</v>
      </c>
      <c r="G1217">
        <v>0</v>
      </c>
      <c r="H1217" s="33">
        <v>0</v>
      </c>
      <c r="I1217" s="33">
        <v>18801</v>
      </c>
      <c r="J1217" s="33">
        <v>18801</v>
      </c>
    </row>
    <row r="1218" spans="1:10">
      <c r="A1218">
        <v>98</v>
      </c>
      <c r="B1218" t="s">
        <v>1126</v>
      </c>
      <c r="C1218" t="s">
        <v>1263</v>
      </c>
      <c r="E1218" t="s">
        <v>131</v>
      </c>
      <c r="F1218" s="33">
        <v>0</v>
      </c>
      <c r="G1218">
        <v>0</v>
      </c>
      <c r="H1218" s="33">
        <v>0</v>
      </c>
      <c r="I1218" s="33">
        <v>14955</v>
      </c>
      <c r="J1218" s="33">
        <v>14955</v>
      </c>
    </row>
    <row r="1219" spans="1:10">
      <c r="A1219">
        <v>99</v>
      </c>
      <c r="B1219" t="s">
        <v>1126</v>
      </c>
      <c r="C1219" t="s">
        <v>1264</v>
      </c>
      <c r="E1219" t="s">
        <v>148</v>
      </c>
      <c r="F1219" s="33">
        <v>0</v>
      </c>
      <c r="G1219">
        <v>0</v>
      </c>
      <c r="H1219" s="33">
        <v>0</v>
      </c>
      <c r="I1219" s="33">
        <v>17134</v>
      </c>
      <c r="J1219" s="33">
        <v>17134</v>
      </c>
    </row>
    <row r="1220" spans="1:10">
      <c r="A1220">
        <v>100</v>
      </c>
      <c r="B1220" t="s">
        <v>1126</v>
      </c>
      <c r="C1220" t="s">
        <v>1265</v>
      </c>
      <c r="E1220" t="s">
        <v>148</v>
      </c>
      <c r="F1220" s="33">
        <v>0</v>
      </c>
      <c r="G1220">
        <v>0</v>
      </c>
      <c r="H1220" s="33">
        <v>0</v>
      </c>
      <c r="I1220" s="33">
        <v>3667477</v>
      </c>
      <c r="J1220" s="33">
        <v>3667477</v>
      </c>
    </row>
    <row r="1222" spans="1:10">
      <c r="A1222" t="s">
        <v>565</v>
      </c>
    </row>
    <row r="1223" spans="1:10">
      <c r="A1223" t="s">
        <v>566</v>
      </c>
    </row>
    <row r="1224" spans="1:10">
      <c r="A1224" t="s">
        <v>1055</v>
      </c>
    </row>
    <row r="1225" spans="1:10">
      <c r="A1225" t="s">
        <v>1056</v>
      </c>
    </row>
    <row r="1226" spans="1:10">
      <c r="A1226" t="s">
        <v>670</v>
      </c>
    </row>
    <row r="1227" spans="1:10">
      <c r="A1227" t="s">
        <v>671</v>
      </c>
    </row>
    <row r="1228" spans="1:10">
      <c r="A1228" t="s">
        <v>1266</v>
      </c>
    </row>
    <row r="1229" spans="1:10">
      <c r="A1229" t="s">
        <v>571</v>
      </c>
    </row>
    <row r="1230" spans="1:10">
      <c r="A1230" t="s">
        <v>572</v>
      </c>
    </row>
    <row r="1232" spans="1:10">
      <c r="A1232" t="s">
        <v>22</v>
      </c>
      <c r="B1232" t="s">
        <v>573</v>
      </c>
      <c r="C1232" t="s">
        <v>574</v>
      </c>
      <c r="D1232" t="s">
        <v>575</v>
      </c>
    </row>
    <row r="1233" spans="1:10">
      <c r="A1233" t="s">
        <v>576</v>
      </c>
      <c r="B1233" t="s">
        <v>123</v>
      </c>
      <c r="C1233" t="s">
        <v>577</v>
      </c>
    </row>
    <row r="1234" spans="1:10">
      <c r="A1234" t="s">
        <v>578</v>
      </c>
      <c r="B1234" t="s">
        <v>579</v>
      </c>
    </row>
    <row r="1235" spans="1:10">
      <c r="A1235" t="s">
        <v>580</v>
      </c>
      <c r="B1235" t="s">
        <v>581</v>
      </c>
    </row>
    <row r="1236" spans="1:10">
      <c r="A1236" t="s">
        <v>582</v>
      </c>
      <c r="B1236" t="s">
        <v>583</v>
      </c>
    </row>
    <row r="1237" spans="1:10">
      <c r="A1237" t="s">
        <v>584</v>
      </c>
      <c r="B1237" t="s">
        <v>585</v>
      </c>
    </row>
    <row r="1238" spans="1:10">
      <c r="A1238" t="s">
        <v>584</v>
      </c>
    </row>
    <row r="1239" spans="1:10">
      <c r="A1239">
        <v>1</v>
      </c>
      <c r="B1239" t="s">
        <v>1267</v>
      </c>
      <c r="C1239" t="s">
        <v>1268</v>
      </c>
      <c r="D1239" t="s">
        <v>626</v>
      </c>
      <c r="E1239" t="s">
        <v>131</v>
      </c>
      <c r="F1239" s="33">
        <v>0</v>
      </c>
      <c r="G1239">
        <v>35</v>
      </c>
      <c r="H1239" s="33">
        <v>338604</v>
      </c>
      <c r="I1239" s="33">
        <v>225197313</v>
      </c>
      <c r="J1239" s="33">
        <v>227089269</v>
      </c>
    </row>
    <row r="1240" spans="1:10">
      <c r="A1240">
        <v>2</v>
      </c>
      <c r="B1240" t="s">
        <v>1269</v>
      </c>
      <c r="C1240" t="s">
        <v>1270</v>
      </c>
      <c r="D1240" t="s">
        <v>626</v>
      </c>
      <c r="E1240" t="s">
        <v>136</v>
      </c>
      <c r="F1240" s="33">
        <v>0</v>
      </c>
      <c r="G1240">
        <v>24</v>
      </c>
      <c r="H1240" s="33">
        <v>180920</v>
      </c>
      <c r="I1240" s="33">
        <v>306710033</v>
      </c>
      <c r="J1240" s="33">
        <v>307547824</v>
      </c>
    </row>
    <row r="1241" spans="1:10">
      <c r="A1241">
        <v>3</v>
      </c>
      <c r="B1241" t="s">
        <v>1267</v>
      </c>
      <c r="C1241" t="s">
        <v>1271</v>
      </c>
      <c r="D1241" t="s">
        <v>601</v>
      </c>
      <c r="E1241" t="s">
        <v>129</v>
      </c>
      <c r="F1241" s="33">
        <v>0</v>
      </c>
      <c r="G1241">
        <v>27</v>
      </c>
      <c r="H1241" s="33">
        <v>57837</v>
      </c>
      <c r="I1241" s="33">
        <v>46139046</v>
      </c>
      <c r="J1241" s="33">
        <v>46263233</v>
      </c>
    </row>
    <row r="1242" spans="1:10">
      <c r="A1242">
        <v>4</v>
      </c>
      <c r="B1242" t="s">
        <v>1272</v>
      </c>
      <c r="C1242" t="s">
        <v>1273</v>
      </c>
      <c r="D1242" t="s">
        <v>601</v>
      </c>
      <c r="E1242" t="s">
        <v>129</v>
      </c>
      <c r="F1242" s="33">
        <v>0</v>
      </c>
      <c r="G1242">
        <v>2</v>
      </c>
      <c r="H1242" s="33">
        <v>5296</v>
      </c>
      <c r="I1242" s="33">
        <v>39951588</v>
      </c>
      <c r="J1242" s="33">
        <v>39965792</v>
      </c>
    </row>
    <row r="1243" spans="1:10">
      <c r="A1243">
        <v>5</v>
      </c>
      <c r="B1243" t="s">
        <v>1126</v>
      </c>
      <c r="C1243" t="s">
        <v>547</v>
      </c>
      <c r="E1243" t="s">
        <v>131</v>
      </c>
      <c r="F1243" s="33">
        <v>0</v>
      </c>
      <c r="G1243">
        <v>0</v>
      </c>
      <c r="H1243" s="33">
        <v>0</v>
      </c>
      <c r="I1243" s="33">
        <v>5992</v>
      </c>
      <c r="J1243" s="33">
        <v>5992</v>
      </c>
    </row>
    <row r="1244" spans="1:10">
      <c r="A1244">
        <v>6</v>
      </c>
      <c r="B1244" t="s">
        <v>1126</v>
      </c>
      <c r="C1244" t="s">
        <v>1274</v>
      </c>
      <c r="E1244" t="s">
        <v>127</v>
      </c>
      <c r="F1244" s="33">
        <v>0</v>
      </c>
      <c r="G1244">
        <v>0</v>
      </c>
      <c r="H1244" s="33">
        <v>0</v>
      </c>
      <c r="I1244" s="33">
        <v>15874097</v>
      </c>
      <c r="J1244" s="33">
        <v>15874097</v>
      </c>
    </row>
    <row r="1245" spans="1:10">
      <c r="A1245">
        <v>7</v>
      </c>
      <c r="B1245" t="s">
        <v>1126</v>
      </c>
      <c r="C1245" t="s">
        <v>1275</v>
      </c>
      <c r="E1245" t="s">
        <v>131</v>
      </c>
      <c r="F1245" s="33">
        <v>0</v>
      </c>
      <c r="G1245">
        <v>0</v>
      </c>
      <c r="H1245" s="33">
        <v>0</v>
      </c>
      <c r="I1245" s="33">
        <v>282320</v>
      </c>
      <c r="J1245" s="33">
        <v>282320</v>
      </c>
    </row>
    <row r="1246" spans="1:10">
      <c r="A1246">
        <v>8</v>
      </c>
      <c r="B1246" t="s">
        <v>1126</v>
      </c>
      <c r="C1246" t="s">
        <v>1276</v>
      </c>
      <c r="E1246" t="s">
        <v>193</v>
      </c>
      <c r="F1246" s="33">
        <v>0</v>
      </c>
      <c r="G1246">
        <v>0</v>
      </c>
      <c r="H1246" s="33">
        <v>0</v>
      </c>
      <c r="I1246" s="33">
        <v>23369</v>
      </c>
      <c r="J1246" s="33">
        <v>23369</v>
      </c>
    </row>
    <row r="1247" spans="1:10">
      <c r="A1247">
        <v>9</v>
      </c>
      <c r="B1247" t="s">
        <v>1126</v>
      </c>
      <c r="C1247" t="s">
        <v>1277</v>
      </c>
      <c r="E1247" t="s">
        <v>136</v>
      </c>
      <c r="F1247" s="33">
        <v>0</v>
      </c>
      <c r="G1247">
        <v>0</v>
      </c>
      <c r="H1247" s="33">
        <v>0</v>
      </c>
      <c r="I1247" s="33">
        <v>40900</v>
      </c>
      <c r="J1247" s="33">
        <v>40900</v>
      </c>
    </row>
    <row r="1248" spans="1:10">
      <c r="A1248">
        <v>10</v>
      </c>
      <c r="B1248" t="s">
        <v>1126</v>
      </c>
      <c r="C1248" t="s">
        <v>1278</v>
      </c>
      <c r="F1248" s="33">
        <v>0</v>
      </c>
      <c r="G1248">
        <v>0</v>
      </c>
      <c r="H1248" s="33">
        <v>0</v>
      </c>
      <c r="I1248" s="33">
        <v>29445</v>
      </c>
      <c r="J1248" s="33">
        <v>29445</v>
      </c>
    </row>
    <row r="1249" spans="1:10">
      <c r="A1249">
        <v>11</v>
      </c>
      <c r="B1249" t="s">
        <v>1126</v>
      </c>
      <c r="C1249" t="s">
        <v>1279</v>
      </c>
      <c r="E1249" t="s">
        <v>136</v>
      </c>
      <c r="F1249" s="33">
        <v>0</v>
      </c>
      <c r="G1249">
        <v>0</v>
      </c>
      <c r="H1249" s="33">
        <v>0</v>
      </c>
      <c r="I1249" s="33">
        <v>334536622</v>
      </c>
      <c r="J1249" s="33">
        <v>334536622</v>
      </c>
    </row>
    <row r="1250" spans="1:10">
      <c r="A1250">
        <v>12</v>
      </c>
      <c r="B1250" t="s">
        <v>1126</v>
      </c>
      <c r="C1250" t="s">
        <v>1280</v>
      </c>
      <c r="E1250" t="s">
        <v>148</v>
      </c>
      <c r="F1250" s="33">
        <v>0</v>
      </c>
      <c r="G1250">
        <v>0</v>
      </c>
      <c r="H1250" s="33">
        <v>0</v>
      </c>
      <c r="I1250" s="33">
        <v>686594</v>
      </c>
      <c r="J1250" s="33">
        <v>686594</v>
      </c>
    </row>
    <row r="1251" spans="1:10">
      <c r="A1251">
        <v>13</v>
      </c>
      <c r="B1251" t="s">
        <v>1126</v>
      </c>
      <c r="C1251" t="s">
        <v>534</v>
      </c>
      <c r="E1251" t="s">
        <v>131</v>
      </c>
      <c r="F1251" s="33">
        <v>0</v>
      </c>
      <c r="G1251">
        <v>0</v>
      </c>
      <c r="H1251" s="33">
        <v>0</v>
      </c>
      <c r="I1251" s="33">
        <v>23688</v>
      </c>
      <c r="J1251" s="33">
        <v>23688</v>
      </c>
    </row>
    <row r="1252" spans="1:10">
      <c r="A1252">
        <v>14</v>
      </c>
      <c r="B1252" t="s">
        <v>1126</v>
      </c>
      <c r="C1252" t="s">
        <v>1281</v>
      </c>
      <c r="E1252" t="s">
        <v>161</v>
      </c>
      <c r="F1252" s="33">
        <v>0</v>
      </c>
      <c r="G1252">
        <v>0</v>
      </c>
      <c r="H1252" s="33">
        <v>0</v>
      </c>
      <c r="I1252" s="33">
        <v>50995</v>
      </c>
      <c r="J1252" s="33">
        <v>50995</v>
      </c>
    </row>
    <row r="1253" spans="1:10">
      <c r="A1253">
        <v>15</v>
      </c>
      <c r="B1253" t="s">
        <v>1126</v>
      </c>
      <c r="C1253" t="s">
        <v>1282</v>
      </c>
      <c r="E1253" t="s">
        <v>129</v>
      </c>
      <c r="F1253" s="33">
        <v>0</v>
      </c>
      <c r="G1253">
        <v>0</v>
      </c>
      <c r="H1253" s="33">
        <v>0</v>
      </c>
      <c r="I1253" s="33">
        <v>18339343</v>
      </c>
      <c r="J1253" s="33">
        <v>18339343</v>
      </c>
    </row>
    <row r="1254" spans="1:10">
      <c r="A1254">
        <v>16</v>
      </c>
      <c r="B1254" t="s">
        <v>1126</v>
      </c>
      <c r="C1254" t="s">
        <v>1283</v>
      </c>
      <c r="E1254" t="s">
        <v>136</v>
      </c>
      <c r="F1254" s="33">
        <v>0</v>
      </c>
      <c r="G1254">
        <v>0</v>
      </c>
      <c r="H1254" s="33">
        <v>0</v>
      </c>
      <c r="I1254" s="33">
        <v>4681992</v>
      </c>
      <c r="J1254" s="33">
        <v>4681992</v>
      </c>
    </row>
    <row r="1255" spans="1:10">
      <c r="A1255">
        <v>17</v>
      </c>
      <c r="B1255" t="s">
        <v>1126</v>
      </c>
      <c r="C1255" t="s">
        <v>1284</v>
      </c>
      <c r="E1255" t="s">
        <v>131</v>
      </c>
      <c r="F1255" s="33">
        <v>0</v>
      </c>
      <c r="G1255">
        <v>0</v>
      </c>
      <c r="H1255" s="33">
        <v>0</v>
      </c>
      <c r="I1255" s="33">
        <v>1369687</v>
      </c>
      <c r="J1255" s="33">
        <v>1369687</v>
      </c>
    </row>
    <row r="1256" spans="1:10">
      <c r="A1256">
        <v>18</v>
      </c>
      <c r="B1256" t="s">
        <v>1126</v>
      </c>
      <c r="C1256" t="s">
        <v>1285</v>
      </c>
      <c r="E1256" t="s">
        <v>131</v>
      </c>
      <c r="F1256" s="33">
        <v>0</v>
      </c>
      <c r="G1256">
        <v>0</v>
      </c>
      <c r="H1256" s="33">
        <v>0</v>
      </c>
      <c r="I1256" s="33">
        <v>195419</v>
      </c>
      <c r="J1256" s="33">
        <v>195419</v>
      </c>
    </row>
    <row r="1257" spans="1:10">
      <c r="A1257">
        <v>19</v>
      </c>
      <c r="B1257" t="s">
        <v>1126</v>
      </c>
      <c r="C1257" t="s">
        <v>1286</v>
      </c>
      <c r="E1257" t="s">
        <v>148</v>
      </c>
      <c r="F1257" s="33">
        <v>0</v>
      </c>
      <c r="G1257">
        <v>0</v>
      </c>
      <c r="H1257" s="33">
        <v>0</v>
      </c>
      <c r="I1257" s="33">
        <v>760000</v>
      </c>
      <c r="J1257" s="33">
        <v>760000</v>
      </c>
    </row>
    <row r="1258" spans="1:10">
      <c r="A1258">
        <v>20</v>
      </c>
      <c r="B1258" t="s">
        <v>1126</v>
      </c>
      <c r="C1258" t="s">
        <v>1287</v>
      </c>
      <c r="F1258" s="33">
        <v>0</v>
      </c>
      <c r="G1258">
        <v>0</v>
      </c>
      <c r="H1258" s="33">
        <v>0</v>
      </c>
      <c r="I1258" s="33">
        <v>63297</v>
      </c>
      <c r="J1258" s="33">
        <v>63297</v>
      </c>
    </row>
    <row r="1259" spans="1:10">
      <c r="A1259">
        <v>21</v>
      </c>
      <c r="B1259" t="s">
        <v>1126</v>
      </c>
      <c r="C1259" t="s">
        <v>366</v>
      </c>
      <c r="E1259" t="s">
        <v>131</v>
      </c>
      <c r="F1259" s="33">
        <v>0</v>
      </c>
      <c r="G1259">
        <v>0</v>
      </c>
      <c r="H1259" s="33">
        <v>0</v>
      </c>
      <c r="I1259" s="33">
        <v>119035160</v>
      </c>
      <c r="J1259" s="33">
        <v>119035160</v>
      </c>
    </row>
    <row r="1260" spans="1:10">
      <c r="A1260">
        <v>22</v>
      </c>
      <c r="B1260" t="s">
        <v>1126</v>
      </c>
      <c r="C1260" t="s">
        <v>1288</v>
      </c>
      <c r="E1260" t="s">
        <v>131</v>
      </c>
      <c r="F1260" s="33">
        <v>0</v>
      </c>
      <c r="G1260">
        <v>0</v>
      </c>
      <c r="H1260" s="33">
        <v>0</v>
      </c>
      <c r="I1260" s="33">
        <v>512000</v>
      </c>
      <c r="J1260" s="33">
        <v>512000</v>
      </c>
    </row>
    <row r="1261" spans="1:10">
      <c r="A1261">
        <v>23</v>
      </c>
      <c r="B1261" t="s">
        <v>1126</v>
      </c>
      <c r="C1261" t="s">
        <v>1289</v>
      </c>
      <c r="E1261" t="s">
        <v>136</v>
      </c>
      <c r="F1261" s="33">
        <v>0</v>
      </c>
      <c r="G1261">
        <v>0</v>
      </c>
      <c r="H1261" s="33">
        <v>0</v>
      </c>
      <c r="I1261" s="33">
        <v>14897163</v>
      </c>
      <c r="J1261" s="33">
        <v>14897163</v>
      </c>
    </row>
    <row r="1262" spans="1:10">
      <c r="A1262">
        <v>24</v>
      </c>
      <c r="B1262" t="s">
        <v>1126</v>
      </c>
      <c r="C1262" t="s">
        <v>1290</v>
      </c>
      <c r="F1262" s="33">
        <v>0</v>
      </c>
      <c r="G1262">
        <v>0</v>
      </c>
      <c r="H1262" s="33">
        <v>0</v>
      </c>
      <c r="I1262" s="33">
        <v>263745</v>
      </c>
      <c r="J1262" s="33">
        <v>263745</v>
      </c>
    </row>
    <row r="1263" spans="1:10">
      <c r="A1263">
        <v>25</v>
      </c>
      <c r="B1263" t="s">
        <v>1126</v>
      </c>
      <c r="C1263" t="s">
        <v>1291</v>
      </c>
      <c r="E1263" t="s">
        <v>127</v>
      </c>
      <c r="F1263" s="33">
        <v>0</v>
      </c>
      <c r="G1263">
        <v>0</v>
      </c>
      <c r="H1263" s="33">
        <v>0</v>
      </c>
      <c r="I1263" s="33">
        <v>13006233</v>
      </c>
      <c r="J1263" s="33">
        <v>13006233</v>
      </c>
    </row>
    <row r="1264" spans="1:10">
      <c r="A1264">
        <v>26</v>
      </c>
      <c r="B1264" t="s">
        <v>1126</v>
      </c>
      <c r="C1264" t="s">
        <v>1292</v>
      </c>
      <c r="E1264" t="s">
        <v>131</v>
      </c>
      <c r="F1264" s="33">
        <v>0</v>
      </c>
      <c r="G1264">
        <v>0</v>
      </c>
      <c r="H1264" s="33">
        <v>0</v>
      </c>
      <c r="I1264" s="33">
        <v>10526</v>
      </c>
      <c r="J1264" s="33">
        <v>10526</v>
      </c>
    </row>
    <row r="1265" spans="1:10">
      <c r="A1265">
        <v>27</v>
      </c>
      <c r="B1265" t="s">
        <v>1126</v>
      </c>
      <c r="C1265" t="s">
        <v>1293</v>
      </c>
      <c r="E1265" t="s">
        <v>191</v>
      </c>
      <c r="F1265" s="33">
        <v>0</v>
      </c>
      <c r="G1265">
        <v>0</v>
      </c>
      <c r="H1265" s="33">
        <v>0</v>
      </c>
      <c r="I1265" s="33">
        <v>889012</v>
      </c>
      <c r="J1265" s="33">
        <v>889012</v>
      </c>
    </row>
    <row r="1266" spans="1:10">
      <c r="A1266">
        <v>28</v>
      </c>
      <c r="B1266" t="s">
        <v>1126</v>
      </c>
      <c r="C1266" t="s">
        <v>477</v>
      </c>
      <c r="E1266" t="s">
        <v>131</v>
      </c>
      <c r="F1266" s="33">
        <v>0</v>
      </c>
      <c r="G1266">
        <v>0</v>
      </c>
      <c r="H1266" s="33">
        <v>0</v>
      </c>
      <c r="I1266" s="33">
        <v>387766</v>
      </c>
      <c r="J1266" s="33">
        <v>387766</v>
      </c>
    </row>
    <row r="1267" spans="1:10">
      <c r="A1267">
        <v>29</v>
      </c>
      <c r="B1267" t="s">
        <v>1126</v>
      </c>
      <c r="C1267" t="s">
        <v>1294</v>
      </c>
      <c r="E1267" t="s">
        <v>148</v>
      </c>
      <c r="F1267" s="33">
        <v>0</v>
      </c>
      <c r="G1267">
        <v>0</v>
      </c>
      <c r="H1267" s="33">
        <v>0</v>
      </c>
      <c r="I1267" s="33">
        <v>18764048</v>
      </c>
      <c r="J1267" s="33">
        <v>18764048</v>
      </c>
    </row>
    <row r="1268" spans="1:10">
      <c r="A1268">
        <v>30</v>
      </c>
      <c r="B1268" t="s">
        <v>1126</v>
      </c>
      <c r="C1268" t="s">
        <v>1295</v>
      </c>
      <c r="E1268" t="s">
        <v>131</v>
      </c>
      <c r="F1268" s="33">
        <v>0</v>
      </c>
      <c r="G1268">
        <v>0</v>
      </c>
      <c r="H1268" s="33">
        <v>0</v>
      </c>
      <c r="I1268" s="33">
        <v>289527</v>
      </c>
      <c r="J1268" s="33">
        <v>289527</v>
      </c>
    </row>
    <row r="1269" spans="1:10">
      <c r="A1269">
        <v>31</v>
      </c>
      <c r="B1269" t="s">
        <v>1126</v>
      </c>
      <c r="C1269" t="s">
        <v>1296</v>
      </c>
      <c r="E1269" t="s">
        <v>129</v>
      </c>
      <c r="F1269" s="33">
        <v>0</v>
      </c>
      <c r="G1269">
        <v>0</v>
      </c>
      <c r="H1269" s="33">
        <v>0</v>
      </c>
      <c r="I1269" s="33">
        <v>9782949</v>
      </c>
      <c r="J1269" s="33">
        <v>9782949</v>
      </c>
    </row>
    <row r="1270" spans="1:10">
      <c r="A1270">
        <v>32</v>
      </c>
      <c r="B1270" t="s">
        <v>1126</v>
      </c>
      <c r="C1270" t="s">
        <v>1297</v>
      </c>
      <c r="E1270" t="s">
        <v>131</v>
      </c>
      <c r="F1270" s="33">
        <v>0</v>
      </c>
      <c r="G1270">
        <v>0</v>
      </c>
      <c r="H1270" s="33">
        <v>0</v>
      </c>
      <c r="I1270" s="33">
        <v>13739</v>
      </c>
      <c r="J1270" s="33">
        <v>13739</v>
      </c>
    </row>
    <row r="1271" spans="1:10">
      <c r="A1271">
        <v>33</v>
      </c>
      <c r="B1271" t="s">
        <v>1126</v>
      </c>
      <c r="C1271" t="s">
        <v>1298</v>
      </c>
      <c r="E1271" t="s">
        <v>131</v>
      </c>
      <c r="F1271" s="33">
        <v>0</v>
      </c>
      <c r="G1271">
        <v>0</v>
      </c>
      <c r="H1271" s="33">
        <v>0</v>
      </c>
      <c r="I1271" s="33">
        <v>917277</v>
      </c>
      <c r="J1271" s="33">
        <v>917277</v>
      </c>
    </row>
    <row r="1272" spans="1:10">
      <c r="A1272">
        <v>34</v>
      </c>
      <c r="B1272" t="s">
        <v>1126</v>
      </c>
      <c r="C1272" t="s">
        <v>509</v>
      </c>
      <c r="E1272" t="s">
        <v>129</v>
      </c>
      <c r="F1272" s="33">
        <v>0</v>
      </c>
      <c r="G1272">
        <v>0</v>
      </c>
      <c r="H1272" s="33">
        <v>0</v>
      </c>
      <c r="I1272" s="33">
        <v>98143</v>
      </c>
      <c r="J1272" s="33">
        <v>98143</v>
      </c>
    </row>
    <row r="1273" spans="1:10">
      <c r="A1273">
        <v>35</v>
      </c>
      <c r="B1273" t="s">
        <v>1126</v>
      </c>
      <c r="C1273" t="s">
        <v>315</v>
      </c>
      <c r="E1273" t="s">
        <v>131</v>
      </c>
      <c r="F1273" s="33">
        <v>0</v>
      </c>
      <c r="G1273">
        <v>0</v>
      </c>
      <c r="H1273" s="33">
        <v>0</v>
      </c>
      <c r="I1273" s="33">
        <v>67678</v>
      </c>
      <c r="J1273" s="33">
        <v>67678</v>
      </c>
    </row>
    <row r="1274" spans="1:10">
      <c r="A1274">
        <v>36</v>
      </c>
      <c r="B1274" t="s">
        <v>1126</v>
      </c>
      <c r="C1274" t="s">
        <v>1299</v>
      </c>
      <c r="E1274" t="s">
        <v>136</v>
      </c>
      <c r="F1274" s="33">
        <v>0</v>
      </c>
      <c r="G1274">
        <v>0</v>
      </c>
      <c r="H1274" s="33">
        <v>0</v>
      </c>
      <c r="I1274" s="33">
        <v>20460352</v>
      </c>
      <c r="J1274" s="33">
        <v>20460352</v>
      </c>
    </row>
    <row r="1275" spans="1:10">
      <c r="A1275">
        <v>37</v>
      </c>
      <c r="B1275" t="s">
        <v>1126</v>
      </c>
      <c r="C1275" t="s">
        <v>1300</v>
      </c>
      <c r="E1275" t="s">
        <v>129</v>
      </c>
      <c r="F1275" s="33">
        <v>0</v>
      </c>
      <c r="G1275">
        <v>0</v>
      </c>
      <c r="H1275" s="33">
        <v>0</v>
      </c>
      <c r="I1275" s="33">
        <v>1549782</v>
      </c>
      <c r="J1275" s="33">
        <v>1549782</v>
      </c>
    </row>
    <row r="1276" spans="1:10">
      <c r="A1276">
        <v>38</v>
      </c>
      <c r="B1276" t="s">
        <v>1126</v>
      </c>
      <c r="C1276" t="s">
        <v>310</v>
      </c>
      <c r="E1276" t="s">
        <v>131</v>
      </c>
      <c r="F1276" s="33">
        <v>0</v>
      </c>
      <c r="G1276">
        <v>0</v>
      </c>
      <c r="H1276" s="33">
        <v>0</v>
      </c>
      <c r="I1276" s="33">
        <v>93338</v>
      </c>
      <c r="J1276" s="33">
        <v>93338</v>
      </c>
    </row>
    <row r="1277" spans="1:10">
      <c r="A1277">
        <v>39</v>
      </c>
      <c r="B1277" t="s">
        <v>1126</v>
      </c>
      <c r="C1277" t="s">
        <v>533</v>
      </c>
      <c r="E1277" t="s">
        <v>148</v>
      </c>
      <c r="F1277" s="33">
        <v>0</v>
      </c>
      <c r="G1277">
        <v>0</v>
      </c>
      <c r="H1277" s="33">
        <v>0</v>
      </c>
      <c r="I1277" s="33">
        <v>27171</v>
      </c>
      <c r="J1277" s="33">
        <v>27171</v>
      </c>
    </row>
    <row r="1278" spans="1:10">
      <c r="A1278">
        <v>40</v>
      </c>
      <c r="B1278" t="s">
        <v>1126</v>
      </c>
      <c r="C1278" t="s">
        <v>1301</v>
      </c>
      <c r="E1278" t="s">
        <v>193</v>
      </c>
      <c r="F1278" s="33">
        <v>0</v>
      </c>
      <c r="G1278">
        <v>0</v>
      </c>
      <c r="H1278" s="33">
        <v>0</v>
      </c>
      <c r="I1278" s="33">
        <v>72044</v>
      </c>
      <c r="J1278" s="33">
        <v>72044</v>
      </c>
    </row>
    <row r="1279" spans="1:10">
      <c r="A1279">
        <v>41</v>
      </c>
      <c r="B1279" t="s">
        <v>1126</v>
      </c>
      <c r="C1279" t="s">
        <v>1302</v>
      </c>
      <c r="E1279" t="s">
        <v>131</v>
      </c>
      <c r="F1279" s="33">
        <v>0</v>
      </c>
      <c r="G1279">
        <v>0</v>
      </c>
      <c r="H1279" s="33">
        <v>0</v>
      </c>
      <c r="I1279" s="33">
        <v>16444489</v>
      </c>
      <c r="J1279" s="33">
        <v>16444489</v>
      </c>
    </row>
    <row r="1280" spans="1:10">
      <c r="A1280">
        <v>42</v>
      </c>
      <c r="B1280" t="s">
        <v>1126</v>
      </c>
      <c r="C1280" t="s">
        <v>1303</v>
      </c>
      <c r="E1280" t="s">
        <v>131</v>
      </c>
      <c r="F1280" s="33">
        <v>0</v>
      </c>
      <c r="G1280">
        <v>0</v>
      </c>
      <c r="H1280" s="33">
        <v>0</v>
      </c>
      <c r="I1280" s="33">
        <v>11170000</v>
      </c>
      <c r="J1280" s="33">
        <v>11170000</v>
      </c>
    </row>
    <row r="1281" spans="1:10">
      <c r="A1281">
        <v>43</v>
      </c>
      <c r="B1281" t="s">
        <v>1126</v>
      </c>
      <c r="C1281" t="s">
        <v>1304</v>
      </c>
      <c r="E1281" t="s">
        <v>131</v>
      </c>
      <c r="F1281" s="33">
        <v>0</v>
      </c>
      <c r="G1281">
        <v>0</v>
      </c>
      <c r="H1281" s="33">
        <v>0</v>
      </c>
      <c r="I1281" s="33">
        <v>663773</v>
      </c>
      <c r="J1281" s="33">
        <v>663773</v>
      </c>
    </row>
    <row r="1282" spans="1:10">
      <c r="A1282">
        <v>44</v>
      </c>
      <c r="B1282" t="s">
        <v>1126</v>
      </c>
      <c r="C1282" t="s">
        <v>1305</v>
      </c>
      <c r="E1282" t="s">
        <v>131</v>
      </c>
      <c r="F1282" s="33">
        <v>0</v>
      </c>
      <c r="G1282">
        <v>0</v>
      </c>
      <c r="H1282" s="33">
        <v>0</v>
      </c>
      <c r="I1282" s="33">
        <v>16664</v>
      </c>
      <c r="J1282" s="33">
        <v>16664</v>
      </c>
    </row>
    <row r="1283" spans="1:10">
      <c r="A1283">
        <v>45</v>
      </c>
      <c r="B1283" t="s">
        <v>1126</v>
      </c>
      <c r="C1283" t="s">
        <v>1306</v>
      </c>
      <c r="E1283" t="s">
        <v>253</v>
      </c>
      <c r="F1283" s="33">
        <v>0</v>
      </c>
      <c r="G1283">
        <v>0</v>
      </c>
      <c r="H1283" s="33">
        <v>0</v>
      </c>
      <c r="I1283" s="33">
        <v>1905999</v>
      </c>
      <c r="J1283" s="33">
        <v>1905999</v>
      </c>
    </row>
    <row r="1284" spans="1:10">
      <c r="A1284">
        <v>46</v>
      </c>
      <c r="B1284" t="s">
        <v>1126</v>
      </c>
      <c r="C1284" t="s">
        <v>1307</v>
      </c>
      <c r="E1284" t="s">
        <v>131</v>
      </c>
      <c r="F1284" s="33">
        <v>0</v>
      </c>
      <c r="G1284">
        <v>0</v>
      </c>
      <c r="H1284" s="33">
        <v>0</v>
      </c>
      <c r="I1284" s="33">
        <v>285714</v>
      </c>
      <c r="J1284" s="33">
        <v>285714</v>
      </c>
    </row>
    <row r="1285" spans="1:10">
      <c r="A1285">
        <v>47</v>
      </c>
      <c r="B1285" t="s">
        <v>1126</v>
      </c>
      <c r="C1285" t="s">
        <v>1308</v>
      </c>
      <c r="E1285" t="s">
        <v>136</v>
      </c>
      <c r="F1285" s="33">
        <v>0</v>
      </c>
      <c r="G1285">
        <v>0</v>
      </c>
      <c r="H1285" s="33">
        <v>0</v>
      </c>
      <c r="I1285" s="33">
        <v>8242805</v>
      </c>
      <c r="J1285" s="33">
        <v>8242805</v>
      </c>
    </row>
    <row r="1286" spans="1:10">
      <c r="A1286">
        <v>48</v>
      </c>
      <c r="B1286" t="s">
        <v>1126</v>
      </c>
      <c r="C1286" t="s">
        <v>1309</v>
      </c>
      <c r="E1286" t="s">
        <v>136</v>
      </c>
      <c r="F1286" s="33">
        <v>0</v>
      </c>
      <c r="G1286">
        <v>0</v>
      </c>
      <c r="H1286" s="33">
        <v>0</v>
      </c>
      <c r="I1286" s="33">
        <v>12488</v>
      </c>
      <c r="J1286" s="33">
        <v>12488</v>
      </c>
    </row>
    <row r="1287" spans="1:10">
      <c r="A1287">
        <v>49</v>
      </c>
      <c r="B1287" t="s">
        <v>1126</v>
      </c>
      <c r="C1287" t="s">
        <v>1310</v>
      </c>
      <c r="E1287" t="s">
        <v>148</v>
      </c>
      <c r="F1287" s="33">
        <v>0</v>
      </c>
      <c r="G1287">
        <v>0</v>
      </c>
      <c r="H1287" s="33">
        <v>0</v>
      </c>
      <c r="I1287" s="33">
        <v>828455</v>
      </c>
      <c r="J1287" s="33">
        <v>828455</v>
      </c>
    </row>
    <row r="1288" spans="1:10">
      <c r="A1288">
        <v>50</v>
      </c>
      <c r="B1288" t="s">
        <v>1126</v>
      </c>
      <c r="C1288" t="s">
        <v>1311</v>
      </c>
      <c r="E1288" t="s">
        <v>191</v>
      </c>
      <c r="F1288" s="33">
        <v>0</v>
      </c>
      <c r="G1288">
        <v>0</v>
      </c>
      <c r="H1288" s="33">
        <v>0</v>
      </c>
      <c r="I1288" s="33">
        <v>4886088</v>
      </c>
      <c r="J1288" s="33">
        <v>4886088</v>
      </c>
    </row>
    <row r="1289" spans="1:10">
      <c r="A1289">
        <v>51</v>
      </c>
      <c r="B1289" t="s">
        <v>1126</v>
      </c>
      <c r="C1289" t="s">
        <v>1312</v>
      </c>
      <c r="E1289" t="s">
        <v>129</v>
      </c>
      <c r="F1289" s="33">
        <v>0</v>
      </c>
      <c r="G1289">
        <v>0</v>
      </c>
      <c r="H1289" s="33">
        <v>0</v>
      </c>
      <c r="I1289" s="33">
        <v>2430165</v>
      </c>
      <c r="J1289" s="33">
        <v>2430165</v>
      </c>
    </row>
    <row r="1290" spans="1:10">
      <c r="A1290">
        <v>52</v>
      </c>
      <c r="B1290" t="s">
        <v>1126</v>
      </c>
      <c r="C1290" t="s">
        <v>1313</v>
      </c>
      <c r="E1290" t="s">
        <v>131</v>
      </c>
      <c r="F1290" s="33">
        <v>0</v>
      </c>
      <c r="G1290">
        <v>0</v>
      </c>
      <c r="H1290" s="33">
        <v>0</v>
      </c>
      <c r="I1290" s="33">
        <v>18126</v>
      </c>
      <c r="J1290" s="33">
        <v>18126</v>
      </c>
    </row>
    <row r="1291" spans="1:10">
      <c r="A1291">
        <v>53</v>
      </c>
      <c r="B1291" t="s">
        <v>1126</v>
      </c>
      <c r="C1291" t="s">
        <v>411</v>
      </c>
      <c r="E1291" t="s">
        <v>131</v>
      </c>
      <c r="F1291" s="33">
        <v>0</v>
      </c>
      <c r="G1291">
        <v>0</v>
      </c>
      <c r="H1291" s="33">
        <v>0</v>
      </c>
      <c r="I1291" s="33">
        <v>8051388</v>
      </c>
      <c r="J1291" s="33">
        <v>8051388</v>
      </c>
    </row>
    <row r="1292" spans="1:10">
      <c r="A1292">
        <v>54</v>
      </c>
      <c r="B1292" t="s">
        <v>1126</v>
      </c>
      <c r="C1292" t="s">
        <v>1314</v>
      </c>
      <c r="E1292" t="s">
        <v>131</v>
      </c>
      <c r="F1292" s="33">
        <v>0</v>
      </c>
      <c r="G1292">
        <v>0</v>
      </c>
      <c r="H1292" s="33">
        <v>0</v>
      </c>
      <c r="I1292" s="33">
        <v>1785824</v>
      </c>
      <c r="J1292" s="33">
        <v>1785824</v>
      </c>
    </row>
    <row r="1293" spans="1:10">
      <c r="A1293">
        <v>55</v>
      </c>
      <c r="B1293" t="s">
        <v>1126</v>
      </c>
      <c r="C1293" t="s">
        <v>1315</v>
      </c>
      <c r="E1293" t="s">
        <v>131</v>
      </c>
      <c r="F1293" s="33">
        <v>0</v>
      </c>
      <c r="G1293">
        <v>0</v>
      </c>
      <c r="H1293" s="33">
        <v>0</v>
      </c>
      <c r="I1293" s="33">
        <v>346069</v>
      </c>
      <c r="J1293" s="33">
        <v>346069</v>
      </c>
    </row>
    <row r="1294" spans="1:10">
      <c r="A1294">
        <v>56</v>
      </c>
      <c r="B1294" t="s">
        <v>1126</v>
      </c>
      <c r="C1294" t="s">
        <v>1316</v>
      </c>
      <c r="E1294" t="s">
        <v>131</v>
      </c>
      <c r="F1294" s="33">
        <v>0</v>
      </c>
      <c r="G1294">
        <v>0</v>
      </c>
      <c r="H1294" s="33">
        <v>0</v>
      </c>
      <c r="I1294" s="33">
        <v>1159373</v>
      </c>
      <c r="J1294" s="33">
        <v>1159373</v>
      </c>
    </row>
    <row r="1295" spans="1:10">
      <c r="A1295">
        <v>57</v>
      </c>
      <c r="B1295" t="s">
        <v>1126</v>
      </c>
      <c r="C1295" t="s">
        <v>1317</v>
      </c>
      <c r="E1295" t="s">
        <v>131</v>
      </c>
      <c r="F1295" s="33">
        <v>0</v>
      </c>
      <c r="G1295">
        <v>0</v>
      </c>
      <c r="H1295" s="33">
        <v>0</v>
      </c>
      <c r="I1295" s="33">
        <v>9949926</v>
      </c>
      <c r="J1295" s="33">
        <v>9949926</v>
      </c>
    </row>
    <row r="1296" spans="1:10">
      <c r="A1296">
        <v>58</v>
      </c>
      <c r="B1296" t="s">
        <v>1126</v>
      </c>
      <c r="C1296" t="s">
        <v>1318</v>
      </c>
      <c r="F1296" s="33">
        <v>0</v>
      </c>
      <c r="G1296">
        <v>0</v>
      </c>
      <c r="H1296" s="33">
        <v>0</v>
      </c>
      <c r="I1296" s="33">
        <v>53487</v>
      </c>
      <c r="J1296" s="33">
        <v>53487</v>
      </c>
    </row>
    <row r="1297" spans="1:10">
      <c r="A1297">
        <v>59</v>
      </c>
      <c r="B1297" t="s">
        <v>1126</v>
      </c>
      <c r="C1297" t="s">
        <v>490</v>
      </c>
      <c r="E1297" t="s">
        <v>131</v>
      </c>
      <c r="F1297" s="33">
        <v>0</v>
      </c>
      <c r="G1297">
        <v>0</v>
      </c>
      <c r="H1297" s="33">
        <v>0</v>
      </c>
      <c r="I1297" s="33">
        <v>212590</v>
      </c>
      <c r="J1297" s="33">
        <v>212590</v>
      </c>
    </row>
    <row r="1298" spans="1:10">
      <c r="A1298">
        <v>60</v>
      </c>
      <c r="B1298" t="s">
        <v>1126</v>
      </c>
      <c r="C1298" t="s">
        <v>1319</v>
      </c>
      <c r="E1298" t="s">
        <v>127</v>
      </c>
      <c r="F1298" s="33">
        <v>0</v>
      </c>
      <c r="G1298">
        <v>0</v>
      </c>
      <c r="H1298" s="33">
        <v>0</v>
      </c>
      <c r="I1298" s="33">
        <v>44028</v>
      </c>
      <c r="J1298" s="33">
        <v>44028</v>
      </c>
    </row>
    <row r="1299" spans="1:10">
      <c r="A1299">
        <v>61</v>
      </c>
      <c r="B1299" t="s">
        <v>1126</v>
      </c>
      <c r="C1299" t="s">
        <v>503</v>
      </c>
      <c r="E1299" t="s">
        <v>148</v>
      </c>
      <c r="F1299" s="33">
        <v>0</v>
      </c>
      <c r="G1299">
        <v>0</v>
      </c>
      <c r="H1299" s="33">
        <v>0</v>
      </c>
      <c r="I1299" s="33">
        <v>140923</v>
      </c>
      <c r="J1299" s="33">
        <v>140923</v>
      </c>
    </row>
    <row r="1300" spans="1:10">
      <c r="A1300">
        <v>62</v>
      </c>
      <c r="B1300" t="s">
        <v>1126</v>
      </c>
      <c r="C1300" t="s">
        <v>1320</v>
      </c>
      <c r="E1300" t="s">
        <v>129</v>
      </c>
      <c r="F1300" s="33">
        <v>0</v>
      </c>
      <c r="G1300">
        <v>0</v>
      </c>
      <c r="H1300" s="33">
        <v>0</v>
      </c>
      <c r="I1300" s="33">
        <v>60600360</v>
      </c>
      <c r="J1300" s="33">
        <v>60600360</v>
      </c>
    </row>
    <row r="1301" spans="1:10">
      <c r="A1301">
        <v>63</v>
      </c>
      <c r="B1301" t="s">
        <v>1126</v>
      </c>
      <c r="C1301" t="s">
        <v>492</v>
      </c>
      <c r="E1301" t="s">
        <v>131</v>
      </c>
      <c r="F1301" s="33">
        <v>0</v>
      </c>
      <c r="G1301">
        <v>0</v>
      </c>
      <c r="H1301" s="33">
        <v>0</v>
      </c>
      <c r="I1301" s="33">
        <v>194504</v>
      </c>
      <c r="J1301" s="33">
        <v>194504</v>
      </c>
    </row>
    <row r="1302" spans="1:10">
      <c r="A1302">
        <v>64</v>
      </c>
      <c r="B1302" t="s">
        <v>1126</v>
      </c>
      <c r="C1302" t="s">
        <v>1321</v>
      </c>
      <c r="E1302" t="s">
        <v>131</v>
      </c>
      <c r="F1302" s="33">
        <v>0</v>
      </c>
      <c r="G1302">
        <v>0</v>
      </c>
      <c r="H1302" s="33">
        <v>0</v>
      </c>
      <c r="I1302" s="33">
        <v>1321360</v>
      </c>
      <c r="J1302" s="33">
        <v>1321360</v>
      </c>
    </row>
    <row r="1303" spans="1:10">
      <c r="A1303">
        <v>65</v>
      </c>
      <c r="B1303" t="s">
        <v>1126</v>
      </c>
      <c r="C1303" t="s">
        <v>1322</v>
      </c>
      <c r="E1303" t="s">
        <v>131</v>
      </c>
      <c r="F1303" s="33">
        <v>0</v>
      </c>
      <c r="G1303">
        <v>0</v>
      </c>
      <c r="H1303" s="33">
        <v>0</v>
      </c>
      <c r="I1303" s="33">
        <v>311678</v>
      </c>
      <c r="J1303" s="33">
        <v>311678</v>
      </c>
    </row>
    <row r="1304" spans="1:10">
      <c r="A1304">
        <v>66</v>
      </c>
      <c r="B1304" t="s">
        <v>1126</v>
      </c>
      <c r="C1304" t="s">
        <v>1323</v>
      </c>
      <c r="E1304" t="s">
        <v>131</v>
      </c>
      <c r="F1304" s="33">
        <v>0</v>
      </c>
      <c r="G1304">
        <v>0</v>
      </c>
      <c r="H1304" s="33">
        <v>0</v>
      </c>
      <c r="I1304" s="33">
        <v>83081</v>
      </c>
      <c r="J1304" s="33">
        <v>83081</v>
      </c>
    </row>
    <row r="1305" spans="1:10">
      <c r="A1305">
        <v>67</v>
      </c>
      <c r="B1305" t="s">
        <v>1126</v>
      </c>
      <c r="C1305" t="s">
        <v>1324</v>
      </c>
      <c r="E1305" t="s">
        <v>131</v>
      </c>
      <c r="F1305" s="33">
        <v>0</v>
      </c>
      <c r="G1305">
        <v>0</v>
      </c>
      <c r="H1305" s="33">
        <v>0</v>
      </c>
      <c r="I1305" s="33">
        <v>100318</v>
      </c>
      <c r="J1305" s="33">
        <v>100318</v>
      </c>
    </row>
    <row r="1306" spans="1:10">
      <c r="A1306">
        <v>68</v>
      </c>
      <c r="B1306" t="s">
        <v>1126</v>
      </c>
      <c r="C1306" t="s">
        <v>1325</v>
      </c>
      <c r="E1306" t="s">
        <v>129</v>
      </c>
      <c r="F1306" s="33">
        <v>0</v>
      </c>
      <c r="G1306">
        <v>0</v>
      </c>
      <c r="H1306" s="33">
        <v>0</v>
      </c>
      <c r="I1306" s="33">
        <v>5029820</v>
      </c>
      <c r="J1306" s="33">
        <v>5029820</v>
      </c>
    </row>
    <row r="1307" spans="1:10">
      <c r="A1307">
        <v>69</v>
      </c>
      <c r="B1307" t="s">
        <v>1126</v>
      </c>
      <c r="C1307" t="s">
        <v>1326</v>
      </c>
      <c r="E1307" t="s">
        <v>136</v>
      </c>
      <c r="F1307" s="33">
        <v>0</v>
      </c>
      <c r="G1307">
        <v>0</v>
      </c>
      <c r="H1307" s="33">
        <v>0</v>
      </c>
      <c r="I1307" s="33">
        <v>1327225</v>
      </c>
      <c r="J1307" s="33">
        <v>1327225</v>
      </c>
    </row>
    <row r="1308" spans="1:10">
      <c r="A1308">
        <v>70</v>
      </c>
      <c r="B1308" t="s">
        <v>1126</v>
      </c>
      <c r="C1308" t="s">
        <v>1327</v>
      </c>
      <c r="E1308" t="s">
        <v>129</v>
      </c>
      <c r="F1308" s="33">
        <v>0</v>
      </c>
      <c r="G1308">
        <v>0</v>
      </c>
      <c r="H1308" s="33">
        <v>0</v>
      </c>
      <c r="I1308" s="33">
        <v>48069252</v>
      </c>
      <c r="J1308" s="33">
        <v>48069252</v>
      </c>
    </row>
    <row r="1309" spans="1:10">
      <c r="A1309">
        <v>71</v>
      </c>
      <c r="B1309" t="s">
        <v>1126</v>
      </c>
      <c r="C1309" t="s">
        <v>1328</v>
      </c>
      <c r="E1309" t="s">
        <v>131</v>
      </c>
      <c r="F1309" s="33">
        <v>0</v>
      </c>
      <c r="G1309">
        <v>0</v>
      </c>
      <c r="H1309" s="33">
        <v>0</v>
      </c>
      <c r="I1309" s="33">
        <v>20671</v>
      </c>
      <c r="J1309" s="33">
        <v>20671</v>
      </c>
    </row>
    <row r="1310" spans="1:10">
      <c r="A1310">
        <v>72</v>
      </c>
      <c r="B1310" t="s">
        <v>1126</v>
      </c>
      <c r="C1310" t="s">
        <v>1329</v>
      </c>
      <c r="E1310" t="s">
        <v>148</v>
      </c>
      <c r="F1310" s="33">
        <v>0</v>
      </c>
      <c r="G1310">
        <v>0</v>
      </c>
      <c r="H1310" s="33">
        <v>0</v>
      </c>
      <c r="I1310" s="33">
        <v>27031</v>
      </c>
      <c r="J1310" s="33">
        <v>27031</v>
      </c>
    </row>
    <row r="1311" spans="1:10">
      <c r="A1311">
        <v>73</v>
      </c>
      <c r="B1311" t="s">
        <v>1126</v>
      </c>
      <c r="C1311" t="s">
        <v>1330</v>
      </c>
      <c r="E1311" t="s">
        <v>131</v>
      </c>
      <c r="F1311" s="33">
        <v>0</v>
      </c>
      <c r="G1311">
        <v>0</v>
      </c>
      <c r="H1311" s="33">
        <v>0</v>
      </c>
      <c r="I1311" s="33">
        <v>1170000</v>
      </c>
      <c r="J1311" s="33">
        <v>1170000</v>
      </c>
    </row>
    <row r="1312" spans="1:10">
      <c r="A1312">
        <v>74</v>
      </c>
      <c r="B1312" t="s">
        <v>1126</v>
      </c>
      <c r="C1312" t="s">
        <v>1331</v>
      </c>
      <c r="E1312" t="s">
        <v>148</v>
      </c>
      <c r="F1312" s="33">
        <v>0</v>
      </c>
      <c r="G1312">
        <v>0</v>
      </c>
      <c r="H1312" s="33">
        <v>0</v>
      </c>
      <c r="I1312" s="33">
        <v>533102</v>
      </c>
      <c r="J1312" s="33">
        <v>533102</v>
      </c>
    </row>
    <row r="1313" spans="1:10">
      <c r="A1313">
        <v>75</v>
      </c>
      <c r="B1313" t="s">
        <v>1126</v>
      </c>
      <c r="C1313" t="s">
        <v>1332</v>
      </c>
      <c r="E1313" t="s">
        <v>131</v>
      </c>
      <c r="F1313" s="33">
        <v>0</v>
      </c>
      <c r="G1313">
        <v>0</v>
      </c>
      <c r="H1313" s="33">
        <v>0</v>
      </c>
      <c r="I1313" s="33">
        <v>4964366</v>
      </c>
      <c r="J1313" s="33">
        <v>4964366</v>
      </c>
    </row>
    <row r="1314" spans="1:10">
      <c r="A1314">
        <v>76</v>
      </c>
      <c r="B1314" t="s">
        <v>1126</v>
      </c>
      <c r="C1314" t="s">
        <v>1333</v>
      </c>
      <c r="E1314" t="s">
        <v>148</v>
      </c>
      <c r="F1314" s="33">
        <v>0</v>
      </c>
      <c r="G1314">
        <v>0</v>
      </c>
      <c r="H1314" s="33">
        <v>0</v>
      </c>
      <c r="I1314" s="33">
        <v>18019652</v>
      </c>
      <c r="J1314" s="33">
        <v>18019652</v>
      </c>
    </row>
    <row r="1315" spans="1:10">
      <c r="A1315">
        <v>77</v>
      </c>
      <c r="B1315" t="s">
        <v>1126</v>
      </c>
      <c r="C1315" t="s">
        <v>1334</v>
      </c>
      <c r="E1315" t="s">
        <v>193</v>
      </c>
      <c r="F1315" s="33">
        <v>0</v>
      </c>
      <c r="G1315">
        <v>0</v>
      </c>
      <c r="H1315" s="33">
        <v>0</v>
      </c>
      <c r="I1315" s="33">
        <v>886183</v>
      </c>
      <c r="J1315" s="33">
        <v>886183</v>
      </c>
    </row>
    <row r="1316" spans="1:10">
      <c r="A1316">
        <v>78</v>
      </c>
      <c r="B1316" t="s">
        <v>1126</v>
      </c>
      <c r="C1316" s="78" t="s">
        <v>1335</v>
      </c>
      <c r="E1316" t="s">
        <v>131</v>
      </c>
      <c r="F1316" s="33">
        <v>0</v>
      </c>
      <c r="G1316">
        <v>0</v>
      </c>
      <c r="H1316" s="33">
        <v>0</v>
      </c>
      <c r="I1316" s="33">
        <v>2955320</v>
      </c>
      <c r="J1316" s="33">
        <v>2955320</v>
      </c>
    </row>
    <row r="1317" spans="1:10">
      <c r="A1317">
        <v>79</v>
      </c>
      <c r="B1317" t="s">
        <v>1126</v>
      </c>
      <c r="C1317" t="s">
        <v>1336</v>
      </c>
      <c r="E1317" t="s">
        <v>131</v>
      </c>
      <c r="F1317" s="33">
        <v>0</v>
      </c>
      <c r="G1317">
        <v>0</v>
      </c>
      <c r="H1317" s="33">
        <v>0</v>
      </c>
      <c r="I1317" s="33">
        <v>4915</v>
      </c>
      <c r="J1317" s="33">
        <v>4915</v>
      </c>
    </row>
    <row r="1318" spans="1:10">
      <c r="A1318">
        <v>80</v>
      </c>
      <c r="B1318" t="s">
        <v>1126</v>
      </c>
      <c r="C1318" t="s">
        <v>1337</v>
      </c>
      <c r="F1318" s="33">
        <v>0</v>
      </c>
      <c r="G1318">
        <v>0</v>
      </c>
      <c r="H1318" s="33">
        <v>0</v>
      </c>
      <c r="I1318" s="33">
        <v>1302670</v>
      </c>
      <c r="J1318" s="33">
        <v>1302670</v>
      </c>
    </row>
    <row r="1319" spans="1:10">
      <c r="A1319">
        <v>81</v>
      </c>
      <c r="B1319" t="s">
        <v>1126</v>
      </c>
      <c r="C1319" t="s">
        <v>1338</v>
      </c>
      <c r="E1319" t="s">
        <v>154</v>
      </c>
      <c r="F1319" s="33">
        <v>0</v>
      </c>
      <c r="G1319">
        <v>0</v>
      </c>
      <c r="H1319" s="33">
        <v>0</v>
      </c>
      <c r="I1319" s="33">
        <v>190000</v>
      </c>
      <c r="J1319" s="33">
        <v>190000</v>
      </c>
    </row>
    <row r="1320" spans="1:10">
      <c r="A1320">
        <v>82</v>
      </c>
      <c r="B1320" t="s">
        <v>1126</v>
      </c>
      <c r="C1320" t="s">
        <v>410</v>
      </c>
      <c r="E1320" t="s">
        <v>154</v>
      </c>
      <c r="F1320" s="33">
        <v>0</v>
      </c>
      <c r="G1320">
        <v>0</v>
      </c>
      <c r="H1320" s="33">
        <v>0</v>
      </c>
      <c r="I1320" s="33">
        <v>8512220</v>
      </c>
      <c r="J1320" s="33">
        <v>8512220</v>
      </c>
    </row>
    <row r="1321" spans="1:10">
      <c r="A1321">
        <v>83</v>
      </c>
      <c r="B1321" t="s">
        <v>1126</v>
      </c>
      <c r="C1321" t="s">
        <v>1339</v>
      </c>
      <c r="E1321" t="s">
        <v>136</v>
      </c>
      <c r="F1321" s="33">
        <v>0</v>
      </c>
      <c r="G1321">
        <v>0</v>
      </c>
      <c r="H1321" s="33">
        <v>0</v>
      </c>
      <c r="I1321" s="33">
        <v>10238078</v>
      </c>
      <c r="J1321" s="33">
        <v>10238078</v>
      </c>
    </row>
    <row r="1322" spans="1:10">
      <c r="A1322">
        <v>84</v>
      </c>
      <c r="B1322" t="s">
        <v>1126</v>
      </c>
      <c r="C1322" t="s">
        <v>1340</v>
      </c>
      <c r="F1322" s="33">
        <v>0</v>
      </c>
      <c r="G1322">
        <v>0</v>
      </c>
      <c r="H1322" s="33">
        <v>0</v>
      </c>
      <c r="I1322" s="33">
        <v>9772</v>
      </c>
      <c r="J1322" s="33">
        <v>9772</v>
      </c>
    </row>
    <row r="1323" spans="1:10">
      <c r="A1323">
        <v>85</v>
      </c>
      <c r="B1323" t="s">
        <v>1126</v>
      </c>
      <c r="C1323" t="s">
        <v>1341</v>
      </c>
      <c r="E1323" t="s">
        <v>131</v>
      </c>
      <c r="F1323" s="33">
        <v>0</v>
      </c>
      <c r="G1323">
        <v>0</v>
      </c>
      <c r="H1323" s="33">
        <v>0</v>
      </c>
      <c r="I1323" s="33">
        <v>492189</v>
      </c>
      <c r="J1323" s="33">
        <v>492189</v>
      </c>
    </row>
    <row r="1324" spans="1:10">
      <c r="A1324">
        <v>86</v>
      </c>
      <c r="B1324" t="s">
        <v>1126</v>
      </c>
      <c r="C1324" t="s">
        <v>418</v>
      </c>
      <c r="E1324" t="s">
        <v>136</v>
      </c>
      <c r="F1324" s="33">
        <v>0</v>
      </c>
      <c r="G1324">
        <v>0</v>
      </c>
      <c r="H1324" s="33">
        <v>0</v>
      </c>
      <c r="I1324" s="33">
        <v>5748970</v>
      </c>
      <c r="J1324" s="33">
        <v>5748970</v>
      </c>
    </row>
    <row r="1325" spans="1:10">
      <c r="A1325">
        <v>87</v>
      </c>
      <c r="B1325" t="s">
        <v>1126</v>
      </c>
      <c r="C1325" t="s">
        <v>1342</v>
      </c>
      <c r="E1325" t="s">
        <v>129</v>
      </c>
      <c r="F1325" s="33">
        <v>0</v>
      </c>
      <c r="G1325">
        <v>0</v>
      </c>
      <c r="H1325" s="33">
        <v>0</v>
      </c>
      <c r="I1325" s="33">
        <v>4433919</v>
      </c>
      <c r="J1325" s="33">
        <v>4433919</v>
      </c>
    </row>
    <row r="1326" spans="1:10">
      <c r="A1326">
        <v>88</v>
      </c>
      <c r="B1326" t="s">
        <v>1126</v>
      </c>
      <c r="C1326" t="s">
        <v>1343</v>
      </c>
      <c r="E1326" t="s">
        <v>131</v>
      </c>
      <c r="F1326" s="33">
        <v>0</v>
      </c>
      <c r="G1326">
        <v>0</v>
      </c>
      <c r="H1326" s="33">
        <v>0</v>
      </c>
      <c r="I1326" s="33">
        <v>286549</v>
      </c>
      <c r="J1326" s="33">
        <v>286549</v>
      </c>
    </row>
    <row r="1327" spans="1:10">
      <c r="A1327">
        <v>89</v>
      </c>
      <c r="B1327" t="s">
        <v>1126</v>
      </c>
      <c r="C1327" t="s">
        <v>1344</v>
      </c>
      <c r="E1327" t="s">
        <v>148</v>
      </c>
      <c r="F1327" s="33">
        <v>0</v>
      </c>
      <c r="G1327">
        <v>0</v>
      </c>
      <c r="H1327" s="33">
        <v>0</v>
      </c>
      <c r="I1327" s="33">
        <v>8224</v>
      </c>
      <c r="J1327" s="33">
        <v>8224</v>
      </c>
    </row>
    <row r="1328" spans="1:10">
      <c r="A1328">
        <v>90</v>
      </c>
      <c r="B1328" t="s">
        <v>1126</v>
      </c>
      <c r="C1328" t="s">
        <v>1345</v>
      </c>
      <c r="F1328" s="33">
        <v>0</v>
      </c>
      <c r="G1328">
        <v>0</v>
      </c>
      <c r="H1328" s="33">
        <v>0</v>
      </c>
      <c r="I1328" s="33">
        <v>638695</v>
      </c>
      <c r="J1328" s="33">
        <v>638695</v>
      </c>
    </row>
    <row r="1329" spans="1:10">
      <c r="A1329">
        <v>91</v>
      </c>
      <c r="B1329" t="s">
        <v>1126</v>
      </c>
      <c r="C1329" t="s">
        <v>1346</v>
      </c>
      <c r="E1329" t="s">
        <v>191</v>
      </c>
      <c r="F1329" s="33">
        <v>0</v>
      </c>
      <c r="G1329">
        <v>0</v>
      </c>
      <c r="H1329" s="33">
        <v>0</v>
      </c>
      <c r="I1329" s="33">
        <v>143865</v>
      </c>
      <c r="J1329" s="33">
        <v>143865</v>
      </c>
    </row>
    <row r="1330" spans="1:10">
      <c r="A1330">
        <v>92</v>
      </c>
      <c r="B1330" t="s">
        <v>1126</v>
      </c>
      <c r="C1330" t="s">
        <v>1347</v>
      </c>
      <c r="E1330" t="s">
        <v>129</v>
      </c>
      <c r="F1330" s="33">
        <v>0</v>
      </c>
      <c r="G1330">
        <v>0</v>
      </c>
      <c r="H1330" s="33">
        <v>0</v>
      </c>
      <c r="I1330" s="33">
        <v>45698504</v>
      </c>
      <c r="J1330" s="33">
        <v>45698504</v>
      </c>
    </row>
    <row r="1332" spans="1:10">
      <c r="A1332" t="s">
        <v>762</v>
      </c>
    </row>
    <row r="1333" spans="1:10">
      <c r="A1333" t="s">
        <v>566</v>
      </c>
    </row>
    <row r="1334" spans="1:10">
      <c r="A1334" t="s">
        <v>1055</v>
      </c>
    </row>
    <row r="1335" spans="1:10">
      <c r="A1335" t="s">
        <v>1056</v>
      </c>
    </row>
    <row r="1336" spans="1:10">
      <c r="A1336" t="s">
        <v>569</v>
      </c>
    </row>
    <row r="1337" spans="1:10">
      <c r="A1337" t="s">
        <v>671</v>
      </c>
    </row>
    <row r="1338" spans="1:10">
      <c r="A1338" t="s">
        <v>571</v>
      </c>
    </row>
    <row r="1339" spans="1:10">
      <c r="A1339" t="s">
        <v>572</v>
      </c>
    </row>
    <row r="1341" spans="1:10">
      <c r="A1341" t="s">
        <v>22</v>
      </c>
      <c r="B1341" t="s">
        <v>573</v>
      </c>
      <c r="C1341" t="s">
        <v>574</v>
      </c>
      <c r="D1341" t="s">
        <v>575</v>
      </c>
    </row>
    <row r="1342" spans="1:10">
      <c r="A1342" t="s">
        <v>576</v>
      </c>
      <c r="B1342" t="s">
        <v>123</v>
      </c>
      <c r="C1342" t="s">
        <v>577</v>
      </c>
    </row>
    <row r="1343" spans="1:10">
      <c r="A1343" t="s">
        <v>578</v>
      </c>
      <c r="B1343" t="s">
        <v>579</v>
      </c>
    </row>
    <row r="1344" spans="1:10">
      <c r="A1344" t="s">
        <v>580</v>
      </c>
      <c r="B1344" t="s">
        <v>581</v>
      </c>
    </row>
    <row r="1345" spans="1:10">
      <c r="A1345" t="s">
        <v>582</v>
      </c>
      <c r="B1345" t="s">
        <v>583</v>
      </c>
    </row>
    <row r="1346" spans="1:10">
      <c r="A1346" t="s">
        <v>584</v>
      </c>
      <c r="B1346" t="s">
        <v>585</v>
      </c>
    </row>
    <row r="1347" spans="1:10">
      <c r="A1347" t="s">
        <v>584</v>
      </c>
    </row>
    <row r="1348" spans="1:10">
      <c r="A1348">
        <v>1</v>
      </c>
      <c r="B1348" t="s">
        <v>1064</v>
      </c>
      <c r="C1348" t="s">
        <v>1065</v>
      </c>
      <c r="D1348" t="s">
        <v>764</v>
      </c>
      <c r="E1348" t="s">
        <v>127</v>
      </c>
      <c r="F1348" s="33">
        <v>60000000</v>
      </c>
      <c r="G1348" s="35">
        <v>2077</v>
      </c>
      <c r="H1348" s="33">
        <v>3704749</v>
      </c>
      <c r="I1348" s="33">
        <v>14727942</v>
      </c>
      <c r="J1348" s="33">
        <v>24148488</v>
      </c>
    </row>
    <row r="1349" spans="1:10">
      <c r="A1349">
        <v>2</v>
      </c>
      <c r="B1349" t="s">
        <v>1078</v>
      </c>
      <c r="C1349" t="s">
        <v>1079</v>
      </c>
      <c r="D1349" t="s">
        <v>601</v>
      </c>
      <c r="E1349" t="s">
        <v>129</v>
      </c>
      <c r="F1349" s="33">
        <v>0</v>
      </c>
      <c r="G1349">
        <v>52</v>
      </c>
      <c r="H1349" s="33">
        <v>138346</v>
      </c>
      <c r="I1349" s="33">
        <v>87512183</v>
      </c>
      <c r="J1349" s="33">
        <v>87969037</v>
      </c>
    </row>
    <row r="1350" spans="1:10">
      <c r="A1350">
        <v>3</v>
      </c>
      <c r="B1350" t="s">
        <v>1089</v>
      </c>
      <c r="C1350" t="s">
        <v>1090</v>
      </c>
      <c r="D1350" t="s">
        <v>601</v>
      </c>
      <c r="E1350" t="s">
        <v>154</v>
      </c>
      <c r="F1350" s="33">
        <v>0</v>
      </c>
      <c r="G1350">
        <v>17</v>
      </c>
      <c r="H1350" s="33">
        <v>68614</v>
      </c>
      <c r="I1350" s="33">
        <v>36585148</v>
      </c>
      <c r="J1350" s="33">
        <v>36801704</v>
      </c>
    </row>
    <row r="1351" spans="1:10">
      <c r="A1351">
        <v>4</v>
      </c>
      <c r="B1351" t="s">
        <v>1267</v>
      </c>
      <c r="C1351" t="s">
        <v>1271</v>
      </c>
      <c r="D1351" t="s">
        <v>601</v>
      </c>
      <c r="E1351" t="s">
        <v>129</v>
      </c>
      <c r="F1351" s="33">
        <v>0</v>
      </c>
      <c r="G1351">
        <v>27</v>
      </c>
      <c r="H1351" s="33">
        <v>57837</v>
      </c>
      <c r="I1351" s="33">
        <v>46139046</v>
      </c>
      <c r="J1351" s="33">
        <v>46263233</v>
      </c>
    </row>
    <row r="1352" spans="1:10">
      <c r="A1352">
        <v>5</v>
      </c>
      <c r="B1352" t="s">
        <v>1093</v>
      </c>
      <c r="C1352" t="s">
        <v>1094</v>
      </c>
      <c r="D1352" t="s">
        <v>626</v>
      </c>
      <c r="E1352" t="s">
        <v>131</v>
      </c>
      <c r="F1352" s="33">
        <v>0</v>
      </c>
      <c r="G1352">
        <v>18</v>
      </c>
      <c r="H1352" s="33">
        <v>50619</v>
      </c>
      <c r="I1352" s="33">
        <v>9387872</v>
      </c>
      <c r="J1352" s="33">
        <v>9499456</v>
      </c>
    </row>
    <row r="1353" spans="1:10">
      <c r="A1353">
        <v>6</v>
      </c>
      <c r="B1353" t="s">
        <v>1103</v>
      </c>
      <c r="C1353" t="s">
        <v>1104</v>
      </c>
      <c r="D1353" t="s">
        <v>622</v>
      </c>
      <c r="E1353" t="s">
        <v>191</v>
      </c>
      <c r="F1353" s="33">
        <v>0</v>
      </c>
      <c r="G1353">
        <v>1</v>
      </c>
      <c r="H1353" s="33">
        <v>5141</v>
      </c>
      <c r="I1353" s="33">
        <v>12006</v>
      </c>
      <c r="J1353" s="33">
        <v>41056</v>
      </c>
    </row>
    <row r="1354" spans="1:10">
      <c r="A1354">
        <v>7</v>
      </c>
      <c r="B1354" t="s">
        <v>1348</v>
      </c>
      <c r="C1354" t="s">
        <v>1349</v>
      </c>
      <c r="D1354" t="s">
        <v>774</v>
      </c>
      <c r="E1354" t="s">
        <v>131</v>
      </c>
      <c r="F1354" s="33">
        <v>0</v>
      </c>
      <c r="G1354">
        <v>3</v>
      </c>
      <c r="H1354" s="33">
        <v>676</v>
      </c>
      <c r="I1354" s="33">
        <v>54577</v>
      </c>
      <c r="J1354" s="33">
        <v>57155</v>
      </c>
    </row>
    <row r="1355" spans="1:10">
      <c r="A1355">
        <v>8</v>
      </c>
      <c r="B1355" t="s">
        <v>1126</v>
      </c>
      <c r="C1355" t="s">
        <v>1304</v>
      </c>
      <c r="E1355" t="s">
        <v>131</v>
      </c>
      <c r="F1355" s="33">
        <v>0</v>
      </c>
      <c r="G1355">
        <v>0</v>
      </c>
      <c r="H1355" s="33">
        <v>0</v>
      </c>
      <c r="I1355" s="33">
        <v>663773</v>
      </c>
      <c r="J1355" s="33">
        <v>663773</v>
      </c>
    </row>
    <row r="1356" spans="1:10">
      <c r="A1356">
        <v>9</v>
      </c>
      <c r="B1356" t="s">
        <v>1126</v>
      </c>
      <c r="C1356" t="s">
        <v>1350</v>
      </c>
      <c r="E1356" t="s">
        <v>129</v>
      </c>
      <c r="F1356" s="33">
        <v>0</v>
      </c>
      <c r="G1356">
        <v>0</v>
      </c>
      <c r="H1356" s="33">
        <v>0</v>
      </c>
      <c r="I1356" s="33">
        <v>5919976</v>
      </c>
      <c r="J1356" s="33">
        <v>5919976</v>
      </c>
    </row>
    <row r="1357" spans="1:10">
      <c r="A1357">
        <v>10</v>
      </c>
      <c r="B1357" t="s">
        <v>1111</v>
      </c>
      <c r="C1357" t="s">
        <v>1112</v>
      </c>
      <c r="D1357" t="s">
        <v>1113</v>
      </c>
      <c r="E1357" t="s">
        <v>131</v>
      </c>
      <c r="F1357" s="33">
        <v>0</v>
      </c>
      <c r="G1357">
        <v>0</v>
      </c>
      <c r="H1357" s="33">
        <v>0</v>
      </c>
      <c r="I1357" s="33">
        <v>0</v>
      </c>
      <c r="J1357" s="33">
        <v>0</v>
      </c>
    </row>
    <row r="1358" spans="1:10">
      <c r="A1358">
        <v>11</v>
      </c>
      <c r="B1358" t="s">
        <v>1126</v>
      </c>
      <c r="C1358" t="s">
        <v>1351</v>
      </c>
      <c r="E1358" t="s">
        <v>127</v>
      </c>
      <c r="F1358" s="33">
        <v>0</v>
      </c>
      <c r="G1358">
        <v>0</v>
      </c>
      <c r="H1358" s="33">
        <v>0</v>
      </c>
      <c r="I1358" s="33">
        <v>6651494</v>
      </c>
      <c r="J1358" s="33">
        <v>6651494</v>
      </c>
    </row>
    <row r="1359" spans="1:10">
      <c r="A1359">
        <v>12</v>
      </c>
      <c r="B1359" t="s">
        <v>1126</v>
      </c>
      <c r="C1359" t="s">
        <v>1352</v>
      </c>
      <c r="E1359" t="s">
        <v>193</v>
      </c>
      <c r="F1359" s="33">
        <v>0</v>
      </c>
      <c r="G1359">
        <v>0</v>
      </c>
      <c r="H1359" s="33">
        <v>0</v>
      </c>
      <c r="I1359" s="33">
        <v>7052423</v>
      </c>
      <c r="J1359" s="33">
        <v>7052423</v>
      </c>
    </row>
    <row r="1360" spans="1:10">
      <c r="A1360">
        <v>13</v>
      </c>
      <c r="B1360" t="s">
        <v>1126</v>
      </c>
      <c r="C1360" t="s">
        <v>1215</v>
      </c>
      <c r="E1360" t="s">
        <v>154</v>
      </c>
      <c r="F1360" s="33">
        <v>0</v>
      </c>
      <c r="G1360">
        <v>0</v>
      </c>
      <c r="H1360" s="33">
        <v>0</v>
      </c>
      <c r="I1360" s="33">
        <v>8595808</v>
      </c>
      <c r="J1360" s="33">
        <v>8595808</v>
      </c>
    </row>
    <row r="1361" spans="1:10">
      <c r="A1361">
        <v>14</v>
      </c>
      <c r="B1361" t="s">
        <v>1126</v>
      </c>
      <c r="C1361" t="s">
        <v>1353</v>
      </c>
      <c r="F1361" s="33">
        <v>0</v>
      </c>
      <c r="G1361">
        <v>0</v>
      </c>
      <c r="H1361" s="33">
        <v>0</v>
      </c>
      <c r="I1361" s="33">
        <v>207989</v>
      </c>
      <c r="J1361" s="33">
        <v>207989</v>
      </c>
    </row>
    <row r="1362" spans="1:10">
      <c r="A1362">
        <v>15</v>
      </c>
      <c r="B1362" t="s">
        <v>1354</v>
      </c>
      <c r="C1362" t="s">
        <v>1355</v>
      </c>
      <c r="E1362" t="s">
        <v>191</v>
      </c>
      <c r="F1362" s="33">
        <v>0</v>
      </c>
      <c r="G1362">
        <v>0</v>
      </c>
      <c r="H1362" s="33">
        <v>0</v>
      </c>
      <c r="I1362" s="33">
        <v>1134</v>
      </c>
      <c r="J1362" s="33">
        <v>1134</v>
      </c>
    </row>
    <row r="1363" spans="1:10">
      <c r="A1363">
        <v>16</v>
      </c>
      <c r="B1363" t="s">
        <v>1082</v>
      </c>
      <c r="C1363" t="s">
        <v>1356</v>
      </c>
      <c r="D1363" t="s">
        <v>1357</v>
      </c>
      <c r="E1363" t="s">
        <v>129</v>
      </c>
      <c r="F1363" s="33">
        <v>23000000</v>
      </c>
      <c r="G1363">
        <v>0</v>
      </c>
      <c r="H1363" s="33">
        <v>0</v>
      </c>
      <c r="I1363" s="33">
        <v>58807172</v>
      </c>
      <c r="J1363" s="33">
        <v>58807172</v>
      </c>
    </row>
    <row r="1364" spans="1:10">
      <c r="A1364">
        <v>17</v>
      </c>
      <c r="B1364" t="s">
        <v>1358</v>
      </c>
      <c r="C1364" t="s">
        <v>1359</v>
      </c>
      <c r="D1364" t="s">
        <v>1357</v>
      </c>
      <c r="E1364" t="s">
        <v>131</v>
      </c>
      <c r="F1364" s="33">
        <v>0</v>
      </c>
      <c r="G1364">
        <v>0</v>
      </c>
      <c r="H1364" s="33">
        <v>0</v>
      </c>
      <c r="I1364" s="33">
        <v>0</v>
      </c>
      <c r="J1364" s="33">
        <v>0</v>
      </c>
    </row>
    <row r="1365" spans="1:10">
      <c r="A1365">
        <v>18</v>
      </c>
      <c r="B1365" t="s">
        <v>1126</v>
      </c>
      <c r="C1365" t="s">
        <v>1320</v>
      </c>
      <c r="E1365" t="s">
        <v>129</v>
      </c>
      <c r="F1365" s="33">
        <v>0</v>
      </c>
      <c r="G1365">
        <v>0</v>
      </c>
      <c r="H1365" s="33">
        <v>0</v>
      </c>
      <c r="I1365" s="33">
        <v>60600360</v>
      </c>
      <c r="J1365" s="33">
        <v>60600360</v>
      </c>
    </row>
    <row r="1366" spans="1:10">
      <c r="A1366">
        <v>19</v>
      </c>
      <c r="B1366" t="s">
        <v>1126</v>
      </c>
      <c r="C1366" t="s">
        <v>1360</v>
      </c>
      <c r="E1366" t="s">
        <v>131</v>
      </c>
      <c r="F1366" s="33">
        <v>0</v>
      </c>
      <c r="G1366">
        <v>0</v>
      </c>
      <c r="H1366" s="33">
        <v>0</v>
      </c>
      <c r="I1366" s="33">
        <v>6892</v>
      </c>
      <c r="J1366" s="33">
        <v>6892</v>
      </c>
    </row>
    <row r="1367" spans="1:10">
      <c r="A1367">
        <v>20</v>
      </c>
      <c r="B1367" t="s">
        <v>1126</v>
      </c>
      <c r="C1367" t="s">
        <v>1282</v>
      </c>
      <c r="E1367" t="s">
        <v>129</v>
      </c>
      <c r="F1367" s="33">
        <v>0</v>
      </c>
      <c r="G1367">
        <v>0</v>
      </c>
      <c r="H1367" s="33">
        <v>0</v>
      </c>
      <c r="I1367" s="33">
        <v>18339343</v>
      </c>
      <c r="J1367" s="33">
        <v>18339343</v>
      </c>
    </row>
    <row r="1368" spans="1:10">
      <c r="A1368">
        <v>21</v>
      </c>
      <c r="B1368" t="s">
        <v>1126</v>
      </c>
      <c r="C1368" t="s">
        <v>1361</v>
      </c>
      <c r="E1368" t="s">
        <v>148</v>
      </c>
      <c r="F1368" s="33">
        <v>0</v>
      </c>
      <c r="G1368">
        <v>0</v>
      </c>
      <c r="H1368" s="33">
        <v>0</v>
      </c>
      <c r="I1368" s="33">
        <v>0</v>
      </c>
      <c r="J1368" s="33">
        <v>0</v>
      </c>
    </row>
    <row r="1369" spans="1:10">
      <c r="A1369">
        <v>22</v>
      </c>
      <c r="B1369" t="s">
        <v>1126</v>
      </c>
      <c r="C1369" t="s">
        <v>315</v>
      </c>
      <c r="E1369" t="s">
        <v>131</v>
      </c>
      <c r="F1369" s="33">
        <v>0</v>
      </c>
      <c r="G1369">
        <v>0</v>
      </c>
      <c r="H1369" s="33">
        <v>0</v>
      </c>
      <c r="I1369" s="33">
        <v>67678</v>
      </c>
      <c r="J1369" s="33">
        <v>67678</v>
      </c>
    </row>
    <row r="1370" spans="1:10">
      <c r="A1370">
        <v>23</v>
      </c>
      <c r="B1370" t="s">
        <v>1082</v>
      </c>
      <c r="C1370" t="s">
        <v>1362</v>
      </c>
      <c r="D1370" t="s">
        <v>1363</v>
      </c>
      <c r="E1370" t="s">
        <v>129</v>
      </c>
      <c r="F1370" s="33">
        <v>0</v>
      </c>
      <c r="G1370">
        <v>0</v>
      </c>
      <c r="H1370" s="33">
        <v>0</v>
      </c>
      <c r="I1370" s="33">
        <v>13109</v>
      </c>
      <c r="J1370" s="33">
        <v>13109</v>
      </c>
    </row>
    <row r="1371" spans="1:10">
      <c r="A1371">
        <v>24</v>
      </c>
      <c r="B1371" t="s">
        <v>1364</v>
      </c>
      <c r="C1371" t="s">
        <v>1365</v>
      </c>
      <c r="E1371" t="s">
        <v>136</v>
      </c>
      <c r="F1371" s="33">
        <v>0</v>
      </c>
      <c r="G1371">
        <v>0</v>
      </c>
      <c r="H1371" s="33">
        <v>0</v>
      </c>
      <c r="I1371" s="33">
        <v>0</v>
      </c>
      <c r="J1371" s="33">
        <v>0</v>
      </c>
    </row>
    <row r="1372" spans="1:10">
      <c r="A1372">
        <v>25</v>
      </c>
      <c r="B1372" t="s">
        <v>1126</v>
      </c>
      <c r="C1372" t="s">
        <v>1366</v>
      </c>
      <c r="E1372" t="s">
        <v>131</v>
      </c>
      <c r="F1372" s="33">
        <v>0</v>
      </c>
      <c r="G1372">
        <v>0</v>
      </c>
      <c r="H1372" s="33">
        <v>0</v>
      </c>
      <c r="I1372" s="33">
        <v>11077852</v>
      </c>
      <c r="J1372" s="33">
        <v>11077852</v>
      </c>
    </row>
    <row r="1373" spans="1:10">
      <c r="A1373">
        <v>26</v>
      </c>
      <c r="B1373" t="s">
        <v>1126</v>
      </c>
      <c r="C1373" t="s">
        <v>1325</v>
      </c>
      <c r="E1373" t="s">
        <v>129</v>
      </c>
      <c r="F1373" s="33">
        <v>0</v>
      </c>
      <c r="G1373">
        <v>0</v>
      </c>
      <c r="H1373" s="33">
        <v>0</v>
      </c>
      <c r="I1373" s="33">
        <v>5029820</v>
      </c>
      <c r="J1373" s="33">
        <v>5029820</v>
      </c>
    </row>
    <row r="1374" spans="1:10">
      <c r="A1374">
        <v>27</v>
      </c>
      <c r="B1374" t="s">
        <v>1126</v>
      </c>
      <c r="C1374" t="s">
        <v>1367</v>
      </c>
      <c r="E1374" t="s">
        <v>131</v>
      </c>
      <c r="F1374" s="33">
        <v>0</v>
      </c>
      <c r="G1374">
        <v>0</v>
      </c>
      <c r="H1374" s="33">
        <v>0</v>
      </c>
      <c r="I1374" s="33">
        <v>22178</v>
      </c>
      <c r="J1374" s="33">
        <v>22178</v>
      </c>
    </row>
    <row r="1375" spans="1:10">
      <c r="A1375">
        <v>28</v>
      </c>
      <c r="B1375" t="s">
        <v>1126</v>
      </c>
      <c r="C1375" t="s">
        <v>1368</v>
      </c>
      <c r="E1375" t="s">
        <v>131</v>
      </c>
      <c r="F1375" s="33">
        <v>0</v>
      </c>
      <c r="G1375">
        <v>0</v>
      </c>
      <c r="H1375" s="33">
        <v>0</v>
      </c>
      <c r="I1375" s="33">
        <v>231975</v>
      </c>
      <c r="J1375" s="33">
        <v>231975</v>
      </c>
    </row>
    <row r="1376" spans="1:10">
      <c r="A1376">
        <v>29</v>
      </c>
      <c r="B1376" t="s">
        <v>1126</v>
      </c>
      <c r="C1376" t="s">
        <v>1369</v>
      </c>
      <c r="F1376" s="33">
        <v>0</v>
      </c>
      <c r="G1376">
        <v>0</v>
      </c>
      <c r="H1376" s="33">
        <v>0</v>
      </c>
      <c r="I1376" s="33">
        <v>0</v>
      </c>
      <c r="J1376" s="33">
        <v>0</v>
      </c>
    </row>
    <row r="1378" spans="1:4">
      <c r="A1378" t="s">
        <v>792</v>
      </c>
    </row>
    <row r="1379" spans="1:4">
      <c r="A1379" t="s">
        <v>566</v>
      </c>
    </row>
    <row r="1380" spans="1:4">
      <c r="A1380" t="s">
        <v>1055</v>
      </c>
    </row>
    <row r="1381" spans="1:4">
      <c r="A1381" t="s">
        <v>1056</v>
      </c>
    </row>
    <row r="1382" spans="1:4">
      <c r="A1382" t="s">
        <v>569</v>
      </c>
    </row>
    <row r="1383" spans="1:4">
      <c r="A1383" t="s">
        <v>671</v>
      </c>
    </row>
    <row r="1384" spans="1:4">
      <c r="A1384" t="s">
        <v>571</v>
      </c>
    </row>
    <row r="1385" spans="1:4">
      <c r="A1385" t="s">
        <v>572</v>
      </c>
    </row>
    <row r="1387" spans="1:4">
      <c r="A1387" t="s">
        <v>22</v>
      </c>
      <c r="B1387" t="s">
        <v>573</v>
      </c>
      <c r="C1387" t="s">
        <v>574</v>
      </c>
      <c r="D1387" t="s">
        <v>575</v>
      </c>
    </row>
    <row r="1388" spans="1:4">
      <c r="A1388" t="s">
        <v>576</v>
      </c>
      <c r="B1388" t="s">
        <v>123</v>
      </c>
      <c r="C1388" t="s">
        <v>577</v>
      </c>
    </row>
    <row r="1389" spans="1:4">
      <c r="A1389" t="s">
        <v>578</v>
      </c>
      <c r="B1389" t="s">
        <v>579</v>
      </c>
    </row>
    <row r="1390" spans="1:4">
      <c r="A1390" t="s">
        <v>580</v>
      </c>
      <c r="B1390" t="s">
        <v>581</v>
      </c>
    </row>
    <row r="1391" spans="1:4">
      <c r="A1391" t="s">
        <v>582</v>
      </c>
      <c r="B1391" t="s">
        <v>583</v>
      </c>
    </row>
    <row r="1392" spans="1:4">
      <c r="A1392" t="s">
        <v>584</v>
      </c>
      <c r="B1392" t="s">
        <v>585</v>
      </c>
    </row>
    <row r="1393" spans="1:10">
      <c r="A1393" t="s">
        <v>584</v>
      </c>
    </row>
    <row r="1394" spans="1:10">
      <c r="A1394">
        <v>1</v>
      </c>
      <c r="B1394" t="s">
        <v>1103</v>
      </c>
      <c r="C1394" t="s">
        <v>1104</v>
      </c>
      <c r="D1394" t="s">
        <v>622</v>
      </c>
      <c r="E1394" t="s">
        <v>191</v>
      </c>
      <c r="F1394" s="33">
        <v>0</v>
      </c>
      <c r="G1394">
        <v>1</v>
      </c>
      <c r="H1394" s="33">
        <v>5141</v>
      </c>
      <c r="I1394" s="33">
        <v>12006</v>
      </c>
      <c r="J1394" s="33">
        <v>41056</v>
      </c>
    </row>
    <row r="1395" spans="1:10">
      <c r="A1395">
        <v>2</v>
      </c>
      <c r="B1395" t="s">
        <v>1370</v>
      </c>
      <c r="C1395" t="s">
        <v>1371</v>
      </c>
      <c r="D1395" t="s">
        <v>1357</v>
      </c>
      <c r="E1395" t="s">
        <v>193</v>
      </c>
      <c r="F1395" s="33">
        <v>0</v>
      </c>
      <c r="G1395">
        <v>8</v>
      </c>
      <c r="H1395" s="33">
        <v>0</v>
      </c>
      <c r="I1395" s="33">
        <v>0</v>
      </c>
      <c r="J1395" s="33">
        <v>18870</v>
      </c>
    </row>
    <row r="1396" spans="1:10">
      <c r="A1396">
        <v>3</v>
      </c>
      <c r="B1396" t="s">
        <v>1372</v>
      </c>
      <c r="C1396" t="s">
        <v>35</v>
      </c>
      <c r="D1396" t="s">
        <v>773</v>
      </c>
      <c r="E1396" t="s">
        <v>131</v>
      </c>
      <c r="F1396" s="33">
        <v>0</v>
      </c>
      <c r="G1396">
        <v>1</v>
      </c>
      <c r="H1396" s="33">
        <v>7333</v>
      </c>
      <c r="I1396" s="33">
        <v>32003</v>
      </c>
      <c r="J1396" s="33">
        <v>44900</v>
      </c>
    </row>
    <row r="1397" spans="1:10">
      <c r="A1397">
        <v>4</v>
      </c>
      <c r="B1397" t="s">
        <v>1120</v>
      </c>
      <c r="C1397" t="s">
        <v>1373</v>
      </c>
      <c r="E1397" t="s">
        <v>136</v>
      </c>
      <c r="F1397" s="33">
        <v>0</v>
      </c>
      <c r="G1397">
        <v>0</v>
      </c>
      <c r="H1397" s="33">
        <v>0</v>
      </c>
      <c r="I1397" s="33">
        <v>244286</v>
      </c>
      <c r="J1397" s="33">
        <v>244286</v>
      </c>
    </row>
    <row r="1398" spans="1:10">
      <c r="A1398">
        <v>5</v>
      </c>
      <c r="B1398" t="s">
        <v>1126</v>
      </c>
      <c r="C1398" t="s">
        <v>453</v>
      </c>
      <c r="E1398" t="s">
        <v>131</v>
      </c>
      <c r="F1398" s="33">
        <v>0</v>
      </c>
      <c r="G1398">
        <v>0</v>
      </c>
      <c r="H1398" s="33">
        <v>0</v>
      </c>
      <c r="I1398" s="33">
        <v>775700</v>
      </c>
      <c r="J1398" s="33">
        <v>775700</v>
      </c>
    </row>
    <row r="1399" spans="1:10">
      <c r="A1399">
        <v>6</v>
      </c>
      <c r="B1399" t="s">
        <v>1126</v>
      </c>
      <c r="C1399" t="s">
        <v>1374</v>
      </c>
      <c r="F1399" s="33">
        <v>0</v>
      </c>
      <c r="G1399">
        <v>0</v>
      </c>
      <c r="H1399" s="33">
        <v>0</v>
      </c>
      <c r="I1399" s="33">
        <v>110752</v>
      </c>
      <c r="J1399" s="33">
        <v>110752</v>
      </c>
    </row>
    <row r="1400" spans="1:10">
      <c r="A1400">
        <v>7</v>
      </c>
      <c r="B1400" t="s">
        <v>1126</v>
      </c>
      <c r="C1400" t="s">
        <v>1238</v>
      </c>
      <c r="E1400" t="s">
        <v>148</v>
      </c>
      <c r="F1400" s="33">
        <v>0</v>
      </c>
      <c r="G1400">
        <v>0</v>
      </c>
      <c r="H1400" s="33">
        <v>0</v>
      </c>
      <c r="I1400" s="33">
        <v>2749490</v>
      </c>
      <c r="J1400" s="33">
        <v>2749490</v>
      </c>
    </row>
    <row r="1401" spans="1:10">
      <c r="A1401">
        <v>8</v>
      </c>
      <c r="B1401" t="s">
        <v>1126</v>
      </c>
      <c r="C1401" t="s">
        <v>1375</v>
      </c>
      <c r="E1401" t="s">
        <v>127</v>
      </c>
      <c r="F1401" s="33">
        <v>0</v>
      </c>
      <c r="G1401">
        <v>0</v>
      </c>
      <c r="H1401" s="33">
        <v>0</v>
      </c>
      <c r="I1401" s="33">
        <v>1926435</v>
      </c>
      <c r="J1401" s="33">
        <v>1926435</v>
      </c>
    </row>
    <row r="1402" spans="1:10">
      <c r="A1402">
        <v>9</v>
      </c>
      <c r="B1402" t="s">
        <v>1126</v>
      </c>
      <c r="C1402" t="s">
        <v>1376</v>
      </c>
      <c r="F1402" s="33">
        <v>0</v>
      </c>
      <c r="G1402">
        <v>0</v>
      </c>
      <c r="H1402" s="33">
        <v>0</v>
      </c>
      <c r="I1402" s="33">
        <v>4562</v>
      </c>
      <c r="J1402" s="33">
        <v>4562</v>
      </c>
    </row>
    <row r="1403" spans="1:10">
      <c r="A1403">
        <v>10</v>
      </c>
      <c r="B1403" t="s">
        <v>1097</v>
      </c>
      <c r="C1403" t="s">
        <v>58</v>
      </c>
      <c r="D1403" t="s">
        <v>1377</v>
      </c>
      <c r="E1403" t="s">
        <v>131</v>
      </c>
      <c r="F1403" s="33">
        <v>0</v>
      </c>
      <c r="G1403">
        <v>0</v>
      </c>
      <c r="H1403" s="33">
        <v>0</v>
      </c>
      <c r="I1403" s="33">
        <v>4013033</v>
      </c>
      <c r="J1403" s="33">
        <v>4013033</v>
      </c>
    </row>
    <row r="1404" spans="1:10">
      <c r="A1404">
        <v>11</v>
      </c>
      <c r="B1404" t="s">
        <v>1126</v>
      </c>
      <c r="C1404" t="s">
        <v>1378</v>
      </c>
      <c r="E1404" t="s">
        <v>127</v>
      </c>
      <c r="F1404" s="33">
        <v>0</v>
      </c>
      <c r="G1404">
        <v>0</v>
      </c>
      <c r="H1404" s="33">
        <v>0</v>
      </c>
      <c r="I1404" s="33">
        <v>31505</v>
      </c>
      <c r="J1404" s="33">
        <v>31505</v>
      </c>
    </row>
    <row r="1405" spans="1:10">
      <c r="A1405">
        <v>12</v>
      </c>
      <c r="B1405" t="s">
        <v>1126</v>
      </c>
      <c r="C1405" t="s">
        <v>558</v>
      </c>
      <c r="E1405" t="s">
        <v>136</v>
      </c>
      <c r="F1405" s="33">
        <v>0</v>
      </c>
      <c r="G1405">
        <v>0</v>
      </c>
      <c r="H1405" s="33">
        <v>0</v>
      </c>
      <c r="I1405" s="33">
        <v>0</v>
      </c>
      <c r="J1405" s="33">
        <v>0</v>
      </c>
    </row>
    <row r="1407" spans="1:10">
      <c r="A1407" t="s">
        <v>1379</v>
      </c>
    </row>
    <row r="1408" spans="1:10">
      <c r="A1408" t="s">
        <v>566</v>
      </c>
    </row>
    <row r="1409" spans="1:10">
      <c r="A1409" t="s">
        <v>1055</v>
      </c>
    </row>
    <row r="1410" spans="1:10">
      <c r="A1410" t="s">
        <v>1056</v>
      </c>
    </row>
    <row r="1411" spans="1:10">
      <c r="A1411" t="s">
        <v>569</v>
      </c>
    </row>
    <row r="1412" spans="1:10">
      <c r="A1412" t="s">
        <v>671</v>
      </c>
    </row>
    <row r="1413" spans="1:10">
      <c r="A1413" t="s">
        <v>571</v>
      </c>
    </row>
    <row r="1414" spans="1:10">
      <c r="A1414" t="s">
        <v>572</v>
      </c>
    </row>
    <row r="1416" spans="1:10">
      <c r="A1416" t="s">
        <v>22</v>
      </c>
      <c r="B1416" t="s">
        <v>573</v>
      </c>
      <c r="C1416" t="s">
        <v>574</v>
      </c>
      <c r="D1416" t="s">
        <v>575</v>
      </c>
    </row>
    <row r="1417" spans="1:10">
      <c r="A1417" t="s">
        <v>576</v>
      </c>
      <c r="B1417" t="s">
        <v>123</v>
      </c>
      <c r="C1417" t="s">
        <v>577</v>
      </c>
    </row>
    <row r="1418" spans="1:10">
      <c r="A1418" t="s">
        <v>578</v>
      </c>
      <c r="B1418" t="s">
        <v>579</v>
      </c>
    </row>
    <row r="1419" spans="1:10">
      <c r="A1419" t="s">
        <v>580</v>
      </c>
      <c r="B1419" t="s">
        <v>581</v>
      </c>
    </row>
    <row r="1420" spans="1:10">
      <c r="A1420" t="s">
        <v>582</v>
      </c>
      <c r="B1420" t="s">
        <v>583</v>
      </c>
    </row>
    <row r="1421" spans="1:10">
      <c r="A1421" t="s">
        <v>584</v>
      </c>
      <c r="B1421" t="s">
        <v>585</v>
      </c>
    </row>
    <row r="1422" spans="1:10">
      <c r="A1422" t="s">
        <v>584</v>
      </c>
    </row>
    <row r="1423" spans="1:10">
      <c r="A1423">
        <v>1</v>
      </c>
      <c r="B1423" t="s">
        <v>1380</v>
      </c>
      <c r="C1423" t="s">
        <v>59</v>
      </c>
      <c r="D1423" t="s">
        <v>624</v>
      </c>
      <c r="E1423" t="s">
        <v>131</v>
      </c>
      <c r="F1423" s="33">
        <v>0</v>
      </c>
      <c r="G1423">
        <v>5</v>
      </c>
      <c r="H1423" s="33">
        <v>3598</v>
      </c>
      <c r="I1423" s="33">
        <v>82636</v>
      </c>
      <c r="J1423" s="33">
        <v>160531</v>
      </c>
    </row>
    <row r="1424" spans="1:10">
      <c r="A1424">
        <v>2</v>
      </c>
      <c r="B1424" t="s">
        <v>1348</v>
      </c>
      <c r="C1424" t="s">
        <v>1349</v>
      </c>
      <c r="D1424" t="s">
        <v>774</v>
      </c>
      <c r="E1424" t="s">
        <v>131</v>
      </c>
      <c r="F1424" s="33">
        <v>0</v>
      </c>
      <c r="G1424">
        <v>3</v>
      </c>
      <c r="H1424" s="33">
        <v>676</v>
      </c>
      <c r="I1424" s="33">
        <v>54577</v>
      </c>
      <c r="J1424" s="33">
        <v>57155</v>
      </c>
    </row>
    <row r="1425" spans="1:10">
      <c r="A1425">
        <v>3</v>
      </c>
      <c r="B1425" t="s">
        <v>1111</v>
      </c>
      <c r="C1425" t="s">
        <v>1381</v>
      </c>
      <c r="D1425" t="s">
        <v>767</v>
      </c>
      <c r="E1425" t="s">
        <v>154</v>
      </c>
      <c r="F1425" s="33">
        <v>0</v>
      </c>
      <c r="G1425">
        <v>0</v>
      </c>
      <c r="H1425" s="33">
        <v>0</v>
      </c>
      <c r="I1425" s="33">
        <v>0</v>
      </c>
      <c r="J1425" s="33">
        <v>0</v>
      </c>
    </row>
    <row r="1426" spans="1:10">
      <c r="A1426">
        <v>4</v>
      </c>
      <c r="B1426" t="s">
        <v>1126</v>
      </c>
      <c r="C1426" t="s">
        <v>1382</v>
      </c>
      <c r="E1426" t="s">
        <v>191</v>
      </c>
      <c r="F1426" s="33">
        <v>0</v>
      </c>
      <c r="G1426">
        <v>0</v>
      </c>
      <c r="H1426" s="33">
        <v>0</v>
      </c>
      <c r="I1426" s="33">
        <v>6322</v>
      </c>
      <c r="J1426" s="33">
        <v>6322</v>
      </c>
    </row>
    <row r="1427" spans="1:10">
      <c r="A1427">
        <v>5</v>
      </c>
      <c r="B1427" t="s">
        <v>1383</v>
      </c>
      <c r="C1427" t="s">
        <v>1384</v>
      </c>
      <c r="E1427" t="s">
        <v>191</v>
      </c>
      <c r="F1427" s="33">
        <v>0</v>
      </c>
      <c r="G1427">
        <v>0</v>
      </c>
      <c r="H1427" s="33">
        <v>0</v>
      </c>
      <c r="I1427" s="33">
        <v>0</v>
      </c>
      <c r="J1427" s="33">
        <v>0</v>
      </c>
    </row>
  </sheetData>
  <pageMargins left="0.7" right="0.7" top="0.75" bottom="0.75" header="0.3" footer="0.3"/>
  <pageSetup paperSize="9" orientation="portrait" verticalDpi="12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2"/>
  <sheetViews>
    <sheetView topLeftCell="A153" workbookViewId="0">
      <selection activeCell="E3" sqref="E3"/>
    </sheetView>
  </sheetViews>
  <sheetFormatPr defaultColWidth="9" defaultRowHeight="14.6"/>
  <cols>
    <col min="3" max="3" width="8.69140625" customWidth="1"/>
    <col min="4" max="4" width="10.84375" customWidth="1"/>
    <col min="5" max="5" width="26" customWidth="1"/>
    <col min="6" max="6" width="10.53515625" customWidth="1"/>
    <col min="7" max="8" width="11.53515625" customWidth="1"/>
  </cols>
  <sheetData>
    <row r="1" spans="1:9">
      <c r="B1" t="s">
        <v>1385</v>
      </c>
    </row>
    <row r="2" spans="1:9">
      <c r="B2" t="s">
        <v>1386</v>
      </c>
    </row>
    <row r="3" spans="1:9">
      <c r="B3" t="s">
        <v>1387</v>
      </c>
    </row>
    <row r="4" spans="1:9">
      <c r="B4" t="s">
        <v>1388</v>
      </c>
    </row>
    <row r="5" spans="1:9">
      <c r="B5" t="s">
        <v>1389</v>
      </c>
    </row>
    <row r="6" spans="1:9">
      <c r="B6" t="s">
        <v>1390</v>
      </c>
    </row>
    <row r="7" spans="1:9">
      <c r="B7" t="s">
        <v>1391</v>
      </c>
    </row>
    <row r="8" spans="1:9">
      <c r="B8" t="s">
        <v>1392</v>
      </c>
    </row>
    <row r="9" spans="1:9">
      <c r="B9" t="s">
        <v>1393</v>
      </c>
    </row>
    <row r="10" spans="1:9">
      <c r="B10" t="s">
        <v>1394</v>
      </c>
      <c r="F10" s="33"/>
      <c r="G10" s="33"/>
      <c r="H10" s="33"/>
    </row>
    <row r="11" spans="1:9">
      <c r="F11" s="33"/>
      <c r="G11" s="33"/>
      <c r="H11" s="33"/>
    </row>
    <row r="12" spans="1:9">
      <c r="I12" t="s">
        <v>1385</v>
      </c>
    </row>
    <row r="13" spans="1:9">
      <c r="A13">
        <v>2019</v>
      </c>
      <c r="B13" t="s">
        <v>44</v>
      </c>
      <c r="C13">
        <v>1</v>
      </c>
      <c r="D13" t="s">
        <v>608</v>
      </c>
      <c r="E13" t="s">
        <v>173</v>
      </c>
      <c r="F13" s="33">
        <v>131225</v>
      </c>
      <c r="G13" s="33">
        <v>18521816</v>
      </c>
      <c r="H13" s="33">
        <v>18653041</v>
      </c>
      <c r="I13" t="s">
        <v>1386</v>
      </c>
    </row>
    <row r="14" spans="1:9">
      <c r="A14">
        <v>2019</v>
      </c>
      <c r="B14" t="s">
        <v>44</v>
      </c>
      <c r="C14">
        <v>2</v>
      </c>
      <c r="D14" t="s">
        <v>632</v>
      </c>
      <c r="E14" t="s">
        <v>633</v>
      </c>
      <c r="F14" s="33">
        <v>0</v>
      </c>
      <c r="G14" s="33">
        <v>77072065</v>
      </c>
      <c r="H14" s="33">
        <v>77072065</v>
      </c>
      <c r="I14" t="s">
        <v>1386</v>
      </c>
    </row>
    <row r="15" spans="1:9">
      <c r="A15">
        <v>2019</v>
      </c>
      <c r="B15" t="s">
        <v>44</v>
      </c>
      <c r="C15">
        <v>1</v>
      </c>
      <c r="D15" t="s">
        <v>651</v>
      </c>
      <c r="E15" t="s">
        <v>652</v>
      </c>
      <c r="F15" s="33">
        <v>60716390</v>
      </c>
      <c r="G15" s="33">
        <v>127170053</v>
      </c>
      <c r="H15" s="33">
        <v>187886443</v>
      </c>
      <c r="I15" t="s">
        <v>1392</v>
      </c>
    </row>
    <row r="16" spans="1:9">
      <c r="A16">
        <v>2019</v>
      </c>
      <c r="B16" t="s">
        <v>44</v>
      </c>
      <c r="C16">
        <v>2</v>
      </c>
      <c r="D16" t="s">
        <v>662</v>
      </c>
      <c r="E16" t="s">
        <v>663</v>
      </c>
      <c r="F16" s="33">
        <v>5801249</v>
      </c>
      <c r="G16" s="33">
        <v>3890797</v>
      </c>
      <c r="H16" s="33">
        <v>9692046</v>
      </c>
      <c r="I16" t="s">
        <v>1392</v>
      </c>
    </row>
    <row r="17" spans="1:9">
      <c r="A17">
        <v>2019</v>
      </c>
      <c r="B17" t="s">
        <v>44</v>
      </c>
      <c r="C17">
        <v>3</v>
      </c>
      <c r="D17" t="s">
        <v>665</v>
      </c>
      <c r="E17" t="s">
        <v>401</v>
      </c>
      <c r="F17" s="33">
        <v>0</v>
      </c>
      <c r="G17" s="33">
        <v>11687938</v>
      </c>
      <c r="H17" s="33">
        <v>11687938</v>
      </c>
      <c r="I17" t="s">
        <v>1392</v>
      </c>
    </row>
    <row r="18" spans="1:9">
      <c r="A18">
        <v>2019</v>
      </c>
      <c r="B18" t="s">
        <v>44</v>
      </c>
      <c r="C18">
        <v>1</v>
      </c>
      <c r="D18" t="s">
        <v>640</v>
      </c>
      <c r="E18" t="s">
        <v>138</v>
      </c>
      <c r="F18" s="33">
        <v>290217</v>
      </c>
      <c r="G18" s="33">
        <v>244889313</v>
      </c>
      <c r="H18" s="33">
        <v>245179530</v>
      </c>
      <c r="I18" t="s">
        <v>1393</v>
      </c>
    </row>
    <row r="19" spans="1:9">
      <c r="A19">
        <v>2019</v>
      </c>
      <c r="B19" t="s">
        <v>44</v>
      </c>
      <c r="C19">
        <v>1</v>
      </c>
      <c r="D19" t="s">
        <v>619</v>
      </c>
      <c r="E19" t="s">
        <v>620</v>
      </c>
      <c r="F19" s="33">
        <v>76289</v>
      </c>
      <c r="G19" s="33">
        <v>216068</v>
      </c>
      <c r="H19" s="33">
        <v>292357</v>
      </c>
      <c r="I19" t="s">
        <v>1394</v>
      </c>
    </row>
    <row r="20" spans="1:9">
      <c r="A20">
        <v>2019</v>
      </c>
      <c r="B20" t="s">
        <v>44</v>
      </c>
      <c r="C20">
        <v>2</v>
      </c>
      <c r="D20" t="s">
        <v>676</v>
      </c>
      <c r="E20" t="s">
        <v>711</v>
      </c>
      <c r="F20" s="33">
        <v>0</v>
      </c>
      <c r="G20" s="33">
        <v>1192340</v>
      </c>
      <c r="H20" s="33">
        <v>1192340</v>
      </c>
      <c r="I20" t="s">
        <v>1394</v>
      </c>
    </row>
    <row r="21" spans="1:9">
      <c r="A21">
        <v>2019</v>
      </c>
      <c r="B21" t="s">
        <v>44</v>
      </c>
      <c r="C21">
        <v>1</v>
      </c>
      <c r="D21" t="s">
        <v>604</v>
      </c>
      <c r="E21" t="s">
        <v>128</v>
      </c>
      <c r="F21" s="33">
        <v>5875487</v>
      </c>
      <c r="G21" s="33">
        <v>683059335</v>
      </c>
      <c r="H21" s="33">
        <v>688934822</v>
      </c>
      <c r="I21" t="s">
        <v>1390</v>
      </c>
    </row>
    <row r="22" spans="1:9">
      <c r="A22">
        <v>2019</v>
      </c>
      <c r="B22" t="s">
        <v>44</v>
      </c>
      <c r="C22">
        <v>2</v>
      </c>
      <c r="D22" t="s">
        <v>646</v>
      </c>
      <c r="E22" t="s">
        <v>6</v>
      </c>
      <c r="F22" s="33">
        <v>3695533</v>
      </c>
      <c r="G22" s="33">
        <v>738818536</v>
      </c>
      <c r="H22" s="33">
        <v>742514069</v>
      </c>
      <c r="I22" t="s">
        <v>1390</v>
      </c>
    </row>
    <row r="23" spans="1:9">
      <c r="A23">
        <v>2019</v>
      </c>
      <c r="B23" t="s">
        <v>44</v>
      </c>
      <c r="C23">
        <v>3</v>
      </c>
      <c r="D23" t="s">
        <v>657</v>
      </c>
      <c r="E23" t="s">
        <v>130</v>
      </c>
      <c r="F23" s="33">
        <v>2323409</v>
      </c>
      <c r="G23" s="33">
        <v>463094610</v>
      </c>
      <c r="H23" s="33">
        <v>465418019</v>
      </c>
      <c r="I23" t="s">
        <v>1390</v>
      </c>
    </row>
    <row r="24" spans="1:9">
      <c r="A24">
        <v>2019</v>
      </c>
      <c r="B24" t="s">
        <v>44</v>
      </c>
      <c r="C24">
        <v>4</v>
      </c>
      <c r="D24" t="s">
        <v>667</v>
      </c>
      <c r="E24" t="s">
        <v>139</v>
      </c>
      <c r="F24" s="33">
        <v>1921657</v>
      </c>
      <c r="G24" s="33">
        <v>228079374</v>
      </c>
      <c r="H24" s="33">
        <v>230001031</v>
      </c>
      <c r="I24" t="s">
        <v>1390</v>
      </c>
    </row>
    <row r="25" spans="1:9">
      <c r="A25">
        <v>2019</v>
      </c>
      <c r="B25" t="s">
        <v>44</v>
      </c>
      <c r="C25">
        <v>5</v>
      </c>
      <c r="D25" t="s">
        <v>660</v>
      </c>
      <c r="E25" t="s">
        <v>132</v>
      </c>
      <c r="F25" s="33">
        <v>706572</v>
      </c>
      <c r="G25" s="33">
        <v>416947720</v>
      </c>
      <c r="H25" s="33">
        <v>417654292</v>
      </c>
      <c r="I25" t="s">
        <v>1390</v>
      </c>
    </row>
    <row r="26" spans="1:9">
      <c r="A26">
        <v>2019</v>
      </c>
      <c r="B26" t="s">
        <v>44</v>
      </c>
      <c r="C26">
        <v>6</v>
      </c>
      <c r="D26" t="s">
        <v>625</v>
      </c>
      <c r="E26" t="s">
        <v>371</v>
      </c>
      <c r="F26" s="33">
        <v>521396</v>
      </c>
      <c r="G26" s="33">
        <v>90941185</v>
      </c>
      <c r="H26" s="33">
        <v>91462581</v>
      </c>
      <c r="I26" t="s">
        <v>1390</v>
      </c>
    </row>
    <row r="27" spans="1:9">
      <c r="A27">
        <v>2019</v>
      </c>
      <c r="B27" t="s">
        <v>44</v>
      </c>
      <c r="C27">
        <v>7</v>
      </c>
      <c r="D27" t="s">
        <v>623</v>
      </c>
      <c r="E27" t="s">
        <v>382</v>
      </c>
      <c r="F27" s="33">
        <v>521365</v>
      </c>
      <c r="G27" s="33">
        <v>41619365</v>
      </c>
      <c r="H27" s="33">
        <v>42140730</v>
      </c>
      <c r="I27" t="s">
        <v>1390</v>
      </c>
    </row>
    <row r="28" spans="1:9">
      <c r="A28">
        <v>2019</v>
      </c>
      <c r="B28" t="s">
        <v>44</v>
      </c>
      <c r="C28">
        <v>8</v>
      </c>
      <c r="D28" t="s">
        <v>654</v>
      </c>
      <c r="E28" t="s">
        <v>141</v>
      </c>
      <c r="F28" s="33">
        <v>487157</v>
      </c>
      <c r="G28" s="33">
        <v>163172247</v>
      </c>
      <c r="H28" s="33">
        <v>163659404</v>
      </c>
      <c r="I28" t="s">
        <v>1390</v>
      </c>
    </row>
    <row r="29" spans="1:9">
      <c r="A29">
        <v>2019</v>
      </c>
      <c r="B29" t="s">
        <v>44</v>
      </c>
      <c r="C29">
        <v>9</v>
      </c>
      <c r="D29" t="s">
        <v>617</v>
      </c>
      <c r="E29" t="s">
        <v>399</v>
      </c>
      <c r="F29" s="33">
        <v>414578</v>
      </c>
      <c r="G29" s="33">
        <v>11552069</v>
      </c>
      <c r="H29" s="33">
        <v>11966647</v>
      </c>
      <c r="I29" t="s">
        <v>1390</v>
      </c>
    </row>
    <row r="30" spans="1:9">
      <c r="A30">
        <v>2019</v>
      </c>
      <c r="B30" t="s">
        <v>44</v>
      </c>
      <c r="C30">
        <v>10</v>
      </c>
      <c r="D30" t="s">
        <v>643</v>
      </c>
      <c r="E30" t="s">
        <v>644</v>
      </c>
      <c r="F30" s="33">
        <v>296751</v>
      </c>
      <c r="G30" s="33">
        <v>98147657</v>
      </c>
      <c r="H30" s="33">
        <v>98444408</v>
      </c>
      <c r="I30" t="s">
        <v>1390</v>
      </c>
    </row>
    <row r="31" spans="1:9">
      <c r="A31">
        <v>2019</v>
      </c>
      <c r="B31" t="s">
        <v>44</v>
      </c>
      <c r="C31">
        <v>11</v>
      </c>
      <c r="D31" t="s">
        <v>623</v>
      </c>
      <c r="E31" t="s">
        <v>392</v>
      </c>
      <c r="F31" s="33">
        <v>209454</v>
      </c>
      <c r="G31" s="33">
        <v>19572493</v>
      </c>
      <c r="H31" s="33">
        <v>19781947</v>
      </c>
      <c r="I31" t="s">
        <v>1390</v>
      </c>
    </row>
    <row r="32" spans="1:9">
      <c r="A32">
        <v>2019</v>
      </c>
      <c r="B32" t="s">
        <v>44</v>
      </c>
      <c r="C32">
        <v>12</v>
      </c>
      <c r="D32" t="s">
        <v>747</v>
      </c>
      <c r="E32" t="s">
        <v>186</v>
      </c>
      <c r="F32" s="33">
        <v>150481</v>
      </c>
      <c r="G32" s="33">
        <v>8568978</v>
      </c>
      <c r="H32" s="33">
        <v>8719459</v>
      </c>
      <c r="I32" t="s">
        <v>1390</v>
      </c>
    </row>
    <row r="33" spans="1:9">
      <c r="A33">
        <v>2019</v>
      </c>
      <c r="B33" t="s">
        <v>44</v>
      </c>
      <c r="C33">
        <v>13</v>
      </c>
      <c r="D33" t="s">
        <v>600</v>
      </c>
      <c r="E33" t="s">
        <v>390</v>
      </c>
      <c r="F33" s="33">
        <v>101516</v>
      </c>
      <c r="G33" s="33">
        <v>22268448</v>
      </c>
      <c r="H33" s="33">
        <v>22369964</v>
      </c>
      <c r="I33" t="s">
        <v>1390</v>
      </c>
    </row>
    <row r="34" spans="1:9">
      <c r="A34">
        <v>2019</v>
      </c>
      <c r="B34" t="s">
        <v>44</v>
      </c>
      <c r="C34">
        <v>14</v>
      </c>
      <c r="D34" t="s">
        <v>625</v>
      </c>
      <c r="E34" t="s">
        <v>172</v>
      </c>
      <c r="F34" s="33">
        <v>91884</v>
      </c>
      <c r="G34" s="33">
        <v>18914072</v>
      </c>
      <c r="H34" s="33">
        <v>19005956</v>
      </c>
      <c r="I34" t="s">
        <v>1390</v>
      </c>
    </row>
    <row r="35" spans="1:9">
      <c r="A35">
        <v>2019</v>
      </c>
      <c r="B35" t="s">
        <v>44</v>
      </c>
      <c r="C35">
        <v>15</v>
      </c>
      <c r="D35" t="s">
        <v>667</v>
      </c>
      <c r="E35" t="s">
        <v>162</v>
      </c>
      <c r="F35" s="33">
        <v>90545</v>
      </c>
      <c r="G35" s="33">
        <v>31098062</v>
      </c>
      <c r="H35" s="33">
        <v>31188607</v>
      </c>
      <c r="I35" t="s">
        <v>1390</v>
      </c>
    </row>
    <row r="36" spans="1:9">
      <c r="A36">
        <v>2019</v>
      </c>
      <c r="B36" t="s">
        <v>44</v>
      </c>
      <c r="C36">
        <v>16</v>
      </c>
      <c r="D36" t="s">
        <v>625</v>
      </c>
      <c r="E36" t="s">
        <v>209</v>
      </c>
      <c r="F36" s="33">
        <v>74491</v>
      </c>
      <c r="G36" s="33">
        <v>4066011</v>
      </c>
      <c r="H36" s="33">
        <v>4140502</v>
      </c>
      <c r="I36" t="s">
        <v>1390</v>
      </c>
    </row>
    <row r="37" spans="1:9">
      <c r="A37">
        <v>2019</v>
      </c>
      <c r="B37" t="s">
        <v>44</v>
      </c>
      <c r="C37">
        <v>17</v>
      </c>
      <c r="D37" t="s">
        <v>647</v>
      </c>
      <c r="E37" t="s">
        <v>648</v>
      </c>
      <c r="F37" s="33">
        <v>43262</v>
      </c>
      <c r="G37" s="33">
        <v>240506</v>
      </c>
      <c r="H37" s="33">
        <v>283768</v>
      </c>
      <c r="I37" t="s">
        <v>1390</v>
      </c>
    </row>
    <row r="38" spans="1:9">
      <c r="A38">
        <v>2019</v>
      </c>
      <c r="B38" t="s">
        <v>44</v>
      </c>
      <c r="C38">
        <v>18</v>
      </c>
      <c r="D38" t="s">
        <v>668</v>
      </c>
      <c r="E38" t="s">
        <v>150</v>
      </c>
      <c r="F38" s="33">
        <v>34730</v>
      </c>
      <c r="G38" s="33">
        <v>68330000</v>
      </c>
      <c r="H38" s="33">
        <v>68364730</v>
      </c>
      <c r="I38" t="s">
        <v>1390</v>
      </c>
    </row>
    <row r="39" spans="1:9">
      <c r="A39">
        <v>2019</v>
      </c>
      <c r="B39" t="s">
        <v>44</v>
      </c>
      <c r="C39">
        <v>19</v>
      </c>
      <c r="D39" t="s">
        <v>650</v>
      </c>
      <c r="E39" t="s">
        <v>216</v>
      </c>
      <c r="F39" s="33">
        <v>18555</v>
      </c>
      <c r="G39" s="33">
        <v>3440000</v>
      </c>
      <c r="H39" s="33">
        <v>3458555</v>
      </c>
      <c r="I39" t="s">
        <v>1390</v>
      </c>
    </row>
    <row r="40" spans="1:9">
      <c r="A40">
        <v>2019</v>
      </c>
      <c r="B40" t="s">
        <v>44</v>
      </c>
      <c r="C40">
        <v>20</v>
      </c>
      <c r="D40" t="s">
        <v>621</v>
      </c>
      <c r="E40" t="s">
        <v>343</v>
      </c>
      <c r="F40" s="33">
        <v>10364</v>
      </c>
      <c r="G40" s="33">
        <v>0</v>
      </c>
      <c r="H40" s="33">
        <v>10364</v>
      </c>
      <c r="I40" t="s">
        <v>1390</v>
      </c>
    </row>
    <row r="41" spans="1:9">
      <c r="A41">
        <v>2019</v>
      </c>
      <c r="B41" t="s">
        <v>44</v>
      </c>
      <c r="C41">
        <v>21</v>
      </c>
      <c r="D41" t="s">
        <v>640</v>
      </c>
      <c r="E41" t="s">
        <v>360</v>
      </c>
      <c r="F41" s="33">
        <v>6752</v>
      </c>
      <c r="G41" s="33">
        <v>451176640</v>
      </c>
      <c r="H41" s="33">
        <v>451183392</v>
      </c>
      <c r="I41" t="s">
        <v>1390</v>
      </c>
    </row>
    <row r="42" spans="1:9">
      <c r="A42">
        <v>2019</v>
      </c>
      <c r="B42" t="s">
        <v>44</v>
      </c>
      <c r="C42">
        <v>22</v>
      </c>
      <c r="D42" t="s">
        <v>673</v>
      </c>
      <c r="E42" t="s">
        <v>674</v>
      </c>
      <c r="F42" s="33">
        <v>4140</v>
      </c>
      <c r="G42" s="33">
        <v>0</v>
      </c>
      <c r="H42" s="33">
        <v>4140</v>
      </c>
      <c r="I42" t="s">
        <v>1390</v>
      </c>
    </row>
    <row r="43" spans="1:9">
      <c r="A43">
        <v>2019</v>
      </c>
      <c r="B43" t="s">
        <v>44</v>
      </c>
      <c r="C43">
        <v>23</v>
      </c>
      <c r="D43" t="s">
        <v>629</v>
      </c>
      <c r="E43" t="s">
        <v>630</v>
      </c>
      <c r="F43" s="33">
        <v>0</v>
      </c>
      <c r="G43" s="33">
        <v>1278207</v>
      </c>
      <c r="H43" s="33">
        <v>1278207</v>
      </c>
      <c r="I43" t="s">
        <v>1390</v>
      </c>
    </row>
    <row r="44" spans="1:9">
      <c r="A44">
        <v>2019</v>
      </c>
      <c r="B44" t="s">
        <v>44</v>
      </c>
      <c r="C44">
        <v>24</v>
      </c>
      <c r="D44" t="s">
        <v>642</v>
      </c>
      <c r="E44" t="s">
        <v>355</v>
      </c>
      <c r="F44" s="33">
        <v>0</v>
      </c>
      <c r="G44" s="33">
        <v>0</v>
      </c>
      <c r="H44" s="33">
        <v>0</v>
      </c>
      <c r="I44" t="s">
        <v>1390</v>
      </c>
    </row>
    <row r="45" spans="1:9">
      <c r="A45">
        <v>2019</v>
      </c>
      <c r="B45" t="s">
        <v>44</v>
      </c>
      <c r="C45">
        <v>25</v>
      </c>
      <c r="D45" t="s">
        <v>668</v>
      </c>
      <c r="E45" t="s">
        <v>159</v>
      </c>
      <c r="F45" s="33">
        <v>0</v>
      </c>
      <c r="G45" s="33">
        <v>32227811</v>
      </c>
      <c r="H45" s="33">
        <v>32227811</v>
      </c>
      <c r="I45" t="s">
        <v>1390</v>
      </c>
    </row>
    <row r="46" spans="1:9">
      <c r="A46">
        <v>2019</v>
      </c>
      <c r="B46" t="s">
        <v>44</v>
      </c>
      <c r="C46">
        <v>26</v>
      </c>
      <c r="D46" t="s">
        <v>661</v>
      </c>
      <c r="E46" t="s">
        <v>57</v>
      </c>
      <c r="F46" s="33">
        <v>0</v>
      </c>
      <c r="G46" s="33">
        <v>97033612</v>
      </c>
      <c r="H46" s="33">
        <v>97033612</v>
      </c>
      <c r="I46" t="s">
        <v>1390</v>
      </c>
    </row>
    <row r="47" spans="1:9">
      <c r="A47">
        <v>2019</v>
      </c>
      <c r="B47" t="s">
        <v>44</v>
      </c>
      <c r="C47">
        <v>27</v>
      </c>
      <c r="D47" t="s">
        <v>594</v>
      </c>
      <c r="E47" t="s">
        <v>595</v>
      </c>
      <c r="F47" s="33">
        <v>0</v>
      </c>
      <c r="G47" s="33">
        <v>11596</v>
      </c>
      <c r="H47" s="33">
        <v>11596</v>
      </c>
      <c r="I47" t="s">
        <v>1390</v>
      </c>
    </row>
    <row r="48" spans="1:9">
      <c r="A48">
        <v>2019</v>
      </c>
      <c r="B48" t="s">
        <v>44</v>
      </c>
      <c r="C48">
        <v>28</v>
      </c>
      <c r="D48" t="s">
        <v>627</v>
      </c>
      <c r="E48" t="s">
        <v>562</v>
      </c>
      <c r="F48" s="33">
        <v>0</v>
      </c>
      <c r="G48" s="33">
        <v>0</v>
      </c>
      <c r="H48" s="33">
        <v>0</v>
      </c>
      <c r="I48" t="s">
        <v>1390</v>
      </c>
    </row>
    <row r="49" spans="1:9">
      <c r="A49">
        <v>2019</v>
      </c>
      <c r="B49" t="s">
        <v>44</v>
      </c>
      <c r="C49">
        <v>29</v>
      </c>
      <c r="D49" t="s">
        <v>638</v>
      </c>
      <c r="E49" t="s">
        <v>354</v>
      </c>
      <c r="F49" s="33">
        <v>0</v>
      </c>
      <c r="G49" s="33">
        <v>0</v>
      </c>
      <c r="H49" s="33">
        <v>0</v>
      </c>
      <c r="I49" t="s">
        <v>1390</v>
      </c>
    </row>
    <row r="50" spans="1:9">
      <c r="A50">
        <v>2019</v>
      </c>
      <c r="B50" t="s">
        <v>44</v>
      </c>
      <c r="C50">
        <v>30</v>
      </c>
      <c r="D50" t="s">
        <v>628</v>
      </c>
      <c r="E50" t="s">
        <v>351</v>
      </c>
      <c r="F50" s="33">
        <v>0</v>
      </c>
      <c r="G50" s="33">
        <v>0</v>
      </c>
      <c r="H50" s="33">
        <v>0</v>
      </c>
      <c r="I50" t="s">
        <v>1390</v>
      </c>
    </row>
    <row r="51" spans="1:9">
      <c r="A51">
        <v>2019</v>
      </c>
      <c r="B51" t="s">
        <v>44</v>
      </c>
      <c r="C51">
        <v>31</v>
      </c>
      <c r="D51" t="s">
        <v>675</v>
      </c>
      <c r="E51" t="s">
        <v>167</v>
      </c>
      <c r="F51" s="33">
        <v>0</v>
      </c>
      <c r="G51" s="33">
        <v>23417137</v>
      </c>
      <c r="H51" s="33">
        <v>23417137</v>
      </c>
      <c r="I51" t="s">
        <v>1390</v>
      </c>
    </row>
    <row r="52" spans="1:9">
      <c r="A52">
        <v>2019</v>
      </c>
      <c r="B52" t="s">
        <v>44</v>
      </c>
      <c r="C52">
        <v>32</v>
      </c>
      <c r="D52" t="s">
        <v>639</v>
      </c>
      <c r="E52" t="s">
        <v>142</v>
      </c>
      <c r="F52" s="33">
        <v>0</v>
      </c>
      <c r="G52" s="33">
        <v>127897924</v>
      </c>
      <c r="H52" s="33">
        <v>127897924</v>
      </c>
      <c r="I52" t="s">
        <v>1390</v>
      </c>
    </row>
    <row r="53" spans="1:9">
      <c r="A53">
        <v>2019</v>
      </c>
      <c r="B53" t="s">
        <v>44</v>
      </c>
      <c r="C53">
        <v>33</v>
      </c>
      <c r="D53" t="s">
        <v>647</v>
      </c>
      <c r="E53" t="s">
        <v>174</v>
      </c>
      <c r="F53" s="33">
        <v>0</v>
      </c>
      <c r="G53" s="33">
        <v>16923672</v>
      </c>
      <c r="H53" s="33">
        <v>16923672</v>
      </c>
      <c r="I53" t="s">
        <v>1390</v>
      </c>
    </row>
    <row r="54" spans="1:9">
      <c r="A54">
        <v>2019</v>
      </c>
      <c r="B54" t="s">
        <v>44</v>
      </c>
      <c r="C54">
        <v>34</v>
      </c>
      <c r="D54" t="s">
        <v>645</v>
      </c>
      <c r="E54" t="s">
        <v>445</v>
      </c>
      <c r="F54" s="33">
        <v>0</v>
      </c>
      <c r="G54" s="33">
        <v>1079373</v>
      </c>
      <c r="H54" s="33">
        <v>1079373</v>
      </c>
      <c r="I54" t="s">
        <v>1390</v>
      </c>
    </row>
    <row r="55" spans="1:9">
      <c r="A55">
        <v>2019</v>
      </c>
      <c r="B55" t="s">
        <v>44</v>
      </c>
      <c r="C55">
        <v>35</v>
      </c>
      <c r="D55" t="s">
        <v>649</v>
      </c>
      <c r="E55" t="s">
        <v>432</v>
      </c>
      <c r="F55" s="33">
        <v>0</v>
      </c>
      <c r="G55" s="33">
        <v>2577213</v>
      </c>
      <c r="H55" s="33">
        <v>2577213</v>
      </c>
      <c r="I55" t="s">
        <v>1390</v>
      </c>
    </row>
    <row r="56" spans="1:9">
      <c r="A56">
        <v>2019</v>
      </c>
      <c r="B56" t="s">
        <v>45</v>
      </c>
      <c r="C56">
        <v>1</v>
      </c>
      <c r="D56" t="s">
        <v>768</v>
      </c>
      <c r="E56" t="s">
        <v>52</v>
      </c>
      <c r="F56" s="33">
        <v>3956031</v>
      </c>
      <c r="G56" s="33">
        <v>188661860</v>
      </c>
      <c r="H56" s="33">
        <v>192617891</v>
      </c>
      <c r="I56" t="s">
        <v>1390</v>
      </c>
    </row>
    <row r="57" spans="1:9">
      <c r="A57">
        <v>2019</v>
      </c>
      <c r="B57" t="s">
        <v>45</v>
      </c>
      <c r="C57">
        <v>2</v>
      </c>
      <c r="D57" t="s">
        <v>623</v>
      </c>
      <c r="E57" t="s">
        <v>392</v>
      </c>
      <c r="F57" s="33">
        <v>209454</v>
      </c>
      <c r="G57" s="33">
        <v>19572493</v>
      </c>
      <c r="H57" s="33">
        <v>19781947</v>
      </c>
      <c r="I57" t="s">
        <v>1390</v>
      </c>
    </row>
    <row r="58" spans="1:9">
      <c r="A58">
        <v>2019</v>
      </c>
      <c r="B58" t="s">
        <v>45</v>
      </c>
      <c r="C58">
        <v>3</v>
      </c>
      <c r="D58" t="s">
        <v>769</v>
      </c>
      <c r="E58" t="s">
        <v>770</v>
      </c>
      <c r="F58" s="33">
        <v>196634</v>
      </c>
      <c r="G58" s="33">
        <v>44388292</v>
      </c>
      <c r="H58" s="33">
        <v>44584926</v>
      </c>
      <c r="I58" t="s">
        <v>1390</v>
      </c>
    </row>
    <row r="59" spans="1:9">
      <c r="A59">
        <v>2019</v>
      </c>
      <c r="B59" t="s">
        <v>45</v>
      </c>
      <c r="C59">
        <v>4</v>
      </c>
      <c r="D59" t="s">
        <v>771</v>
      </c>
      <c r="E59" t="s">
        <v>772</v>
      </c>
      <c r="F59" s="33">
        <v>113224</v>
      </c>
      <c r="G59" s="33">
        <v>0</v>
      </c>
      <c r="H59" s="33">
        <v>113224</v>
      </c>
      <c r="I59" t="s">
        <v>1390</v>
      </c>
    </row>
    <row r="60" spans="1:9">
      <c r="A60">
        <v>2019</v>
      </c>
      <c r="B60" t="s">
        <v>45</v>
      </c>
      <c r="C60">
        <v>5</v>
      </c>
      <c r="D60" t="s">
        <v>647</v>
      </c>
      <c r="E60" t="s">
        <v>648</v>
      </c>
      <c r="F60" s="33">
        <v>43262</v>
      </c>
      <c r="G60" s="33">
        <v>240506</v>
      </c>
      <c r="H60" s="33">
        <v>283768</v>
      </c>
      <c r="I60" t="s">
        <v>1390</v>
      </c>
    </row>
    <row r="61" spans="1:9">
      <c r="A61">
        <v>2019</v>
      </c>
      <c r="B61" t="s">
        <v>45</v>
      </c>
      <c r="C61">
        <v>6</v>
      </c>
      <c r="D61" t="s">
        <v>621</v>
      </c>
      <c r="E61" t="s">
        <v>40</v>
      </c>
      <c r="F61" s="33">
        <v>4295</v>
      </c>
      <c r="G61" s="33">
        <v>0</v>
      </c>
      <c r="H61" s="33">
        <v>4295</v>
      </c>
      <c r="I61" t="s">
        <v>1390</v>
      </c>
    </row>
    <row r="62" spans="1:9">
      <c r="A62">
        <v>2019</v>
      </c>
      <c r="B62" t="s">
        <v>45</v>
      </c>
      <c r="C62">
        <v>7</v>
      </c>
      <c r="D62" t="s">
        <v>747</v>
      </c>
      <c r="E62" t="s">
        <v>775</v>
      </c>
      <c r="F62" s="33">
        <v>1652</v>
      </c>
      <c r="G62" s="33">
        <v>16460000</v>
      </c>
      <c r="H62" s="33">
        <v>16461652</v>
      </c>
      <c r="I62" t="s">
        <v>1390</v>
      </c>
    </row>
    <row r="63" spans="1:9">
      <c r="A63">
        <v>2019</v>
      </c>
      <c r="B63" t="s">
        <v>45</v>
      </c>
      <c r="C63">
        <v>8</v>
      </c>
      <c r="D63" t="s">
        <v>765</v>
      </c>
      <c r="E63" t="s">
        <v>781</v>
      </c>
      <c r="F63" s="33">
        <v>0</v>
      </c>
      <c r="G63" s="33">
        <v>17314737</v>
      </c>
      <c r="H63" s="33">
        <v>17314737</v>
      </c>
      <c r="I63" t="s">
        <v>1390</v>
      </c>
    </row>
    <row r="64" spans="1:9">
      <c r="A64">
        <v>2019</v>
      </c>
      <c r="B64" t="s">
        <v>45</v>
      </c>
      <c r="C64">
        <v>9</v>
      </c>
      <c r="D64" t="s">
        <v>788</v>
      </c>
      <c r="E64" t="s">
        <v>789</v>
      </c>
      <c r="F64" s="33">
        <v>0</v>
      </c>
      <c r="G64" s="33">
        <v>0</v>
      </c>
      <c r="H64" s="33">
        <v>0</v>
      </c>
      <c r="I64" t="s">
        <v>1390</v>
      </c>
    </row>
    <row r="65" spans="1:9">
      <c r="A65">
        <v>2019</v>
      </c>
      <c r="B65" t="s">
        <v>45</v>
      </c>
      <c r="C65">
        <v>10</v>
      </c>
      <c r="D65" t="s">
        <v>642</v>
      </c>
      <c r="E65" t="s">
        <v>776</v>
      </c>
      <c r="F65" s="33">
        <v>0</v>
      </c>
      <c r="G65" s="33">
        <v>10217493</v>
      </c>
      <c r="H65" s="33">
        <v>10217493</v>
      </c>
      <c r="I65" t="s">
        <v>1390</v>
      </c>
    </row>
    <row r="66" spans="1:9">
      <c r="A66">
        <v>2019</v>
      </c>
      <c r="B66" t="s">
        <v>45</v>
      </c>
      <c r="C66">
        <v>11</v>
      </c>
      <c r="D66" t="s">
        <v>676</v>
      </c>
      <c r="E66" t="s">
        <v>787</v>
      </c>
      <c r="F66" s="33">
        <v>0</v>
      </c>
      <c r="G66" s="33">
        <v>0</v>
      </c>
      <c r="H66" s="33">
        <v>0</v>
      </c>
      <c r="I66" t="s">
        <v>1390</v>
      </c>
    </row>
    <row r="67" spans="1:9">
      <c r="A67">
        <v>2019</v>
      </c>
      <c r="B67" t="s">
        <v>45</v>
      </c>
      <c r="C67">
        <v>12</v>
      </c>
      <c r="D67" t="s">
        <v>661</v>
      </c>
      <c r="E67" t="s">
        <v>57</v>
      </c>
      <c r="F67" s="33">
        <v>0</v>
      </c>
      <c r="G67" s="33">
        <v>97033612</v>
      </c>
      <c r="H67" s="33">
        <v>97033612</v>
      </c>
      <c r="I67" t="s">
        <v>1390</v>
      </c>
    </row>
    <row r="68" spans="1:9">
      <c r="A68">
        <v>2019</v>
      </c>
      <c r="B68" t="s">
        <v>45</v>
      </c>
      <c r="C68">
        <v>1</v>
      </c>
      <c r="D68" t="s">
        <v>779</v>
      </c>
      <c r="E68" t="s">
        <v>780</v>
      </c>
      <c r="F68" s="33">
        <v>0</v>
      </c>
      <c r="G68" s="33">
        <v>0</v>
      </c>
      <c r="H68" s="33">
        <v>0</v>
      </c>
      <c r="I68" t="s">
        <v>1392</v>
      </c>
    </row>
    <row r="69" spans="1:9">
      <c r="A69">
        <v>2019</v>
      </c>
      <c r="B69" t="s">
        <v>45</v>
      </c>
      <c r="C69">
        <v>1</v>
      </c>
      <c r="D69" t="s">
        <v>650</v>
      </c>
      <c r="E69" t="s">
        <v>763</v>
      </c>
      <c r="F69" s="33">
        <v>44819352</v>
      </c>
      <c r="G69" s="33">
        <v>46600000</v>
      </c>
      <c r="H69" s="33">
        <v>91419352</v>
      </c>
      <c r="I69" t="s">
        <v>1394</v>
      </c>
    </row>
    <row r="70" spans="1:9">
      <c r="A70">
        <v>2019</v>
      </c>
      <c r="B70" t="s">
        <v>45</v>
      </c>
      <c r="C70">
        <v>2</v>
      </c>
      <c r="D70" t="s">
        <v>765</v>
      </c>
      <c r="E70" t="s">
        <v>766</v>
      </c>
      <c r="F70" s="33">
        <v>14856291</v>
      </c>
      <c r="G70" s="33">
        <v>4933421</v>
      </c>
      <c r="H70" s="33">
        <v>19789712</v>
      </c>
      <c r="I70" t="s">
        <v>1394</v>
      </c>
    </row>
    <row r="71" spans="1:9">
      <c r="A71">
        <v>2019</v>
      </c>
      <c r="B71" t="s">
        <v>45</v>
      </c>
      <c r="C71">
        <v>3</v>
      </c>
      <c r="D71" t="s">
        <v>785</v>
      </c>
      <c r="E71" t="s">
        <v>786</v>
      </c>
      <c r="F71" s="33">
        <v>0</v>
      </c>
      <c r="G71" s="33">
        <v>0</v>
      </c>
      <c r="H71" s="33">
        <v>0</v>
      </c>
      <c r="I71" t="s">
        <v>1394</v>
      </c>
    </row>
    <row r="72" spans="1:9">
      <c r="A72">
        <v>2019</v>
      </c>
      <c r="B72" t="s">
        <v>46</v>
      </c>
      <c r="C72">
        <v>1</v>
      </c>
      <c r="D72" t="s">
        <v>617</v>
      </c>
      <c r="E72" t="s">
        <v>55</v>
      </c>
      <c r="F72" s="33">
        <v>722669</v>
      </c>
      <c r="G72" s="33">
        <v>150333552</v>
      </c>
      <c r="H72" s="33">
        <v>151056221</v>
      </c>
      <c r="I72" t="s">
        <v>1390</v>
      </c>
    </row>
    <row r="73" spans="1:9">
      <c r="A73">
        <v>2019</v>
      </c>
      <c r="B73" t="s">
        <v>46</v>
      </c>
      <c r="C73">
        <v>2</v>
      </c>
      <c r="D73" t="s">
        <v>625</v>
      </c>
      <c r="E73" t="s">
        <v>172</v>
      </c>
      <c r="F73" s="33">
        <v>91884</v>
      </c>
      <c r="G73" s="33">
        <v>18914072</v>
      </c>
      <c r="H73" s="33">
        <v>19005956</v>
      </c>
      <c r="I73" t="s">
        <v>1390</v>
      </c>
    </row>
    <row r="74" spans="1:9">
      <c r="A74">
        <v>2019</v>
      </c>
      <c r="B74" t="s">
        <v>46</v>
      </c>
      <c r="C74">
        <v>3</v>
      </c>
      <c r="D74" t="s">
        <v>793</v>
      </c>
      <c r="E74" t="s">
        <v>195</v>
      </c>
      <c r="F74" s="33">
        <v>78966</v>
      </c>
      <c r="G74" s="33">
        <v>7193254</v>
      </c>
      <c r="H74" s="33">
        <v>7272220</v>
      </c>
      <c r="I74" t="s">
        <v>1390</v>
      </c>
    </row>
    <row r="75" spans="1:9">
      <c r="A75">
        <v>2019</v>
      </c>
      <c r="B75" t="s">
        <v>46</v>
      </c>
      <c r="C75">
        <v>4</v>
      </c>
      <c r="D75" t="s">
        <v>794</v>
      </c>
      <c r="E75" t="s">
        <v>795</v>
      </c>
      <c r="F75" s="33">
        <v>0</v>
      </c>
      <c r="G75" s="33">
        <v>22931</v>
      </c>
      <c r="H75" s="33">
        <v>22931</v>
      </c>
      <c r="I75" t="s">
        <v>1390</v>
      </c>
    </row>
    <row r="76" spans="1:9">
      <c r="A76">
        <v>2019</v>
      </c>
      <c r="B76" t="s">
        <v>46</v>
      </c>
      <c r="C76">
        <v>5</v>
      </c>
      <c r="D76" t="s">
        <v>796</v>
      </c>
      <c r="E76" t="s">
        <v>797</v>
      </c>
      <c r="F76" s="33">
        <v>0</v>
      </c>
      <c r="G76" s="33">
        <v>0</v>
      </c>
      <c r="H76" s="33">
        <v>0</v>
      </c>
      <c r="I76" t="s">
        <v>1390</v>
      </c>
    </row>
    <row r="77" spans="1:9">
      <c r="A77">
        <v>2019</v>
      </c>
      <c r="B77" t="s">
        <v>47</v>
      </c>
      <c r="C77">
        <v>1</v>
      </c>
      <c r="D77" t="s">
        <v>807</v>
      </c>
      <c r="E77" t="s">
        <v>56</v>
      </c>
      <c r="F77" s="33">
        <v>0</v>
      </c>
      <c r="G77" s="33">
        <v>3012514</v>
      </c>
      <c r="H77" s="33">
        <v>3012514</v>
      </c>
      <c r="I77" t="s">
        <v>1393</v>
      </c>
    </row>
    <row r="78" spans="1:9">
      <c r="A78">
        <v>2019</v>
      </c>
      <c r="B78" t="s">
        <v>47</v>
      </c>
      <c r="C78">
        <v>1</v>
      </c>
      <c r="D78" t="s">
        <v>800</v>
      </c>
      <c r="E78" t="s">
        <v>458</v>
      </c>
      <c r="F78" s="33">
        <v>86060</v>
      </c>
      <c r="G78" s="33">
        <v>625447</v>
      </c>
      <c r="H78" s="33">
        <v>711507</v>
      </c>
      <c r="I78" t="s">
        <v>1390</v>
      </c>
    </row>
    <row r="79" spans="1:9">
      <c r="A79">
        <v>2019</v>
      </c>
      <c r="B79" t="s">
        <v>47</v>
      </c>
      <c r="C79">
        <v>2</v>
      </c>
      <c r="D79" t="s">
        <v>804</v>
      </c>
      <c r="E79" t="s">
        <v>805</v>
      </c>
      <c r="F79" s="33">
        <v>0</v>
      </c>
      <c r="G79" s="33">
        <v>0</v>
      </c>
      <c r="H79" s="33">
        <v>0</v>
      </c>
      <c r="I79" t="s">
        <v>1390</v>
      </c>
    </row>
    <row r="80" spans="1:9">
      <c r="A80">
        <v>2019</v>
      </c>
      <c r="B80" t="s">
        <v>47</v>
      </c>
      <c r="C80">
        <v>3</v>
      </c>
      <c r="D80" t="s">
        <v>802</v>
      </c>
      <c r="E80" t="s">
        <v>803</v>
      </c>
      <c r="F80" s="33">
        <v>0</v>
      </c>
      <c r="G80" s="33">
        <v>0</v>
      </c>
      <c r="H80" s="33">
        <v>0</v>
      </c>
      <c r="I80" t="s">
        <v>1390</v>
      </c>
    </row>
    <row r="81" spans="1:9">
      <c r="A81">
        <v>2018</v>
      </c>
      <c r="B81" t="s">
        <v>44</v>
      </c>
      <c r="C81">
        <v>1</v>
      </c>
      <c r="D81" t="s">
        <v>813</v>
      </c>
      <c r="E81" t="s">
        <v>359</v>
      </c>
      <c r="F81" s="33">
        <v>1543547</v>
      </c>
      <c r="G81" s="33">
        <v>532057988</v>
      </c>
      <c r="H81" s="33">
        <v>533601535</v>
      </c>
      <c r="I81" t="s">
        <v>1390</v>
      </c>
    </row>
    <row r="82" spans="1:9">
      <c r="A82">
        <v>2018</v>
      </c>
      <c r="B82" t="s">
        <v>44</v>
      </c>
      <c r="C82">
        <v>2</v>
      </c>
      <c r="D82" t="s">
        <v>814</v>
      </c>
      <c r="E82" t="s">
        <v>365</v>
      </c>
      <c r="F82" s="33">
        <v>746933</v>
      </c>
      <c r="G82" s="33">
        <v>132903651</v>
      </c>
      <c r="H82" s="33">
        <v>133650584</v>
      </c>
      <c r="I82" t="s">
        <v>1390</v>
      </c>
    </row>
    <row r="83" spans="1:9">
      <c r="A83">
        <v>2018</v>
      </c>
      <c r="B83" t="s">
        <v>44</v>
      </c>
      <c r="C83">
        <v>3</v>
      </c>
      <c r="D83" t="s">
        <v>811</v>
      </c>
      <c r="E83" t="s">
        <v>362</v>
      </c>
      <c r="F83" s="33">
        <v>706153</v>
      </c>
      <c r="G83" s="33">
        <v>360977662</v>
      </c>
      <c r="H83" s="33">
        <v>361683815</v>
      </c>
      <c r="I83" t="s">
        <v>1390</v>
      </c>
    </row>
    <row r="84" spans="1:9">
      <c r="A84">
        <v>2018</v>
      </c>
      <c r="B84" t="s">
        <v>44</v>
      </c>
      <c r="C84">
        <v>4</v>
      </c>
      <c r="D84" t="s">
        <v>815</v>
      </c>
      <c r="E84" t="s">
        <v>364</v>
      </c>
      <c r="F84" s="33">
        <v>670883</v>
      </c>
      <c r="G84" s="33">
        <v>197659887</v>
      </c>
      <c r="H84" s="33">
        <v>198330770</v>
      </c>
      <c r="I84" t="s">
        <v>1390</v>
      </c>
    </row>
    <row r="85" spans="1:9">
      <c r="A85">
        <v>2018</v>
      </c>
      <c r="B85" t="s">
        <v>44</v>
      </c>
      <c r="C85">
        <v>5</v>
      </c>
      <c r="D85" t="s">
        <v>816</v>
      </c>
      <c r="E85" t="s">
        <v>367</v>
      </c>
      <c r="F85" s="33">
        <v>551196</v>
      </c>
      <c r="G85" s="33">
        <v>117577445</v>
      </c>
      <c r="H85" s="33">
        <v>118128641</v>
      </c>
      <c r="I85" t="s">
        <v>1390</v>
      </c>
    </row>
    <row r="86" spans="1:9">
      <c r="A86">
        <v>2018</v>
      </c>
      <c r="B86" t="s">
        <v>44</v>
      </c>
      <c r="C86">
        <v>6</v>
      </c>
      <c r="D86" t="s">
        <v>817</v>
      </c>
      <c r="E86" t="s">
        <v>373</v>
      </c>
      <c r="F86" s="33">
        <v>262963</v>
      </c>
      <c r="G86" s="33">
        <v>89772584</v>
      </c>
      <c r="H86" s="33">
        <v>90035547</v>
      </c>
      <c r="I86" t="s">
        <v>1390</v>
      </c>
    </row>
    <row r="87" spans="1:9">
      <c r="A87">
        <v>2018</v>
      </c>
      <c r="B87" t="s">
        <v>44</v>
      </c>
      <c r="C87">
        <v>7</v>
      </c>
      <c r="D87" t="s">
        <v>811</v>
      </c>
      <c r="E87" t="s">
        <v>368</v>
      </c>
      <c r="F87" s="33">
        <v>187074</v>
      </c>
      <c r="G87" s="33">
        <v>114902870</v>
      </c>
      <c r="H87" s="33">
        <v>115089944</v>
      </c>
      <c r="I87" t="s">
        <v>1390</v>
      </c>
    </row>
    <row r="88" spans="1:9">
      <c r="A88">
        <v>2018</v>
      </c>
      <c r="B88" t="s">
        <v>44</v>
      </c>
      <c r="C88">
        <v>8</v>
      </c>
      <c r="D88" t="s">
        <v>818</v>
      </c>
      <c r="E88" t="s">
        <v>819</v>
      </c>
      <c r="F88" s="33">
        <v>186135</v>
      </c>
      <c r="G88" s="33">
        <v>57442237</v>
      </c>
      <c r="H88" s="33">
        <v>57628372</v>
      </c>
      <c r="I88" t="s">
        <v>1390</v>
      </c>
    </row>
    <row r="89" spans="1:9">
      <c r="A89">
        <v>2018</v>
      </c>
      <c r="B89" t="s">
        <v>44</v>
      </c>
      <c r="C89">
        <v>9</v>
      </c>
      <c r="D89" t="s">
        <v>820</v>
      </c>
      <c r="E89" t="s">
        <v>400</v>
      </c>
      <c r="F89" s="33">
        <v>179721</v>
      </c>
      <c r="G89" s="33">
        <v>11648683</v>
      </c>
      <c r="H89" s="33">
        <v>11828404</v>
      </c>
      <c r="I89" t="s">
        <v>1390</v>
      </c>
    </row>
    <row r="90" spans="1:9">
      <c r="A90">
        <v>2018</v>
      </c>
      <c r="B90" t="s">
        <v>44</v>
      </c>
      <c r="C90">
        <v>10</v>
      </c>
      <c r="D90" t="s">
        <v>821</v>
      </c>
      <c r="E90" t="s">
        <v>822</v>
      </c>
      <c r="F90" s="33">
        <v>149614</v>
      </c>
      <c r="G90" s="33">
        <v>4380</v>
      </c>
      <c r="H90" s="33">
        <v>153994</v>
      </c>
      <c r="I90" t="s">
        <v>1390</v>
      </c>
    </row>
    <row r="91" spans="1:9">
      <c r="A91">
        <v>2018</v>
      </c>
      <c r="B91" t="s">
        <v>44</v>
      </c>
      <c r="C91">
        <v>11</v>
      </c>
      <c r="D91" t="s">
        <v>824</v>
      </c>
      <c r="E91" t="s">
        <v>386</v>
      </c>
      <c r="F91" s="33">
        <v>118352</v>
      </c>
      <c r="G91" s="33">
        <v>36895078</v>
      </c>
      <c r="H91" s="33">
        <v>37013430</v>
      </c>
      <c r="I91" t="s">
        <v>1390</v>
      </c>
    </row>
    <row r="92" spans="1:9">
      <c r="A92">
        <v>2018</v>
      </c>
      <c r="B92" t="s">
        <v>44</v>
      </c>
      <c r="C92">
        <v>12</v>
      </c>
      <c r="D92" t="s">
        <v>994</v>
      </c>
      <c r="E92" t="s">
        <v>394</v>
      </c>
      <c r="F92" s="33">
        <v>103053</v>
      </c>
      <c r="G92" s="33">
        <v>18382575</v>
      </c>
      <c r="H92" s="33">
        <v>18485628</v>
      </c>
      <c r="I92" t="s">
        <v>1390</v>
      </c>
    </row>
    <row r="93" spans="1:9">
      <c r="A93">
        <v>2018</v>
      </c>
      <c r="B93" t="s">
        <v>44</v>
      </c>
      <c r="C93">
        <v>13</v>
      </c>
      <c r="D93" t="s">
        <v>825</v>
      </c>
      <c r="E93" t="s">
        <v>406</v>
      </c>
      <c r="F93" s="33">
        <v>85172</v>
      </c>
      <c r="G93" s="33">
        <v>10295882</v>
      </c>
      <c r="H93" s="33">
        <v>10381054</v>
      </c>
      <c r="I93" t="s">
        <v>1390</v>
      </c>
    </row>
    <row r="94" spans="1:9">
      <c r="A94">
        <v>2018</v>
      </c>
      <c r="B94" t="s">
        <v>44</v>
      </c>
      <c r="C94">
        <v>14</v>
      </c>
      <c r="D94" t="s">
        <v>826</v>
      </c>
      <c r="E94" t="s">
        <v>470</v>
      </c>
      <c r="F94" s="33">
        <v>79326</v>
      </c>
      <c r="G94" s="33">
        <v>424624</v>
      </c>
      <c r="H94" s="33">
        <v>503950</v>
      </c>
      <c r="I94" t="s">
        <v>1390</v>
      </c>
    </row>
    <row r="95" spans="1:9">
      <c r="A95">
        <v>2018</v>
      </c>
      <c r="B95" t="s">
        <v>44</v>
      </c>
      <c r="C95">
        <v>15</v>
      </c>
      <c r="D95" t="s">
        <v>818</v>
      </c>
      <c r="E95" t="s">
        <v>827</v>
      </c>
      <c r="F95" s="33">
        <v>39584</v>
      </c>
      <c r="G95" s="33">
        <v>35288134</v>
      </c>
      <c r="H95" s="33">
        <v>35327718</v>
      </c>
      <c r="I95" t="s">
        <v>1390</v>
      </c>
    </row>
    <row r="96" spans="1:9">
      <c r="A96">
        <v>2018</v>
      </c>
      <c r="B96" t="s">
        <v>44</v>
      </c>
      <c r="C96">
        <v>16</v>
      </c>
      <c r="D96" t="s">
        <v>828</v>
      </c>
      <c r="E96" t="s">
        <v>407</v>
      </c>
      <c r="F96" s="33">
        <v>37115</v>
      </c>
      <c r="G96" s="33">
        <v>10244720</v>
      </c>
      <c r="H96" s="33">
        <v>10281835</v>
      </c>
      <c r="I96" t="s">
        <v>1390</v>
      </c>
    </row>
    <row r="97" spans="1:9">
      <c r="A97">
        <v>2018</v>
      </c>
      <c r="B97" t="s">
        <v>44</v>
      </c>
      <c r="C97">
        <v>17</v>
      </c>
      <c r="D97" t="s">
        <v>829</v>
      </c>
      <c r="E97" t="s">
        <v>393</v>
      </c>
      <c r="F97" s="33">
        <v>19065</v>
      </c>
      <c r="G97" s="33">
        <v>19091231</v>
      </c>
      <c r="H97" s="33">
        <v>19110296</v>
      </c>
      <c r="I97" t="s">
        <v>1390</v>
      </c>
    </row>
    <row r="98" spans="1:9">
      <c r="A98">
        <v>2018</v>
      </c>
      <c r="B98" t="s">
        <v>44</v>
      </c>
      <c r="C98">
        <v>18</v>
      </c>
      <c r="D98" t="s">
        <v>830</v>
      </c>
      <c r="E98" t="s">
        <v>537</v>
      </c>
      <c r="F98" s="33">
        <v>15241</v>
      </c>
      <c r="G98" s="33">
        <v>0</v>
      </c>
      <c r="H98" s="33">
        <v>15241</v>
      </c>
      <c r="I98" t="s">
        <v>1390</v>
      </c>
    </row>
    <row r="99" spans="1:9">
      <c r="A99">
        <v>2018</v>
      </c>
      <c r="B99" t="s">
        <v>44</v>
      </c>
      <c r="C99">
        <v>19</v>
      </c>
      <c r="D99" t="s">
        <v>835</v>
      </c>
      <c r="E99" t="s">
        <v>836</v>
      </c>
      <c r="F99" s="33">
        <v>13331</v>
      </c>
      <c r="G99" s="33">
        <v>1264734</v>
      </c>
      <c r="H99" s="33">
        <v>1278065</v>
      </c>
      <c r="I99" t="s">
        <v>1390</v>
      </c>
    </row>
    <row r="100" spans="1:9">
      <c r="A100">
        <v>2018</v>
      </c>
      <c r="B100" t="s">
        <v>44</v>
      </c>
      <c r="C100">
        <v>20</v>
      </c>
      <c r="D100" t="s">
        <v>837</v>
      </c>
      <c r="E100" t="s">
        <v>838</v>
      </c>
      <c r="F100" s="33">
        <v>1034</v>
      </c>
      <c r="G100" s="33">
        <v>0</v>
      </c>
      <c r="H100" s="33">
        <v>1034</v>
      </c>
      <c r="I100" t="s">
        <v>1390</v>
      </c>
    </row>
    <row r="101" spans="1:9">
      <c r="A101">
        <v>2018</v>
      </c>
      <c r="B101" t="s">
        <v>44</v>
      </c>
      <c r="C101">
        <v>21</v>
      </c>
      <c r="D101" t="s">
        <v>886</v>
      </c>
      <c r="E101" t="s">
        <v>1008</v>
      </c>
      <c r="F101" s="33">
        <v>0</v>
      </c>
      <c r="G101" s="33">
        <v>185427900</v>
      </c>
      <c r="H101" s="33">
        <v>185427900</v>
      </c>
      <c r="I101" t="s">
        <v>1390</v>
      </c>
    </row>
    <row r="102" spans="1:9">
      <c r="A102">
        <v>2018</v>
      </c>
      <c r="B102" t="s">
        <v>44</v>
      </c>
      <c r="C102">
        <v>22</v>
      </c>
      <c r="D102" t="s">
        <v>865</v>
      </c>
      <c r="E102" t="s">
        <v>866</v>
      </c>
      <c r="F102" s="33">
        <v>0</v>
      </c>
      <c r="G102" s="33">
        <v>157683</v>
      </c>
      <c r="H102" s="33">
        <v>157683</v>
      </c>
      <c r="I102" t="s">
        <v>1390</v>
      </c>
    </row>
    <row r="103" spans="1:9">
      <c r="A103">
        <v>2018</v>
      </c>
      <c r="B103" t="s">
        <v>44</v>
      </c>
      <c r="C103">
        <v>23</v>
      </c>
      <c r="D103" t="s">
        <v>876</v>
      </c>
      <c r="E103" t="s">
        <v>553</v>
      </c>
      <c r="F103" s="33">
        <v>0</v>
      </c>
      <c r="G103" s="33">
        <v>0</v>
      </c>
      <c r="H103" s="33">
        <v>0</v>
      </c>
      <c r="I103" t="s">
        <v>1390</v>
      </c>
    </row>
    <row r="104" spans="1:9">
      <c r="A104">
        <v>2018</v>
      </c>
      <c r="B104" t="s">
        <v>44</v>
      </c>
      <c r="C104">
        <v>1</v>
      </c>
      <c r="D104" t="s">
        <v>882</v>
      </c>
      <c r="E104" t="s">
        <v>423</v>
      </c>
      <c r="F104" s="33">
        <v>0</v>
      </c>
      <c r="G104" s="33">
        <v>4668484</v>
      </c>
      <c r="H104" s="33">
        <v>4668484</v>
      </c>
      <c r="I104" t="s">
        <v>1392</v>
      </c>
    </row>
    <row r="105" spans="1:9">
      <c r="A105">
        <v>2018</v>
      </c>
      <c r="B105" t="s">
        <v>44</v>
      </c>
      <c r="C105">
        <v>2</v>
      </c>
      <c r="D105" t="s">
        <v>883</v>
      </c>
      <c r="E105" t="s">
        <v>884</v>
      </c>
      <c r="F105" s="33">
        <v>0</v>
      </c>
      <c r="G105" s="33">
        <v>1689811</v>
      </c>
      <c r="H105" s="33">
        <v>1689811</v>
      </c>
      <c r="I105" t="s">
        <v>1392</v>
      </c>
    </row>
    <row r="106" spans="1:9">
      <c r="A106">
        <v>2018</v>
      </c>
      <c r="B106" t="s">
        <v>44</v>
      </c>
      <c r="C106">
        <v>1</v>
      </c>
      <c r="D106" t="s">
        <v>868</v>
      </c>
      <c r="E106" t="s">
        <v>869</v>
      </c>
      <c r="F106" s="33">
        <v>0</v>
      </c>
      <c r="G106" s="33">
        <v>84717566</v>
      </c>
      <c r="H106" s="33">
        <v>84717566</v>
      </c>
      <c r="I106" t="s">
        <v>1393</v>
      </c>
    </row>
    <row r="107" spans="1:9">
      <c r="A107">
        <v>2018</v>
      </c>
      <c r="B107" t="s">
        <v>44</v>
      </c>
      <c r="C107">
        <v>1</v>
      </c>
      <c r="D107" t="s">
        <v>811</v>
      </c>
      <c r="E107" t="s">
        <v>7</v>
      </c>
      <c r="F107" s="33">
        <v>1983984</v>
      </c>
      <c r="G107" s="33">
        <v>542084590</v>
      </c>
      <c r="H107" s="33">
        <v>544068574</v>
      </c>
      <c r="I107" t="s">
        <v>1394</v>
      </c>
    </row>
    <row r="108" spans="1:9">
      <c r="A108">
        <v>2018</v>
      </c>
      <c r="B108" t="s">
        <v>44</v>
      </c>
      <c r="C108">
        <v>2</v>
      </c>
      <c r="D108" t="s">
        <v>832</v>
      </c>
      <c r="E108" t="s">
        <v>833</v>
      </c>
      <c r="F108" s="33">
        <v>14453</v>
      </c>
      <c r="G108" s="33">
        <v>485074</v>
      </c>
      <c r="H108" s="33">
        <v>499527</v>
      </c>
      <c r="I108" t="s">
        <v>1394</v>
      </c>
    </row>
    <row r="109" spans="1:9">
      <c r="A109">
        <v>2018</v>
      </c>
      <c r="B109" t="s">
        <v>44</v>
      </c>
      <c r="C109">
        <v>3</v>
      </c>
      <c r="D109" t="s">
        <v>850</v>
      </c>
      <c r="E109" t="s">
        <v>851</v>
      </c>
      <c r="F109" s="33">
        <v>0</v>
      </c>
      <c r="G109" s="33">
        <v>47872755</v>
      </c>
      <c r="H109" s="33">
        <v>47872755</v>
      </c>
      <c r="I109" t="s">
        <v>1394</v>
      </c>
    </row>
    <row r="110" spans="1:9">
      <c r="A110">
        <v>2018</v>
      </c>
      <c r="B110" t="s">
        <v>44</v>
      </c>
      <c r="C110">
        <v>4</v>
      </c>
      <c r="D110" t="s">
        <v>862</v>
      </c>
      <c r="E110" t="s">
        <v>469</v>
      </c>
      <c r="F110" s="33">
        <v>0</v>
      </c>
      <c r="G110" s="33">
        <v>516279</v>
      </c>
      <c r="H110" s="33">
        <v>516279</v>
      </c>
      <c r="I110" t="s">
        <v>1394</v>
      </c>
    </row>
    <row r="111" spans="1:9">
      <c r="A111">
        <v>2018</v>
      </c>
      <c r="B111" t="s">
        <v>44</v>
      </c>
      <c r="C111">
        <v>5</v>
      </c>
      <c r="D111" t="s">
        <v>854</v>
      </c>
      <c r="E111" t="s">
        <v>855</v>
      </c>
      <c r="F111" s="33">
        <v>0</v>
      </c>
      <c r="G111" s="33">
        <v>16668668</v>
      </c>
      <c r="H111" s="33">
        <v>16668668</v>
      </c>
      <c r="I111" t="s">
        <v>1394</v>
      </c>
    </row>
    <row r="112" spans="1:9">
      <c r="A112">
        <v>2018</v>
      </c>
      <c r="B112" t="s">
        <v>45</v>
      </c>
      <c r="C112">
        <v>1</v>
      </c>
      <c r="D112" t="s">
        <v>1031</v>
      </c>
      <c r="E112" t="s">
        <v>1032</v>
      </c>
      <c r="F112" s="33">
        <v>285795</v>
      </c>
      <c r="G112" s="33">
        <v>45879283</v>
      </c>
      <c r="H112" s="33">
        <v>46165078</v>
      </c>
      <c r="I112" t="s">
        <v>1390</v>
      </c>
    </row>
    <row r="113" spans="1:9">
      <c r="A113">
        <v>2018</v>
      </c>
      <c r="B113" t="s">
        <v>45</v>
      </c>
      <c r="C113">
        <v>2</v>
      </c>
      <c r="D113" t="s">
        <v>817</v>
      </c>
      <c r="E113" t="s">
        <v>373</v>
      </c>
      <c r="F113" s="33">
        <v>262963</v>
      </c>
      <c r="G113" s="33">
        <v>89772584</v>
      </c>
      <c r="H113" s="33">
        <v>90035547</v>
      </c>
      <c r="I113" t="s">
        <v>1390</v>
      </c>
    </row>
    <row r="114" spans="1:9">
      <c r="A114">
        <v>2018</v>
      </c>
      <c r="B114" t="s">
        <v>45</v>
      </c>
      <c r="C114">
        <v>3</v>
      </c>
      <c r="D114" t="s">
        <v>813</v>
      </c>
      <c r="E114" t="s">
        <v>1033</v>
      </c>
      <c r="F114" s="33">
        <v>208351</v>
      </c>
      <c r="G114" s="33">
        <v>0</v>
      </c>
      <c r="H114" s="33">
        <v>208351</v>
      </c>
      <c r="I114" t="s">
        <v>1390</v>
      </c>
    </row>
    <row r="115" spans="1:9">
      <c r="A115">
        <v>2018</v>
      </c>
      <c r="B115" t="s">
        <v>45</v>
      </c>
      <c r="C115">
        <v>4</v>
      </c>
      <c r="D115" t="s">
        <v>848</v>
      </c>
      <c r="E115" t="s">
        <v>1034</v>
      </c>
      <c r="F115" s="33">
        <v>85624</v>
      </c>
      <c r="G115" s="33">
        <v>21366084</v>
      </c>
      <c r="H115" s="33">
        <v>21451708</v>
      </c>
      <c r="I115" t="s">
        <v>1390</v>
      </c>
    </row>
    <row r="116" spans="1:9">
      <c r="A116">
        <v>2018</v>
      </c>
      <c r="B116" t="s">
        <v>45</v>
      </c>
      <c r="C116">
        <v>5</v>
      </c>
      <c r="D116" t="s">
        <v>818</v>
      </c>
      <c r="E116" t="s">
        <v>827</v>
      </c>
      <c r="F116" s="33">
        <v>39584</v>
      </c>
      <c r="G116" s="33">
        <v>35288134</v>
      </c>
      <c r="H116" s="33">
        <v>35327718</v>
      </c>
      <c r="I116" t="s">
        <v>1390</v>
      </c>
    </row>
    <row r="117" spans="1:9">
      <c r="A117">
        <v>2018</v>
      </c>
      <c r="B117" t="s">
        <v>45</v>
      </c>
      <c r="C117">
        <v>6</v>
      </c>
      <c r="D117" t="s">
        <v>828</v>
      </c>
      <c r="E117" t="s">
        <v>407</v>
      </c>
      <c r="F117" s="33">
        <v>37115</v>
      </c>
      <c r="G117" s="33">
        <v>10244720</v>
      </c>
      <c r="H117" s="33">
        <v>10281835</v>
      </c>
      <c r="I117" t="s">
        <v>1390</v>
      </c>
    </row>
    <row r="118" spans="1:9">
      <c r="A118">
        <v>2018</v>
      </c>
      <c r="B118" t="s">
        <v>45</v>
      </c>
      <c r="C118">
        <v>7</v>
      </c>
      <c r="D118" t="s">
        <v>835</v>
      </c>
      <c r="E118" t="s">
        <v>836</v>
      </c>
      <c r="F118" s="33">
        <v>13331</v>
      </c>
      <c r="G118" s="33">
        <v>1264734</v>
      </c>
      <c r="H118" s="33">
        <v>1278065</v>
      </c>
      <c r="I118" t="s">
        <v>1390</v>
      </c>
    </row>
    <row r="119" spans="1:9">
      <c r="A119">
        <v>2018</v>
      </c>
      <c r="B119" t="s">
        <v>45</v>
      </c>
      <c r="C119">
        <v>8</v>
      </c>
      <c r="D119" t="s">
        <v>824</v>
      </c>
      <c r="E119" t="s">
        <v>38</v>
      </c>
      <c r="F119" s="33">
        <v>7639</v>
      </c>
      <c r="G119" s="33">
        <v>0</v>
      </c>
      <c r="H119" s="33">
        <v>7639</v>
      </c>
      <c r="I119" t="s">
        <v>1390</v>
      </c>
    </row>
    <row r="120" spans="1:9">
      <c r="A120">
        <v>2018</v>
      </c>
      <c r="B120" t="s">
        <v>45</v>
      </c>
      <c r="C120">
        <v>9</v>
      </c>
      <c r="D120" t="s">
        <v>837</v>
      </c>
      <c r="E120" t="s">
        <v>838</v>
      </c>
      <c r="F120" s="33">
        <v>1034</v>
      </c>
      <c r="G120" s="33">
        <v>0</v>
      </c>
      <c r="H120" s="33">
        <v>1034</v>
      </c>
      <c r="I120" t="s">
        <v>1390</v>
      </c>
    </row>
    <row r="121" spans="1:9">
      <c r="A121">
        <v>2018</v>
      </c>
      <c r="B121" t="s">
        <v>45</v>
      </c>
      <c r="C121">
        <v>10</v>
      </c>
      <c r="D121" t="s">
        <v>1040</v>
      </c>
      <c r="E121" t="s">
        <v>554</v>
      </c>
      <c r="F121" s="33">
        <v>0</v>
      </c>
      <c r="G121" s="33">
        <v>0</v>
      </c>
      <c r="H121" s="33">
        <v>0</v>
      </c>
      <c r="I121" t="s">
        <v>1390</v>
      </c>
    </row>
    <row r="122" spans="1:9">
      <c r="A122">
        <v>2018</v>
      </c>
      <c r="B122" t="s">
        <v>45</v>
      </c>
      <c r="C122">
        <v>1</v>
      </c>
      <c r="D122" t="s">
        <v>850</v>
      </c>
      <c r="E122" t="s">
        <v>851</v>
      </c>
      <c r="F122" s="33">
        <v>0</v>
      </c>
      <c r="G122" s="33">
        <v>47872755</v>
      </c>
      <c r="H122" s="33">
        <v>47872755</v>
      </c>
      <c r="I122" t="s">
        <v>1394</v>
      </c>
    </row>
    <row r="123" spans="1:9">
      <c r="A123">
        <v>2018</v>
      </c>
      <c r="B123" t="s">
        <v>46</v>
      </c>
      <c r="C123">
        <v>1</v>
      </c>
      <c r="D123" t="s">
        <v>824</v>
      </c>
      <c r="E123" t="s">
        <v>38</v>
      </c>
      <c r="F123" s="33">
        <v>7639</v>
      </c>
      <c r="G123" s="33">
        <v>0</v>
      </c>
      <c r="H123" s="33">
        <v>7639</v>
      </c>
      <c r="I123" t="s">
        <v>1390</v>
      </c>
    </row>
    <row r="124" spans="1:9">
      <c r="A124">
        <v>2018</v>
      </c>
      <c r="B124" t="s">
        <v>47</v>
      </c>
      <c r="C124">
        <v>1</v>
      </c>
      <c r="D124" t="s">
        <v>871</v>
      </c>
      <c r="E124" t="s">
        <v>1052</v>
      </c>
      <c r="F124" s="33">
        <v>0</v>
      </c>
      <c r="G124" s="33">
        <v>0</v>
      </c>
      <c r="H124" s="33">
        <v>0</v>
      </c>
      <c r="I124" t="s">
        <v>1390</v>
      </c>
    </row>
    <row r="125" spans="1:9">
      <c r="A125">
        <v>2017</v>
      </c>
      <c r="B125" t="s">
        <v>44</v>
      </c>
      <c r="C125">
        <v>1</v>
      </c>
      <c r="D125" t="s">
        <v>1066</v>
      </c>
      <c r="E125" t="s">
        <v>8</v>
      </c>
      <c r="F125" s="33">
        <v>2721100</v>
      </c>
      <c r="G125" s="33">
        <v>832753071</v>
      </c>
      <c r="H125" s="33">
        <v>835474171</v>
      </c>
      <c r="I125" t="s">
        <v>1390</v>
      </c>
    </row>
    <row r="126" spans="1:9">
      <c r="A126">
        <v>2017</v>
      </c>
      <c r="B126" t="s">
        <v>44</v>
      </c>
      <c r="C126">
        <v>2</v>
      </c>
      <c r="D126" t="s">
        <v>1267</v>
      </c>
      <c r="E126" t="s">
        <v>1268</v>
      </c>
      <c r="F126" s="33">
        <v>1891956</v>
      </c>
      <c r="G126" s="33">
        <v>225197313</v>
      </c>
      <c r="H126" s="33">
        <v>227089269</v>
      </c>
      <c r="I126" t="s">
        <v>1390</v>
      </c>
    </row>
    <row r="127" spans="1:9">
      <c r="A127">
        <v>2017</v>
      </c>
      <c r="B127" t="s">
        <v>44</v>
      </c>
      <c r="C127">
        <v>3</v>
      </c>
      <c r="D127" t="s">
        <v>1269</v>
      </c>
      <c r="E127" t="s">
        <v>1270</v>
      </c>
      <c r="F127" s="33">
        <v>837791</v>
      </c>
      <c r="G127" s="33">
        <v>306710033</v>
      </c>
      <c r="H127" s="33">
        <v>307547824</v>
      </c>
      <c r="I127" t="s">
        <v>1390</v>
      </c>
    </row>
    <row r="128" spans="1:9">
      <c r="A128">
        <v>2017</v>
      </c>
      <c r="B128" t="s">
        <v>44</v>
      </c>
      <c r="C128">
        <v>4</v>
      </c>
      <c r="D128" t="s">
        <v>1070</v>
      </c>
      <c r="E128" t="s">
        <v>1071</v>
      </c>
      <c r="F128" s="33">
        <v>686435</v>
      </c>
      <c r="G128" s="33">
        <v>58576718</v>
      </c>
      <c r="H128" s="33">
        <v>59263153</v>
      </c>
      <c r="I128" t="s">
        <v>1390</v>
      </c>
    </row>
    <row r="129" spans="1:9">
      <c r="A129">
        <v>2017</v>
      </c>
      <c r="B129" t="s">
        <v>44</v>
      </c>
      <c r="C129">
        <v>5</v>
      </c>
      <c r="D129" t="s">
        <v>1072</v>
      </c>
      <c r="E129" t="s">
        <v>1073</v>
      </c>
      <c r="F129" s="33">
        <v>587470</v>
      </c>
      <c r="G129" s="33">
        <v>43301061</v>
      </c>
      <c r="H129" s="33">
        <v>43888531</v>
      </c>
      <c r="I129" t="s">
        <v>1390</v>
      </c>
    </row>
    <row r="130" spans="1:9">
      <c r="A130">
        <v>2017</v>
      </c>
      <c r="B130" t="s">
        <v>44</v>
      </c>
      <c r="C130">
        <v>6</v>
      </c>
      <c r="D130" t="s">
        <v>1074</v>
      </c>
      <c r="E130" t="s">
        <v>1075</v>
      </c>
      <c r="F130" s="33">
        <v>485728</v>
      </c>
      <c r="G130" s="33">
        <v>82406221</v>
      </c>
      <c r="H130" s="33">
        <v>82891949</v>
      </c>
      <c r="I130" t="s">
        <v>1390</v>
      </c>
    </row>
    <row r="131" spans="1:9">
      <c r="A131">
        <v>2017</v>
      </c>
      <c r="B131" t="s">
        <v>44</v>
      </c>
      <c r="C131">
        <v>7</v>
      </c>
      <c r="D131" t="s">
        <v>1076</v>
      </c>
      <c r="E131" t="s">
        <v>1077</v>
      </c>
      <c r="F131" s="33">
        <v>469706</v>
      </c>
      <c r="G131" s="33">
        <v>152549032</v>
      </c>
      <c r="H131" s="33">
        <v>153018738</v>
      </c>
      <c r="I131" t="s">
        <v>1390</v>
      </c>
    </row>
    <row r="132" spans="1:9">
      <c r="A132">
        <v>2017</v>
      </c>
      <c r="B132" t="s">
        <v>44</v>
      </c>
      <c r="C132">
        <v>8</v>
      </c>
      <c r="D132" t="s">
        <v>1078</v>
      </c>
      <c r="E132" t="s">
        <v>1079</v>
      </c>
      <c r="F132" s="33">
        <v>456854</v>
      </c>
      <c r="G132" s="33">
        <v>87512183</v>
      </c>
      <c r="H132" s="33">
        <v>87969037</v>
      </c>
      <c r="I132" t="s">
        <v>1390</v>
      </c>
    </row>
    <row r="133" spans="1:9">
      <c r="A133">
        <v>2017</v>
      </c>
      <c r="B133" t="s">
        <v>44</v>
      </c>
      <c r="C133">
        <v>9</v>
      </c>
      <c r="D133" t="s">
        <v>1080</v>
      </c>
      <c r="E133" t="s">
        <v>1081</v>
      </c>
      <c r="F133" s="33">
        <v>362657</v>
      </c>
      <c r="G133" s="33">
        <v>255641470</v>
      </c>
      <c r="H133" s="33">
        <v>256004127</v>
      </c>
      <c r="I133" t="s">
        <v>1390</v>
      </c>
    </row>
    <row r="134" spans="1:9">
      <c r="A134">
        <v>2017</v>
      </c>
      <c r="B134" t="s">
        <v>44</v>
      </c>
      <c r="C134">
        <v>10</v>
      </c>
      <c r="D134" t="s">
        <v>1082</v>
      </c>
      <c r="E134" t="s">
        <v>1083</v>
      </c>
      <c r="F134" s="33">
        <v>337670</v>
      </c>
      <c r="G134" s="33">
        <v>30658944</v>
      </c>
      <c r="H134" s="33">
        <v>30996614</v>
      </c>
      <c r="I134" t="s">
        <v>1390</v>
      </c>
    </row>
    <row r="135" spans="1:9">
      <c r="A135">
        <v>2017</v>
      </c>
      <c r="B135" t="s">
        <v>44</v>
      </c>
      <c r="C135">
        <v>11</v>
      </c>
      <c r="D135" t="s">
        <v>1084</v>
      </c>
      <c r="E135" t="s">
        <v>1085</v>
      </c>
      <c r="F135" s="33">
        <v>312537</v>
      </c>
      <c r="G135" s="33">
        <v>68409784</v>
      </c>
      <c r="H135" s="33">
        <v>68722321</v>
      </c>
      <c r="I135" t="s">
        <v>1390</v>
      </c>
    </row>
    <row r="136" spans="1:9">
      <c r="A136">
        <v>2017</v>
      </c>
      <c r="B136" t="s">
        <v>44</v>
      </c>
      <c r="C136">
        <v>12</v>
      </c>
      <c r="D136" t="s">
        <v>1080</v>
      </c>
      <c r="E136" t="s">
        <v>1086</v>
      </c>
      <c r="F136" s="33">
        <v>292662</v>
      </c>
      <c r="G136" s="33">
        <v>109911139</v>
      </c>
      <c r="H136" s="33">
        <v>110203801</v>
      </c>
      <c r="I136" t="s">
        <v>1390</v>
      </c>
    </row>
    <row r="137" spans="1:9">
      <c r="A137">
        <v>2017</v>
      </c>
      <c r="B137" t="s">
        <v>44</v>
      </c>
      <c r="C137">
        <v>13</v>
      </c>
      <c r="D137" t="s">
        <v>1087</v>
      </c>
      <c r="E137" t="s">
        <v>1088</v>
      </c>
      <c r="F137" s="33">
        <v>218044</v>
      </c>
      <c r="G137" s="33">
        <v>101595233</v>
      </c>
      <c r="H137" s="33">
        <v>101813277</v>
      </c>
      <c r="I137" t="s">
        <v>1390</v>
      </c>
    </row>
    <row r="138" spans="1:9">
      <c r="A138">
        <v>2017</v>
      </c>
      <c r="B138" t="s">
        <v>44</v>
      </c>
      <c r="C138">
        <v>14</v>
      </c>
      <c r="D138" t="s">
        <v>1267</v>
      </c>
      <c r="E138" t="s">
        <v>1271</v>
      </c>
      <c r="F138" s="33">
        <v>124187</v>
      </c>
      <c r="G138" s="33">
        <v>46139046</v>
      </c>
      <c r="H138" s="33">
        <v>46263233</v>
      </c>
      <c r="I138" t="s">
        <v>1390</v>
      </c>
    </row>
    <row r="139" spans="1:9">
      <c r="A139">
        <v>2017</v>
      </c>
      <c r="B139" t="s">
        <v>44</v>
      </c>
      <c r="C139">
        <v>15</v>
      </c>
      <c r="D139" t="s">
        <v>1091</v>
      </c>
      <c r="E139" t="s">
        <v>1092</v>
      </c>
      <c r="F139" s="33">
        <v>118384</v>
      </c>
      <c r="G139" s="33">
        <v>7618024</v>
      </c>
      <c r="H139" s="33">
        <v>7736408</v>
      </c>
      <c r="I139" t="s">
        <v>1390</v>
      </c>
    </row>
    <row r="140" spans="1:9">
      <c r="A140">
        <v>2017</v>
      </c>
      <c r="B140" t="s">
        <v>44</v>
      </c>
      <c r="C140">
        <v>16</v>
      </c>
      <c r="D140" t="s">
        <v>1093</v>
      </c>
      <c r="E140" t="s">
        <v>1094</v>
      </c>
      <c r="F140" s="33">
        <v>111584</v>
      </c>
      <c r="G140" s="33">
        <v>9387872</v>
      </c>
      <c r="H140" s="33">
        <v>9499456</v>
      </c>
      <c r="I140" t="s">
        <v>1390</v>
      </c>
    </row>
    <row r="141" spans="1:9">
      <c r="A141">
        <v>2017</v>
      </c>
      <c r="B141" t="s">
        <v>44</v>
      </c>
      <c r="C141">
        <v>17</v>
      </c>
      <c r="D141" t="s">
        <v>1095</v>
      </c>
      <c r="E141" t="s">
        <v>1096</v>
      </c>
      <c r="F141" s="33">
        <v>108970</v>
      </c>
      <c r="G141" s="33">
        <v>29836276</v>
      </c>
      <c r="H141" s="33">
        <v>29945246</v>
      </c>
      <c r="I141" t="s">
        <v>1390</v>
      </c>
    </row>
    <row r="142" spans="1:9">
      <c r="A142">
        <v>2017</v>
      </c>
      <c r="B142" t="s">
        <v>44</v>
      </c>
      <c r="C142">
        <v>18</v>
      </c>
      <c r="D142" t="s">
        <v>1097</v>
      </c>
      <c r="E142" t="s">
        <v>1098</v>
      </c>
      <c r="F142" s="33">
        <v>53496</v>
      </c>
      <c r="G142" s="33">
        <v>9506524</v>
      </c>
      <c r="H142" s="33">
        <v>9560020</v>
      </c>
      <c r="I142" t="s">
        <v>1390</v>
      </c>
    </row>
    <row r="143" spans="1:9">
      <c r="A143">
        <v>2017</v>
      </c>
      <c r="B143" t="s">
        <v>44</v>
      </c>
      <c r="C143">
        <v>19</v>
      </c>
      <c r="D143" t="s">
        <v>1099</v>
      </c>
      <c r="E143" t="s">
        <v>1100</v>
      </c>
      <c r="F143" s="33">
        <v>51766</v>
      </c>
      <c r="G143" s="33">
        <v>2580320</v>
      </c>
      <c r="H143" s="33">
        <v>2632086</v>
      </c>
      <c r="I143" t="s">
        <v>1390</v>
      </c>
    </row>
    <row r="144" spans="1:9">
      <c r="A144">
        <v>2017</v>
      </c>
      <c r="B144" t="s">
        <v>44</v>
      </c>
      <c r="C144">
        <v>20</v>
      </c>
      <c r="D144" t="s">
        <v>1101</v>
      </c>
      <c r="E144" t="s">
        <v>1102</v>
      </c>
      <c r="F144" s="33">
        <v>42230</v>
      </c>
      <c r="G144" s="33">
        <v>95655578</v>
      </c>
      <c r="H144" s="33">
        <v>95697808</v>
      </c>
      <c r="I144" t="s">
        <v>1390</v>
      </c>
    </row>
    <row r="145" spans="1:9">
      <c r="A145">
        <v>2017</v>
      </c>
      <c r="B145" t="s">
        <v>44</v>
      </c>
      <c r="C145">
        <v>21</v>
      </c>
      <c r="D145" t="s">
        <v>1105</v>
      </c>
      <c r="E145" t="s">
        <v>1106</v>
      </c>
      <c r="F145" s="33">
        <v>22222</v>
      </c>
      <c r="G145" s="33">
        <v>25711603</v>
      </c>
      <c r="H145" s="33">
        <v>25733825</v>
      </c>
      <c r="I145" t="s">
        <v>1390</v>
      </c>
    </row>
    <row r="146" spans="1:9">
      <c r="A146">
        <v>2017</v>
      </c>
      <c r="B146" t="s">
        <v>44</v>
      </c>
      <c r="C146">
        <v>22</v>
      </c>
      <c r="D146" t="s">
        <v>1272</v>
      </c>
      <c r="E146" t="s">
        <v>1273</v>
      </c>
      <c r="F146" s="33">
        <v>14204</v>
      </c>
      <c r="G146" s="33">
        <v>39951588</v>
      </c>
      <c r="H146" s="33">
        <v>39965792</v>
      </c>
      <c r="I146" t="s">
        <v>1390</v>
      </c>
    </row>
    <row r="147" spans="1:9">
      <c r="A147">
        <v>2017</v>
      </c>
      <c r="B147" t="s">
        <v>44</v>
      </c>
      <c r="C147">
        <v>23</v>
      </c>
      <c r="D147" t="s">
        <v>1107</v>
      </c>
      <c r="E147" t="s">
        <v>1108</v>
      </c>
      <c r="F147" s="33">
        <v>13588</v>
      </c>
      <c r="G147" s="33">
        <v>17269548</v>
      </c>
      <c r="H147" s="33">
        <v>17283136</v>
      </c>
      <c r="I147" t="s">
        <v>1390</v>
      </c>
    </row>
    <row r="148" spans="1:9">
      <c r="A148">
        <v>2017</v>
      </c>
      <c r="B148" t="s">
        <v>44</v>
      </c>
      <c r="C148">
        <v>24</v>
      </c>
      <c r="D148" t="s">
        <v>1109</v>
      </c>
      <c r="E148" t="s">
        <v>1110</v>
      </c>
      <c r="F148" s="33">
        <v>3669</v>
      </c>
      <c r="G148" s="33">
        <v>487625</v>
      </c>
      <c r="H148" s="33">
        <v>491294</v>
      </c>
      <c r="I148" t="s">
        <v>1390</v>
      </c>
    </row>
    <row r="149" spans="1:9">
      <c r="A149">
        <v>2017</v>
      </c>
      <c r="B149" t="s">
        <v>44</v>
      </c>
      <c r="C149">
        <v>1</v>
      </c>
      <c r="D149" t="s">
        <v>1057</v>
      </c>
      <c r="E149" t="s">
        <v>1058</v>
      </c>
      <c r="F149" s="33">
        <v>45157105</v>
      </c>
      <c r="G149" s="33">
        <v>289329747</v>
      </c>
      <c r="H149" s="33">
        <v>334486852</v>
      </c>
      <c r="I149" t="s">
        <v>1393</v>
      </c>
    </row>
    <row r="150" spans="1:9">
      <c r="A150">
        <v>2017</v>
      </c>
      <c r="B150" t="s">
        <v>44</v>
      </c>
      <c r="C150">
        <v>2</v>
      </c>
      <c r="D150" t="s">
        <v>1068</v>
      </c>
      <c r="E150" t="s">
        <v>1069</v>
      </c>
      <c r="F150" s="33">
        <v>880346</v>
      </c>
      <c r="G150" s="33">
        <v>247924803</v>
      </c>
      <c r="H150" s="33">
        <v>248805149</v>
      </c>
      <c r="I150" t="s">
        <v>1393</v>
      </c>
    </row>
    <row r="151" spans="1:9">
      <c r="A151">
        <v>2017</v>
      </c>
      <c r="B151" t="s">
        <v>44</v>
      </c>
      <c r="C151">
        <v>3</v>
      </c>
      <c r="D151" t="s">
        <v>1124</v>
      </c>
      <c r="E151" t="s">
        <v>1125</v>
      </c>
      <c r="F151" s="33">
        <v>0</v>
      </c>
      <c r="G151" s="33">
        <v>790000</v>
      </c>
      <c r="H151" s="33">
        <v>790000</v>
      </c>
      <c r="I151" t="s">
        <v>1393</v>
      </c>
    </row>
    <row r="152" spans="1:9">
      <c r="A152">
        <v>2017</v>
      </c>
      <c r="B152" t="s">
        <v>44</v>
      </c>
      <c r="C152">
        <v>4</v>
      </c>
      <c r="D152" t="s">
        <v>1082</v>
      </c>
      <c r="E152" t="s">
        <v>1116</v>
      </c>
      <c r="F152" s="33">
        <v>0</v>
      </c>
      <c r="G152" s="33">
        <v>3303741</v>
      </c>
      <c r="H152" s="33">
        <v>3303741</v>
      </c>
      <c r="I152" t="s">
        <v>1393</v>
      </c>
    </row>
    <row r="153" spans="1:9">
      <c r="A153">
        <v>2017</v>
      </c>
      <c r="B153" t="s">
        <v>44</v>
      </c>
      <c r="C153">
        <v>5</v>
      </c>
      <c r="D153" t="s">
        <v>1111</v>
      </c>
      <c r="E153" t="s">
        <v>1112</v>
      </c>
      <c r="F153" s="33">
        <v>0</v>
      </c>
      <c r="G153" s="33">
        <v>0</v>
      </c>
      <c r="H153" s="33">
        <v>0</v>
      </c>
      <c r="I153" t="s">
        <v>1393</v>
      </c>
    </row>
    <row r="154" spans="1:9">
      <c r="A154">
        <v>2017</v>
      </c>
      <c r="B154" t="s">
        <v>44</v>
      </c>
      <c r="C154">
        <v>1</v>
      </c>
      <c r="D154" t="s">
        <v>1059</v>
      </c>
      <c r="E154" t="s">
        <v>1060</v>
      </c>
      <c r="F154" s="33">
        <v>34393507</v>
      </c>
      <c r="G154" s="33">
        <v>106389853</v>
      </c>
      <c r="H154" s="33">
        <v>140783360</v>
      </c>
      <c r="I154" t="s">
        <v>1394</v>
      </c>
    </row>
    <row r="155" spans="1:9">
      <c r="A155">
        <v>2017</v>
      </c>
      <c r="B155" t="s">
        <v>45</v>
      </c>
      <c r="C155">
        <v>1</v>
      </c>
      <c r="D155" t="s">
        <v>1078</v>
      </c>
      <c r="E155" t="s">
        <v>1079</v>
      </c>
      <c r="F155" s="33">
        <v>456854</v>
      </c>
      <c r="G155" s="33">
        <v>87512183</v>
      </c>
      <c r="H155" s="33">
        <v>87969037</v>
      </c>
      <c r="I155" t="s">
        <v>1390</v>
      </c>
    </row>
    <row r="156" spans="1:9">
      <c r="A156">
        <v>2017</v>
      </c>
      <c r="B156" t="s">
        <v>45</v>
      </c>
      <c r="C156">
        <v>2</v>
      </c>
      <c r="D156" t="s">
        <v>1089</v>
      </c>
      <c r="E156" t="s">
        <v>1090</v>
      </c>
      <c r="F156" s="33">
        <v>216556</v>
      </c>
      <c r="G156" s="33">
        <v>36585148</v>
      </c>
      <c r="H156" s="33">
        <v>36801704</v>
      </c>
      <c r="I156" t="s">
        <v>1390</v>
      </c>
    </row>
    <row r="157" spans="1:9">
      <c r="A157">
        <v>2017</v>
      </c>
      <c r="B157" t="s">
        <v>45</v>
      </c>
      <c r="C157">
        <v>3</v>
      </c>
      <c r="D157" t="s">
        <v>1267</v>
      </c>
      <c r="E157" t="s">
        <v>1271</v>
      </c>
      <c r="F157" s="33">
        <v>124187</v>
      </c>
      <c r="G157" s="33">
        <v>46139046</v>
      </c>
      <c r="H157" s="33">
        <v>46263233</v>
      </c>
      <c r="I157" t="s">
        <v>1390</v>
      </c>
    </row>
    <row r="158" spans="1:9">
      <c r="A158">
        <v>2017</v>
      </c>
      <c r="B158" t="s">
        <v>45</v>
      </c>
      <c r="C158">
        <v>4</v>
      </c>
      <c r="D158" t="s">
        <v>1093</v>
      </c>
      <c r="E158" t="s">
        <v>1094</v>
      </c>
      <c r="F158" s="33">
        <v>111584</v>
      </c>
      <c r="G158" s="33">
        <v>9387872</v>
      </c>
      <c r="H158" s="33">
        <v>9499456</v>
      </c>
      <c r="I158" t="s">
        <v>1390</v>
      </c>
    </row>
    <row r="159" spans="1:9">
      <c r="A159">
        <v>2017</v>
      </c>
      <c r="B159" t="s">
        <v>45</v>
      </c>
      <c r="C159">
        <v>5</v>
      </c>
      <c r="D159" t="s">
        <v>1103</v>
      </c>
      <c r="E159" t="s">
        <v>1104</v>
      </c>
      <c r="F159" s="33">
        <v>29050</v>
      </c>
      <c r="G159" s="33">
        <v>12006</v>
      </c>
      <c r="H159" s="33">
        <v>41056</v>
      </c>
      <c r="I159" t="s">
        <v>1390</v>
      </c>
    </row>
    <row r="160" spans="1:9">
      <c r="A160">
        <v>2017</v>
      </c>
      <c r="B160" t="s">
        <v>45</v>
      </c>
      <c r="C160">
        <v>6</v>
      </c>
      <c r="D160" t="s">
        <v>1348</v>
      </c>
      <c r="E160" t="s">
        <v>1349</v>
      </c>
      <c r="F160" s="33">
        <v>2578</v>
      </c>
      <c r="G160" s="33">
        <v>54577</v>
      </c>
      <c r="H160" s="33">
        <v>57155</v>
      </c>
      <c r="I160" t="s">
        <v>1390</v>
      </c>
    </row>
    <row r="161" spans="1:9">
      <c r="A161">
        <v>2017</v>
      </c>
      <c r="B161" t="s">
        <v>45</v>
      </c>
      <c r="C161">
        <v>7</v>
      </c>
      <c r="D161" t="s">
        <v>1082</v>
      </c>
      <c r="E161" t="s">
        <v>1356</v>
      </c>
      <c r="F161" s="33">
        <v>0</v>
      </c>
      <c r="G161" s="33">
        <v>58807172</v>
      </c>
      <c r="H161" s="33">
        <v>58807172</v>
      </c>
      <c r="I161" t="s">
        <v>1390</v>
      </c>
    </row>
    <row r="162" spans="1:9">
      <c r="A162">
        <v>2017</v>
      </c>
      <c r="B162" t="s">
        <v>45</v>
      </c>
      <c r="C162">
        <v>8</v>
      </c>
      <c r="D162" t="s">
        <v>1364</v>
      </c>
      <c r="E162" t="s">
        <v>1365</v>
      </c>
      <c r="F162" s="33">
        <v>0</v>
      </c>
      <c r="G162" s="33">
        <v>0</v>
      </c>
      <c r="H162" s="33">
        <v>0</v>
      </c>
      <c r="I162" t="s">
        <v>1390</v>
      </c>
    </row>
    <row r="163" spans="1:9">
      <c r="A163">
        <v>2017</v>
      </c>
      <c r="B163" t="s">
        <v>45</v>
      </c>
      <c r="C163">
        <v>1</v>
      </c>
      <c r="D163" t="s">
        <v>1064</v>
      </c>
      <c r="E163" t="s">
        <v>1065</v>
      </c>
      <c r="F163" s="33">
        <v>9420546</v>
      </c>
      <c r="G163" s="33">
        <v>14727942</v>
      </c>
      <c r="H163" s="33">
        <v>24148488</v>
      </c>
      <c r="I163" t="s">
        <v>1392</v>
      </c>
    </row>
    <row r="164" spans="1:9">
      <c r="A164">
        <v>2017</v>
      </c>
      <c r="B164" t="s">
        <v>45</v>
      </c>
      <c r="C164">
        <v>1</v>
      </c>
      <c r="D164" t="s">
        <v>1111</v>
      </c>
      <c r="E164" t="s">
        <v>1112</v>
      </c>
      <c r="F164" s="33">
        <v>0</v>
      </c>
      <c r="G164" s="33">
        <v>0</v>
      </c>
      <c r="H164" s="33">
        <v>0</v>
      </c>
      <c r="I164" t="s">
        <v>1393</v>
      </c>
    </row>
    <row r="165" spans="1:9">
      <c r="A165">
        <v>2017</v>
      </c>
      <c r="B165" t="s">
        <v>45</v>
      </c>
      <c r="C165">
        <v>1</v>
      </c>
      <c r="D165" t="s">
        <v>1082</v>
      </c>
      <c r="E165" t="s">
        <v>1362</v>
      </c>
      <c r="F165" s="33">
        <v>0</v>
      </c>
      <c r="G165" s="33">
        <v>13109</v>
      </c>
      <c r="H165" s="33">
        <v>13109</v>
      </c>
      <c r="I165" t="s">
        <v>1394</v>
      </c>
    </row>
    <row r="166" spans="1:9">
      <c r="A166">
        <v>2017</v>
      </c>
      <c r="B166" t="s">
        <v>46</v>
      </c>
      <c r="C166">
        <v>1</v>
      </c>
      <c r="D166" t="s">
        <v>1103</v>
      </c>
      <c r="E166" t="s">
        <v>1104</v>
      </c>
      <c r="F166" s="33">
        <v>29050</v>
      </c>
      <c r="G166" s="33">
        <v>12006</v>
      </c>
      <c r="H166" s="33">
        <v>41056</v>
      </c>
      <c r="I166" t="s">
        <v>1390</v>
      </c>
    </row>
    <row r="167" spans="1:9">
      <c r="A167">
        <v>2017</v>
      </c>
      <c r="B167" t="s">
        <v>46</v>
      </c>
      <c r="C167">
        <v>2</v>
      </c>
      <c r="D167" t="s">
        <v>1370</v>
      </c>
      <c r="E167" t="s">
        <v>1371</v>
      </c>
      <c r="F167" s="33">
        <v>18870</v>
      </c>
      <c r="G167" s="33">
        <v>0</v>
      </c>
      <c r="H167" s="33">
        <v>18870</v>
      </c>
      <c r="I167" t="s">
        <v>1390</v>
      </c>
    </row>
    <row r="168" spans="1:9">
      <c r="A168">
        <v>2017</v>
      </c>
      <c r="B168" t="s">
        <v>46</v>
      </c>
      <c r="C168">
        <v>3</v>
      </c>
      <c r="D168" t="s">
        <v>1372</v>
      </c>
      <c r="E168" t="s">
        <v>35</v>
      </c>
      <c r="F168" s="33">
        <v>12897</v>
      </c>
      <c r="G168" s="33">
        <v>32003</v>
      </c>
      <c r="H168" s="33">
        <v>44900</v>
      </c>
      <c r="I168" t="s">
        <v>1390</v>
      </c>
    </row>
    <row r="169" spans="1:9">
      <c r="A169">
        <v>2017</v>
      </c>
      <c r="B169" t="s">
        <v>46</v>
      </c>
      <c r="C169">
        <v>4</v>
      </c>
      <c r="D169" t="s">
        <v>1097</v>
      </c>
      <c r="E169" t="s">
        <v>58</v>
      </c>
      <c r="F169" s="33">
        <v>0</v>
      </c>
      <c r="G169" s="33">
        <v>4013033</v>
      </c>
      <c r="H169" s="33">
        <v>4013033</v>
      </c>
      <c r="I169" t="s">
        <v>1390</v>
      </c>
    </row>
    <row r="170" spans="1:9">
      <c r="A170">
        <v>2017</v>
      </c>
      <c r="B170" t="s">
        <v>47</v>
      </c>
      <c r="C170">
        <v>1</v>
      </c>
      <c r="D170" t="s">
        <v>1380</v>
      </c>
      <c r="E170" t="s">
        <v>59</v>
      </c>
      <c r="F170" s="33">
        <v>77895</v>
      </c>
      <c r="G170" s="33">
        <v>82636</v>
      </c>
      <c r="H170" s="33">
        <v>160531</v>
      </c>
      <c r="I170" t="s">
        <v>1390</v>
      </c>
    </row>
    <row r="171" spans="1:9">
      <c r="A171">
        <v>2017</v>
      </c>
      <c r="B171" t="s">
        <v>47</v>
      </c>
      <c r="C171">
        <v>2</v>
      </c>
      <c r="D171" t="s">
        <v>1348</v>
      </c>
      <c r="E171" t="s">
        <v>1349</v>
      </c>
      <c r="F171" s="33">
        <v>2578</v>
      </c>
      <c r="G171" s="33">
        <v>54577</v>
      </c>
      <c r="H171" s="33">
        <v>57155</v>
      </c>
      <c r="I171" t="s">
        <v>1390</v>
      </c>
    </row>
    <row r="172" spans="1:9">
      <c r="A172">
        <v>2017</v>
      </c>
      <c r="B172" t="s">
        <v>47</v>
      </c>
      <c r="C172">
        <v>3</v>
      </c>
      <c r="D172" t="s">
        <v>1111</v>
      </c>
      <c r="E172" t="s">
        <v>1381</v>
      </c>
      <c r="F172" s="33">
        <v>0</v>
      </c>
      <c r="G172" s="33">
        <v>0</v>
      </c>
      <c r="H172" s="33">
        <v>0</v>
      </c>
      <c r="I172" t="s">
        <v>1390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77"/>
  <sheetViews>
    <sheetView topLeftCell="A906" zoomScale="90" zoomScaleNormal="90" workbookViewId="0">
      <selection activeCell="E918" sqref="E918"/>
    </sheetView>
  </sheetViews>
  <sheetFormatPr defaultColWidth="9" defaultRowHeight="14.6"/>
  <cols>
    <col min="3" max="3" width="8.69140625" customWidth="1"/>
    <col min="4" max="4" width="11" customWidth="1"/>
    <col min="5" max="5" width="34.15234375" customWidth="1"/>
    <col min="6" max="6" width="29.3828125" customWidth="1"/>
    <col min="7" max="7" width="24" customWidth="1"/>
    <col min="8" max="8" width="19.23046875" customWidth="1"/>
    <col min="9" max="9" width="11.53515625" customWidth="1"/>
  </cols>
  <sheetData>
    <row r="1" spans="1:9" s="32" customFormat="1">
      <c r="A1" s="32" t="s">
        <v>0</v>
      </c>
      <c r="B1" s="32" t="s">
        <v>1395</v>
      </c>
      <c r="D1" s="32" t="s">
        <v>573</v>
      </c>
      <c r="E1" s="32" t="s">
        <v>574</v>
      </c>
      <c r="F1" s="32" t="s">
        <v>591</v>
      </c>
      <c r="G1" s="32" t="s">
        <v>592</v>
      </c>
      <c r="H1" s="32" t="s">
        <v>593</v>
      </c>
      <c r="I1" s="32" t="s">
        <v>590</v>
      </c>
    </row>
    <row r="2" spans="1:9" s="32" customFormat="1">
      <c r="A2">
        <v>2019</v>
      </c>
      <c r="B2" t="s">
        <v>44</v>
      </c>
      <c r="C2">
        <v>1</v>
      </c>
      <c r="D2" t="s">
        <v>651</v>
      </c>
      <c r="E2" t="s">
        <v>652</v>
      </c>
      <c r="F2" t="s">
        <v>606</v>
      </c>
      <c r="G2" t="s">
        <v>631</v>
      </c>
      <c r="H2" t="s">
        <v>612</v>
      </c>
      <c r="I2" s="33">
        <v>187886443</v>
      </c>
    </row>
    <row r="3" spans="1:9" s="32" customFormat="1">
      <c r="A3">
        <v>2019</v>
      </c>
      <c r="B3" t="s">
        <v>44</v>
      </c>
      <c r="C3">
        <v>2</v>
      </c>
      <c r="D3" t="s">
        <v>604</v>
      </c>
      <c r="E3" t="s">
        <v>128</v>
      </c>
      <c r="F3" t="s">
        <v>606</v>
      </c>
      <c r="G3" t="s">
        <v>598</v>
      </c>
      <c r="H3" t="s">
        <v>607</v>
      </c>
      <c r="I3" s="33">
        <v>688934822</v>
      </c>
    </row>
    <row r="4" spans="1:9" s="32" customFormat="1">
      <c r="A4">
        <v>2019</v>
      </c>
      <c r="B4" t="s">
        <v>44</v>
      </c>
      <c r="C4">
        <v>3</v>
      </c>
      <c r="D4" t="s">
        <v>662</v>
      </c>
      <c r="E4" t="s">
        <v>663</v>
      </c>
      <c r="F4" t="s">
        <v>606</v>
      </c>
      <c r="G4" t="s">
        <v>631</v>
      </c>
      <c r="H4" t="s">
        <v>612</v>
      </c>
      <c r="I4" s="33">
        <v>9692046</v>
      </c>
    </row>
    <row r="5" spans="1:9" s="32" customFormat="1">
      <c r="A5">
        <v>2019</v>
      </c>
      <c r="B5" t="s">
        <v>44</v>
      </c>
      <c r="C5">
        <v>4</v>
      </c>
      <c r="D5" t="s">
        <v>646</v>
      </c>
      <c r="E5" t="s">
        <v>6</v>
      </c>
      <c r="F5" t="s">
        <v>606</v>
      </c>
      <c r="G5" t="s">
        <v>631</v>
      </c>
      <c r="H5" t="s">
        <v>603</v>
      </c>
      <c r="I5" s="33">
        <v>742514069</v>
      </c>
    </row>
    <row r="6" spans="1:9" s="32" customFormat="1">
      <c r="A6">
        <v>2019</v>
      </c>
      <c r="B6" t="s">
        <v>44</v>
      </c>
      <c r="C6">
        <v>5</v>
      </c>
      <c r="D6" t="s">
        <v>657</v>
      </c>
      <c r="E6" t="s">
        <v>130</v>
      </c>
      <c r="F6" t="s">
        <v>597</v>
      </c>
      <c r="G6" t="s">
        <v>598</v>
      </c>
      <c r="H6" t="s">
        <v>658</v>
      </c>
      <c r="I6" s="33">
        <v>465418019</v>
      </c>
    </row>
    <row r="7" spans="1:9" s="32" customFormat="1">
      <c r="A7">
        <v>2019</v>
      </c>
      <c r="B7" t="s">
        <v>44</v>
      </c>
      <c r="C7">
        <v>6</v>
      </c>
      <c r="D7" t="s">
        <v>667</v>
      </c>
      <c r="E7" t="s">
        <v>139</v>
      </c>
      <c r="F7" t="s">
        <v>602</v>
      </c>
      <c r="G7" t="s">
        <v>598</v>
      </c>
      <c r="H7" t="s">
        <v>616</v>
      </c>
      <c r="I7" s="33">
        <v>230001031</v>
      </c>
    </row>
    <row r="8" spans="1:9" s="32" customFormat="1">
      <c r="A8">
        <v>2019</v>
      </c>
      <c r="B8" t="s">
        <v>44</v>
      </c>
      <c r="C8">
        <v>7</v>
      </c>
      <c r="D8" t="s">
        <v>660</v>
      </c>
      <c r="E8" t="s">
        <v>132</v>
      </c>
      <c r="F8" t="s">
        <v>597</v>
      </c>
      <c r="G8" t="s">
        <v>598</v>
      </c>
      <c r="H8" t="s">
        <v>599</v>
      </c>
      <c r="I8" s="33">
        <v>417654292</v>
      </c>
    </row>
    <row r="9" spans="1:9" s="32" customFormat="1">
      <c r="A9">
        <v>2019</v>
      </c>
      <c r="B9" t="s">
        <v>44</v>
      </c>
      <c r="C9">
        <v>8</v>
      </c>
      <c r="D9" t="s">
        <v>625</v>
      </c>
      <c r="E9" t="s">
        <v>371</v>
      </c>
      <c r="F9" t="s">
        <v>606</v>
      </c>
      <c r="G9" t="s">
        <v>598</v>
      </c>
      <c r="H9" t="s">
        <v>603</v>
      </c>
      <c r="I9" s="33">
        <v>91462581</v>
      </c>
    </row>
    <row r="10" spans="1:9" s="32" customFormat="1">
      <c r="A10">
        <v>2019</v>
      </c>
      <c r="B10" t="s">
        <v>44</v>
      </c>
      <c r="C10">
        <v>9</v>
      </c>
      <c r="D10" t="s">
        <v>623</v>
      </c>
      <c r="E10" t="s">
        <v>382</v>
      </c>
      <c r="F10" t="s">
        <v>606</v>
      </c>
      <c r="G10" t="s">
        <v>598</v>
      </c>
      <c r="H10" t="s">
        <v>616</v>
      </c>
      <c r="I10" s="33">
        <v>42140730</v>
      </c>
    </row>
    <row r="11" spans="1:9" s="32" customFormat="1">
      <c r="A11">
        <v>2019</v>
      </c>
      <c r="B11" t="s">
        <v>44</v>
      </c>
      <c r="C11">
        <v>10</v>
      </c>
      <c r="D11" t="s">
        <v>654</v>
      </c>
      <c r="E11" t="s">
        <v>141</v>
      </c>
      <c r="F11" t="s">
        <v>597</v>
      </c>
      <c r="G11" t="s">
        <v>598</v>
      </c>
      <c r="H11" t="s">
        <v>707</v>
      </c>
      <c r="I11" s="33">
        <v>163659404</v>
      </c>
    </row>
    <row r="12" spans="1:9" s="32" customFormat="1">
      <c r="A12">
        <v>2019</v>
      </c>
      <c r="B12" t="s">
        <v>44</v>
      </c>
      <c r="C12">
        <v>11</v>
      </c>
      <c r="D12" t="s">
        <v>617</v>
      </c>
      <c r="E12" t="s">
        <v>399</v>
      </c>
      <c r="F12" t="s">
        <v>606</v>
      </c>
      <c r="G12" t="s">
        <v>598</v>
      </c>
      <c r="H12" t="s">
        <v>616</v>
      </c>
      <c r="I12" s="33">
        <v>11966647</v>
      </c>
    </row>
    <row r="13" spans="1:9" s="32" customFormat="1">
      <c r="A13">
        <v>2019</v>
      </c>
      <c r="B13" t="s">
        <v>44</v>
      </c>
      <c r="C13">
        <v>12</v>
      </c>
      <c r="D13" t="s">
        <v>643</v>
      </c>
      <c r="E13" t="s">
        <v>644</v>
      </c>
      <c r="F13"/>
      <c r="G13" t="s">
        <v>598</v>
      </c>
      <c r="H13"/>
      <c r="I13" s="33">
        <v>98444408</v>
      </c>
    </row>
    <row r="14" spans="1:9" s="32" customFormat="1">
      <c r="A14">
        <v>2019</v>
      </c>
      <c r="B14" t="s">
        <v>44</v>
      </c>
      <c r="C14">
        <v>13</v>
      </c>
      <c r="D14" t="s">
        <v>640</v>
      </c>
      <c r="E14" t="s">
        <v>138</v>
      </c>
      <c r="F14" t="s">
        <v>597</v>
      </c>
      <c r="G14" t="s">
        <v>598</v>
      </c>
      <c r="H14" t="s">
        <v>707</v>
      </c>
      <c r="I14" s="33">
        <v>245179530</v>
      </c>
    </row>
    <row r="15" spans="1:9" s="32" customFormat="1">
      <c r="A15">
        <v>2019</v>
      </c>
      <c r="B15" t="s">
        <v>44</v>
      </c>
      <c r="C15">
        <v>14</v>
      </c>
      <c r="D15" t="s">
        <v>623</v>
      </c>
      <c r="E15" t="s">
        <v>392</v>
      </c>
      <c r="F15" t="s">
        <v>606</v>
      </c>
      <c r="G15" t="s">
        <v>598</v>
      </c>
      <c r="H15"/>
      <c r="I15" s="33">
        <v>19781947</v>
      </c>
    </row>
    <row r="16" spans="1:9" s="32" customFormat="1">
      <c r="A16">
        <v>2019</v>
      </c>
      <c r="B16" t="s">
        <v>44</v>
      </c>
      <c r="C16">
        <v>15</v>
      </c>
      <c r="D16" t="s">
        <v>608</v>
      </c>
      <c r="E16" t="s">
        <v>173</v>
      </c>
      <c r="F16" t="s">
        <v>610</v>
      </c>
      <c r="G16" t="s">
        <v>611</v>
      </c>
      <c r="H16" t="s">
        <v>612</v>
      </c>
      <c r="I16" s="33">
        <v>18653041</v>
      </c>
    </row>
    <row r="17" spans="1:9" s="32" customFormat="1">
      <c r="A17">
        <v>2019</v>
      </c>
      <c r="B17" t="s">
        <v>44</v>
      </c>
      <c r="C17">
        <v>16</v>
      </c>
      <c r="D17" t="s">
        <v>600</v>
      </c>
      <c r="E17" t="s">
        <v>390</v>
      </c>
      <c r="F17" t="s">
        <v>602</v>
      </c>
      <c r="G17" t="s">
        <v>598</v>
      </c>
      <c r="H17" t="s">
        <v>603</v>
      </c>
      <c r="I17" s="33">
        <v>22369964</v>
      </c>
    </row>
    <row r="18" spans="1:9" s="32" customFormat="1">
      <c r="A18">
        <v>2019</v>
      </c>
      <c r="B18" t="s">
        <v>44</v>
      </c>
      <c r="C18">
        <v>17</v>
      </c>
      <c r="D18" t="s">
        <v>625</v>
      </c>
      <c r="E18" t="s">
        <v>172</v>
      </c>
      <c r="F18" t="s">
        <v>606</v>
      </c>
      <c r="G18" t="s">
        <v>598</v>
      </c>
      <c r="H18" t="s">
        <v>616</v>
      </c>
      <c r="I18" s="33">
        <v>19005956</v>
      </c>
    </row>
    <row r="19" spans="1:9" s="32" customFormat="1">
      <c r="A19">
        <v>2019</v>
      </c>
      <c r="B19" t="s">
        <v>44</v>
      </c>
      <c r="C19">
        <v>18</v>
      </c>
      <c r="D19" t="s">
        <v>667</v>
      </c>
      <c r="E19" t="s">
        <v>162</v>
      </c>
      <c r="F19" t="s">
        <v>606</v>
      </c>
      <c r="G19" t="s">
        <v>598</v>
      </c>
      <c r="H19" t="s">
        <v>616</v>
      </c>
      <c r="I19" s="33">
        <v>31188607</v>
      </c>
    </row>
    <row r="20" spans="1:9" s="32" customFormat="1">
      <c r="A20">
        <v>2019</v>
      </c>
      <c r="B20" t="s">
        <v>44</v>
      </c>
      <c r="C20">
        <v>19</v>
      </c>
      <c r="D20" t="s">
        <v>619</v>
      </c>
      <c r="E20" t="s">
        <v>620</v>
      </c>
      <c r="F20" t="s">
        <v>606</v>
      </c>
      <c r="G20" t="s">
        <v>598</v>
      </c>
      <c r="H20" t="s">
        <v>616</v>
      </c>
      <c r="I20" s="33">
        <v>292357</v>
      </c>
    </row>
    <row r="21" spans="1:9" s="32" customFormat="1">
      <c r="A21">
        <v>2019</v>
      </c>
      <c r="B21" t="s">
        <v>44</v>
      </c>
      <c r="C21">
        <v>20</v>
      </c>
      <c r="D21" t="s">
        <v>625</v>
      </c>
      <c r="E21" t="s">
        <v>209</v>
      </c>
      <c r="F21" t="s">
        <v>606</v>
      </c>
      <c r="G21" t="s">
        <v>598</v>
      </c>
      <c r="H21" t="s">
        <v>616</v>
      </c>
      <c r="I21" s="33">
        <v>4140502</v>
      </c>
    </row>
    <row r="22" spans="1:9" s="32" customFormat="1">
      <c r="A22">
        <v>2019</v>
      </c>
      <c r="B22" t="s">
        <v>44</v>
      </c>
      <c r="C22">
        <v>21</v>
      </c>
      <c r="D22" t="s">
        <v>647</v>
      </c>
      <c r="E22" t="s">
        <v>648</v>
      </c>
      <c r="F22" t="s">
        <v>606</v>
      </c>
      <c r="G22" t="s">
        <v>598</v>
      </c>
      <c r="H22" t="s">
        <v>616</v>
      </c>
      <c r="I22" s="33">
        <v>283768</v>
      </c>
    </row>
    <row r="23" spans="1:9" s="32" customFormat="1">
      <c r="A23">
        <v>2019</v>
      </c>
      <c r="B23" t="s">
        <v>44</v>
      </c>
      <c r="C23">
        <v>22</v>
      </c>
      <c r="D23" t="s">
        <v>668</v>
      </c>
      <c r="E23" t="s">
        <v>150</v>
      </c>
      <c r="F23" t="s">
        <v>606</v>
      </c>
      <c r="G23" t="s">
        <v>631</v>
      </c>
      <c r="H23" t="s">
        <v>603</v>
      </c>
      <c r="I23" s="33">
        <v>68364730</v>
      </c>
    </row>
    <row r="24" spans="1:9" s="32" customFormat="1">
      <c r="A24">
        <v>2019</v>
      </c>
      <c r="B24" t="s">
        <v>44</v>
      </c>
      <c r="C24">
        <v>23</v>
      </c>
      <c r="D24" t="s">
        <v>650</v>
      </c>
      <c r="E24" t="s">
        <v>216</v>
      </c>
      <c r="F24" t="s">
        <v>606</v>
      </c>
      <c r="G24" t="s">
        <v>598</v>
      </c>
      <c r="H24" t="s">
        <v>616</v>
      </c>
      <c r="I24" s="33">
        <v>3458555</v>
      </c>
    </row>
    <row r="25" spans="1:9" s="32" customFormat="1">
      <c r="A25">
        <v>2019</v>
      </c>
      <c r="B25" t="s">
        <v>44</v>
      </c>
      <c r="C25">
        <v>24</v>
      </c>
      <c r="D25" t="s">
        <v>621</v>
      </c>
      <c r="E25" t="s">
        <v>343</v>
      </c>
      <c r="F25" t="s">
        <v>606</v>
      </c>
      <c r="G25" t="s">
        <v>598</v>
      </c>
      <c r="H25" t="s">
        <v>616</v>
      </c>
      <c r="I25" s="33">
        <v>10364</v>
      </c>
    </row>
    <row r="26" spans="1:9" s="32" customFormat="1">
      <c r="A26">
        <v>2019</v>
      </c>
      <c r="B26" t="s">
        <v>44</v>
      </c>
      <c r="C26">
        <v>25</v>
      </c>
      <c r="D26" t="s">
        <v>640</v>
      </c>
      <c r="E26" t="s">
        <v>1396</v>
      </c>
      <c r="F26" t="s">
        <v>606</v>
      </c>
      <c r="G26" t="s">
        <v>598</v>
      </c>
      <c r="H26" t="s">
        <v>616</v>
      </c>
      <c r="I26" s="33">
        <v>451183392</v>
      </c>
    </row>
    <row r="27" spans="1:9" s="32" customFormat="1">
      <c r="A27">
        <v>2019</v>
      </c>
      <c r="B27" t="s">
        <v>44</v>
      </c>
      <c r="C27">
        <v>26</v>
      </c>
      <c r="D27" t="s">
        <v>615</v>
      </c>
      <c r="E27" t="s">
        <v>539</v>
      </c>
      <c r="F27" t="s">
        <v>606</v>
      </c>
      <c r="G27" t="s">
        <v>598</v>
      </c>
      <c r="H27" t="s">
        <v>616</v>
      </c>
      <c r="I27" s="33">
        <v>14702</v>
      </c>
    </row>
    <row r="28" spans="1:9" s="32" customFormat="1">
      <c r="A28">
        <v>2019</v>
      </c>
      <c r="B28" t="s">
        <v>44</v>
      </c>
      <c r="C28">
        <v>27</v>
      </c>
      <c r="D28" t="s">
        <v>629</v>
      </c>
      <c r="E28" t="s">
        <v>630</v>
      </c>
      <c r="F28" t="s">
        <v>606</v>
      </c>
      <c r="G28" t="s">
        <v>631</v>
      </c>
      <c r="H28" t="s">
        <v>612</v>
      </c>
      <c r="I28" s="33">
        <v>1278207</v>
      </c>
    </row>
    <row r="29" spans="1:9" s="32" customFormat="1">
      <c r="A29">
        <v>2019</v>
      </c>
      <c r="B29" t="s">
        <v>44</v>
      </c>
      <c r="C29">
        <v>28</v>
      </c>
      <c r="D29" t="s">
        <v>647</v>
      </c>
      <c r="E29" t="s">
        <v>174</v>
      </c>
      <c r="F29" t="s">
        <v>606</v>
      </c>
      <c r="G29" t="s">
        <v>703</v>
      </c>
      <c r="H29" t="s">
        <v>607</v>
      </c>
      <c r="I29" s="33">
        <v>16923672</v>
      </c>
    </row>
    <row r="30" spans="1:9" s="32" customFormat="1">
      <c r="A30">
        <v>2019</v>
      </c>
      <c r="B30" t="s">
        <v>44</v>
      </c>
      <c r="C30">
        <v>29</v>
      </c>
      <c r="D30" t="s">
        <v>661</v>
      </c>
      <c r="E30" t="s">
        <v>57</v>
      </c>
      <c r="F30" t="s">
        <v>602</v>
      </c>
      <c r="G30" t="s">
        <v>598</v>
      </c>
      <c r="H30" t="s">
        <v>603</v>
      </c>
      <c r="I30" s="33">
        <v>97033612</v>
      </c>
    </row>
    <row r="31" spans="1:9" s="32" customFormat="1">
      <c r="A31">
        <v>2019</v>
      </c>
      <c r="B31" t="s">
        <v>44</v>
      </c>
      <c r="C31">
        <v>30</v>
      </c>
      <c r="D31" t="s">
        <v>594</v>
      </c>
      <c r="E31" t="s">
        <v>595</v>
      </c>
      <c r="F31" t="s">
        <v>597</v>
      </c>
      <c r="G31" t="s">
        <v>598</v>
      </c>
      <c r="H31" t="s">
        <v>599</v>
      </c>
      <c r="I31" s="33">
        <v>11596</v>
      </c>
    </row>
    <row r="32" spans="1:9" s="32" customFormat="1">
      <c r="A32">
        <v>2019</v>
      </c>
      <c r="B32" t="s">
        <v>44</v>
      </c>
      <c r="C32">
        <v>31</v>
      </c>
      <c r="D32" t="s">
        <v>665</v>
      </c>
      <c r="E32" t="s">
        <v>401</v>
      </c>
      <c r="F32" t="s">
        <v>666</v>
      </c>
      <c r="G32" t="s">
        <v>631</v>
      </c>
      <c r="H32" t="s">
        <v>603</v>
      </c>
      <c r="I32" s="33">
        <v>11687938</v>
      </c>
    </row>
    <row r="33" spans="1:9" s="32" customFormat="1">
      <c r="A33">
        <v>2019</v>
      </c>
      <c r="B33" t="s">
        <v>44</v>
      </c>
      <c r="C33">
        <v>32</v>
      </c>
      <c r="D33" t="s">
        <v>649</v>
      </c>
      <c r="E33" t="s">
        <v>432</v>
      </c>
      <c r="F33"/>
      <c r="G33" t="s">
        <v>598</v>
      </c>
      <c r="H33" t="s">
        <v>616</v>
      </c>
      <c r="I33" s="33">
        <v>2577213</v>
      </c>
    </row>
    <row r="34" spans="1:9" s="32" customFormat="1">
      <c r="A34">
        <v>2019</v>
      </c>
      <c r="B34" t="s">
        <v>44</v>
      </c>
      <c r="C34">
        <v>33</v>
      </c>
      <c r="D34" t="s">
        <v>659</v>
      </c>
      <c r="E34" t="s">
        <v>402</v>
      </c>
      <c r="F34" t="s">
        <v>606</v>
      </c>
      <c r="G34" t="s">
        <v>598</v>
      </c>
      <c r="H34" t="s">
        <v>603</v>
      </c>
      <c r="I34" s="33">
        <v>11573104</v>
      </c>
    </row>
    <row r="35" spans="1:9" s="32" customFormat="1">
      <c r="A35">
        <v>2019</v>
      </c>
      <c r="B35" t="s">
        <v>44</v>
      </c>
      <c r="C35">
        <v>34</v>
      </c>
      <c r="D35" t="s">
        <v>627</v>
      </c>
      <c r="E35" t="s">
        <v>562</v>
      </c>
      <c r="F35"/>
      <c r="G35" t="s">
        <v>598</v>
      </c>
      <c r="H35"/>
      <c r="I35" s="33">
        <v>0</v>
      </c>
    </row>
    <row r="36" spans="1:9" s="32" customFormat="1">
      <c r="A36">
        <v>2019</v>
      </c>
      <c r="B36" t="s">
        <v>44</v>
      </c>
      <c r="C36">
        <v>35</v>
      </c>
      <c r="D36" t="s">
        <v>638</v>
      </c>
      <c r="E36" t="s">
        <v>354</v>
      </c>
      <c r="F36"/>
      <c r="G36" t="s">
        <v>598</v>
      </c>
      <c r="H36"/>
      <c r="I36" s="33">
        <v>0</v>
      </c>
    </row>
    <row r="37" spans="1:9" s="32" customFormat="1">
      <c r="A37">
        <v>2019</v>
      </c>
      <c r="B37" t="s">
        <v>44</v>
      </c>
      <c r="C37">
        <v>36</v>
      </c>
      <c r="D37" t="s">
        <v>642</v>
      </c>
      <c r="E37" t="s">
        <v>355</v>
      </c>
      <c r="F37" t="s">
        <v>606</v>
      </c>
      <c r="G37" t="s">
        <v>598</v>
      </c>
      <c r="H37" t="s">
        <v>607</v>
      </c>
      <c r="I37" s="33">
        <v>0</v>
      </c>
    </row>
    <row r="38" spans="1:9" s="32" customFormat="1">
      <c r="A38">
        <v>2019</v>
      </c>
      <c r="B38" t="s">
        <v>44</v>
      </c>
      <c r="C38">
        <v>37</v>
      </c>
      <c r="D38" t="s">
        <v>632</v>
      </c>
      <c r="E38" t="s">
        <v>633</v>
      </c>
      <c r="F38" t="s">
        <v>606</v>
      </c>
      <c r="G38" t="s">
        <v>631</v>
      </c>
      <c r="H38" t="s">
        <v>612</v>
      </c>
      <c r="I38" s="33">
        <v>77072065</v>
      </c>
    </row>
    <row r="39" spans="1:9" s="32" customFormat="1">
      <c r="A39">
        <v>2019</v>
      </c>
      <c r="B39" t="s">
        <v>44</v>
      </c>
      <c r="C39">
        <v>38</v>
      </c>
      <c r="D39" t="s">
        <v>628</v>
      </c>
      <c r="E39" t="s">
        <v>351</v>
      </c>
      <c r="F39" t="s">
        <v>606</v>
      </c>
      <c r="G39" t="s">
        <v>598</v>
      </c>
      <c r="H39" t="s">
        <v>607</v>
      </c>
      <c r="I39" s="33">
        <v>0</v>
      </c>
    </row>
    <row r="40" spans="1:9" s="32" customFormat="1">
      <c r="A40">
        <v>2019</v>
      </c>
      <c r="B40" t="s">
        <v>44</v>
      </c>
      <c r="C40">
        <v>39</v>
      </c>
      <c r="D40" t="s">
        <v>668</v>
      </c>
      <c r="E40" t="s">
        <v>159</v>
      </c>
      <c r="F40" t="s">
        <v>606</v>
      </c>
      <c r="G40" t="s">
        <v>598</v>
      </c>
      <c r="H40" t="s">
        <v>616</v>
      </c>
      <c r="I40" s="33">
        <v>32227811</v>
      </c>
    </row>
    <row r="41" spans="1:9" s="32" customFormat="1">
      <c r="A41">
        <v>2019</v>
      </c>
      <c r="B41" t="s">
        <v>44</v>
      </c>
      <c r="C41">
        <v>40</v>
      </c>
      <c r="D41" t="s">
        <v>613</v>
      </c>
      <c r="E41" t="s">
        <v>614</v>
      </c>
      <c r="F41"/>
      <c r="G41" t="s">
        <v>598</v>
      </c>
      <c r="H41" t="s">
        <v>599</v>
      </c>
      <c r="I41" s="33">
        <v>4957041</v>
      </c>
    </row>
    <row r="42" spans="1:9" s="32" customFormat="1">
      <c r="A42">
        <v>2019</v>
      </c>
      <c r="B42" t="s">
        <v>44</v>
      </c>
      <c r="C42">
        <v>41</v>
      </c>
      <c r="D42" t="s">
        <v>639</v>
      </c>
      <c r="E42" t="s">
        <v>142</v>
      </c>
      <c r="F42" t="s">
        <v>606</v>
      </c>
      <c r="G42" t="s">
        <v>598</v>
      </c>
      <c r="H42" t="s">
        <v>603</v>
      </c>
      <c r="I42" s="33">
        <v>127897924</v>
      </c>
    </row>
    <row r="43" spans="1:9" s="32" customFormat="1">
      <c r="A43">
        <v>2019</v>
      </c>
      <c r="B43" t="s">
        <v>44</v>
      </c>
      <c r="C43">
        <v>42</v>
      </c>
      <c r="D43" t="s">
        <v>645</v>
      </c>
      <c r="E43" t="s">
        <v>445</v>
      </c>
      <c r="F43"/>
      <c r="G43" t="s">
        <v>598</v>
      </c>
      <c r="H43"/>
      <c r="I43" s="33">
        <v>1079373</v>
      </c>
    </row>
    <row r="44" spans="1:9" s="32" customFormat="1">
      <c r="A44">
        <v>2019</v>
      </c>
      <c r="B44" t="s">
        <v>44</v>
      </c>
      <c r="C44">
        <v>1</v>
      </c>
      <c r="D44" t="s">
        <v>673</v>
      </c>
      <c r="E44" t="s">
        <v>674</v>
      </c>
      <c r="F44" t="s">
        <v>597</v>
      </c>
      <c r="G44" t="s">
        <v>598</v>
      </c>
      <c r="H44" t="s">
        <v>599</v>
      </c>
      <c r="I44" s="33">
        <v>4140</v>
      </c>
    </row>
    <row r="45" spans="1:9" s="32" customFormat="1">
      <c r="A45">
        <v>2019</v>
      </c>
      <c r="B45" t="s">
        <v>44</v>
      </c>
      <c r="C45">
        <v>2</v>
      </c>
      <c r="D45" t="s">
        <v>676</v>
      </c>
      <c r="E45" t="s">
        <v>681</v>
      </c>
      <c r="F45"/>
      <c r="G45" t="s">
        <v>631</v>
      </c>
      <c r="H45"/>
      <c r="I45" s="33">
        <v>148667</v>
      </c>
    </row>
    <row r="46" spans="1:9" s="32" customFormat="1">
      <c r="A46">
        <v>2019</v>
      </c>
      <c r="B46" t="s">
        <v>44</v>
      </c>
      <c r="C46">
        <v>3</v>
      </c>
      <c r="D46" t="s">
        <v>676</v>
      </c>
      <c r="E46" t="s">
        <v>233</v>
      </c>
      <c r="F46" t="s">
        <v>606</v>
      </c>
      <c r="G46" t="s">
        <v>680</v>
      </c>
      <c r="H46" t="s">
        <v>616</v>
      </c>
      <c r="I46" s="33">
        <v>2340262</v>
      </c>
    </row>
    <row r="47" spans="1:9" s="32" customFormat="1">
      <c r="A47">
        <v>2019</v>
      </c>
      <c r="B47" t="s">
        <v>44</v>
      </c>
      <c r="C47">
        <v>4</v>
      </c>
      <c r="D47" t="s">
        <v>676</v>
      </c>
      <c r="E47" t="s">
        <v>226</v>
      </c>
      <c r="F47" t="s">
        <v>606</v>
      </c>
      <c r="G47" t="s">
        <v>598</v>
      </c>
      <c r="H47" t="s">
        <v>616</v>
      </c>
      <c r="I47" s="33">
        <v>2718620</v>
      </c>
    </row>
    <row r="48" spans="1:9" s="32" customFormat="1">
      <c r="A48">
        <v>2019</v>
      </c>
      <c r="B48" t="s">
        <v>44</v>
      </c>
      <c r="C48">
        <v>5</v>
      </c>
      <c r="D48" t="s">
        <v>676</v>
      </c>
      <c r="E48" t="s">
        <v>197</v>
      </c>
      <c r="F48" t="s">
        <v>606</v>
      </c>
      <c r="G48" t="s">
        <v>598</v>
      </c>
      <c r="H48" t="s">
        <v>616</v>
      </c>
      <c r="I48" s="33">
        <v>7090000</v>
      </c>
    </row>
    <row r="49" spans="1:9" s="32" customFormat="1">
      <c r="A49">
        <v>2019</v>
      </c>
      <c r="B49" t="s">
        <v>44</v>
      </c>
      <c r="C49">
        <v>6</v>
      </c>
      <c r="D49" t="s">
        <v>676</v>
      </c>
      <c r="E49" t="s">
        <v>140</v>
      </c>
      <c r="F49" t="s">
        <v>606</v>
      </c>
      <c r="G49" t="s">
        <v>598</v>
      </c>
      <c r="H49" t="s">
        <v>616</v>
      </c>
      <c r="I49" s="33">
        <v>199276793</v>
      </c>
    </row>
    <row r="50" spans="1:9" s="32" customFormat="1">
      <c r="A50">
        <v>2019</v>
      </c>
      <c r="B50" t="s">
        <v>44</v>
      </c>
      <c r="C50">
        <v>7</v>
      </c>
      <c r="D50" t="s">
        <v>676</v>
      </c>
      <c r="E50" t="s">
        <v>322</v>
      </c>
      <c r="F50"/>
      <c r="G50"/>
      <c r="H50"/>
      <c r="I50" s="33">
        <v>40780</v>
      </c>
    </row>
    <row r="51" spans="1:9" s="32" customFormat="1">
      <c r="A51">
        <v>2019</v>
      </c>
      <c r="B51" t="s">
        <v>44</v>
      </c>
      <c r="C51">
        <v>8</v>
      </c>
      <c r="D51" t="s">
        <v>676</v>
      </c>
      <c r="E51" t="s">
        <v>187</v>
      </c>
      <c r="F51" t="s">
        <v>666</v>
      </c>
      <c r="G51" t="s">
        <v>598</v>
      </c>
      <c r="H51" t="s">
        <v>603</v>
      </c>
      <c r="I51" s="33">
        <v>8307698</v>
      </c>
    </row>
    <row r="52" spans="1:9" s="32" customFormat="1">
      <c r="A52">
        <v>2019</v>
      </c>
      <c r="B52" t="s">
        <v>44</v>
      </c>
      <c r="C52">
        <v>9</v>
      </c>
      <c r="D52" t="s">
        <v>675</v>
      </c>
      <c r="E52" t="s">
        <v>167</v>
      </c>
      <c r="F52" t="s">
        <v>606</v>
      </c>
      <c r="G52" t="s">
        <v>598</v>
      </c>
      <c r="H52" t="s">
        <v>616</v>
      </c>
      <c r="I52" s="33">
        <v>23417137</v>
      </c>
    </row>
    <row r="53" spans="1:9" s="32" customFormat="1">
      <c r="A53">
        <v>2019</v>
      </c>
      <c r="B53" t="s">
        <v>44</v>
      </c>
      <c r="C53">
        <v>10</v>
      </c>
      <c r="D53" t="s">
        <v>676</v>
      </c>
      <c r="E53" t="s">
        <v>683</v>
      </c>
      <c r="F53"/>
      <c r="G53" t="s">
        <v>598</v>
      </c>
      <c r="H53" t="s">
        <v>607</v>
      </c>
      <c r="I53" s="33">
        <v>0</v>
      </c>
    </row>
    <row r="54" spans="1:9" s="32" customFormat="1">
      <c r="A54">
        <v>2019</v>
      </c>
      <c r="B54" t="s">
        <v>44</v>
      </c>
      <c r="C54">
        <v>11</v>
      </c>
      <c r="D54" t="s">
        <v>676</v>
      </c>
      <c r="E54" t="s">
        <v>179</v>
      </c>
      <c r="F54" t="s">
        <v>606</v>
      </c>
      <c r="G54" t="s">
        <v>598</v>
      </c>
      <c r="H54" t="s">
        <v>603</v>
      </c>
      <c r="I54" s="33">
        <v>10102949</v>
      </c>
    </row>
    <row r="55" spans="1:9" s="32" customFormat="1">
      <c r="A55">
        <v>2019</v>
      </c>
      <c r="B55" t="s">
        <v>44</v>
      </c>
      <c r="C55">
        <v>12</v>
      </c>
      <c r="D55" t="s">
        <v>676</v>
      </c>
      <c r="E55" t="s">
        <v>682</v>
      </c>
      <c r="F55" t="s">
        <v>597</v>
      </c>
      <c r="G55" t="s">
        <v>598</v>
      </c>
      <c r="H55" t="s">
        <v>599</v>
      </c>
      <c r="I55" s="33">
        <v>713623</v>
      </c>
    </row>
    <row r="56" spans="1:9" s="32" customFormat="1">
      <c r="A56">
        <v>2019</v>
      </c>
      <c r="B56" t="s">
        <v>44</v>
      </c>
      <c r="C56">
        <v>13</v>
      </c>
      <c r="D56" t="s">
        <v>676</v>
      </c>
      <c r="E56" t="s">
        <v>152</v>
      </c>
      <c r="F56" t="s">
        <v>606</v>
      </c>
      <c r="G56" t="s">
        <v>598</v>
      </c>
      <c r="H56" t="s">
        <v>603</v>
      </c>
      <c r="I56" s="33">
        <v>56911144</v>
      </c>
    </row>
    <row r="57" spans="1:9" s="32" customFormat="1">
      <c r="A57">
        <v>2019</v>
      </c>
      <c r="B57" t="s">
        <v>44</v>
      </c>
      <c r="C57">
        <v>14</v>
      </c>
      <c r="D57" t="s">
        <v>676</v>
      </c>
      <c r="E57" t="s">
        <v>318</v>
      </c>
      <c r="F57" t="s">
        <v>606</v>
      </c>
      <c r="G57" t="s">
        <v>598</v>
      </c>
      <c r="H57" t="s">
        <v>616</v>
      </c>
      <c r="I57" s="33">
        <v>58408</v>
      </c>
    </row>
    <row r="58" spans="1:9" s="32" customFormat="1">
      <c r="A58">
        <v>2019</v>
      </c>
      <c r="B58" t="s">
        <v>44</v>
      </c>
      <c r="C58">
        <v>15</v>
      </c>
      <c r="D58" t="s">
        <v>676</v>
      </c>
      <c r="E58" t="s">
        <v>283</v>
      </c>
      <c r="F58" t="s">
        <v>606</v>
      </c>
      <c r="G58" t="s">
        <v>598</v>
      </c>
      <c r="H58" t="s">
        <v>616</v>
      </c>
      <c r="I58" s="33">
        <v>300000</v>
      </c>
    </row>
    <row r="59" spans="1:9" s="32" customFormat="1">
      <c r="A59">
        <v>2019</v>
      </c>
      <c r="B59" t="s">
        <v>44</v>
      </c>
      <c r="C59">
        <v>16</v>
      </c>
      <c r="D59" t="s">
        <v>676</v>
      </c>
      <c r="E59" t="s">
        <v>231</v>
      </c>
      <c r="F59" t="s">
        <v>606</v>
      </c>
      <c r="G59" t="s">
        <v>598</v>
      </c>
      <c r="H59" t="s">
        <v>616</v>
      </c>
      <c r="I59" s="33">
        <v>2504008</v>
      </c>
    </row>
    <row r="60" spans="1:9" s="32" customFormat="1">
      <c r="A60">
        <v>2019</v>
      </c>
      <c r="B60" t="s">
        <v>44</v>
      </c>
      <c r="C60">
        <v>17</v>
      </c>
      <c r="D60" t="s">
        <v>676</v>
      </c>
      <c r="E60" t="s">
        <v>684</v>
      </c>
      <c r="F60" t="s">
        <v>597</v>
      </c>
      <c r="G60" t="s">
        <v>598</v>
      </c>
      <c r="H60" t="s">
        <v>599</v>
      </c>
      <c r="I60" s="33">
        <v>730000</v>
      </c>
    </row>
    <row r="61" spans="1:9" s="32" customFormat="1">
      <c r="A61">
        <v>2019</v>
      </c>
      <c r="B61" t="s">
        <v>44</v>
      </c>
      <c r="C61">
        <v>18</v>
      </c>
      <c r="D61" t="s">
        <v>676</v>
      </c>
      <c r="E61" t="s">
        <v>685</v>
      </c>
      <c r="F61"/>
      <c r="G61"/>
      <c r="H61"/>
      <c r="I61" s="33">
        <v>28169</v>
      </c>
    </row>
    <row r="62" spans="1:9" s="32" customFormat="1">
      <c r="A62">
        <v>2019</v>
      </c>
      <c r="B62" t="s">
        <v>44</v>
      </c>
      <c r="C62">
        <v>19</v>
      </c>
      <c r="D62" t="s">
        <v>676</v>
      </c>
      <c r="E62" t="s">
        <v>328</v>
      </c>
      <c r="F62"/>
      <c r="G62"/>
      <c r="H62"/>
      <c r="I62" s="33">
        <v>22917</v>
      </c>
    </row>
    <row r="63" spans="1:9" s="32" customFormat="1">
      <c r="A63">
        <v>2019</v>
      </c>
      <c r="B63" t="s">
        <v>44</v>
      </c>
      <c r="C63">
        <v>20</v>
      </c>
      <c r="D63" t="s">
        <v>676</v>
      </c>
      <c r="E63" t="s">
        <v>151</v>
      </c>
      <c r="F63" t="s">
        <v>606</v>
      </c>
      <c r="G63" t="s">
        <v>598</v>
      </c>
      <c r="H63" t="s">
        <v>616</v>
      </c>
      <c r="I63" s="33">
        <v>60006412</v>
      </c>
    </row>
    <row r="64" spans="1:9" s="32" customFormat="1">
      <c r="A64">
        <v>2019</v>
      </c>
      <c r="B64" t="s">
        <v>44</v>
      </c>
      <c r="C64">
        <v>21</v>
      </c>
      <c r="D64" t="s">
        <v>676</v>
      </c>
      <c r="E64" t="s">
        <v>686</v>
      </c>
      <c r="F64" t="s">
        <v>606</v>
      </c>
      <c r="G64" t="s">
        <v>598</v>
      </c>
      <c r="H64" t="s">
        <v>616</v>
      </c>
      <c r="I64" s="33">
        <v>212548</v>
      </c>
    </row>
    <row r="65" spans="1:9" s="32" customFormat="1">
      <c r="A65">
        <v>2019</v>
      </c>
      <c r="B65" t="s">
        <v>44</v>
      </c>
      <c r="C65">
        <v>22</v>
      </c>
      <c r="D65" t="s">
        <v>676</v>
      </c>
      <c r="E65" t="s">
        <v>689</v>
      </c>
      <c r="F65"/>
      <c r="G65" t="s">
        <v>598</v>
      </c>
      <c r="H65"/>
      <c r="I65" s="33">
        <v>14454</v>
      </c>
    </row>
    <row r="66" spans="1:9" s="32" customFormat="1">
      <c r="A66">
        <v>2019</v>
      </c>
      <c r="B66" t="s">
        <v>44</v>
      </c>
      <c r="C66">
        <v>23</v>
      </c>
      <c r="D66" t="s">
        <v>676</v>
      </c>
      <c r="E66" t="s">
        <v>687</v>
      </c>
      <c r="F66"/>
      <c r="G66" t="s">
        <v>598</v>
      </c>
      <c r="H66"/>
      <c r="I66" s="33">
        <v>149173</v>
      </c>
    </row>
    <row r="67" spans="1:9" s="32" customFormat="1">
      <c r="A67">
        <v>2019</v>
      </c>
      <c r="B67" t="s">
        <v>44</v>
      </c>
      <c r="C67">
        <v>24</v>
      </c>
      <c r="D67" t="s">
        <v>676</v>
      </c>
      <c r="E67" t="s">
        <v>688</v>
      </c>
      <c r="F67"/>
      <c r="G67" t="s">
        <v>631</v>
      </c>
      <c r="H67"/>
      <c r="I67" s="33">
        <v>710813</v>
      </c>
    </row>
    <row r="68" spans="1:9" s="32" customFormat="1">
      <c r="A68">
        <v>2019</v>
      </c>
      <c r="B68" t="s">
        <v>44</v>
      </c>
      <c r="C68">
        <v>25</v>
      </c>
      <c r="D68" t="s">
        <v>676</v>
      </c>
      <c r="E68" t="s">
        <v>691</v>
      </c>
      <c r="F68" t="s">
        <v>606</v>
      </c>
      <c r="G68" t="s">
        <v>598</v>
      </c>
      <c r="H68" t="s">
        <v>599</v>
      </c>
      <c r="I68" s="33">
        <v>73692536</v>
      </c>
    </row>
    <row r="69" spans="1:9" s="32" customFormat="1">
      <c r="A69">
        <v>2019</v>
      </c>
      <c r="B69" t="s">
        <v>44</v>
      </c>
      <c r="C69">
        <v>26</v>
      </c>
      <c r="D69" t="s">
        <v>676</v>
      </c>
      <c r="E69" t="s">
        <v>690</v>
      </c>
      <c r="F69"/>
      <c r="G69"/>
      <c r="H69"/>
      <c r="I69" s="33">
        <v>2217</v>
      </c>
    </row>
    <row r="70" spans="1:9" s="32" customFormat="1">
      <c r="A70">
        <v>2019</v>
      </c>
      <c r="B70" t="s">
        <v>44</v>
      </c>
      <c r="C70">
        <v>27</v>
      </c>
      <c r="D70" t="s">
        <v>676</v>
      </c>
      <c r="E70" t="s">
        <v>227</v>
      </c>
      <c r="F70" t="s">
        <v>606</v>
      </c>
      <c r="G70" t="s">
        <v>598</v>
      </c>
      <c r="H70" t="s">
        <v>616</v>
      </c>
      <c r="I70" s="33">
        <v>2709986</v>
      </c>
    </row>
    <row r="71" spans="1:9" s="32" customFormat="1">
      <c r="A71">
        <v>2019</v>
      </c>
      <c r="B71" t="s">
        <v>44</v>
      </c>
      <c r="C71">
        <v>28</v>
      </c>
      <c r="D71" t="s">
        <v>676</v>
      </c>
      <c r="E71" t="s">
        <v>692</v>
      </c>
      <c r="F71" t="s">
        <v>597</v>
      </c>
      <c r="G71" t="s">
        <v>598</v>
      </c>
      <c r="H71" t="s">
        <v>599</v>
      </c>
      <c r="I71" s="33">
        <v>25618</v>
      </c>
    </row>
    <row r="72" spans="1:9" s="32" customFormat="1">
      <c r="A72">
        <v>2019</v>
      </c>
      <c r="B72" t="s">
        <v>44</v>
      </c>
      <c r="C72">
        <v>29</v>
      </c>
      <c r="D72" t="s">
        <v>676</v>
      </c>
      <c r="E72" t="s">
        <v>279</v>
      </c>
      <c r="F72"/>
      <c r="G72"/>
      <c r="H72"/>
      <c r="I72" s="33">
        <v>414112</v>
      </c>
    </row>
    <row r="73" spans="1:9" s="32" customFormat="1">
      <c r="A73">
        <v>2019</v>
      </c>
      <c r="B73" t="s">
        <v>44</v>
      </c>
      <c r="C73">
        <v>30</v>
      </c>
      <c r="D73" t="s">
        <v>676</v>
      </c>
      <c r="E73" t="s">
        <v>693</v>
      </c>
      <c r="F73"/>
      <c r="G73"/>
      <c r="H73"/>
      <c r="I73" s="33">
        <v>100000</v>
      </c>
    </row>
    <row r="74" spans="1:9" s="32" customFormat="1">
      <c r="A74">
        <v>2019</v>
      </c>
      <c r="B74" t="s">
        <v>44</v>
      </c>
      <c r="C74">
        <v>31</v>
      </c>
      <c r="D74" t="s">
        <v>676</v>
      </c>
      <c r="E74" t="s">
        <v>309</v>
      </c>
      <c r="F74"/>
      <c r="G74" t="s">
        <v>631</v>
      </c>
      <c r="H74"/>
      <c r="I74" s="33">
        <v>100000</v>
      </c>
    </row>
    <row r="75" spans="1:9" s="32" customFormat="1">
      <c r="A75">
        <v>2019</v>
      </c>
      <c r="B75" t="s">
        <v>44</v>
      </c>
      <c r="C75">
        <v>32</v>
      </c>
      <c r="D75" t="s">
        <v>676</v>
      </c>
      <c r="E75" t="s">
        <v>198</v>
      </c>
      <c r="F75" t="s">
        <v>597</v>
      </c>
      <c r="G75" t="s">
        <v>598</v>
      </c>
      <c r="H75" t="s">
        <v>658</v>
      </c>
      <c r="I75" s="33">
        <v>6836934</v>
      </c>
    </row>
    <row r="76" spans="1:9" s="32" customFormat="1">
      <c r="A76">
        <v>2019</v>
      </c>
      <c r="B76" t="s">
        <v>44</v>
      </c>
      <c r="C76">
        <v>33</v>
      </c>
      <c r="D76" t="s">
        <v>676</v>
      </c>
      <c r="E76" t="s">
        <v>243</v>
      </c>
      <c r="F76"/>
      <c r="G76" t="s">
        <v>598</v>
      </c>
      <c r="H76" t="s">
        <v>616</v>
      </c>
      <c r="I76" s="33">
        <v>1470000</v>
      </c>
    </row>
    <row r="77" spans="1:9" s="32" customFormat="1">
      <c r="A77">
        <v>2019</v>
      </c>
      <c r="B77" t="s">
        <v>44</v>
      </c>
      <c r="C77">
        <v>34</v>
      </c>
      <c r="D77" t="s">
        <v>676</v>
      </c>
      <c r="E77" t="s">
        <v>267</v>
      </c>
      <c r="F77" t="s">
        <v>606</v>
      </c>
      <c r="G77" t="s">
        <v>598</v>
      </c>
      <c r="H77" t="s">
        <v>616</v>
      </c>
      <c r="I77" s="33">
        <v>605757</v>
      </c>
    </row>
    <row r="78" spans="1:9" s="32" customFormat="1">
      <c r="A78">
        <v>2019</v>
      </c>
      <c r="B78" t="s">
        <v>44</v>
      </c>
      <c r="C78">
        <v>35</v>
      </c>
      <c r="D78" t="s">
        <v>676</v>
      </c>
      <c r="E78" t="s">
        <v>319</v>
      </c>
      <c r="F78"/>
      <c r="G78" t="s">
        <v>598</v>
      </c>
      <c r="H78"/>
      <c r="I78" s="33">
        <v>51799</v>
      </c>
    </row>
    <row r="79" spans="1:9" s="32" customFormat="1">
      <c r="A79">
        <v>2019</v>
      </c>
      <c r="B79" t="s">
        <v>44</v>
      </c>
      <c r="C79">
        <v>36</v>
      </c>
      <c r="D79" t="s">
        <v>676</v>
      </c>
      <c r="E79" t="s">
        <v>272</v>
      </c>
      <c r="F79" t="s">
        <v>606</v>
      </c>
      <c r="G79" t="s">
        <v>598</v>
      </c>
      <c r="H79" t="s">
        <v>616</v>
      </c>
      <c r="I79" s="33">
        <v>480000</v>
      </c>
    </row>
    <row r="80" spans="1:9" s="32" customFormat="1">
      <c r="A80">
        <v>2019</v>
      </c>
      <c r="B80" t="s">
        <v>44</v>
      </c>
      <c r="C80">
        <v>37</v>
      </c>
      <c r="D80" t="s">
        <v>676</v>
      </c>
      <c r="E80" t="s">
        <v>219</v>
      </c>
      <c r="F80" t="s">
        <v>666</v>
      </c>
      <c r="G80" t="s">
        <v>631</v>
      </c>
      <c r="H80" t="s">
        <v>603</v>
      </c>
      <c r="I80" s="33">
        <v>3190549</v>
      </c>
    </row>
    <row r="81" spans="1:9" s="32" customFormat="1">
      <c r="A81">
        <v>2019</v>
      </c>
      <c r="B81" t="s">
        <v>44</v>
      </c>
      <c r="C81">
        <v>38</v>
      </c>
      <c r="D81" t="s">
        <v>676</v>
      </c>
      <c r="E81" t="s">
        <v>276</v>
      </c>
      <c r="F81" t="s">
        <v>606</v>
      </c>
      <c r="G81" t="s">
        <v>631</v>
      </c>
      <c r="H81" t="s">
        <v>603</v>
      </c>
      <c r="I81" s="33">
        <v>460000</v>
      </c>
    </row>
    <row r="82" spans="1:9" s="32" customFormat="1">
      <c r="A82">
        <v>2019</v>
      </c>
      <c r="B82" t="s">
        <v>44</v>
      </c>
      <c r="C82">
        <v>39</v>
      </c>
      <c r="D82" t="s">
        <v>676</v>
      </c>
      <c r="E82" t="s">
        <v>694</v>
      </c>
      <c r="F82"/>
      <c r="G82"/>
      <c r="H82"/>
      <c r="I82" s="33">
        <v>346330</v>
      </c>
    </row>
    <row r="83" spans="1:9" s="32" customFormat="1">
      <c r="A83">
        <v>2019</v>
      </c>
      <c r="B83" t="s">
        <v>44</v>
      </c>
      <c r="C83">
        <v>40</v>
      </c>
      <c r="D83" t="s">
        <v>676</v>
      </c>
      <c r="E83" t="s">
        <v>299</v>
      </c>
      <c r="F83"/>
      <c r="G83" t="s">
        <v>598</v>
      </c>
      <c r="H83"/>
      <c r="I83" s="33">
        <v>132584</v>
      </c>
    </row>
    <row r="84" spans="1:9" s="32" customFormat="1">
      <c r="A84">
        <v>2019</v>
      </c>
      <c r="B84" t="s">
        <v>44</v>
      </c>
      <c r="C84">
        <v>41</v>
      </c>
      <c r="D84" t="s">
        <v>676</v>
      </c>
      <c r="E84" t="s">
        <v>258</v>
      </c>
      <c r="F84" t="s">
        <v>606</v>
      </c>
      <c r="G84" t="s">
        <v>631</v>
      </c>
      <c r="H84" t="s">
        <v>616</v>
      </c>
      <c r="I84" s="33">
        <v>763475</v>
      </c>
    </row>
    <row r="85" spans="1:9" s="32" customFormat="1">
      <c r="A85">
        <v>2019</v>
      </c>
      <c r="B85" t="s">
        <v>44</v>
      </c>
      <c r="C85">
        <v>42</v>
      </c>
      <c r="D85" t="s">
        <v>676</v>
      </c>
      <c r="E85" t="s">
        <v>695</v>
      </c>
      <c r="F85" t="s">
        <v>606</v>
      </c>
      <c r="G85" t="s">
        <v>598</v>
      </c>
      <c r="H85" t="s">
        <v>616</v>
      </c>
      <c r="I85" s="33">
        <v>21587</v>
      </c>
    </row>
    <row r="86" spans="1:9" s="32" customFormat="1">
      <c r="A86">
        <v>2019</v>
      </c>
      <c r="B86" t="s">
        <v>44</v>
      </c>
      <c r="C86">
        <v>43</v>
      </c>
      <c r="D86" t="s">
        <v>676</v>
      </c>
      <c r="E86" t="s">
        <v>212</v>
      </c>
      <c r="F86" t="s">
        <v>606</v>
      </c>
      <c r="G86" t="s">
        <v>631</v>
      </c>
      <c r="H86" t="s">
        <v>612</v>
      </c>
      <c r="I86" s="33">
        <v>3939436</v>
      </c>
    </row>
    <row r="87" spans="1:9" s="32" customFormat="1">
      <c r="A87">
        <v>2019</v>
      </c>
      <c r="B87" t="s">
        <v>44</v>
      </c>
      <c r="C87">
        <v>44</v>
      </c>
      <c r="D87" t="s">
        <v>676</v>
      </c>
      <c r="E87" t="s">
        <v>696</v>
      </c>
      <c r="F87" t="s">
        <v>602</v>
      </c>
      <c r="G87" t="s">
        <v>631</v>
      </c>
      <c r="H87" t="s">
        <v>616</v>
      </c>
      <c r="I87" s="33">
        <v>8228985</v>
      </c>
    </row>
    <row r="88" spans="1:9" s="32" customFormat="1">
      <c r="A88">
        <v>2019</v>
      </c>
      <c r="B88" t="s">
        <v>44</v>
      </c>
      <c r="C88">
        <v>45</v>
      </c>
      <c r="D88" t="s">
        <v>676</v>
      </c>
      <c r="E88" t="s">
        <v>697</v>
      </c>
      <c r="F88"/>
      <c r="G88" t="s">
        <v>598</v>
      </c>
      <c r="H88" t="s">
        <v>658</v>
      </c>
      <c r="I88" s="33">
        <v>86463</v>
      </c>
    </row>
    <row r="89" spans="1:9" s="32" customFormat="1">
      <c r="A89">
        <v>2019</v>
      </c>
      <c r="B89" t="s">
        <v>44</v>
      </c>
      <c r="C89">
        <v>46</v>
      </c>
      <c r="D89" t="s">
        <v>676</v>
      </c>
      <c r="E89" t="s">
        <v>699</v>
      </c>
      <c r="F89" t="s">
        <v>606</v>
      </c>
      <c r="G89" t="s">
        <v>598</v>
      </c>
      <c r="H89" t="s">
        <v>616</v>
      </c>
      <c r="I89" s="33">
        <v>110126192</v>
      </c>
    </row>
    <row r="90" spans="1:9" s="32" customFormat="1">
      <c r="A90">
        <v>2019</v>
      </c>
      <c r="B90" t="s">
        <v>44</v>
      </c>
      <c r="C90">
        <v>47</v>
      </c>
      <c r="D90" t="s">
        <v>676</v>
      </c>
      <c r="E90" t="s">
        <v>698</v>
      </c>
      <c r="F90" t="s">
        <v>606</v>
      </c>
      <c r="G90" t="s">
        <v>631</v>
      </c>
      <c r="H90" t="s">
        <v>603</v>
      </c>
      <c r="I90" s="33">
        <v>451199</v>
      </c>
    </row>
    <row r="91" spans="1:9" s="32" customFormat="1">
      <c r="A91">
        <v>2019</v>
      </c>
      <c r="B91" t="s">
        <v>44</v>
      </c>
      <c r="C91">
        <v>48</v>
      </c>
      <c r="D91" t="s">
        <v>676</v>
      </c>
      <c r="E91" t="s">
        <v>286</v>
      </c>
      <c r="F91"/>
      <c r="G91" t="s">
        <v>598</v>
      </c>
      <c r="H91"/>
      <c r="I91" s="33">
        <v>275315</v>
      </c>
    </row>
    <row r="92" spans="1:9" s="32" customFormat="1">
      <c r="A92">
        <v>2019</v>
      </c>
      <c r="B92" t="s">
        <v>44</v>
      </c>
      <c r="C92">
        <v>49</v>
      </c>
      <c r="D92" t="s">
        <v>676</v>
      </c>
      <c r="E92" t="s">
        <v>331</v>
      </c>
      <c r="F92"/>
      <c r="G92" t="s">
        <v>598</v>
      </c>
      <c r="H92"/>
      <c r="I92" s="33">
        <v>18466</v>
      </c>
    </row>
    <row r="93" spans="1:9" s="32" customFormat="1">
      <c r="A93">
        <v>2019</v>
      </c>
      <c r="B93" t="s">
        <v>44</v>
      </c>
      <c r="C93">
        <v>50</v>
      </c>
      <c r="D93" t="s">
        <v>676</v>
      </c>
      <c r="E93" t="s">
        <v>701</v>
      </c>
      <c r="F93" t="s">
        <v>702</v>
      </c>
      <c r="G93" t="s">
        <v>703</v>
      </c>
      <c r="H93" t="s">
        <v>704</v>
      </c>
      <c r="I93" s="33">
        <v>3990000</v>
      </c>
    </row>
    <row r="94" spans="1:9" s="32" customFormat="1">
      <c r="A94">
        <v>2019</v>
      </c>
      <c r="B94" t="s">
        <v>44</v>
      </c>
      <c r="C94">
        <v>51</v>
      </c>
      <c r="D94" t="s">
        <v>676</v>
      </c>
      <c r="E94" t="s">
        <v>700</v>
      </c>
      <c r="F94"/>
      <c r="G94"/>
      <c r="H94"/>
      <c r="I94" s="33">
        <v>43952</v>
      </c>
    </row>
    <row r="95" spans="1:9" s="32" customFormat="1">
      <c r="A95">
        <v>2019</v>
      </c>
      <c r="B95" t="s">
        <v>44</v>
      </c>
      <c r="C95">
        <v>52</v>
      </c>
      <c r="D95" t="s">
        <v>676</v>
      </c>
      <c r="E95" t="s">
        <v>705</v>
      </c>
      <c r="F95" t="s">
        <v>597</v>
      </c>
      <c r="G95" t="s">
        <v>598</v>
      </c>
      <c r="H95" t="s">
        <v>658</v>
      </c>
      <c r="I95" s="33">
        <v>0</v>
      </c>
    </row>
    <row r="96" spans="1:9" s="32" customFormat="1">
      <c r="A96">
        <v>2019</v>
      </c>
      <c r="B96" t="s">
        <v>44</v>
      </c>
      <c r="C96">
        <v>53</v>
      </c>
      <c r="D96" t="s">
        <v>676</v>
      </c>
      <c r="E96" t="s">
        <v>237</v>
      </c>
      <c r="F96" t="s">
        <v>606</v>
      </c>
      <c r="G96" t="s">
        <v>598</v>
      </c>
      <c r="H96" t="s">
        <v>658</v>
      </c>
      <c r="I96" s="33">
        <v>1729565</v>
      </c>
    </row>
    <row r="97" spans="1:9" s="32" customFormat="1">
      <c r="A97">
        <v>2019</v>
      </c>
      <c r="B97" t="s">
        <v>44</v>
      </c>
      <c r="C97">
        <v>54</v>
      </c>
      <c r="D97" t="s">
        <v>676</v>
      </c>
      <c r="E97" t="s">
        <v>205</v>
      </c>
      <c r="F97" t="s">
        <v>606</v>
      </c>
      <c r="G97" t="s">
        <v>631</v>
      </c>
      <c r="H97" t="s">
        <v>612</v>
      </c>
      <c r="I97" s="33">
        <v>4803109</v>
      </c>
    </row>
    <row r="98" spans="1:9" s="32" customFormat="1">
      <c r="A98">
        <v>2019</v>
      </c>
      <c r="B98" t="s">
        <v>44</v>
      </c>
      <c r="C98">
        <v>55</v>
      </c>
      <c r="D98" t="s">
        <v>676</v>
      </c>
      <c r="E98" t="s">
        <v>316</v>
      </c>
      <c r="F98"/>
      <c r="G98" t="s">
        <v>598</v>
      </c>
      <c r="H98"/>
      <c r="I98" s="33">
        <v>66561</v>
      </c>
    </row>
    <row r="99" spans="1:9" s="32" customFormat="1">
      <c r="A99">
        <v>2019</v>
      </c>
      <c r="B99" t="s">
        <v>44</v>
      </c>
      <c r="C99">
        <v>56</v>
      </c>
      <c r="D99" t="s">
        <v>676</v>
      </c>
      <c r="E99" t="s">
        <v>185</v>
      </c>
      <c r="F99"/>
      <c r="G99" t="s">
        <v>611</v>
      </c>
      <c r="H99" t="s">
        <v>603</v>
      </c>
      <c r="I99" s="33">
        <v>9023944</v>
      </c>
    </row>
    <row r="100" spans="1:9" s="32" customFormat="1">
      <c r="A100">
        <v>2019</v>
      </c>
      <c r="B100" t="s">
        <v>44</v>
      </c>
      <c r="C100">
        <v>57</v>
      </c>
      <c r="D100" t="s">
        <v>676</v>
      </c>
      <c r="E100" t="s">
        <v>221</v>
      </c>
      <c r="F100" t="s">
        <v>606</v>
      </c>
      <c r="G100" t="s">
        <v>598</v>
      </c>
      <c r="H100" t="s">
        <v>616</v>
      </c>
      <c r="I100" s="33">
        <v>2940000</v>
      </c>
    </row>
    <row r="101" spans="1:9" s="32" customFormat="1">
      <c r="A101">
        <v>2019</v>
      </c>
      <c r="B101" t="s">
        <v>44</v>
      </c>
      <c r="C101">
        <v>58</v>
      </c>
      <c r="D101" t="s">
        <v>676</v>
      </c>
      <c r="E101" t="s">
        <v>204</v>
      </c>
      <c r="F101"/>
      <c r="G101" t="s">
        <v>598</v>
      </c>
      <c r="H101" t="s">
        <v>616</v>
      </c>
      <c r="I101" s="33">
        <v>5544781</v>
      </c>
    </row>
    <row r="102" spans="1:9" s="32" customFormat="1">
      <c r="A102">
        <v>2019</v>
      </c>
      <c r="B102" t="s">
        <v>44</v>
      </c>
      <c r="C102">
        <v>59</v>
      </c>
      <c r="D102" t="s">
        <v>676</v>
      </c>
      <c r="E102" t="s">
        <v>202</v>
      </c>
      <c r="F102" t="s">
        <v>606</v>
      </c>
      <c r="G102" t="s">
        <v>598</v>
      </c>
      <c r="H102" t="s">
        <v>616</v>
      </c>
      <c r="I102" s="33">
        <v>5932063</v>
      </c>
    </row>
    <row r="103" spans="1:9" s="32" customFormat="1">
      <c r="A103">
        <v>2019</v>
      </c>
      <c r="B103" t="s">
        <v>44</v>
      </c>
      <c r="C103">
        <v>60</v>
      </c>
      <c r="D103" t="s">
        <v>676</v>
      </c>
      <c r="E103" t="s">
        <v>706</v>
      </c>
      <c r="F103"/>
      <c r="G103"/>
      <c r="H103"/>
      <c r="I103" s="33">
        <v>18788</v>
      </c>
    </row>
    <row r="104" spans="1:9" s="32" customFormat="1">
      <c r="A104">
        <v>2019</v>
      </c>
      <c r="B104" t="s">
        <v>44</v>
      </c>
      <c r="C104">
        <v>61</v>
      </c>
      <c r="D104" t="s">
        <v>676</v>
      </c>
      <c r="E104" t="s">
        <v>158</v>
      </c>
      <c r="F104" t="s">
        <v>597</v>
      </c>
      <c r="G104" t="s">
        <v>598</v>
      </c>
      <c r="H104" t="s">
        <v>707</v>
      </c>
      <c r="I104" s="33">
        <v>36090000</v>
      </c>
    </row>
    <row r="105" spans="1:9" s="32" customFormat="1">
      <c r="A105">
        <v>2019</v>
      </c>
      <c r="B105" t="s">
        <v>44</v>
      </c>
      <c r="C105">
        <v>62</v>
      </c>
      <c r="D105" t="s">
        <v>676</v>
      </c>
      <c r="E105" t="s">
        <v>266</v>
      </c>
      <c r="F105" t="s">
        <v>606</v>
      </c>
      <c r="G105" t="s">
        <v>631</v>
      </c>
      <c r="H105" t="s">
        <v>612</v>
      </c>
      <c r="I105" s="33">
        <v>624013</v>
      </c>
    </row>
    <row r="106" spans="1:9" s="32" customFormat="1">
      <c r="A106">
        <v>2019</v>
      </c>
      <c r="B106" t="s">
        <v>44</v>
      </c>
      <c r="C106">
        <v>63</v>
      </c>
      <c r="D106" t="s">
        <v>676</v>
      </c>
      <c r="E106" t="s">
        <v>312</v>
      </c>
      <c r="F106"/>
      <c r="G106" t="s">
        <v>598</v>
      </c>
      <c r="H106"/>
      <c r="I106" s="33">
        <v>86919</v>
      </c>
    </row>
    <row r="107" spans="1:9" s="32" customFormat="1">
      <c r="A107">
        <v>2019</v>
      </c>
      <c r="B107" t="s">
        <v>44</v>
      </c>
      <c r="C107">
        <v>64</v>
      </c>
      <c r="D107" t="s">
        <v>676</v>
      </c>
      <c r="E107" t="s">
        <v>287</v>
      </c>
      <c r="F107"/>
      <c r="G107" t="s">
        <v>598</v>
      </c>
      <c r="H107"/>
      <c r="I107" s="33">
        <v>254185</v>
      </c>
    </row>
    <row r="108" spans="1:9" s="32" customFormat="1">
      <c r="A108">
        <v>2019</v>
      </c>
      <c r="B108" t="s">
        <v>44</v>
      </c>
      <c r="C108">
        <v>65</v>
      </c>
      <c r="D108" t="s">
        <v>676</v>
      </c>
      <c r="E108" t="s">
        <v>255</v>
      </c>
      <c r="F108" t="s">
        <v>597</v>
      </c>
      <c r="G108" t="s">
        <v>598</v>
      </c>
      <c r="H108" t="s">
        <v>658</v>
      </c>
      <c r="I108" s="33">
        <v>833839</v>
      </c>
    </row>
    <row r="109" spans="1:9" s="32" customFormat="1">
      <c r="A109">
        <v>2019</v>
      </c>
      <c r="B109" t="s">
        <v>44</v>
      </c>
      <c r="C109">
        <v>66</v>
      </c>
      <c r="D109" t="s">
        <v>676</v>
      </c>
      <c r="E109" t="s">
        <v>708</v>
      </c>
      <c r="F109" t="s">
        <v>606</v>
      </c>
      <c r="G109" t="s">
        <v>631</v>
      </c>
      <c r="H109" t="s">
        <v>612</v>
      </c>
      <c r="I109" s="33">
        <v>144823</v>
      </c>
    </row>
    <row r="110" spans="1:9" s="32" customFormat="1">
      <c r="A110">
        <v>2019</v>
      </c>
      <c r="B110" t="s">
        <v>44</v>
      </c>
      <c r="C110">
        <v>67</v>
      </c>
      <c r="D110" t="s">
        <v>676</v>
      </c>
      <c r="E110" t="s">
        <v>709</v>
      </c>
      <c r="F110" t="s">
        <v>597</v>
      </c>
      <c r="G110" t="s">
        <v>598</v>
      </c>
      <c r="H110" t="s">
        <v>599</v>
      </c>
      <c r="I110" s="33">
        <v>0</v>
      </c>
    </row>
    <row r="111" spans="1:9" s="32" customFormat="1">
      <c r="A111">
        <v>2019</v>
      </c>
      <c r="B111" t="s">
        <v>44</v>
      </c>
      <c r="C111">
        <v>68</v>
      </c>
      <c r="D111" t="s">
        <v>676</v>
      </c>
      <c r="E111" t="s">
        <v>710</v>
      </c>
      <c r="F111"/>
      <c r="G111"/>
      <c r="H111"/>
      <c r="I111" s="33">
        <v>12079</v>
      </c>
    </row>
    <row r="112" spans="1:9" s="32" customFormat="1">
      <c r="A112">
        <v>2019</v>
      </c>
      <c r="B112" t="s">
        <v>44</v>
      </c>
      <c r="C112">
        <v>69</v>
      </c>
      <c r="D112" t="s">
        <v>676</v>
      </c>
      <c r="E112" t="s">
        <v>290</v>
      </c>
      <c r="F112"/>
      <c r="G112" t="s">
        <v>598</v>
      </c>
      <c r="H112"/>
      <c r="I112" s="33">
        <v>213084</v>
      </c>
    </row>
    <row r="113" spans="1:9" s="32" customFormat="1">
      <c r="A113">
        <v>2019</v>
      </c>
      <c r="B113" t="s">
        <v>44</v>
      </c>
      <c r="C113">
        <v>70</v>
      </c>
      <c r="D113" t="s">
        <v>676</v>
      </c>
      <c r="E113" t="s">
        <v>289</v>
      </c>
      <c r="F113"/>
      <c r="G113" t="s">
        <v>598</v>
      </c>
      <c r="H113" t="s">
        <v>616</v>
      </c>
      <c r="I113" s="33">
        <v>221774</v>
      </c>
    </row>
    <row r="114" spans="1:9" s="32" customFormat="1">
      <c r="A114">
        <v>2019</v>
      </c>
      <c r="B114" t="s">
        <v>44</v>
      </c>
      <c r="C114">
        <v>71</v>
      </c>
      <c r="D114" t="s">
        <v>676</v>
      </c>
      <c r="E114" t="s">
        <v>712</v>
      </c>
      <c r="F114"/>
      <c r="G114"/>
      <c r="H114"/>
      <c r="I114" s="33">
        <v>15174</v>
      </c>
    </row>
    <row r="115" spans="1:9" s="32" customFormat="1">
      <c r="A115">
        <v>2019</v>
      </c>
      <c r="B115" t="s">
        <v>44</v>
      </c>
      <c r="C115">
        <v>72</v>
      </c>
      <c r="D115" t="s">
        <v>676</v>
      </c>
      <c r="E115" t="s">
        <v>213</v>
      </c>
      <c r="F115" t="s">
        <v>606</v>
      </c>
      <c r="G115" t="s">
        <v>631</v>
      </c>
      <c r="H115" t="s">
        <v>612</v>
      </c>
      <c r="I115" s="33">
        <v>3530000</v>
      </c>
    </row>
    <row r="116" spans="1:9" s="32" customFormat="1">
      <c r="A116">
        <v>2019</v>
      </c>
      <c r="B116" t="s">
        <v>44</v>
      </c>
      <c r="C116">
        <v>73</v>
      </c>
      <c r="D116" t="s">
        <v>676</v>
      </c>
      <c r="E116" t="s">
        <v>711</v>
      </c>
      <c r="F116" t="s">
        <v>606</v>
      </c>
      <c r="G116" t="s">
        <v>598</v>
      </c>
      <c r="H116" t="s">
        <v>616</v>
      </c>
      <c r="I116" s="33">
        <v>1192340</v>
      </c>
    </row>
    <row r="117" spans="1:9" s="32" customFormat="1">
      <c r="A117">
        <v>2019</v>
      </c>
      <c r="B117" t="s">
        <v>44</v>
      </c>
      <c r="C117">
        <v>74</v>
      </c>
      <c r="D117" t="s">
        <v>676</v>
      </c>
      <c r="E117" t="s">
        <v>713</v>
      </c>
      <c r="F117" t="s">
        <v>606</v>
      </c>
      <c r="G117" t="s">
        <v>598</v>
      </c>
      <c r="H117" t="s">
        <v>616</v>
      </c>
      <c r="I117" s="33">
        <v>38280000</v>
      </c>
    </row>
    <row r="118" spans="1:9" s="32" customFormat="1">
      <c r="A118">
        <v>2019</v>
      </c>
      <c r="B118" t="s">
        <v>44</v>
      </c>
      <c r="C118">
        <v>75</v>
      </c>
      <c r="D118" t="s">
        <v>676</v>
      </c>
      <c r="E118" t="s">
        <v>261</v>
      </c>
      <c r="F118" t="s">
        <v>606</v>
      </c>
      <c r="G118" t="s">
        <v>631</v>
      </c>
      <c r="H118" t="s">
        <v>612</v>
      </c>
      <c r="I118" s="33">
        <v>713335</v>
      </c>
    </row>
    <row r="119" spans="1:9" s="32" customFormat="1">
      <c r="A119">
        <v>2019</v>
      </c>
      <c r="B119" t="s">
        <v>44</v>
      </c>
      <c r="C119">
        <v>76</v>
      </c>
      <c r="D119" t="s">
        <v>676</v>
      </c>
      <c r="E119" t="s">
        <v>207</v>
      </c>
      <c r="F119" t="s">
        <v>606</v>
      </c>
      <c r="G119" t="s">
        <v>598</v>
      </c>
      <c r="H119" t="s">
        <v>616</v>
      </c>
      <c r="I119" s="33">
        <v>4303111</v>
      </c>
    </row>
    <row r="120" spans="1:9" s="32" customFormat="1">
      <c r="A120">
        <v>2019</v>
      </c>
      <c r="B120" t="s">
        <v>44</v>
      </c>
      <c r="C120">
        <v>77</v>
      </c>
      <c r="D120" t="s">
        <v>676</v>
      </c>
      <c r="E120" t="s">
        <v>224</v>
      </c>
      <c r="F120" t="s">
        <v>597</v>
      </c>
      <c r="G120" t="s">
        <v>598</v>
      </c>
      <c r="H120" t="s">
        <v>658</v>
      </c>
      <c r="I120" s="33">
        <v>2899674</v>
      </c>
    </row>
    <row r="121" spans="1:9" s="32" customFormat="1">
      <c r="A121">
        <v>2019</v>
      </c>
      <c r="B121" t="s">
        <v>44</v>
      </c>
      <c r="C121">
        <v>78</v>
      </c>
      <c r="D121" t="s">
        <v>676</v>
      </c>
      <c r="E121" t="s">
        <v>192</v>
      </c>
      <c r="F121" t="s">
        <v>606</v>
      </c>
      <c r="G121" t="s">
        <v>598</v>
      </c>
      <c r="H121" t="s">
        <v>616</v>
      </c>
      <c r="I121" s="33">
        <v>7489619</v>
      </c>
    </row>
    <row r="122" spans="1:9" s="32" customFormat="1">
      <c r="A122">
        <v>2019</v>
      </c>
      <c r="B122" t="s">
        <v>44</v>
      </c>
      <c r="C122">
        <v>79</v>
      </c>
      <c r="D122" t="s">
        <v>676</v>
      </c>
      <c r="E122" t="s">
        <v>677</v>
      </c>
      <c r="F122"/>
      <c r="G122" t="s">
        <v>631</v>
      </c>
      <c r="H122" t="s">
        <v>607</v>
      </c>
      <c r="I122" s="33">
        <v>290000</v>
      </c>
    </row>
    <row r="123" spans="1:9" s="32" customFormat="1">
      <c r="A123">
        <v>2019</v>
      </c>
      <c r="B123" t="s">
        <v>44</v>
      </c>
      <c r="C123">
        <v>80</v>
      </c>
      <c r="D123" t="s">
        <v>676</v>
      </c>
      <c r="E123" t="s">
        <v>340</v>
      </c>
      <c r="F123"/>
      <c r="G123" t="s">
        <v>598</v>
      </c>
      <c r="H123"/>
      <c r="I123" s="33">
        <v>11112</v>
      </c>
    </row>
    <row r="124" spans="1:9" s="32" customFormat="1">
      <c r="A124">
        <v>2019</v>
      </c>
      <c r="B124" t="s">
        <v>44</v>
      </c>
      <c r="C124">
        <v>81</v>
      </c>
      <c r="D124" t="s">
        <v>676</v>
      </c>
      <c r="E124" t="s">
        <v>678</v>
      </c>
      <c r="F124" t="s">
        <v>606</v>
      </c>
      <c r="G124" t="s">
        <v>598</v>
      </c>
      <c r="H124" t="s">
        <v>658</v>
      </c>
      <c r="I124" s="33">
        <v>80000</v>
      </c>
    </row>
    <row r="125" spans="1:9" s="32" customFormat="1">
      <c r="A125">
        <v>2019</v>
      </c>
      <c r="B125" t="s">
        <v>44</v>
      </c>
      <c r="C125">
        <v>82</v>
      </c>
      <c r="D125" t="s">
        <v>676</v>
      </c>
      <c r="E125" t="s">
        <v>679</v>
      </c>
      <c r="F125"/>
      <c r="G125"/>
      <c r="H125"/>
      <c r="I125" s="33">
        <v>34178</v>
      </c>
    </row>
    <row r="126" spans="1:9" s="32" customFormat="1">
      <c r="A126">
        <v>2019</v>
      </c>
      <c r="B126" t="s">
        <v>44</v>
      </c>
      <c r="C126">
        <v>1</v>
      </c>
      <c r="D126" t="s">
        <v>747</v>
      </c>
      <c r="E126" t="s">
        <v>186</v>
      </c>
      <c r="F126" t="s">
        <v>606</v>
      </c>
      <c r="G126" t="s">
        <v>598</v>
      </c>
      <c r="H126" t="s">
        <v>616</v>
      </c>
      <c r="I126" s="33">
        <v>8719459</v>
      </c>
    </row>
    <row r="127" spans="1:9" s="32" customFormat="1">
      <c r="A127">
        <v>2019</v>
      </c>
      <c r="B127" t="s">
        <v>44</v>
      </c>
      <c r="C127">
        <v>2</v>
      </c>
      <c r="D127" t="s">
        <v>676</v>
      </c>
      <c r="E127" t="s">
        <v>281</v>
      </c>
      <c r="F127" t="s">
        <v>606</v>
      </c>
      <c r="G127" t="s">
        <v>598</v>
      </c>
      <c r="H127" t="s">
        <v>616</v>
      </c>
      <c r="I127" s="33">
        <v>371951</v>
      </c>
    </row>
    <row r="128" spans="1:9" s="32" customFormat="1">
      <c r="A128">
        <v>2019</v>
      </c>
      <c r="B128" t="s">
        <v>44</v>
      </c>
      <c r="C128">
        <v>3</v>
      </c>
      <c r="D128" t="s">
        <v>676</v>
      </c>
      <c r="E128" t="s">
        <v>760</v>
      </c>
      <c r="F128" t="s">
        <v>597</v>
      </c>
      <c r="G128" t="s">
        <v>598</v>
      </c>
      <c r="H128" t="s">
        <v>599</v>
      </c>
      <c r="I128" s="33">
        <v>1380000</v>
      </c>
    </row>
    <row r="129" spans="1:9" s="32" customFormat="1">
      <c r="A129">
        <v>2019</v>
      </c>
      <c r="B129" t="s">
        <v>44</v>
      </c>
      <c r="C129">
        <v>4</v>
      </c>
      <c r="D129" t="s">
        <v>676</v>
      </c>
      <c r="E129" t="s">
        <v>229</v>
      </c>
      <c r="F129" t="s">
        <v>606</v>
      </c>
      <c r="G129" t="s">
        <v>598</v>
      </c>
      <c r="H129" t="s">
        <v>616</v>
      </c>
      <c r="I129" s="33">
        <v>2650000</v>
      </c>
    </row>
    <row r="130" spans="1:9" s="32" customFormat="1">
      <c r="A130">
        <v>2019</v>
      </c>
      <c r="B130" t="s">
        <v>44</v>
      </c>
      <c r="C130">
        <v>5</v>
      </c>
      <c r="D130" t="s">
        <v>676</v>
      </c>
      <c r="E130" t="s">
        <v>761</v>
      </c>
      <c r="F130"/>
      <c r="G130"/>
      <c r="H130"/>
      <c r="I130" s="33">
        <v>132118</v>
      </c>
    </row>
    <row r="131" spans="1:9" s="32" customFormat="1">
      <c r="A131">
        <v>2019</v>
      </c>
      <c r="B131" t="s">
        <v>44</v>
      </c>
      <c r="C131">
        <v>6</v>
      </c>
      <c r="D131" t="s">
        <v>676</v>
      </c>
      <c r="E131" t="s">
        <v>307</v>
      </c>
      <c r="F131" t="s">
        <v>606</v>
      </c>
      <c r="G131" t="s">
        <v>598</v>
      </c>
      <c r="H131" t="s">
        <v>616</v>
      </c>
      <c r="I131" s="33">
        <v>110000</v>
      </c>
    </row>
    <row r="132" spans="1:9" s="32" customFormat="1">
      <c r="A132">
        <v>2019</v>
      </c>
      <c r="B132" t="s">
        <v>44</v>
      </c>
      <c r="C132">
        <v>7</v>
      </c>
      <c r="D132" t="s">
        <v>676</v>
      </c>
      <c r="E132" t="s">
        <v>748</v>
      </c>
      <c r="F132" t="s">
        <v>606</v>
      </c>
      <c r="G132" t="s">
        <v>598</v>
      </c>
      <c r="H132" t="s">
        <v>616</v>
      </c>
      <c r="I132" s="33">
        <v>9120498</v>
      </c>
    </row>
    <row r="133" spans="1:9" s="32" customFormat="1">
      <c r="A133">
        <v>2019</v>
      </c>
      <c r="B133" t="s">
        <v>44</v>
      </c>
      <c r="C133">
        <v>8</v>
      </c>
      <c r="D133" t="s">
        <v>676</v>
      </c>
      <c r="E133" t="s">
        <v>337</v>
      </c>
      <c r="F133" t="s">
        <v>606</v>
      </c>
      <c r="G133" t="s">
        <v>598</v>
      </c>
      <c r="H133"/>
      <c r="I133" s="33">
        <v>12432</v>
      </c>
    </row>
    <row r="134" spans="1:9" s="32" customFormat="1">
      <c r="A134">
        <v>2019</v>
      </c>
      <c r="B134" t="s">
        <v>44</v>
      </c>
      <c r="C134">
        <v>9</v>
      </c>
      <c r="D134" t="s">
        <v>676</v>
      </c>
      <c r="E134" t="s">
        <v>749</v>
      </c>
      <c r="F134" t="s">
        <v>606</v>
      </c>
      <c r="G134" t="s">
        <v>598</v>
      </c>
      <c r="H134" t="s">
        <v>616</v>
      </c>
      <c r="I134" s="33">
        <v>818921</v>
      </c>
    </row>
    <row r="135" spans="1:9" s="32" customFormat="1">
      <c r="A135">
        <v>2019</v>
      </c>
      <c r="B135" t="s">
        <v>44</v>
      </c>
      <c r="C135">
        <v>10</v>
      </c>
      <c r="D135" t="s">
        <v>676</v>
      </c>
      <c r="E135" t="s">
        <v>177</v>
      </c>
      <c r="F135"/>
      <c r="G135" t="s">
        <v>598</v>
      </c>
      <c r="H135" t="s">
        <v>616</v>
      </c>
      <c r="I135" s="33">
        <v>13994187</v>
      </c>
    </row>
    <row r="136" spans="1:9" s="32" customFormat="1">
      <c r="A136">
        <v>2019</v>
      </c>
      <c r="B136" t="s">
        <v>44</v>
      </c>
      <c r="C136">
        <v>11</v>
      </c>
      <c r="D136" t="s">
        <v>676</v>
      </c>
      <c r="E136" t="s">
        <v>200</v>
      </c>
      <c r="F136" t="s">
        <v>606</v>
      </c>
      <c r="G136" t="s">
        <v>598</v>
      </c>
      <c r="H136" t="s">
        <v>616</v>
      </c>
      <c r="I136" s="33">
        <v>6225444</v>
      </c>
    </row>
    <row r="137" spans="1:9" s="32" customFormat="1">
      <c r="A137">
        <v>2019</v>
      </c>
      <c r="B137" t="s">
        <v>44</v>
      </c>
      <c r="C137">
        <v>12</v>
      </c>
      <c r="D137" t="s">
        <v>676</v>
      </c>
      <c r="E137" t="s">
        <v>156</v>
      </c>
      <c r="F137" t="s">
        <v>666</v>
      </c>
      <c r="G137" t="s">
        <v>631</v>
      </c>
      <c r="H137" t="s">
        <v>603</v>
      </c>
      <c r="I137" s="33">
        <v>44553752</v>
      </c>
    </row>
    <row r="138" spans="1:9" s="32" customFormat="1">
      <c r="A138">
        <v>2019</v>
      </c>
      <c r="B138" t="s">
        <v>44</v>
      </c>
      <c r="C138">
        <v>13</v>
      </c>
      <c r="D138" t="s">
        <v>676</v>
      </c>
      <c r="E138" t="s">
        <v>254</v>
      </c>
      <c r="F138"/>
      <c r="G138" t="s">
        <v>631</v>
      </c>
      <c r="H138"/>
      <c r="I138" s="33">
        <v>879592</v>
      </c>
    </row>
    <row r="139" spans="1:9" s="32" customFormat="1">
      <c r="A139">
        <v>2019</v>
      </c>
      <c r="B139" t="s">
        <v>44</v>
      </c>
      <c r="C139">
        <v>14</v>
      </c>
      <c r="D139" t="s">
        <v>676</v>
      </c>
      <c r="E139" t="s">
        <v>175</v>
      </c>
      <c r="F139" t="s">
        <v>597</v>
      </c>
      <c r="G139" t="s">
        <v>598</v>
      </c>
      <c r="H139" t="s">
        <v>658</v>
      </c>
      <c r="I139" s="33">
        <v>16841504</v>
      </c>
    </row>
    <row r="140" spans="1:9" s="32" customFormat="1">
      <c r="A140">
        <v>2019</v>
      </c>
      <c r="B140" t="s">
        <v>44</v>
      </c>
      <c r="C140">
        <v>15</v>
      </c>
      <c r="D140" t="s">
        <v>676</v>
      </c>
      <c r="E140" t="s">
        <v>293</v>
      </c>
      <c r="F140" t="s">
        <v>606</v>
      </c>
      <c r="G140" t="s">
        <v>598</v>
      </c>
      <c r="H140" t="s">
        <v>616</v>
      </c>
      <c r="I140" s="33">
        <v>171605</v>
      </c>
    </row>
    <row r="141" spans="1:9" s="32" customFormat="1">
      <c r="A141">
        <v>2019</v>
      </c>
      <c r="B141" t="s">
        <v>44</v>
      </c>
      <c r="C141">
        <v>16</v>
      </c>
      <c r="D141" t="s">
        <v>676</v>
      </c>
      <c r="E141" t="s">
        <v>199</v>
      </c>
      <c r="F141" t="s">
        <v>606</v>
      </c>
      <c r="G141" t="s">
        <v>598</v>
      </c>
      <c r="H141" t="s">
        <v>616</v>
      </c>
      <c r="I141" s="33">
        <v>6780000</v>
      </c>
    </row>
    <row r="142" spans="1:9" s="32" customFormat="1">
      <c r="A142">
        <v>2019</v>
      </c>
      <c r="B142" t="s">
        <v>44</v>
      </c>
      <c r="C142">
        <v>17</v>
      </c>
      <c r="D142" t="s">
        <v>676</v>
      </c>
      <c r="E142" t="s">
        <v>222</v>
      </c>
      <c r="F142" t="s">
        <v>606</v>
      </c>
      <c r="G142" t="s">
        <v>598</v>
      </c>
      <c r="H142" t="s">
        <v>603</v>
      </c>
      <c r="I142" s="33">
        <v>2940000</v>
      </c>
    </row>
    <row r="143" spans="1:9" s="32" customFormat="1">
      <c r="A143">
        <v>2019</v>
      </c>
      <c r="B143" t="s">
        <v>44</v>
      </c>
      <c r="C143">
        <v>18</v>
      </c>
      <c r="D143" t="s">
        <v>676</v>
      </c>
      <c r="E143" t="s">
        <v>189</v>
      </c>
      <c r="F143" t="s">
        <v>606</v>
      </c>
      <c r="G143" t="s">
        <v>598</v>
      </c>
      <c r="H143" t="s">
        <v>616</v>
      </c>
      <c r="I143" s="33">
        <v>8230634</v>
      </c>
    </row>
    <row r="144" spans="1:9" s="32" customFormat="1">
      <c r="A144">
        <v>2019</v>
      </c>
      <c r="B144" t="s">
        <v>44</v>
      </c>
      <c r="C144">
        <v>19</v>
      </c>
      <c r="D144" t="s">
        <v>676</v>
      </c>
      <c r="E144" t="s">
        <v>750</v>
      </c>
      <c r="F144"/>
      <c r="G144"/>
      <c r="H144"/>
      <c r="I144" s="33">
        <v>11213147</v>
      </c>
    </row>
    <row r="145" spans="1:9" s="32" customFormat="1">
      <c r="A145">
        <v>2019</v>
      </c>
      <c r="B145" t="s">
        <v>44</v>
      </c>
      <c r="C145">
        <v>20</v>
      </c>
      <c r="D145" t="s">
        <v>676</v>
      </c>
      <c r="E145" t="s">
        <v>751</v>
      </c>
      <c r="F145" t="s">
        <v>606</v>
      </c>
      <c r="G145" t="s">
        <v>598</v>
      </c>
      <c r="H145" t="s">
        <v>616</v>
      </c>
      <c r="I145" s="33">
        <v>877336</v>
      </c>
    </row>
    <row r="146" spans="1:9" s="32" customFormat="1">
      <c r="A146">
        <v>2019</v>
      </c>
      <c r="B146" t="s">
        <v>44</v>
      </c>
      <c r="C146">
        <v>21</v>
      </c>
      <c r="D146" t="s">
        <v>676</v>
      </c>
      <c r="E146" t="s">
        <v>225</v>
      </c>
      <c r="F146" t="s">
        <v>597</v>
      </c>
      <c r="G146" t="s">
        <v>598</v>
      </c>
      <c r="H146" t="s">
        <v>658</v>
      </c>
      <c r="I146" s="33">
        <v>2883905</v>
      </c>
    </row>
    <row r="147" spans="1:9" s="32" customFormat="1">
      <c r="A147">
        <v>2019</v>
      </c>
      <c r="B147" t="s">
        <v>44</v>
      </c>
      <c r="C147">
        <v>22</v>
      </c>
      <c r="D147" t="s">
        <v>676</v>
      </c>
      <c r="E147" t="s">
        <v>206</v>
      </c>
      <c r="F147" t="s">
        <v>597</v>
      </c>
      <c r="G147" t="s">
        <v>598</v>
      </c>
      <c r="H147" t="s">
        <v>658</v>
      </c>
      <c r="I147" s="33">
        <v>4408165</v>
      </c>
    </row>
    <row r="148" spans="1:9" s="32" customFormat="1">
      <c r="A148">
        <v>2019</v>
      </c>
      <c r="B148" t="s">
        <v>44</v>
      </c>
      <c r="C148">
        <v>23</v>
      </c>
      <c r="D148" t="s">
        <v>676</v>
      </c>
      <c r="E148" t="s">
        <v>752</v>
      </c>
      <c r="F148"/>
      <c r="G148" t="s">
        <v>598</v>
      </c>
      <c r="H148"/>
      <c r="I148" s="33">
        <v>200000</v>
      </c>
    </row>
    <row r="149" spans="1:9" s="32" customFormat="1">
      <c r="A149">
        <v>2019</v>
      </c>
      <c r="B149" t="s">
        <v>44</v>
      </c>
      <c r="C149">
        <v>24</v>
      </c>
      <c r="D149" t="s">
        <v>676</v>
      </c>
      <c r="E149" t="s">
        <v>753</v>
      </c>
      <c r="F149"/>
      <c r="G149"/>
      <c r="H149"/>
      <c r="I149" s="33">
        <v>65633</v>
      </c>
    </row>
    <row r="150" spans="1:9" s="32" customFormat="1">
      <c r="A150">
        <v>2019</v>
      </c>
      <c r="B150" t="s">
        <v>44</v>
      </c>
      <c r="C150">
        <v>25</v>
      </c>
      <c r="D150" t="s">
        <v>676</v>
      </c>
      <c r="E150" t="s">
        <v>256</v>
      </c>
      <c r="F150" t="s">
        <v>606</v>
      </c>
      <c r="G150" t="s">
        <v>598</v>
      </c>
      <c r="H150" t="s">
        <v>616</v>
      </c>
      <c r="I150" s="33">
        <v>810000</v>
      </c>
    </row>
    <row r="151" spans="1:9" s="32" customFormat="1">
      <c r="A151">
        <v>2019</v>
      </c>
      <c r="B151" t="s">
        <v>44</v>
      </c>
      <c r="C151">
        <v>26</v>
      </c>
      <c r="D151" t="s">
        <v>676</v>
      </c>
      <c r="E151" t="s">
        <v>357</v>
      </c>
      <c r="F151" t="s">
        <v>606</v>
      </c>
      <c r="G151" t="s">
        <v>598</v>
      </c>
      <c r="H151" t="s">
        <v>616</v>
      </c>
      <c r="I151" s="33">
        <v>0</v>
      </c>
    </row>
    <row r="152" spans="1:9" s="32" customFormat="1">
      <c r="A152">
        <v>2019</v>
      </c>
      <c r="B152" t="s">
        <v>44</v>
      </c>
      <c r="C152">
        <v>27</v>
      </c>
      <c r="D152" t="s">
        <v>676</v>
      </c>
      <c r="E152" t="s">
        <v>249</v>
      </c>
      <c r="F152" t="s">
        <v>597</v>
      </c>
      <c r="G152" t="s">
        <v>598</v>
      </c>
      <c r="H152" t="s">
        <v>658</v>
      </c>
      <c r="I152" s="33">
        <v>1170000</v>
      </c>
    </row>
    <row r="153" spans="1:9" s="32" customFormat="1">
      <c r="A153">
        <v>2019</v>
      </c>
      <c r="B153" t="s">
        <v>44</v>
      </c>
      <c r="C153">
        <v>28</v>
      </c>
      <c r="D153" t="s">
        <v>676</v>
      </c>
      <c r="E153" t="s">
        <v>215</v>
      </c>
      <c r="F153" t="s">
        <v>606</v>
      </c>
      <c r="G153" t="s">
        <v>598</v>
      </c>
      <c r="H153" t="s">
        <v>616</v>
      </c>
      <c r="I153" s="33">
        <v>3470000</v>
      </c>
    </row>
    <row r="154" spans="1:9" s="32" customFormat="1">
      <c r="A154">
        <v>2019</v>
      </c>
      <c r="B154" t="s">
        <v>44</v>
      </c>
      <c r="C154">
        <v>29</v>
      </c>
      <c r="D154" t="s">
        <v>676</v>
      </c>
      <c r="E154" t="s">
        <v>236</v>
      </c>
      <c r="F154" t="s">
        <v>606</v>
      </c>
      <c r="G154" t="s">
        <v>598</v>
      </c>
      <c r="H154" t="s">
        <v>616</v>
      </c>
      <c r="I154" s="33">
        <v>1782513</v>
      </c>
    </row>
    <row r="155" spans="1:9" s="32" customFormat="1">
      <c r="A155">
        <v>2019</v>
      </c>
      <c r="B155" t="s">
        <v>44</v>
      </c>
      <c r="C155">
        <v>30</v>
      </c>
      <c r="D155" t="s">
        <v>676</v>
      </c>
      <c r="E155" t="s">
        <v>295</v>
      </c>
      <c r="F155"/>
      <c r="G155" t="s">
        <v>598</v>
      </c>
      <c r="H155"/>
      <c r="I155" s="33">
        <v>158737</v>
      </c>
    </row>
    <row r="156" spans="1:9" s="32" customFormat="1">
      <c r="A156">
        <v>2019</v>
      </c>
      <c r="B156" t="s">
        <v>44</v>
      </c>
      <c r="C156">
        <v>31</v>
      </c>
      <c r="D156" t="s">
        <v>676</v>
      </c>
      <c r="E156" t="s">
        <v>164</v>
      </c>
      <c r="F156" t="s">
        <v>606</v>
      </c>
      <c r="G156" t="s">
        <v>598</v>
      </c>
      <c r="H156" t="s">
        <v>616</v>
      </c>
      <c r="I156" s="33">
        <v>27410000</v>
      </c>
    </row>
    <row r="157" spans="1:9" s="32" customFormat="1">
      <c r="A157">
        <v>2019</v>
      </c>
      <c r="B157" t="s">
        <v>44</v>
      </c>
      <c r="C157">
        <v>32</v>
      </c>
      <c r="D157" t="s">
        <v>676</v>
      </c>
      <c r="E157" t="s">
        <v>211</v>
      </c>
      <c r="F157" t="s">
        <v>597</v>
      </c>
      <c r="G157" t="s">
        <v>598</v>
      </c>
      <c r="H157" t="s">
        <v>707</v>
      </c>
      <c r="I157" s="33">
        <v>3963494</v>
      </c>
    </row>
    <row r="158" spans="1:9" s="32" customFormat="1">
      <c r="A158">
        <v>2019</v>
      </c>
      <c r="B158" t="s">
        <v>44</v>
      </c>
      <c r="C158">
        <v>33</v>
      </c>
      <c r="D158" t="s">
        <v>676</v>
      </c>
      <c r="E158" t="s">
        <v>754</v>
      </c>
      <c r="F158" t="s">
        <v>606</v>
      </c>
      <c r="G158" t="s">
        <v>598</v>
      </c>
      <c r="H158"/>
      <c r="I158" s="33">
        <v>91344</v>
      </c>
    </row>
    <row r="159" spans="1:9" s="32" customFormat="1">
      <c r="A159">
        <v>2019</v>
      </c>
      <c r="B159" t="s">
        <v>44</v>
      </c>
      <c r="C159">
        <v>34</v>
      </c>
      <c r="D159" t="s">
        <v>676</v>
      </c>
      <c r="E159" t="s">
        <v>297</v>
      </c>
      <c r="F159"/>
      <c r="G159" t="s">
        <v>598</v>
      </c>
      <c r="H159"/>
      <c r="I159" s="33">
        <v>147448</v>
      </c>
    </row>
    <row r="160" spans="1:9" s="32" customFormat="1">
      <c r="A160">
        <v>2019</v>
      </c>
      <c r="B160" t="s">
        <v>44</v>
      </c>
      <c r="C160">
        <v>35</v>
      </c>
      <c r="D160" t="s">
        <v>676</v>
      </c>
      <c r="E160" t="s">
        <v>755</v>
      </c>
      <c r="F160" t="s">
        <v>606</v>
      </c>
      <c r="G160" t="s">
        <v>598</v>
      </c>
      <c r="H160" t="s">
        <v>616</v>
      </c>
      <c r="I160" s="33">
        <v>540000</v>
      </c>
    </row>
    <row r="161" spans="1:9" s="32" customFormat="1">
      <c r="A161">
        <v>2019</v>
      </c>
      <c r="B161" t="s">
        <v>44</v>
      </c>
      <c r="C161">
        <v>36</v>
      </c>
      <c r="D161" t="s">
        <v>676</v>
      </c>
      <c r="E161" t="s">
        <v>217</v>
      </c>
      <c r="F161" t="s">
        <v>606</v>
      </c>
      <c r="G161" t="s">
        <v>598</v>
      </c>
      <c r="H161" t="s">
        <v>616</v>
      </c>
      <c r="I161" s="33">
        <v>3283238</v>
      </c>
    </row>
    <row r="162" spans="1:9" s="32" customFormat="1">
      <c r="A162">
        <v>2019</v>
      </c>
      <c r="B162" t="s">
        <v>44</v>
      </c>
      <c r="C162">
        <v>37</v>
      </c>
      <c r="D162" t="s">
        <v>676</v>
      </c>
      <c r="E162" t="s">
        <v>756</v>
      </c>
      <c r="F162"/>
      <c r="G162"/>
      <c r="H162"/>
      <c r="I162" s="33">
        <v>124169976</v>
      </c>
    </row>
    <row r="163" spans="1:9" s="32" customFormat="1">
      <c r="A163">
        <v>2019</v>
      </c>
      <c r="B163" t="s">
        <v>44</v>
      </c>
      <c r="C163">
        <v>38</v>
      </c>
      <c r="D163" t="s">
        <v>676</v>
      </c>
      <c r="E163" t="s">
        <v>757</v>
      </c>
      <c r="F163" t="s">
        <v>606</v>
      </c>
      <c r="G163" t="s">
        <v>598</v>
      </c>
      <c r="H163" t="s">
        <v>616</v>
      </c>
      <c r="I163" s="33">
        <v>60000</v>
      </c>
    </row>
    <row r="164" spans="1:9" s="32" customFormat="1">
      <c r="A164">
        <v>2019</v>
      </c>
      <c r="B164" t="s">
        <v>44</v>
      </c>
      <c r="C164">
        <v>39</v>
      </c>
      <c r="D164" t="s">
        <v>676</v>
      </c>
      <c r="E164" t="s">
        <v>251</v>
      </c>
      <c r="F164" t="s">
        <v>606</v>
      </c>
      <c r="G164" t="s">
        <v>598</v>
      </c>
      <c r="H164" t="s">
        <v>616</v>
      </c>
      <c r="I164" s="33">
        <v>1140982</v>
      </c>
    </row>
    <row r="165" spans="1:9" s="32" customFormat="1">
      <c r="A165">
        <v>2019</v>
      </c>
      <c r="B165" t="s">
        <v>44</v>
      </c>
      <c r="C165">
        <v>40</v>
      </c>
      <c r="D165" t="s">
        <v>676</v>
      </c>
      <c r="E165" t="s">
        <v>758</v>
      </c>
      <c r="F165"/>
      <c r="G165" t="s">
        <v>598</v>
      </c>
      <c r="H165"/>
      <c r="I165" s="33">
        <v>37092694</v>
      </c>
    </row>
    <row r="166" spans="1:9" s="32" customFormat="1">
      <c r="A166">
        <v>2019</v>
      </c>
      <c r="B166" t="s">
        <v>44</v>
      </c>
      <c r="C166">
        <v>41</v>
      </c>
      <c r="D166" t="s">
        <v>676</v>
      </c>
      <c r="E166" t="s">
        <v>157</v>
      </c>
      <c r="F166" t="s">
        <v>606</v>
      </c>
      <c r="G166" t="s">
        <v>598</v>
      </c>
      <c r="H166" t="s">
        <v>616</v>
      </c>
      <c r="I166" s="33">
        <v>39757864</v>
      </c>
    </row>
    <row r="167" spans="1:9" s="32" customFormat="1">
      <c r="A167">
        <v>2019</v>
      </c>
      <c r="B167" t="s">
        <v>44</v>
      </c>
      <c r="C167">
        <v>42</v>
      </c>
      <c r="D167" t="s">
        <v>676</v>
      </c>
      <c r="E167" t="s">
        <v>759</v>
      </c>
      <c r="F167"/>
      <c r="G167"/>
      <c r="H167"/>
      <c r="I167" s="33">
        <v>81369</v>
      </c>
    </row>
    <row r="168" spans="1:9" s="32" customFormat="1">
      <c r="A168">
        <v>2019</v>
      </c>
      <c r="B168" t="s">
        <v>44</v>
      </c>
      <c r="C168">
        <v>1</v>
      </c>
      <c r="D168" t="s">
        <v>676</v>
      </c>
      <c r="E168" t="s">
        <v>282</v>
      </c>
      <c r="F168" t="s">
        <v>606</v>
      </c>
      <c r="G168" t="s">
        <v>598</v>
      </c>
      <c r="H168" t="s">
        <v>616</v>
      </c>
      <c r="I168" s="33">
        <v>320000</v>
      </c>
    </row>
    <row r="169" spans="1:9" s="32" customFormat="1">
      <c r="A169">
        <v>2019</v>
      </c>
      <c r="B169" t="s">
        <v>44</v>
      </c>
      <c r="C169">
        <v>2</v>
      </c>
      <c r="D169" t="s">
        <v>676</v>
      </c>
      <c r="E169" t="s">
        <v>296</v>
      </c>
      <c r="F169" t="s">
        <v>606</v>
      </c>
      <c r="G169" t="s">
        <v>598</v>
      </c>
      <c r="H169" t="s">
        <v>616</v>
      </c>
      <c r="I169" s="33">
        <v>158527</v>
      </c>
    </row>
    <row r="170" spans="1:9" s="32" customFormat="1">
      <c r="A170">
        <v>2019</v>
      </c>
      <c r="B170" t="s">
        <v>44</v>
      </c>
      <c r="C170">
        <v>3</v>
      </c>
      <c r="D170" t="s">
        <v>676</v>
      </c>
      <c r="E170" t="s">
        <v>745</v>
      </c>
      <c r="F170"/>
      <c r="G170"/>
      <c r="H170"/>
      <c r="I170" s="33">
        <v>6104</v>
      </c>
    </row>
    <row r="171" spans="1:9" s="32" customFormat="1">
      <c r="A171">
        <v>2019</v>
      </c>
      <c r="B171" t="s">
        <v>44</v>
      </c>
      <c r="C171">
        <v>4</v>
      </c>
      <c r="D171" t="s">
        <v>676</v>
      </c>
      <c r="E171" t="s">
        <v>744</v>
      </c>
      <c r="F171" t="s">
        <v>606</v>
      </c>
      <c r="G171" t="s">
        <v>598</v>
      </c>
      <c r="H171" t="s">
        <v>616</v>
      </c>
      <c r="I171" s="33">
        <v>200000</v>
      </c>
    </row>
    <row r="172" spans="1:9" s="32" customFormat="1">
      <c r="A172">
        <v>2019</v>
      </c>
      <c r="B172" t="s">
        <v>44</v>
      </c>
      <c r="C172">
        <v>5</v>
      </c>
      <c r="D172" t="s">
        <v>676</v>
      </c>
      <c r="E172" t="s">
        <v>716</v>
      </c>
      <c r="F172" t="s">
        <v>597</v>
      </c>
      <c r="G172" t="s">
        <v>598</v>
      </c>
      <c r="H172" t="s">
        <v>707</v>
      </c>
      <c r="I172" s="33">
        <v>147308</v>
      </c>
    </row>
    <row r="173" spans="1:9" s="32" customFormat="1">
      <c r="A173">
        <v>2019</v>
      </c>
      <c r="B173" t="s">
        <v>44</v>
      </c>
      <c r="C173">
        <v>6</v>
      </c>
      <c r="D173" t="s">
        <v>676</v>
      </c>
      <c r="E173" t="s">
        <v>208</v>
      </c>
      <c r="F173"/>
      <c r="G173" t="s">
        <v>631</v>
      </c>
      <c r="H173" t="s">
        <v>612</v>
      </c>
      <c r="I173" s="33">
        <v>4271262</v>
      </c>
    </row>
    <row r="174" spans="1:9" s="32" customFormat="1">
      <c r="A174">
        <v>2019</v>
      </c>
      <c r="B174" t="s">
        <v>44</v>
      </c>
      <c r="C174">
        <v>7</v>
      </c>
      <c r="D174" t="s">
        <v>676</v>
      </c>
      <c r="E174" t="s">
        <v>329</v>
      </c>
      <c r="F174"/>
      <c r="G174"/>
      <c r="H174"/>
      <c r="I174" s="33">
        <v>22698</v>
      </c>
    </row>
    <row r="175" spans="1:9" s="32" customFormat="1">
      <c r="A175">
        <v>2019</v>
      </c>
      <c r="B175" t="s">
        <v>44</v>
      </c>
      <c r="C175">
        <v>8</v>
      </c>
      <c r="D175" t="s">
        <v>676</v>
      </c>
      <c r="E175" t="s">
        <v>717</v>
      </c>
      <c r="F175" t="s">
        <v>606</v>
      </c>
      <c r="G175" t="s">
        <v>631</v>
      </c>
      <c r="H175" t="s">
        <v>612</v>
      </c>
      <c r="I175" s="33">
        <v>2861</v>
      </c>
    </row>
    <row r="176" spans="1:9" s="32" customFormat="1">
      <c r="A176">
        <v>2019</v>
      </c>
      <c r="B176" t="s">
        <v>44</v>
      </c>
      <c r="C176">
        <v>9</v>
      </c>
      <c r="D176" t="s">
        <v>676</v>
      </c>
      <c r="E176" t="s">
        <v>718</v>
      </c>
      <c r="F176" t="s">
        <v>606</v>
      </c>
      <c r="G176" t="s">
        <v>598</v>
      </c>
      <c r="H176"/>
      <c r="I176" s="33">
        <v>87271</v>
      </c>
    </row>
    <row r="177" spans="1:9" s="32" customFormat="1">
      <c r="A177">
        <v>2019</v>
      </c>
      <c r="B177" t="s">
        <v>44</v>
      </c>
      <c r="C177">
        <v>10</v>
      </c>
      <c r="D177" t="s">
        <v>676</v>
      </c>
      <c r="E177" t="s">
        <v>223</v>
      </c>
      <c r="F177" t="s">
        <v>606</v>
      </c>
      <c r="G177" t="s">
        <v>598</v>
      </c>
      <c r="H177" t="s">
        <v>616</v>
      </c>
      <c r="I177" s="33">
        <v>2931643</v>
      </c>
    </row>
    <row r="178" spans="1:9" s="32" customFormat="1">
      <c r="A178">
        <v>2019</v>
      </c>
      <c r="B178" t="s">
        <v>44</v>
      </c>
      <c r="C178">
        <v>11</v>
      </c>
      <c r="D178" t="s">
        <v>676</v>
      </c>
      <c r="E178" t="s">
        <v>719</v>
      </c>
      <c r="F178" t="s">
        <v>606</v>
      </c>
      <c r="G178" t="s">
        <v>598</v>
      </c>
      <c r="H178" t="s">
        <v>599</v>
      </c>
      <c r="I178" s="33">
        <v>274390</v>
      </c>
    </row>
    <row r="179" spans="1:9" s="32" customFormat="1">
      <c r="A179">
        <v>2019</v>
      </c>
      <c r="B179" t="s">
        <v>44</v>
      </c>
      <c r="C179">
        <v>12</v>
      </c>
      <c r="D179" t="s">
        <v>676</v>
      </c>
      <c r="E179" t="s">
        <v>720</v>
      </c>
      <c r="F179"/>
      <c r="G179"/>
      <c r="H179"/>
      <c r="I179" s="33">
        <v>4992</v>
      </c>
    </row>
    <row r="180" spans="1:9" s="32" customFormat="1">
      <c r="A180">
        <v>2019</v>
      </c>
      <c r="B180" t="s">
        <v>44</v>
      </c>
      <c r="C180">
        <v>13</v>
      </c>
      <c r="D180" t="s">
        <v>676</v>
      </c>
      <c r="E180" t="s">
        <v>176</v>
      </c>
      <c r="F180" t="s">
        <v>606</v>
      </c>
      <c r="G180" t="s">
        <v>598</v>
      </c>
      <c r="H180" t="s">
        <v>616</v>
      </c>
      <c r="I180" s="33">
        <v>14917516</v>
      </c>
    </row>
    <row r="181" spans="1:9" s="32" customFormat="1">
      <c r="A181">
        <v>2019</v>
      </c>
      <c r="B181" t="s">
        <v>44</v>
      </c>
      <c r="C181">
        <v>14</v>
      </c>
      <c r="D181" t="s">
        <v>676</v>
      </c>
      <c r="E181" t="s">
        <v>721</v>
      </c>
      <c r="F181"/>
      <c r="G181"/>
      <c r="H181"/>
      <c r="I181" s="33">
        <v>21179</v>
      </c>
    </row>
    <row r="182" spans="1:9" s="32" customFormat="1">
      <c r="A182">
        <v>2019</v>
      </c>
      <c r="B182" t="s">
        <v>44</v>
      </c>
      <c r="C182">
        <v>15</v>
      </c>
      <c r="D182" t="s">
        <v>676</v>
      </c>
      <c r="E182" t="s">
        <v>246</v>
      </c>
      <c r="F182" t="s">
        <v>606</v>
      </c>
      <c r="G182" t="s">
        <v>598</v>
      </c>
      <c r="H182" t="s">
        <v>616</v>
      </c>
      <c r="I182" s="33">
        <v>1330193</v>
      </c>
    </row>
    <row r="183" spans="1:9" s="32" customFormat="1">
      <c r="A183">
        <v>2019</v>
      </c>
      <c r="B183" t="s">
        <v>44</v>
      </c>
      <c r="C183">
        <v>16</v>
      </c>
      <c r="D183" t="s">
        <v>676</v>
      </c>
      <c r="E183" t="s">
        <v>298</v>
      </c>
      <c r="F183" t="s">
        <v>606</v>
      </c>
      <c r="G183" t="s">
        <v>631</v>
      </c>
      <c r="H183" t="s">
        <v>612</v>
      </c>
      <c r="I183" s="33">
        <v>144214</v>
      </c>
    </row>
    <row r="184" spans="1:9" s="32" customFormat="1">
      <c r="A184">
        <v>2019</v>
      </c>
      <c r="B184" t="s">
        <v>44</v>
      </c>
      <c r="C184">
        <v>17</v>
      </c>
      <c r="D184" t="s">
        <v>676</v>
      </c>
      <c r="E184" t="s">
        <v>358</v>
      </c>
      <c r="F184"/>
      <c r="G184" t="s">
        <v>598</v>
      </c>
      <c r="H184"/>
      <c r="I184" s="33">
        <v>0</v>
      </c>
    </row>
    <row r="185" spans="1:9" s="32" customFormat="1">
      <c r="A185">
        <v>2019</v>
      </c>
      <c r="B185" t="s">
        <v>44</v>
      </c>
      <c r="C185">
        <v>18</v>
      </c>
      <c r="D185" t="s">
        <v>676</v>
      </c>
      <c r="E185" t="s">
        <v>265</v>
      </c>
      <c r="F185" t="s">
        <v>606</v>
      </c>
      <c r="G185" t="s">
        <v>598</v>
      </c>
      <c r="H185" t="s">
        <v>658</v>
      </c>
      <c r="I185" s="33">
        <v>670573</v>
      </c>
    </row>
    <row r="186" spans="1:9" s="32" customFormat="1">
      <c r="A186">
        <v>2019</v>
      </c>
      <c r="B186" t="s">
        <v>44</v>
      </c>
      <c r="C186">
        <v>19</v>
      </c>
      <c r="D186" t="s">
        <v>676</v>
      </c>
      <c r="E186" t="s">
        <v>722</v>
      </c>
      <c r="F186"/>
      <c r="G186" t="s">
        <v>598</v>
      </c>
      <c r="H186"/>
      <c r="I186" s="33">
        <v>120000</v>
      </c>
    </row>
    <row r="187" spans="1:9" s="32" customFormat="1">
      <c r="A187">
        <v>2019</v>
      </c>
      <c r="B187" t="s">
        <v>44</v>
      </c>
      <c r="C187">
        <v>20</v>
      </c>
      <c r="D187" t="s">
        <v>676</v>
      </c>
      <c r="E187" t="s">
        <v>723</v>
      </c>
      <c r="F187"/>
      <c r="G187"/>
      <c r="H187"/>
      <c r="I187" s="33">
        <v>251733</v>
      </c>
    </row>
    <row r="188" spans="1:9" s="32" customFormat="1">
      <c r="A188">
        <v>2019</v>
      </c>
      <c r="B188" t="s">
        <v>44</v>
      </c>
      <c r="C188">
        <v>21</v>
      </c>
      <c r="D188" t="s">
        <v>676</v>
      </c>
      <c r="E188" t="s">
        <v>724</v>
      </c>
      <c r="F188" t="s">
        <v>606</v>
      </c>
      <c r="G188" t="s">
        <v>598</v>
      </c>
      <c r="H188" t="s">
        <v>616</v>
      </c>
      <c r="I188" s="33">
        <v>160000</v>
      </c>
    </row>
    <row r="189" spans="1:9" s="32" customFormat="1">
      <c r="A189">
        <v>2019</v>
      </c>
      <c r="B189" t="s">
        <v>44</v>
      </c>
      <c r="C189">
        <v>22</v>
      </c>
      <c r="D189" t="s">
        <v>676</v>
      </c>
      <c r="E189" t="s">
        <v>725</v>
      </c>
      <c r="F189" t="s">
        <v>606</v>
      </c>
      <c r="G189" t="s">
        <v>631</v>
      </c>
      <c r="H189" t="s">
        <v>612</v>
      </c>
      <c r="I189" s="33">
        <v>5350000</v>
      </c>
    </row>
    <row r="190" spans="1:9" s="32" customFormat="1">
      <c r="A190">
        <v>2019</v>
      </c>
      <c r="B190" t="s">
        <v>44</v>
      </c>
      <c r="C190">
        <v>23</v>
      </c>
      <c r="D190" t="s">
        <v>676</v>
      </c>
      <c r="E190" t="s">
        <v>239</v>
      </c>
      <c r="F190"/>
      <c r="G190" t="s">
        <v>598</v>
      </c>
      <c r="H190"/>
      <c r="I190" s="33">
        <v>1655606</v>
      </c>
    </row>
    <row r="191" spans="1:9" s="32" customFormat="1">
      <c r="A191">
        <v>2019</v>
      </c>
      <c r="B191" t="s">
        <v>44</v>
      </c>
      <c r="C191">
        <v>24</v>
      </c>
      <c r="D191" t="s">
        <v>676</v>
      </c>
      <c r="E191" t="s">
        <v>726</v>
      </c>
      <c r="F191" t="s">
        <v>606</v>
      </c>
      <c r="G191" t="s">
        <v>598</v>
      </c>
      <c r="H191" t="s">
        <v>616</v>
      </c>
      <c r="I191" s="33">
        <v>0</v>
      </c>
    </row>
    <row r="192" spans="1:9" s="32" customFormat="1">
      <c r="A192">
        <v>2019</v>
      </c>
      <c r="B192" t="s">
        <v>44</v>
      </c>
      <c r="C192">
        <v>25</v>
      </c>
      <c r="D192" t="s">
        <v>676</v>
      </c>
      <c r="E192" t="s">
        <v>210</v>
      </c>
      <c r="F192"/>
      <c r="G192"/>
      <c r="H192"/>
      <c r="I192" s="33">
        <v>4132253</v>
      </c>
    </row>
    <row r="193" spans="1:9" s="32" customFormat="1">
      <c r="A193">
        <v>2019</v>
      </c>
      <c r="B193" t="s">
        <v>44</v>
      </c>
      <c r="C193">
        <v>26</v>
      </c>
      <c r="D193" t="s">
        <v>676</v>
      </c>
      <c r="E193" t="s">
        <v>727</v>
      </c>
      <c r="F193" t="s">
        <v>606</v>
      </c>
      <c r="G193" t="s">
        <v>598</v>
      </c>
      <c r="H193" t="s">
        <v>599</v>
      </c>
      <c r="I193" s="33">
        <v>320000</v>
      </c>
    </row>
    <row r="194" spans="1:9" s="32" customFormat="1">
      <c r="A194">
        <v>2019</v>
      </c>
      <c r="B194" t="s">
        <v>44</v>
      </c>
      <c r="C194">
        <v>27</v>
      </c>
      <c r="D194" t="s">
        <v>676</v>
      </c>
      <c r="E194" t="s">
        <v>728</v>
      </c>
      <c r="F194"/>
      <c r="G194"/>
      <c r="H194"/>
      <c r="I194" s="33">
        <v>5214</v>
      </c>
    </row>
    <row r="195" spans="1:9" s="32" customFormat="1">
      <c r="A195">
        <v>2019</v>
      </c>
      <c r="B195" t="s">
        <v>44</v>
      </c>
      <c r="C195">
        <v>28</v>
      </c>
      <c r="D195" t="s">
        <v>676</v>
      </c>
      <c r="E195" t="s">
        <v>729</v>
      </c>
      <c r="F195"/>
      <c r="G195"/>
      <c r="H195"/>
      <c r="I195" s="33">
        <v>68555</v>
      </c>
    </row>
    <row r="196" spans="1:9" s="32" customFormat="1">
      <c r="A196">
        <v>2019</v>
      </c>
      <c r="B196" t="s">
        <v>44</v>
      </c>
      <c r="C196">
        <v>29</v>
      </c>
      <c r="D196" t="s">
        <v>676</v>
      </c>
      <c r="E196" t="s">
        <v>275</v>
      </c>
      <c r="F196"/>
      <c r="G196" t="s">
        <v>598</v>
      </c>
      <c r="H196" t="s">
        <v>616</v>
      </c>
      <c r="I196" s="33">
        <v>461674</v>
      </c>
    </row>
    <row r="197" spans="1:9" s="32" customFormat="1">
      <c r="A197">
        <v>2019</v>
      </c>
      <c r="B197" t="s">
        <v>44</v>
      </c>
      <c r="C197">
        <v>30</v>
      </c>
      <c r="D197" t="s">
        <v>676</v>
      </c>
      <c r="E197" t="s">
        <v>730</v>
      </c>
      <c r="F197"/>
      <c r="G197"/>
      <c r="H197"/>
      <c r="I197" s="33">
        <v>58423</v>
      </c>
    </row>
    <row r="198" spans="1:9" s="32" customFormat="1">
      <c r="A198">
        <v>2019</v>
      </c>
      <c r="B198" t="s">
        <v>44</v>
      </c>
      <c r="C198">
        <v>31</v>
      </c>
      <c r="D198" t="s">
        <v>676</v>
      </c>
      <c r="E198" t="s">
        <v>731</v>
      </c>
      <c r="F198"/>
      <c r="G198"/>
      <c r="H198"/>
      <c r="I198" s="33">
        <v>8823</v>
      </c>
    </row>
    <row r="199" spans="1:9" s="32" customFormat="1">
      <c r="A199">
        <v>2019</v>
      </c>
      <c r="B199" t="s">
        <v>44</v>
      </c>
      <c r="C199">
        <v>32</v>
      </c>
      <c r="D199" t="s">
        <v>676</v>
      </c>
      <c r="E199" t="s">
        <v>732</v>
      </c>
      <c r="F199"/>
      <c r="G199"/>
      <c r="H199"/>
      <c r="I199" s="33">
        <v>181959</v>
      </c>
    </row>
    <row r="200" spans="1:9" s="32" customFormat="1">
      <c r="A200">
        <v>2019</v>
      </c>
      <c r="B200" t="s">
        <v>44</v>
      </c>
      <c r="C200">
        <v>33</v>
      </c>
      <c r="D200" t="s">
        <v>676</v>
      </c>
      <c r="E200" t="s">
        <v>733</v>
      </c>
      <c r="F200" t="s">
        <v>606</v>
      </c>
      <c r="G200" t="s">
        <v>631</v>
      </c>
      <c r="H200" t="s">
        <v>612</v>
      </c>
      <c r="I200" s="33">
        <v>15837</v>
      </c>
    </row>
    <row r="201" spans="1:9" s="32" customFormat="1">
      <c r="A201">
        <v>2019</v>
      </c>
      <c r="B201" t="s">
        <v>44</v>
      </c>
      <c r="C201">
        <v>34</v>
      </c>
      <c r="D201" t="s">
        <v>676</v>
      </c>
      <c r="E201" t="s">
        <v>735</v>
      </c>
      <c r="F201"/>
      <c r="G201"/>
      <c r="H201" t="s">
        <v>603</v>
      </c>
      <c r="I201" s="33">
        <v>0</v>
      </c>
    </row>
    <row r="202" spans="1:9" s="32" customFormat="1">
      <c r="A202">
        <v>2019</v>
      </c>
      <c r="B202" t="s">
        <v>44</v>
      </c>
      <c r="C202">
        <v>35</v>
      </c>
      <c r="D202" t="s">
        <v>676</v>
      </c>
      <c r="E202" t="s">
        <v>734</v>
      </c>
      <c r="F202" t="s">
        <v>597</v>
      </c>
      <c r="G202" t="s">
        <v>598</v>
      </c>
      <c r="H202" t="s">
        <v>599</v>
      </c>
      <c r="I202" s="33">
        <v>321704</v>
      </c>
    </row>
    <row r="203" spans="1:9" s="32" customFormat="1">
      <c r="A203">
        <v>2019</v>
      </c>
      <c r="B203" t="s">
        <v>44</v>
      </c>
      <c r="C203">
        <v>36</v>
      </c>
      <c r="D203" t="s">
        <v>676</v>
      </c>
      <c r="E203" t="s">
        <v>736</v>
      </c>
      <c r="F203"/>
      <c r="G203"/>
      <c r="H203"/>
      <c r="I203" s="33">
        <v>10000</v>
      </c>
    </row>
    <row r="204" spans="1:9" s="32" customFormat="1">
      <c r="A204">
        <v>2019</v>
      </c>
      <c r="B204" t="s">
        <v>44</v>
      </c>
      <c r="C204">
        <v>37</v>
      </c>
      <c r="D204" t="s">
        <v>676</v>
      </c>
      <c r="E204" t="s">
        <v>263</v>
      </c>
      <c r="F204" t="s">
        <v>606</v>
      </c>
      <c r="G204" t="s">
        <v>598</v>
      </c>
      <c r="H204" t="s">
        <v>616</v>
      </c>
      <c r="I204" s="33">
        <v>696580</v>
      </c>
    </row>
    <row r="205" spans="1:9" s="32" customFormat="1">
      <c r="A205">
        <v>2019</v>
      </c>
      <c r="B205" t="s">
        <v>44</v>
      </c>
      <c r="C205">
        <v>38</v>
      </c>
      <c r="D205" t="s">
        <v>676</v>
      </c>
      <c r="E205" t="s">
        <v>737</v>
      </c>
      <c r="F205"/>
      <c r="G205"/>
      <c r="H205"/>
      <c r="I205" s="33">
        <v>37538</v>
      </c>
    </row>
    <row r="206" spans="1:9" s="32" customFormat="1">
      <c r="A206">
        <v>2019</v>
      </c>
      <c r="B206" t="s">
        <v>44</v>
      </c>
      <c r="C206">
        <v>39</v>
      </c>
      <c r="D206" t="s">
        <v>676</v>
      </c>
      <c r="E206" t="s">
        <v>270</v>
      </c>
      <c r="F206" t="s">
        <v>606</v>
      </c>
      <c r="G206" t="s">
        <v>598</v>
      </c>
      <c r="H206" t="s">
        <v>616</v>
      </c>
      <c r="I206" s="33">
        <v>519018</v>
      </c>
    </row>
    <row r="207" spans="1:9" s="32" customFormat="1">
      <c r="A207">
        <v>2019</v>
      </c>
      <c r="B207" t="s">
        <v>44</v>
      </c>
      <c r="C207">
        <v>40</v>
      </c>
      <c r="D207" t="s">
        <v>676</v>
      </c>
      <c r="E207" t="s">
        <v>738</v>
      </c>
      <c r="F207" t="s">
        <v>606</v>
      </c>
      <c r="G207" t="s">
        <v>631</v>
      </c>
      <c r="H207" t="s">
        <v>603</v>
      </c>
      <c r="I207" s="33">
        <v>50000</v>
      </c>
    </row>
    <row r="208" spans="1:9" s="32" customFormat="1">
      <c r="A208">
        <v>2019</v>
      </c>
      <c r="B208" t="s">
        <v>44</v>
      </c>
      <c r="C208">
        <v>41</v>
      </c>
      <c r="D208" t="s">
        <v>676</v>
      </c>
      <c r="E208" t="s">
        <v>739</v>
      </c>
      <c r="F208"/>
      <c r="G208" t="s">
        <v>598</v>
      </c>
      <c r="H208"/>
      <c r="I208" s="33">
        <v>20676</v>
      </c>
    </row>
    <row r="209" spans="1:9" s="32" customFormat="1">
      <c r="A209">
        <v>2019</v>
      </c>
      <c r="B209" t="s">
        <v>44</v>
      </c>
      <c r="C209">
        <v>42</v>
      </c>
      <c r="D209" t="s">
        <v>676</v>
      </c>
      <c r="E209" t="s">
        <v>740</v>
      </c>
      <c r="F209" t="s">
        <v>606</v>
      </c>
      <c r="G209" t="s">
        <v>598</v>
      </c>
      <c r="H209" t="s">
        <v>616</v>
      </c>
      <c r="I209" s="33">
        <v>810000</v>
      </c>
    </row>
    <row r="210" spans="1:9" s="32" customFormat="1">
      <c r="A210">
        <v>2019</v>
      </c>
      <c r="B210" t="s">
        <v>44</v>
      </c>
      <c r="C210">
        <v>43</v>
      </c>
      <c r="D210" t="s">
        <v>676</v>
      </c>
      <c r="E210" t="s">
        <v>178</v>
      </c>
      <c r="F210" t="s">
        <v>1397</v>
      </c>
      <c r="G210" t="s">
        <v>631</v>
      </c>
      <c r="H210" t="s">
        <v>603</v>
      </c>
      <c r="I210" s="33">
        <v>11840495</v>
      </c>
    </row>
    <row r="211" spans="1:9" s="32" customFormat="1">
      <c r="A211">
        <v>2019</v>
      </c>
      <c r="B211" t="s">
        <v>44</v>
      </c>
      <c r="C211">
        <v>44</v>
      </c>
      <c r="D211" t="s">
        <v>676</v>
      </c>
      <c r="E211" t="s">
        <v>741</v>
      </c>
      <c r="F211"/>
      <c r="G211"/>
      <c r="H211"/>
      <c r="I211" s="33">
        <v>1804</v>
      </c>
    </row>
    <row r="212" spans="1:9" s="32" customFormat="1">
      <c r="A212">
        <v>2019</v>
      </c>
      <c r="B212" t="s">
        <v>44</v>
      </c>
      <c r="C212">
        <v>45</v>
      </c>
      <c r="D212" t="s">
        <v>676</v>
      </c>
      <c r="E212" t="s">
        <v>262</v>
      </c>
      <c r="F212"/>
      <c r="G212" t="s">
        <v>598</v>
      </c>
      <c r="H212"/>
      <c r="I212" s="33">
        <v>710023</v>
      </c>
    </row>
    <row r="213" spans="1:9" s="32" customFormat="1">
      <c r="A213">
        <v>2019</v>
      </c>
      <c r="B213" t="s">
        <v>44</v>
      </c>
      <c r="C213">
        <v>46</v>
      </c>
      <c r="D213" t="s">
        <v>676</v>
      </c>
      <c r="E213" t="s">
        <v>742</v>
      </c>
      <c r="F213"/>
      <c r="G213"/>
      <c r="H213"/>
      <c r="I213" s="33">
        <v>900000</v>
      </c>
    </row>
    <row r="214" spans="1:9" s="32" customFormat="1">
      <c r="A214">
        <v>2019</v>
      </c>
      <c r="B214" t="s">
        <v>44</v>
      </c>
      <c r="C214">
        <v>47</v>
      </c>
      <c r="D214" t="s">
        <v>676</v>
      </c>
      <c r="E214" t="s">
        <v>218</v>
      </c>
      <c r="F214" t="s">
        <v>606</v>
      </c>
      <c r="G214" t="s">
        <v>598</v>
      </c>
      <c r="H214" t="s">
        <v>616</v>
      </c>
      <c r="I214" s="33">
        <v>3282749</v>
      </c>
    </row>
    <row r="215" spans="1:9" s="32" customFormat="1">
      <c r="A215">
        <v>2019</v>
      </c>
      <c r="B215" t="s">
        <v>44</v>
      </c>
      <c r="C215">
        <v>48</v>
      </c>
      <c r="D215" t="s">
        <v>676</v>
      </c>
      <c r="E215" t="s">
        <v>160</v>
      </c>
      <c r="F215" t="s">
        <v>606</v>
      </c>
      <c r="G215" t="s">
        <v>598</v>
      </c>
      <c r="H215" t="s">
        <v>616</v>
      </c>
      <c r="I215" s="33">
        <v>32007144</v>
      </c>
    </row>
    <row r="216" spans="1:9" s="32" customFormat="1">
      <c r="A216">
        <v>2019</v>
      </c>
      <c r="B216" t="s">
        <v>44</v>
      </c>
      <c r="C216">
        <v>49</v>
      </c>
      <c r="D216" t="s">
        <v>676</v>
      </c>
      <c r="E216" t="s">
        <v>269</v>
      </c>
      <c r="F216" t="s">
        <v>606</v>
      </c>
      <c r="G216" t="s">
        <v>611</v>
      </c>
      <c r="H216" t="s">
        <v>612</v>
      </c>
      <c r="I216" s="33">
        <v>521939</v>
      </c>
    </row>
    <row r="217" spans="1:9" s="32" customFormat="1">
      <c r="A217">
        <v>2019</v>
      </c>
      <c r="B217" t="s">
        <v>44</v>
      </c>
      <c r="C217">
        <v>50</v>
      </c>
      <c r="D217" t="s">
        <v>676</v>
      </c>
      <c r="E217" t="s">
        <v>743</v>
      </c>
      <c r="F217"/>
      <c r="G217"/>
      <c r="H217"/>
      <c r="I217" s="33">
        <v>130000</v>
      </c>
    </row>
    <row r="218" spans="1:9" s="32" customFormat="1">
      <c r="A218">
        <v>2019</v>
      </c>
      <c r="B218" t="s">
        <v>45</v>
      </c>
      <c r="C218">
        <v>1</v>
      </c>
      <c r="D218" t="s">
        <v>650</v>
      </c>
      <c r="E218" t="s">
        <v>763</v>
      </c>
      <c r="F218" t="s">
        <v>602</v>
      </c>
      <c r="G218" t="s">
        <v>598</v>
      </c>
      <c r="H218" t="s">
        <v>616</v>
      </c>
      <c r="I218" s="33">
        <v>91419352</v>
      </c>
    </row>
    <row r="219" spans="1:9" s="32" customFormat="1">
      <c r="A219">
        <v>2019</v>
      </c>
      <c r="B219" t="s">
        <v>45</v>
      </c>
      <c r="C219">
        <f t="shared" ref="C219:C245" si="0">C218+1</f>
        <v>2</v>
      </c>
      <c r="D219" t="s">
        <v>765</v>
      </c>
      <c r="E219" t="s">
        <v>766</v>
      </c>
      <c r="F219" t="s">
        <v>606</v>
      </c>
      <c r="G219" t="s">
        <v>598</v>
      </c>
      <c r="H219" t="s">
        <v>616</v>
      </c>
      <c r="I219" s="33">
        <v>19789712</v>
      </c>
    </row>
    <row r="220" spans="1:9" s="32" customFormat="1">
      <c r="A220">
        <v>2019</v>
      </c>
      <c r="B220" t="s">
        <v>45</v>
      </c>
      <c r="C220">
        <f t="shared" si="0"/>
        <v>3</v>
      </c>
      <c r="D220" t="s">
        <v>768</v>
      </c>
      <c r="E220" t="s">
        <v>52</v>
      </c>
      <c r="F220" t="s">
        <v>597</v>
      </c>
      <c r="G220" t="s">
        <v>703</v>
      </c>
      <c r="H220" t="s">
        <v>658</v>
      </c>
      <c r="I220" s="33">
        <v>192617891</v>
      </c>
    </row>
    <row r="221" spans="1:9" s="32" customFormat="1">
      <c r="A221">
        <v>2019</v>
      </c>
      <c r="B221" t="s">
        <v>45</v>
      </c>
      <c r="C221">
        <f t="shared" si="0"/>
        <v>4</v>
      </c>
      <c r="D221" t="s">
        <v>623</v>
      </c>
      <c r="E221" t="s">
        <v>392</v>
      </c>
      <c r="F221" t="s">
        <v>606</v>
      </c>
      <c r="G221" t="s">
        <v>598</v>
      </c>
      <c r="H221">
        <v>0</v>
      </c>
      <c r="I221" s="33">
        <v>19781947</v>
      </c>
    </row>
    <row r="222" spans="1:9" s="32" customFormat="1">
      <c r="A222">
        <v>2019</v>
      </c>
      <c r="B222" t="s">
        <v>45</v>
      </c>
      <c r="C222">
        <f t="shared" si="0"/>
        <v>5</v>
      </c>
      <c r="D222" t="s">
        <v>769</v>
      </c>
      <c r="E222" t="s">
        <v>770</v>
      </c>
      <c r="F222" t="s">
        <v>597</v>
      </c>
      <c r="G222" t="s">
        <v>598</v>
      </c>
      <c r="H222" t="s">
        <v>707</v>
      </c>
      <c r="I222" s="33">
        <v>44584926</v>
      </c>
    </row>
    <row r="223" spans="1:9" s="32" customFormat="1">
      <c r="A223">
        <v>2019</v>
      </c>
      <c r="B223" t="s">
        <v>45</v>
      </c>
      <c r="C223">
        <f t="shared" si="0"/>
        <v>6</v>
      </c>
      <c r="D223" t="s">
        <v>771</v>
      </c>
      <c r="E223" t="s">
        <v>772</v>
      </c>
      <c r="F223" t="s">
        <v>606</v>
      </c>
      <c r="G223" t="s">
        <v>598</v>
      </c>
      <c r="H223" t="s">
        <v>616</v>
      </c>
      <c r="I223" s="33">
        <v>113224</v>
      </c>
    </row>
    <row r="224" spans="1:9" s="32" customFormat="1">
      <c r="A224">
        <v>2019</v>
      </c>
      <c r="B224" t="s">
        <v>45</v>
      </c>
      <c r="C224">
        <f t="shared" si="0"/>
        <v>7</v>
      </c>
      <c r="D224" t="s">
        <v>647</v>
      </c>
      <c r="E224" t="s">
        <v>648</v>
      </c>
      <c r="F224" t="s">
        <v>606</v>
      </c>
      <c r="G224" t="s">
        <v>598</v>
      </c>
      <c r="H224" t="s">
        <v>616</v>
      </c>
      <c r="I224" s="33">
        <v>283768</v>
      </c>
    </row>
    <row r="225" spans="1:9" s="32" customFormat="1">
      <c r="A225">
        <v>2019</v>
      </c>
      <c r="B225" t="s">
        <v>45</v>
      </c>
      <c r="C225">
        <f t="shared" si="0"/>
        <v>8</v>
      </c>
      <c r="D225" t="s">
        <v>621</v>
      </c>
      <c r="E225" t="s">
        <v>40</v>
      </c>
      <c r="F225" t="s">
        <v>606</v>
      </c>
      <c r="G225" t="s">
        <v>598</v>
      </c>
      <c r="H225" t="s">
        <v>616</v>
      </c>
      <c r="I225" s="33">
        <v>4295</v>
      </c>
    </row>
    <row r="226" spans="1:9" s="32" customFormat="1">
      <c r="A226">
        <v>2019</v>
      </c>
      <c r="B226" t="s">
        <v>45</v>
      </c>
      <c r="C226">
        <f t="shared" si="0"/>
        <v>9</v>
      </c>
      <c r="D226" t="s">
        <v>747</v>
      </c>
      <c r="E226" t="s">
        <v>775</v>
      </c>
      <c r="F226" t="s">
        <v>606</v>
      </c>
      <c r="G226" t="s">
        <v>598</v>
      </c>
      <c r="H226" t="s">
        <v>616</v>
      </c>
      <c r="I226" s="33">
        <v>16461652</v>
      </c>
    </row>
    <row r="227" spans="1:9" s="32" customFormat="1">
      <c r="A227">
        <v>2019</v>
      </c>
      <c r="B227" t="s">
        <v>45</v>
      </c>
      <c r="C227">
        <f t="shared" si="0"/>
        <v>10</v>
      </c>
      <c r="D227" t="s">
        <v>642</v>
      </c>
      <c r="E227" t="s">
        <v>776</v>
      </c>
      <c r="F227" t="s">
        <v>606</v>
      </c>
      <c r="G227" t="s">
        <v>598</v>
      </c>
      <c r="H227" t="s">
        <v>616</v>
      </c>
      <c r="I227" s="33">
        <v>10217493</v>
      </c>
    </row>
    <row r="228" spans="1:9" s="32" customFormat="1">
      <c r="A228">
        <v>2019</v>
      </c>
      <c r="B228" t="s">
        <v>45</v>
      </c>
      <c r="C228">
        <f t="shared" si="0"/>
        <v>11</v>
      </c>
      <c r="D228" t="s">
        <v>659</v>
      </c>
      <c r="E228" t="s">
        <v>402</v>
      </c>
      <c r="F228" t="s">
        <v>606</v>
      </c>
      <c r="G228" t="s">
        <v>598</v>
      </c>
      <c r="H228" t="s">
        <v>603</v>
      </c>
      <c r="I228" s="33">
        <v>11573104</v>
      </c>
    </row>
    <row r="229" spans="1:9" s="32" customFormat="1">
      <c r="A229">
        <v>2019</v>
      </c>
      <c r="B229" t="s">
        <v>45</v>
      </c>
      <c r="C229">
        <f t="shared" si="0"/>
        <v>12</v>
      </c>
      <c r="D229" t="s">
        <v>676</v>
      </c>
      <c r="E229" t="s">
        <v>317</v>
      </c>
      <c r="F229" t="s">
        <v>606</v>
      </c>
      <c r="G229" t="s">
        <v>598</v>
      </c>
      <c r="H229" t="s">
        <v>616</v>
      </c>
      <c r="I229" s="33">
        <v>64601</v>
      </c>
    </row>
    <row r="230" spans="1:9" s="32" customFormat="1">
      <c r="A230">
        <v>2019</v>
      </c>
      <c r="B230" t="s">
        <v>45</v>
      </c>
      <c r="C230">
        <f t="shared" si="0"/>
        <v>13</v>
      </c>
      <c r="D230" t="s">
        <v>676</v>
      </c>
      <c r="E230" t="s">
        <v>777</v>
      </c>
      <c r="F230" t="s">
        <v>606</v>
      </c>
      <c r="G230" t="s">
        <v>598</v>
      </c>
      <c r="H230" t="s">
        <v>616</v>
      </c>
      <c r="I230" s="33">
        <v>48932</v>
      </c>
    </row>
    <row r="231" spans="1:9" s="32" customFormat="1">
      <c r="A231">
        <v>2019</v>
      </c>
      <c r="B231" t="s">
        <v>45</v>
      </c>
      <c r="C231">
        <f t="shared" si="0"/>
        <v>14</v>
      </c>
      <c r="D231" t="s">
        <v>676</v>
      </c>
      <c r="E231" t="s">
        <v>778</v>
      </c>
      <c r="F231" t="s">
        <v>606</v>
      </c>
      <c r="G231" t="s">
        <v>598</v>
      </c>
      <c r="H231" t="s">
        <v>616</v>
      </c>
      <c r="I231" s="33">
        <v>0</v>
      </c>
    </row>
    <row r="232" spans="1:9" s="32" customFormat="1">
      <c r="A232">
        <v>2019</v>
      </c>
      <c r="B232" t="s">
        <v>45</v>
      </c>
      <c r="C232">
        <f t="shared" si="0"/>
        <v>15</v>
      </c>
      <c r="D232" t="s">
        <v>676</v>
      </c>
      <c r="E232" t="s">
        <v>49</v>
      </c>
      <c r="F232" t="s">
        <v>606</v>
      </c>
      <c r="G232" t="s">
        <v>598</v>
      </c>
      <c r="H232" t="s">
        <v>616</v>
      </c>
      <c r="I232" s="33">
        <v>2640000</v>
      </c>
    </row>
    <row r="233" spans="1:9" s="32" customFormat="1">
      <c r="A233">
        <v>2019</v>
      </c>
      <c r="B233" t="s">
        <v>45</v>
      </c>
      <c r="C233">
        <f t="shared" si="0"/>
        <v>16</v>
      </c>
      <c r="D233" t="s">
        <v>661</v>
      </c>
      <c r="E233" t="s">
        <v>57</v>
      </c>
      <c r="F233" t="s">
        <v>602</v>
      </c>
      <c r="G233" t="s">
        <v>598</v>
      </c>
      <c r="H233" t="s">
        <v>603</v>
      </c>
      <c r="I233" s="33">
        <v>97033612</v>
      </c>
    </row>
    <row r="234" spans="1:9" s="32" customFormat="1">
      <c r="A234">
        <v>2019</v>
      </c>
      <c r="B234" t="s">
        <v>45</v>
      </c>
      <c r="C234">
        <f t="shared" si="0"/>
        <v>17</v>
      </c>
      <c r="D234" t="s">
        <v>613</v>
      </c>
      <c r="E234" t="s">
        <v>614</v>
      </c>
      <c r="F234">
        <v>0</v>
      </c>
      <c r="G234" t="s">
        <v>598</v>
      </c>
      <c r="H234" t="s">
        <v>599</v>
      </c>
      <c r="I234" s="33">
        <v>4957041</v>
      </c>
    </row>
    <row r="235" spans="1:9" s="32" customFormat="1">
      <c r="A235">
        <v>2019</v>
      </c>
      <c r="B235" t="s">
        <v>45</v>
      </c>
      <c r="C235">
        <f t="shared" si="0"/>
        <v>18</v>
      </c>
      <c r="D235" t="s">
        <v>779</v>
      </c>
      <c r="E235" t="s">
        <v>780</v>
      </c>
      <c r="F235" t="s">
        <v>597</v>
      </c>
      <c r="G235" t="s">
        <v>598</v>
      </c>
      <c r="H235" t="s">
        <v>599</v>
      </c>
      <c r="I235" s="33">
        <v>0</v>
      </c>
    </row>
    <row r="236" spans="1:9" s="32" customFormat="1">
      <c r="A236">
        <v>2019</v>
      </c>
      <c r="B236" t="s">
        <v>45</v>
      </c>
      <c r="C236">
        <f t="shared" si="0"/>
        <v>19</v>
      </c>
      <c r="D236" t="s">
        <v>765</v>
      </c>
      <c r="E236" t="s">
        <v>781</v>
      </c>
      <c r="F236">
        <v>0</v>
      </c>
      <c r="G236" t="s">
        <v>598</v>
      </c>
      <c r="H236">
        <v>0</v>
      </c>
      <c r="I236" s="33">
        <v>17314737</v>
      </c>
    </row>
    <row r="237" spans="1:9" s="32" customFormat="1">
      <c r="A237">
        <v>2019</v>
      </c>
      <c r="B237" t="s">
        <v>45</v>
      </c>
      <c r="C237">
        <f t="shared" si="0"/>
        <v>20</v>
      </c>
      <c r="D237" t="s">
        <v>676</v>
      </c>
      <c r="E237" t="s">
        <v>783</v>
      </c>
      <c r="F237" t="s">
        <v>606</v>
      </c>
      <c r="G237" t="s">
        <v>598</v>
      </c>
      <c r="H237" t="s">
        <v>616</v>
      </c>
      <c r="I237" s="33">
        <v>0</v>
      </c>
    </row>
    <row r="238" spans="1:9" s="32" customFormat="1">
      <c r="A238">
        <v>2019</v>
      </c>
      <c r="B238" t="s">
        <v>45</v>
      </c>
      <c r="C238">
        <f t="shared" si="0"/>
        <v>21</v>
      </c>
      <c r="D238" t="s">
        <v>676</v>
      </c>
      <c r="E238" t="s">
        <v>215</v>
      </c>
      <c r="F238" t="s">
        <v>606</v>
      </c>
      <c r="G238" t="s">
        <v>598</v>
      </c>
      <c r="H238" t="s">
        <v>616</v>
      </c>
      <c r="I238" s="33">
        <v>3470000</v>
      </c>
    </row>
    <row r="239" spans="1:9" s="32" customFormat="1">
      <c r="A239">
        <v>2019</v>
      </c>
      <c r="B239" t="s">
        <v>45</v>
      </c>
      <c r="C239">
        <f t="shared" si="0"/>
        <v>22</v>
      </c>
      <c r="D239" t="s">
        <v>676</v>
      </c>
      <c r="E239" t="s">
        <v>784</v>
      </c>
      <c r="F239" t="s">
        <v>606</v>
      </c>
      <c r="G239" t="s">
        <v>598</v>
      </c>
      <c r="H239" t="s">
        <v>616</v>
      </c>
      <c r="I239" s="33">
        <v>983086</v>
      </c>
    </row>
    <row r="240" spans="1:9" s="32" customFormat="1">
      <c r="A240">
        <v>2019</v>
      </c>
      <c r="B240" t="s">
        <v>45</v>
      </c>
      <c r="C240">
        <f t="shared" si="0"/>
        <v>23</v>
      </c>
      <c r="D240" t="s">
        <v>785</v>
      </c>
      <c r="E240" t="s">
        <v>786</v>
      </c>
      <c r="F240" t="s">
        <v>606</v>
      </c>
      <c r="G240" t="s">
        <v>598</v>
      </c>
      <c r="H240" t="s">
        <v>616</v>
      </c>
      <c r="I240" s="33">
        <v>0</v>
      </c>
    </row>
    <row r="241" spans="1:9" s="32" customFormat="1">
      <c r="A241">
        <v>2019</v>
      </c>
      <c r="B241" t="s">
        <v>45</v>
      </c>
      <c r="C241">
        <f t="shared" si="0"/>
        <v>24</v>
      </c>
      <c r="D241" t="s">
        <v>676</v>
      </c>
      <c r="E241" t="s">
        <v>787</v>
      </c>
      <c r="F241" t="s">
        <v>606</v>
      </c>
      <c r="G241" t="s">
        <v>598</v>
      </c>
      <c r="H241" t="s">
        <v>616</v>
      </c>
      <c r="I241" s="33">
        <v>0</v>
      </c>
    </row>
    <row r="242" spans="1:9" s="32" customFormat="1">
      <c r="A242">
        <v>2019</v>
      </c>
      <c r="B242" t="s">
        <v>45</v>
      </c>
      <c r="C242">
        <f t="shared" si="0"/>
        <v>25</v>
      </c>
      <c r="D242" t="s">
        <v>788</v>
      </c>
      <c r="E242" t="s">
        <v>789</v>
      </c>
      <c r="F242" t="s">
        <v>606</v>
      </c>
      <c r="G242" t="s">
        <v>598</v>
      </c>
      <c r="H242" t="s">
        <v>616</v>
      </c>
      <c r="I242" s="33">
        <v>0</v>
      </c>
    </row>
    <row r="243" spans="1:9" s="32" customFormat="1">
      <c r="A243">
        <v>2019</v>
      </c>
      <c r="B243" t="s">
        <v>45</v>
      </c>
      <c r="C243">
        <f t="shared" si="0"/>
        <v>26</v>
      </c>
      <c r="D243" t="s">
        <v>676</v>
      </c>
      <c r="E243" t="s">
        <v>176</v>
      </c>
      <c r="F243" t="s">
        <v>606</v>
      </c>
      <c r="G243" t="s">
        <v>598</v>
      </c>
      <c r="H243" t="s">
        <v>616</v>
      </c>
      <c r="I243" s="33">
        <v>14917516</v>
      </c>
    </row>
    <row r="244" spans="1:9" s="32" customFormat="1">
      <c r="A244">
        <v>2019</v>
      </c>
      <c r="B244" t="s">
        <v>45</v>
      </c>
      <c r="C244">
        <f t="shared" si="0"/>
        <v>27</v>
      </c>
      <c r="D244" t="s">
        <v>676</v>
      </c>
      <c r="E244" t="s">
        <v>790</v>
      </c>
      <c r="F244" t="s">
        <v>606</v>
      </c>
      <c r="G244" t="s">
        <v>598</v>
      </c>
      <c r="H244" t="s">
        <v>616</v>
      </c>
      <c r="I244" s="33">
        <v>2300000</v>
      </c>
    </row>
    <row r="245" spans="1:9" s="32" customFormat="1">
      <c r="A245">
        <v>2019</v>
      </c>
      <c r="B245" t="s">
        <v>45</v>
      </c>
      <c r="C245">
        <f t="shared" si="0"/>
        <v>28</v>
      </c>
      <c r="D245" t="s">
        <v>676</v>
      </c>
      <c r="E245" t="s">
        <v>791</v>
      </c>
      <c r="F245">
        <v>0</v>
      </c>
      <c r="G245" t="s">
        <v>598</v>
      </c>
      <c r="H245">
        <v>0</v>
      </c>
      <c r="I245" s="33">
        <v>1736047</v>
      </c>
    </row>
    <row r="246" spans="1:9" s="32" customFormat="1">
      <c r="A246">
        <v>2019</v>
      </c>
      <c r="B246" t="s">
        <v>46</v>
      </c>
      <c r="C246">
        <v>1</v>
      </c>
      <c r="D246" t="s">
        <v>617</v>
      </c>
      <c r="E246" t="s">
        <v>55</v>
      </c>
      <c r="F246" t="s">
        <v>606</v>
      </c>
      <c r="G246" t="s">
        <v>598</v>
      </c>
      <c r="H246" t="s">
        <v>616</v>
      </c>
      <c r="I246" s="33">
        <v>151056221</v>
      </c>
    </row>
    <row r="247" spans="1:9" s="32" customFormat="1">
      <c r="A247">
        <v>2019</v>
      </c>
      <c r="B247" t="s">
        <v>46</v>
      </c>
      <c r="C247">
        <f t="shared" ref="C247:C259" si="1">C246+1</f>
        <v>2</v>
      </c>
      <c r="D247" t="s">
        <v>625</v>
      </c>
      <c r="E247" t="s">
        <v>172</v>
      </c>
      <c r="F247" t="s">
        <v>606</v>
      </c>
      <c r="G247" t="s">
        <v>598</v>
      </c>
      <c r="H247" t="s">
        <v>616</v>
      </c>
      <c r="I247" s="33">
        <v>19005956</v>
      </c>
    </row>
    <row r="248" spans="1:9" s="32" customFormat="1">
      <c r="A248">
        <v>2019</v>
      </c>
      <c r="B248" t="s">
        <v>46</v>
      </c>
      <c r="C248">
        <f t="shared" si="1"/>
        <v>3</v>
      </c>
      <c r="D248" t="s">
        <v>793</v>
      </c>
      <c r="E248" t="s">
        <v>195</v>
      </c>
      <c r="F248" t="s">
        <v>606</v>
      </c>
      <c r="G248" t="s">
        <v>598</v>
      </c>
      <c r="H248" t="s">
        <v>599</v>
      </c>
      <c r="I248" s="33">
        <v>7272220</v>
      </c>
    </row>
    <row r="249" spans="1:9" s="32" customFormat="1">
      <c r="A249">
        <v>2019</v>
      </c>
      <c r="B249" t="s">
        <v>46</v>
      </c>
      <c r="C249">
        <f t="shared" si="1"/>
        <v>4</v>
      </c>
      <c r="D249" t="s">
        <v>676</v>
      </c>
      <c r="E249" t="s">
        <v>238</v>
      </c>
      <c r="F249" t="s">
        <v>606</v>
      </c>
      <c r="G249" t="s">
        <v>598</v>
      </c>
      <c r="H249" t="s">
        <v>658</v>
      </c>
      <c r="I249" s="33">
        <v>1692572</v>
      </c>
    </row>
    <row r="250" spans="1:9" s="32" customFormat="1">
      <c r="A250">
        <v>2019</v>
      </c>
      <c r="B250" t="s">
        <v>46</v>
      </c>
      <c r="C250">
        <f t="shared" si="1"/>
        <v>5</v>
      </c>
      <c r="D250" t="s">
        <v>794</v>
      </c>
      <c r="E250" t="s">
        <v>795</v>
      </c>
      <c r="F250" t="s">
        <v>606</v>
      </c>
      <c r="G250" t="s">
        <v>598</v>
      </c>
      <c r="H250" t="s">
        <v>599</v>
      </c>
      <c r="I250" s="33">
        <v>22931</v>
      </c>
    </row>
    <row r="251" spans="1:9" s="32" customFormat="1">
      <c r="A251">
        <v>2019</v>
      </c>
      <c r="B251" t="s">
        <v>46</v>
      </c>
      <c r="C251">
        <f t="shared" si="1"/>
        <v>6</v>
      </c>
      <c r="D251" t="s">
        <v>676</v>
      </c>
      <c r="E251" t="s">
        <v>227</v>
      </c>
      <c r="F251" t="s">
        <v>606</v>
      </c>
      <c r="G251" t="s">
        <v>598</v>
      </c>
      <c r="H251" t="s">
        <v>616</v>
      </c>
      <c r="I251" s="33">
        <v>2709986</v>
      </c>
    </row>
    <row r="252" spans="1:9" s="32" customFormat="1">
      <c r="A252">
        <v>2019</v>
      </c>
      <c r="B252" t="s">
        <v>46</v>
      </c>
      <c r="C252">
        <f t="shared" si="1"/>
        <v>7</v>
      </c>
      <c r="D252" t="s">
        <v>676</v>
      </c>
      <c r="E252" t="s">
        <v>50</v>
      </c>
      <c r="F252" t="s">
        <v>606</v>
      </c>
      <c r="G252" t="s">
        <v>598</v>
      </c>
      <c r="H252" t="s">
        <v>616</v>
      </c>
      <c r="I252" s="33">
        <v>140937</v>
      </c>
    </row>
    <row r="253" spans="1:9" s="32" customFormat="1">
      <c r="A253">
        <v>2019</v>
      </c>
      <c r="B253" t="s">
        <v>46</v>
      </c>
      <c r="C253">
        <f t="shared" si="1"/>
        <v>8</v>
      </c>
      <c r="D253" t="s">
        <v>796</v>
      </c>
      <c r="E253" t="s">
        <v>797</v>
      </c>
      <c r="F253" t="s">
        <v>606</v>
      </c>
      <c r="G253" t="s">
        <v>598</v>
      </c>
      <c r="H253" t="s">
        <v>616</v>
      </c>
      <c r="I253" s="33">
        <v>0</v>
      </c>
    </row>
    <row r="254" spans="1:9" s="32" customFormat="1">
      <c r="A254">
        <v>2019</v>
      </c>
      <c r="B254" t="s">
        <v>46</v>
      </c>
      <c r="C254">
        <f t="shared" si="1"/>
        <v>9</v>
      </c>
      <c r="D254" t="s">
        <v>676</v>
      </c>
      <c r="E254" t="s">
        <v>798</v>
      </c>
      <c r="F254" t="s">
        <v>606</v>
      </c>
      <c r="G254" t="s">
        <v>598</v>
      </c>
      <c r="H254" t="s">
        <v>616</v>
      </c>
      <c r="I254" s="33">
        <v>0</v>
      </c>
    </row>
    <row r="255" spans="1:9" s="32" customFormat="1">
      <c r="A255">
        <v>2019</v>
      </c>
      <c r="B255" t="s">
        <v>47</v>
      </c>
      <c r="C255">
        <v>1</v>
      </c>
      <c r="D255" t="s">
        <v>800</v>
      </c>
      <c r="E255" t="s">
        <v>458</v>
      </c>
      <c r="F255" t="s">
        <v>606</v>
      </c>
      <c r="G255" t="s">
        <v>598</v>
      </c>
      <c r="H255" t="s">
        <v>616</v>
      </c>
      <c r="I255" s="33">
        <v>711507</v>
      </c>
    </row>
    <row r="256" spans="1:9" s="32" customFormat="1">
      <c r="A256">
        <v>2019</v>
      </c>
      <c r="B256" t="s">
        <v>47</v>
      </c>
      <c r="C256">
        <f t="shared" si="1"/>
        <v>2</v>
      </c>
      <c r="D256" t="s">
        <v>802</v>
      </c>
      <c r="E256" t="s">
        <v>803</v>
      </c>
      <c r="F256" t="s">
        <v>606</v>
      </c>
      <c r="G256" t="s">
        <v>598</v>
      </c>
      <c r="H256" t="s">
        <v>616</v>
      </c>
      <c r="I256" s="33">
        <v>0</v>
      </c>
    </row>
    <row r="257" spans="1:9" s="32" customFormat="1">
      <c r="A257">
        <v>2019</v>
      </c>
      <c r="B257" t="s">
        <v>47</v>
      </c>
      <c r="C257">
        <f t="shared" si="1"/>
        <v>3</v>
      </c>
      <c r="D257" t="s">
        <v>804</v>
      </c>
      <c r="E257" t="s">
        <v>805</v>
      </c>
      <c r="F257" t="s">
        <v>606</v>
      </c>
      <c r="G257" t="s">
        <v>598</v>
      </c>
      <c r="H257" t="s">
        <v>658</v>
      </c>
      <c r="I257" s="33">
        <v>0</v>
      </c>
    </row>
    <row r="258" spans="1:9" s="32" customFormat="1">
      <c r="A258">
        <v>2019</v>
      </c>
      <c r="B258" t="s">
        <v>47</v>
      </c>
      <c r="C258">
        <f t="shared" si="1"/>
        <v>4</v>
      </c>
      <c r="D258" t="s">
        <v>676</v>
      </c>
      <c r="E258" t="s">
        <v>798</v>
      </c>
      <c r="F258" t="s">
        <v>606</v>
      </c>
      <c r="G258" t="s">
        <v>598</v>
      </c>
      <c r="H258" t="s">
        <v>616</v>
      </c>
      <c r="I258" s="33">
        <v>0</v>
      </c>
    </row>
    <row r="259" spans="1:9" s="32" customFormat="1">
      <c r="A259">
        <v>2019</v>
      </c>
      <c r="B259" t="s">
        <v>47</v>
      </c>
      <c r="C259">
        <f t="shared" si="1"/>
        <v>5</v>
      </c>
      <c r="D259" t="s">
        <v>807</v>
      </c>
      <c r="E259" t="s">
        <v>56</v>
      </c>
      <c r="F259" t="s">
        <v>602</v>
      </c>
      <c r="G259" t="s">
        <v>598</v>
      </c>
      <c r="H259" t="s">
        <v>603</v>
      </c>
      <c r="I259" s="33">
        <v>3012514</v>
      </c>
    </row>
    <row r="260" spans="1:9">
      <c r="A260">
        <v>2018</v>
      </c>
      <c r="B260" t="s">
        <v>44</v>
      </c>
      <c r="C260">
        <v>1</v>
      </c>
      <c r="D260" t="s">
        <v>811</v>
      </c>
      <c r="E260" t="s">
        <v>7</v>
      </c>
      <c r="F260" t="s">
        <v>606</v>
      </c>
      <c r="G260" t="s">
        <v>598</v>
      </c>
      <c r="H260" t="s">
        <v>616</v>
      </c>
      <c r="I260" s="33">
        <v>544068574</v>
      </c>
    </row>
    <row r="261" spans="1:9">
      <c r="A261">
        <v>2018</v>
      </c>
      <c r="B261" t="s">
        <v>44</v>
      </c>
      <c r="C261">
        <f>C260+1</f>
        <v>2</v>
      </c>
      <c r="D261" t="s">
        <v>813</v>
      </c>
      <c r="E261" t="s">
        <v>359</v>
      </c>
      <c r="F261" t="s">
        <v>606</v>
      </c>
      <c r="G261" t="s">
        <v>598</v>
      </c>
      <c r="H261" t="s">
        <v>616</v>
      </c>
      <c r="I261" s="33">
        <v>533601535</v>
      </c>
    </row>
    <row r="262" spans="1:9">
      <c r="A262">
        <v>2018</v>
      </c>
      <c r="B262" t="s">
        <v>44</v>
      </c>
      <c r="C262">
        <f t="shared" ref="C262:C325" si="2">C261+1</f>
        <v>3</v>
      </c>
      <c r="D262" t="s">
        <v>814</v>
      </c>
      <c r="E262" t="s">
        <v>365</v>
      </c>
      <c r="F262" t="s">
        <v>1398</v>
      </c>
      <c r="G262" t="s">
        <v>598</v>
      </c>
      <c r="H262" t="s">
        <v>603</v>
      </c>
      <c r="I262" s="33">
        <v>133650584</v>
      </c>
    </row>
    <row r="263" spans="1:9">
      <c r="A263">
        <v>2018</v>
      </c>
      <c r="B263" t="s">
        <v>44</v>
      </c>
      <c r="C263">
        <f t="shared" si="2"/>
        <v>4</v>
      </c>
      <c r="D263" t="s">
        <v>811</v>
      </c>
      <c r="E263" t="s">
        <v>362</v>
      </c>
      <c r="F263" t="s">
        <v>606</v>
      </c>
      <c r="G263" t="s">
        <v>611</v>
      </c>
      <c r="H263" t="s">
        <v>607</v>
      </c>
      <c r="I263" s="33">
        <v>361683815</v>
      </c>
    </row>
    <row r="264" spans="1:9">
      <c r="A264">
        <v>2018</v>
      </c>
      <c r="B264" t="s">
        <v>44</v>
      </c>
      <c r="C264">
        <f t="shared" si="2"/>
        <v>5</v>
      </c>
      <c r="D264" t="s">
        <v>815</v>
      </c>
      <c r="E264" t="s">
        <v>364</v>
      </c>
      <c r="G264" t="s">
        <v>598</v>
      </c>
      <c r="H264" t="s">
        <v>616</v>
      </c>
      <c r="I264" s="33">
        <v>198330770</v>
      </c>
    </row>
    <row r="265" spans="1:9">
      <c r="A265">
        <v>2018</v>
      </c>
      <c r="B265" t="s">
        <v>44</v>
      </c>
      <c r="C265">
        <f t="shared" si="2"/>
        <v>6</v>
      </c>
      <c r="D265" t="s">
        <v>816</v>
      </c>
      <c r="E265" t="s">
        <v>367</v>
      </c>
      <c r="G265" t="s">
        <v>598</v>
      </c>
      <c r="I265" s="33">
        <v>118128641</v>
      </c>
    </row>
    <row r="266" spans="1:9">
      <c r="A266">
        <v>2018</v>
      </c>
      <c r="B266" t="s">
        <v>44</v>
      </c>
      <c r="C266">
        <f t="shared" si="2"/>
        <v>7</v>
      </c>
      <c r="D266" t="s">
        <v>817</v>
      </c>
      <c r="E266" t="s">
        <v>373</v>
      </c>
      <c r="F266" t="s">
        <v>606</v>
      </c>
      <c r="G266" t="s">
        <v>598</v>
      </c>
      <c r="H266" t="s">
        <v>603</v>
      </c>
      <c r="I266" s="33">
        <v>90035547</v>
      </c>
    </row>
    <row r="267" spans="1:9">
      <c r="A267">
        <v>2018</v>
      </c>
      <c r="B267" t="s">
        <v>44</v>
      </c>
      <c r="C267">
        <f t="shared" si="2"/>
        <v>8</v>
      </c>
      <c r="D267" t="s">
        <v>811</v>
      </c>
      <c r="E267" t="s">
        <v>368</v>
      </c>
      <c r="F267" t="s">
        <v>602</v>
      </c>
      <c r="G267" t="s">
        <v>598</v>
      </c>
      <c r="H267" t="s">
        <v>603</v>
      </c>
      <c r="I267" s="33">
        <v>115089944</v>
      </c>
    </row>
    <row r="268" spans="1:9">
      <c r="A268">
        <v>2018</v>
      </c>
      <c r="B268" t="s">
        <v>44</v>
      </c>
      <c r="C268">
        <f t="shared" si="2"/>
        <v>9</v>
      </c>
      <c r="D268" t="s">
        <v>818</v>
      </c>
      <c r="E268" t="s">
        <v>819</v>
      </c>
      <c r="F268" t="s">
        <v>606</v>
      </c>
      <c r="G268" t="s">
        <v>598</v>
      </c>
      <c r="H268" t="s">
        <v>616</v>
      </c>
      <c r="I268" s="33">
        <v>57628372</v>
      </c>
    </row>
    <row r="269" spans="1:9">
      <c r="A269">
        <v>2018</v>
      </c>
      <c r="B269" t="s">
        <v>44</v>
      </c>
      <c r="C269">
        <f t="shared" si="2"/>
        <v>10</v>
      </c>
      <c r="D269" t="s">
        <v>820</v>
      </c>
      <c r="E269" t="s">
        <v>400</v>
      </c>
      <c r="G269" t="s">
        <v>598</v>
      </c>
      <c r="I269" s="33">
        <v>11828404</v>
      </c>
    </row>
    <row r="270" spans="1:9">
      <c r="A270">
        <v>2018</v>
      </c>
      <c r="B270" t="s">
        <v>44</v>
      </c>
      <c r="C270">
        <f t="shared" si="2"/>
        <v>11</v>
      </c>
      <c r="D270" t="s">
        <v>821</v>
      </c>
      <c r="E270" t="s">
        <v>822</v>
      </c>
      <c r="F270" t="s">
        <v>597</v>
      </c>
      <c r="G270" t="s">
        <v>598</v>
      </c>
      <c r="H270" t="s">
        <v>599</v>
      </c>
      <c r="I270" s="33">
        <v>153994</v>
      </c>
    </row>
    <row r="271" spans="1:9">
      <c r="A271">
        <v>2018</v>
      </c>
      <c r="B271" t="s">
        <v>44</v>
      </c>
      <c r="C271">
        <f t="shared" si="2"/>
        <v>12</v>
      </c>
      <c r="D271" t="s">
        <v>824</v>
      </c>
      <c r="E271" t="s">
        <v>386</v>
      </c>
      <c r="F271" t="s">
        <v>606</v>
      </c>
      <c r="G271" t="s">
        <v>598</v>
      </c>
      <c r="H271" t="s">
        <v>616</v>
      </c>
      <c r="I271" s="33">
        <v>37013430</v>
      </c>
    </row>
    <row r="272" spans="1:9">
      <c r="A272">
        <v>2018</v>
      </c>
      <c r="B272" t="s">
        <v>44</v>
      </c>
      <c r="C272">
        <f t="shared" si="2"/>
        <v>13</v>
      </c>
      <c r="D272" t="s">
        <v>825</v>
      </c>
      <c r="E272" t="s">
        <v>406</v>
      </c>
      <c r="F272" t="s">
        <v>606</v>
      </c>
      <c r="G272" t="s">
        <v>598</v>
      </c>
      <c r="H272" t="s">
        <v>616</v>
      </c>
      <c r="I272" s="33">
        <v>10381054</v>
      </c>
    </row>
    <row r="273" spans="1:9">
      <c r="A273">
        <v>2018</v>
      </c>
      <c r="B273" t="s">
        <v>44</v>
      </c>
      <c r="C273">
        <f t="shared" si="2"/>
        <v>14</v>
      </c>
      <c r="D273" t="s">
        <v>826</v>
      </c>
      <c r="E273" t="s">
        <v>470</v>
      </c>
      <c r="F273" t="s">
        <v>606</v>
      </c>
      <c r="G273" t="s">
        <v>631</v>
      </c>
      <c r="H273" t="s">
        <v>616</v>
      </c>
      <c r="I273" s="33">
        <v>503950</v>
      </c>
    </row>
    <row r="274" spans="1:9">
      <c r="A274">
        <v>2018</v>
      </c>
      <c r="B274" t="s">
        <v>44</v>
      </c>
      <c r="C274">
        <f t="shared" si="2"/>
        <v>15</v>
      </c>
      <c r="D274" t="s">
        <v>818</v>
      </c>
      <c r="E274" t="s">
        <v>827</v>
      </c>
      <c r="F274" t="s">
        <v>602</v>
      </c>
      <c r="G274" t="s">
        <v>598</v>
      </c>
      <c r="H274" t="s">
        <v>616</v>
      </c>
      <c r="I274" s="33">
        <v>35327718</v>
      </c>
    </row>
    <row r="275" spans="1:9">
      <c r="A275">
        <v>2018</v>
      </c>
      <c r="B275" t="s">
        <v>44</v>
      </c>
      <c r="C275">
        <f t="shared" si="2"/>
        <v>16</v>
      </c>
      <c r="D275" t="s">
        <v>828</v>
      </c>
      <c r="E275" t="s">
        <v>407</v>
      </c>
      <c r="F275" t="s">
        <v>606</v>
      </c>
      <c r="G275" t="s">
        <v>598</v>
      </c>
      <c r="H275" t="s">
        <v>616</v>
      </c>
      <c r="I275" s="33">
        <v>10281835</v>
      </c>
    </row>
    <row r="276" spans="1:9">
      <c r="A276">
        <v>2018</v>
      </c>
      <c r="B276" t="s">
        <v>44</v>
      </c>
      <c r="C276">
        <f t="shared" si="2"/>
        <v>17</v>
      </c>
      <c r="D276" t="s">
        <v>829</v>
      </c>
      <c r="E276" t="s">
        <v>393</v>
      </c>
      <c r="F276" t="s">
        <v>606</v>
      </c>
      <c r="G276" t="s">
        <v>598</v>
      </c>
      <c r="H276" t="s">
        <v>616</v>
      </c>
      <c r="I276" s="33">
        <v>19110296</v>
      </c>
    </row>
    <row r="277" spans="1:9">
      <c r="A277">
        <v>2018</v>
      </c>
      <c r="B277" t="s">
        <v>44</v>
      </c>
      <c r="C277">
        <f t="shared" si="2"/>
        <v>18</v>
      </c>
      <c r="D277" t="s">
        <v>830</v>
      </c>
      <c r="E277" t="s">
        <v>537</v>
      </c>
      <c r="F277" t="s">
        <v>597</v>
      </c>
      <c r="G277" t="s">
        <v>598</v>
      </c>
      <c r="H277" t="s">
        <v>599</v>
      </c>
      <c r="I277" s="33">
        <v>15241</v>
      </c>
    </row>
    <row r="278" spans="1:9">
      <c r="A278">
        <v>2018</v>
      </c>
      <c r="B278" t="s">
        <v>44</v>
      </c>
      <c r="C278">
        <f t="shared" si="2"/>
        <v>19</v>
      </c>
      <c r="D278" t="s">
        <v>832</v>
      </c>
      <c r="E278" t="s">
        <v>833</v>
      </c>
      <c r="F278" t="s">
        <v>597</v>
      </c>
      <c r="G278" t="s">
        <v>598</v>
      </c>
      <c r="H278" t="s">
        <v>707</v>
      </c>
      <c r="I278" s="33">
        <v>499527</v>
      </c>
    </row>
    <row r="279" spans="1:9">
      <c r="A279">
        <v>2018</v>
      </c>
      <c r="B279" t="s">
        <v>44</v>
      </c>
      <c r="C279">
        <f t="shared" si="2"/>
        <v>20</v>
      </c>
      <c r="D279" t="s">
        <v>835</v>
      </c>
      <c r="E279" t="s">
        <v>836</v>
      </c>
      <c r="F279" t="s">
        <v>1399</v>
      </c>
      <c r="G279" t="s">
        <v>598</v>
      </c>
      <c r="H279" t="s">
        <v>616</v>
      </c>
      <c r="I279" s="33">
        <v>1278065</v>
      </c>
    </row>
    <row r="280" spans="1:9">
      <c r="A280">
        <v>2018</v>
      </c>
      <c r="B280" t="s">
        <v>44</v>
      </c>
      <c r="C280">
        <f t="shared" si="2"/>
        <v>21</v>
      </c>
      <c r="D280" t="s">
        <v>837</v>
      </c>
      <c r="E280" t="s">
        <v>838</v>
      </c>
      <c r="F280" t="s">
        <v>597</v>
      </c>
      <c r="G280" t="s">
        <v>598</v>
      </c>
      <c r="H280" t="s">
        <v>599</v>
      </c>
      <c r="I280" s="33">
        <v>1034</v>
      </c>
    </row>
    <row r="281" spans="1:9">
      <c r="A281">
        <v>2018</v>
      </c>
      <c r="B281" t="s">
        <v>44</v>
      </c>
      <c r="C281">
        <f t="shared" si="2"/>
        <v>22</v>
      </c>
      <c r="D281" t="s">
        <v>829</v>
      </c>
      <c r="E281" t="s">
        <v>380</v>
      </c>
      <c r="H281" t="s">
        <v>603</v>
      </c>
      <c r="I281" s="33">
        <v>54663066</v>
      </c>
    </row>
    <row r="282" spans="1:9">
      <c r="A282">
        <v>2018</v>
      </c>
      <c r="B282" t="s">
        <v>44</v>
      </c>
      <c r="C282">
        <f t="shared" si="2"/>
        <v>23</v>
      </c>
      <c r="D282" t="s">
        <v>841</v>
      </c>
      <c r="E282" t="s">
        <v>842</v>
      </c>
      <c r="F282" t="s">
        <v>606</v>
      </c>
      <c r="G282" t="s">
        <v>598</v>
      </c>
      <c r="H282" t="s">
        <v>616</v>
      </c>
      <c r="I282" s="33">
        <v>1637776</v>
      </c>
    </row>
    <row r="283" spans="1:9">
      <c r="A283">
        <v>2018</v>
      </c>
      <c r="B283" t="s">
        <v>44</v>
      </c>
      <c r="C283">
        <f t="shared" si="2"/>
        <v>24</v>
      </c>
      <c r="D283" t="s">
        <v>843</v>
      </c>
      <c r="E283" t="s">
        <v>844</v>
      </c>
      <c r="F283" t="s">
        <v>606</v>
      </c>
      <c r="G283" t="s">
        <v>598</v>
      </c>
      <c r="H283" t="s">
        <v>616</v>
      </c>
      <c r="I283" s="33">
        <v>9796094</v>
      </c>
    </row>
    <row r="284" spans="1:9">
      <c r="A284">
        <v>2018</v>
      </c>
      <c r="B284" t="s">
        <v>44</v>
      </c>
      <c r="C284">
        <f t="shared" si="2"/>
        <v>25</v>
      </c>
      <c r="D284" t="s">
        <v>845</v>
      </c>
      <c r="E284" t="s">
        <v>846</v>
      </c>
      <c r="F284" t="s">
        <v>597</v>
      </c>
      <c r="G284" t="s">
        <v>598</v>
      </c>
      <c r="H284" t="s">
        <v>599</v>
      </c>
      <c r="I284" s="33">
        <v>0</v>
      </c>
    </row>
    <row r="285" spans="1:9">
      <c r="A285">
        <v>2018</v>
      </c>
      <c r="B285" t="s">
        <v>44</v>
      </c>
      <c r="C285">
        <f t="shared" si="2"/>
        <v>26</v>
      </c>
      <c r="D285" t="s">
        <v>848</v>
      </c>
      <c r="E285" t="s">
        <v>849</v>
      </c>
      <c r="F285" t="s">
        <v>606</v>
      </c>
      <c r="G285" t="s">
        <v>598</v>
      </c>
      <c r="H285" t="s">
        <v>616</v>
      </c>
      <c r="I285" s="33">
        <v>2669935</v>
      </c>
    </row>
    <row r="286" spans="1:9">
      <c r="A286">
        <v>2018</v>
      </c>
      <c r="B286" t="s">
        <v>44</v>
      </c>
      <c r="C286">
        <f t="shared" si="2"/>
        <v>27</v>
      </c>
      <c r="D286" t="s">
        <v>850</v>
      </c>
      <c r="E286" t="s">
        <v>851</v>
      </c>
      <c r="F286" t="s">
        <v>606</v>
      </c>
      <c r="G286" t="s">
        <v>598</v>
      </c>
      <c r="H286" t="s">
        <v>603</v>
      </c>
      <c r="I286" s="33">
        <v>47872755</v>
      </c>
    </row>
    <row r="287" spans="1:9">
      <c r="A287">
        <v>2018</v>
      </c>
      <c r="B287" t="s">
        <v>44</v>
      </c>
      <c r="C287">
        <f t="shared" si="2"/>
        <v>28</v>
      </c>
      <c r="D287" t="s">
        <v>818</v>
      </c>
      <c r="E287" t="s">
        <v>853</v>
      </c>
      <c r="F287" t="s">
        <v>606</v>
      </c>
      <c r="G287" t="s">
        <v>703</v>
      </c>
      <c r="H287" t="s">
        <v>603</v>
      </c>
      <c r="I287" s="33">
        <v>46154324</v>
      </c>
    </row>
    <row r="288" spans="1:9">
      <c r="A288">
        <v>2018</v>
      </c>
      <c r="B288" t="s">
        <v>44</v>
      </c>
      <c r="C288">
        <f t="shared" si="2"/>
        <v>29</v>
      </c>
      <c r="D288" t="s">
        <v>854</v>
      </c>
      <c r="E288" t="s">
        <v>855</v>
      </c>
      <c r="F288" t="s">
        <v>606</v>
      </c>
      <c r="G288" t="s">
        <v>598</v>
      </c>
      <c r="H288" t="s">
        <v>616</v>
      </c>
      <c r="I288" s="33">
        <v>16668668</v>
      </c>
    </row>
    <row r="289" spans="1:9">
      <c r="A289">
        <v>2018</v>
      </c>
      <c r="B289" t="s">
        <v>44</v>
      </c>
      <c r="C289">
        <f t="shared" si="2"/>
        <v>30</v>
      </c>
      <c r="D289" t="s">
        <v>857</v>
      </c>
      <c r="E289" t="s">
        <v>858</v>
      </c>
      <c r="F289" t="s">
        <v>606</v>
      </c>
      <c r="G289" t="s">
        <v>598</v>
      </c>
      <c r="H289" t="s">
        <v>616</v>
      </c>
      <c r="I289" s="33">
        <v>22682660</v>
      </c>
    </row>
    <row r="290" spans="1:9">
      <c r="A290">
        <v>2018</v>
      </c>
      <c r="B290" t="s">
        <v>44</v>
      </c>
      <c r="C290">
        <f t="shared" si="2"/>
        <v>31</v>
      </c>
      <c r="D290" t="s">
        <v>856</v>
      </c>
      <c r="E290" t="s">
        <v>556</v>
      </c>
      <c r="G290" t="s">
        <v>598</v>
      </c>
      <c r="H290" t="s">
        <v>607</v>
      </c>
      <c r="I290" s="33">
        <v>0</v>
      </c>
    </row>
    <row r="291" spans="1:9">
      <c r="A291">
        <v>2018</v>
      </c>
      <c r="B291" t="s">
        <v>44</v>
      </c>
      <c r="C291">
        <f t="shared" si="2"/>
        <v>32</v>
      </c>
      <c r="D291" t="s">
        <v>859</v>
      </c>
      <c r="E291" t="s">
        <v>860</v>
      </c>
      <c r="F291" t="s">
        <v>666</v>
      </c>
      <c r="G291" t="s">
        <v>703</v>
      </c>
      <c r="H291" t="s">
        <v>603</v>
      </c>
      <c r="I291" s="33">
        <v>103651195</v>
      </c>
    </row>
    <row r="292" spans="1:9">
      <c r="A292">
        <v>2018</v>
      </c>
      <c r="B292" t="s">
        <v>44</v>
      </c>
      <c r="C292">
        <f t="shared" si="2"/>
        <v>33</v>
      </c>
      <c r="D292" t="s">
        <v>813</v>
      </c>
      <c r="E292" t="s">
        <v>412</v>
      </c>
      <c r="F292" t="s">
        <v>606</v>
      </c>
      <c r="G292" t="s">
        <v>598</v>
      </c>
      <c r="H292" t="s">
        <v>607</v>
      </c>
      <c r="I292" s="33">
        <v>7835554</v>
      </c>
    </row>
    <row r="293" spans="1:9">
      <c r="A293">
        <v>2018</v>
      </c>
      <c r="B293" t="s">
        <v>44</v>
      </c>
      <c r="C293">
        <f t="shared" si="2"/>
        <v>34</v>
      </c>
      <c r="D293" t="s">
        <v>862</v>
      </c>
      <c r="E293" t="s">
        <v>469</v>
      </c>
      <c r="F293" t="s">
        <v>606</v>
      </c>
      <c r="G293" t="s">
        <v>598</v>
      </c>
      <c r="H293" t="s">
        <v>658</v>
      </c>
      <c r="I293" s="33">
        <v>516279</v>
      </c>
    </row>
    <row r="294" spans="1:9">
      <c r="A294">
        <v>2018</v>
      </c>
      <c r="B294" t="s">
        <v>44</v>
      </c>
      <c r="C294">
        <f t="shared" si="2"/>
        <v>35</v>
      </c>
      <c r="D294" t="s">
        <v>863</v>
      </c>
      <c r="E294" t="s">
        <v>864</v>
      </c>
      <c r="F294" t="s">
        <v>606</v>
      </c>
      <c r="G294" t="s">
        <v>598</v>
      </c>
      <c r="H294" t="s">
        <v>616</v>
      </c>
      <c r="I294" s="33">
        <v>3375245</v>
      </c>
    </row>
    <row r="295" spans="1:9">
      <c r="A295">
        <v>2018</v>
      </c>
      <c r="B295" t="s">
        <v>44</v>
      </c>
      <c r="C295">
        <f t="shared" si="2"/>
        <v>36</v>
      </c>
      <c r="D295" t="s">
        <v>865</v>
      </c>
      <c r="E295" t="s">
        <v>866</v>
      </c>
      <c r="F295" t="s">
        <v>606</v>
      </c>
      <c r="G295" t="s">
        <v>598</v>
      </c>
      <c r="H295" t="s">
        <v>616</v>
      </c>
      <c r="I295" s="33">
        <v>157683</v>
      </c>
    </row>
    <row r="296" spans="1:9">
      <c r="A296">
        <v>2018</v>
      </c>
      <c r="B296" t="s">
        <v>44</v>
      </c>
      <c r="C296">
        <f t="shared" si="2"/>
        <v>37</v>
      </c>
      <c r="D296" t="s">
        <v>868</v>
      </c>
      <c r="E296" t="s">
        <v>869</v>
      </c>
      <c r="F296" t="s">
        <v>666</v>
      </c>
      <c r="G296" t="s">
        <v>631</v>
      </c>
      <c r="H296" t="s">
        <v>603</v>
      </c>
      <c r="I296" s="33">
        <v>84717566</v>
      </c>
    </row>
    <row r="297" spans="1:9">
      <c r="A297">
        <v>2018</v>
      </c>
      <c r="B297" t="s">
        <v>44</v>
      </c>
      <c r="C297">
        <f t="shared" si="2"/>
        <v>38</v>
      </c>
      <c r="D297" t="s">
        <v>871</v>
      </c>
      <c r="E297" t="s">
        <v>433</v>
      </c>
      <c r="F297" t="s">
        <v>1397</v>
      </c>
      <c r="G297" t="s">
        <v>631</v>
      </c>
      <c r="H297" t="s">
        <v>612</v>
      </c>
      <c r="I297" s="33">
        <v>2379961</v>
      </c>
    </row>
    <row r="298" spans="1:9">
      <c r="A298">
        <v>2018</v>
      </c>
      <c r="B298" t="s">
        <v>44</v>
      </c>
      <c r="C298">
        <f t="shared" si="2"/>
        <v>39</v>
      </c>
      <c r="D298" t="s">
        <v>872</v>
      </c>
      <c r="E298" t="s">
        <v>873</v>
      </c>
      <c r="I298" s="33">
        <v>1424520</v>
      </c>
    </row>
    <row r="299" spans="1:9">
      <c r="A299">
        <v>2018</v>
      </c>
      <c r="B299" t="s">
        <v>44</v>
      </c>
      <c r="C299">
        <f t="shared" si="2"/>
        <v>40</v>
      </c>
      <c r="D299" t="s">
        <v>874</v>
      </c>
      <c r="E299" t="s">
        <v>875</v>
      </c>
      <c r="F299" t="s">
        <v>606</v>
      </c>
      <c r="G299" t="s">
        <v>598</v>
      </c>
      <c r="H299" t="s">
        <v>616</v>
      </c>
      <c r="I299" s="33">
        <v>79214896</v>
      </c>
    </row>
    <row r="300" spans="1:9">
      <c r="A300">
        <v>2018</v>
      </c>
      <c r="B300" t="s">
        <v>44</v>
      </c>
      <c r="C300">
        <f t="shared" si="2"/>
        <v>41</v>
      </c>
      <c r="D300" t="s">
        <v>876</v>
      </c>
      <c r="E300" t="s">
        <v>553</v>
      </c>
      <c r="F300" t="s">
        <v>597</v>
      </c>
      <c r="G300" t="s">
        <v>598</v>
      </c>
      <c r="H300" t="s">
        <v>599</v>
      </c>
      <c r="I300" s="33">
        <v>0</v>
      </c>
    </row>
    <row r="301" spans="1:9">
      <c r="A301">
        <v>2018</v>
      </c>
      <c r="B301" t="s">
        <v>44</v>
      </c>
      <c r="C301">
        <f t="shared" si="2"/>
        <v>42</v>
      </c>
      <c r="D301" t="s">
        <v>830</v>
      </c>
      <c r="E301" t="s">
        <v>878</v>
      </c>
      <c r="F301" t="s">
        <v>606</v>
      </c>
      <c r="G301" t="s">
        <v>598</v>
      </c>
      <c r="H301" t="s">
        <v>616</v>
      </c>
      <c r="I301" s="33">
        <v>0</v>
      </c>
    </row>
    <row r="302" spans="1:9">
      <c r="A302">
        <v>2018</v>
      </c>
      <c r="B302" t="s">
        <v>44</v>
      </c>
      <c r="C302">
        <f t="shared" si="2"/>
        <v>43</v>
      </c>
      <c r="D302" t="s">
        <v>880</v>
      </c>
      <c r="E302" t="s">
        <v>881</v>
      </c>
      <c r="F302" t="s">
        <v>602</v>
      </c>
      <c r="G302" t="s">
        <v>598</v>
      </c>
      <c r="H302" t="s">
        <v>616</v>
      </c>
      <c r="I302" s="33">
        <v>35045171</v>
      </c>
    </row>
    <row r="303" spans="1:9">
      <c r="A303">
        <v>2018</v>
      </c>
      <c r="B303" t="s">
        <v>44</v>
      </c>
      <c r="C303">
        <f t="shared" si="2"/>
        <v>44</v>
      </c>
      <c r="D303" t="s">
        <v>882</v>
      </c>
      <c r="E303" t="s">
        <v>423</v>
      </c>
      <c r="F303" t="s">
        <v>606</v>
      </c>
      <c r="G303" t="s">
        <v>631</v>
      </c>
      <c r="H303" t="s">
        <v>612</v>
      </c>
      <c r="I303" s="33">
        <v>4668484</v>
      </c>
    </row>
    <row r="304" spans="1:9">
      <c r="A304">
        <v>2018</v>
      </c>
      <c r="B304" t="s">
        <v>44</v>
      </c>
      <c r="C304">
        <f t="shared" si="2"/>
        <v>45</v>
      </c>
      <c r="D304" t="s">
        <v>883</v>
      </c>
      <c r="E304" t="s">
        <v>884</v>
      </c>
      <c r="F304" t="s">
        <v>606</v>
      </c>
      <c r="G304" t="s">
        <v>631</v>
      </c>
      <c r="H304" t="s">
        <v>612</v>
      </c>
      <c r="I304" s="33">
        <v>1689811</v>
      </c>
    </row>
    <row r="305" spans="1:9">
      <c r="A305">
        <v>2018</v>
      </c>
      <c r="B305" t="s">
        <v>44</v>
      </c>
      <c r="C305">
        <f t="shared" si="2"/>
        <v>46</v>
      </c>
      <c r="D305" t="s">
        <v>886</v>
      </c>
      <c r="E305" t="s">
        <v>887</v>
      </c>
      <c r="G305" t="s">
        <v>598</v>
      </c>
      <c r="I305" s="33">
        <v>161474</v>
      </c>
    </row>
    <row r="306" spans="1:9">
      <c r="A306">
        <v>2018</v>
      </c>
      <c r="B306" t="s">
        <v>44</v>
      </c>
      <c r="C306">
        <f t="shared" si="2"/>
        <v>47</v>
      </c>
      <c r="D306" t="s">
        <v>886</v>
      </c>
      <c r="E306" t="s">
        <v>888</v>
      </c>
      <c r="I306" s="33">
        <v>26941</v>
      </c>
    </row>
    <row r="307" spans="1:9">
      <c r="A307">
        <v>2018</v>
      </c>
      <c r="B307" t="s">
        <v>44</v>
      </c>
      <c r="C307">
        <f t="shared" si="2"/>
        <v>48</v>
      </c>
      <c r="D307" t="s">
        <v>886</v>
      </c>
      <c r="E307" t="s">
        <v>889</v>
      </c>
      <c r="F307" t="s">
        <v>702</v>
      </c>
      <c r="G307" t="s">
        <v>703</v>
      </c>
      <c r="H307" t="s">
        <v>704</v>
      </c>
      <c r="I307" s="33">
        <v>100000</v>
      </c>
    </row>
    <row r="308" spans="1:9">
      <c r="A308">
        <v>2018</v>
      </c>
      <c r="B308" t="s">
        <v>44</v>
      </c>
      <c r="C308">
        <f t="shared" si="2"/>
        <v>49</v>
      </c>
      <c r="D308" t="s">
        <v>886</v>
      </c>
      <c r="E308" t="s">
        <v>502</v>
      </c>
      <c r="G308" t="s">
        <v>598</v>
      </c>
      <c r="I308" s="33">
        <v>142235</v>
      </c>
    </row>
    <row r="309" spans="1:9">
      <c r="A309">
        <v>2018</v>
      </c>
      <c r="B309" t="s">
        <v>44</v>
      </c>
      <c r="C309">
        <f t="shared" si="2"/>
        <v>50</v>
      </c>
      <c r="D309" t="s">
        <v>886</v>
      </c>
      <c r="E309" t="s">
        <v>890</v>
      </c>
      <c r="F309" t="s">
        <v>606</v>
      </c>
      <c r="G309" t="s">
        <v>598</v>
      </c>
      <c r="H309" t="s">
        <v>607</v>
      </c>
      <c r="I309" s="33">
        <v>0</v>
      </c>
    </row>
    <row r="310" spans="1:9">
      <c r="A310">
        <v>2018</v>
      </c>
      <c r="B310" t="s">
        <v>44</v>
      </c>
      <c r="C310">
        <f t="shared" si="2"/>
        <v>51</v>
      </c>
      <c r="D310" t="s">
        <v>886</v>
      </c>
      <c r="E310" t="s">
        <v>891</v>
      </c>
      <c r="G310" t="s">
        <v>631</v>
      </c>
      <c r="I310" s="33">
        <v>754959</v>
      </c>
    </row>
    <row r="311" spans="1:9">
      <c r="A311">
        <v>2018</v>
      </c>
      <c r="B311" t="s">
        <v>44</v>
      </c>
      <c r="C311">
        <f t="shared" si="2"/>
        <v>52</v>
      </c>
      <c r="D311" t="s">
        <v>886</v>
      </c>
      <c r="E311" t="s">
        <v>892</v>
      </c>
      <c r="F311" t="s">
        <v>597</v>
      </c>
      <c r="G311" t="s">
        <v>598</v>
      </c>
      <c r="H311" t="s">
        <v>599</v>
      </c>
      <c r="I311" s="33">
        <v>26942</v>
      </c>
    </row>
    <row r="312" spans="1:9">
      <c r="A312">
        <v>2018</v>
      </c>
      <c r="B312" t="s">
        <v>44</v>
      </c>
      <c r="C312">
        <f t="shared" si="2"/>
        <v>53</v>
      </c>
      <c r="D312" t="s">
        <v>886</v>
      </c>
      <c r="E312" t="s">
        <v>893</v>
      </c>
      <c r="G312" t="s">
        <v>598</v>
      </c>
      <c r="H312" t="s">
        <v>616</v>
      </c>
      <c r="I312" s="33">
        <v>287404</v>
      </c>
    </row>
    <row r="313" spans="1:9">
      <c r="A313">
        <v>2018</v>
      </c>
      <c r="B313" t="s">
        <v>44</v>
      </c>
      <c r="C313">
        <f t="shared" si="2"/>
        <v>54</v>
      </c>
      <c r="D313" t="s">
        <v>886</v>
      </c>
      <c r="E313" t="s">
        <v>894</v>
      </c>
      <c r="F313" t="s">
        <v>597</v>
      </c>
      <c r="G313" t="s">
        <v>598</v>
      </c>
      <c r="H313" t="s">
        <v>707</v>
      </c>
      <c r="I313" s="33">
        <v>61616</v>
      </c>
    </row>
    <row r="314" spans="1:9">
      <c r="A314">
        <v>2018</v>
      </c>
      <c r="B314" t="s">
        <v>44</v>
      </c>
      <c r="C314">
        <f t="shared" si="2"/>
        <v>55</v>
      </c>
      <c r="D314" t="s">
        <v>886</v>
      </c>
      <c r="E314" t="s">
        <v>895</v>
      </c>
      <c r="G314" t="s">
        <v>598</v>
      </c>
      <c r="I314" s="33">
        <v>14651659</v>
      </c>
    </row>
    <row r="315" spans="1:9">
      <c r="A315">
        <v>2018</v>
      </c>
      <c r="B315" t="s">
        <v>44</v>
      </c>
      <c r="C315">
        <f t="shared" si="2"/>
        <v>56</v>
      </c>
      <c r="D315" t="s">
        <v>886</v>
      </c>
      <c r="E315" t="s">
        <v>896</v>
      </c>
      <c r="F315" t="s">
        <v>666</v>
      </c>
      <c r="G315" t="s">
        <v>598</v>
      </c>
      <c r="H315" t="s">
        <v>603</v>
      </c>
      <c r="I315" s="33">
        <v>4013</v>
      </c>
    </row>
    <row r="316" spans="1:9">
      <c r="A316">
        <v>2018</v>
      </c>
      <c r="B316" t="s">
        <v>44</v>
      </c>
      <c r="C316">
        <f t="shared" si="2"/>
        <v>57</v>
      </c>
      <c r="D316" t="s">
        <v>886</v>
      </c>
      <c r="E316" t="s">
        <v>897</v>
      </c>
      <c r="G316" t="s">
        <v>631</v>
      </c>
      <c r="H316" t="s">
        <v>603</v>
      </c>
      <c r="I316" s="33">
        <v>265272</v>
      </c>
    </row>
    <row r="317" spans="1:9">
      <c r="A317">
        <v>2018</v>
      </c>
      <c r="B317" t="s">
        <v>44</v>
      </c>
      <c r="C317">
        <f t="shared" si="2"/>
        <v>58</v>
      </c>
      <c r="D317" t="s">
        <v>886</v>
      </c>
      <c r="E317" t="s">
        <v>898</v>
      </c>
      <c r="I317" s="33">
        <v>11688</v>
      </c>
    </row>
    <row r="318" spans="1:9">
      <c r="A318">
        <v>2018</v>
      </c>
      <c r="B318" t="s">
        <v>44</v>
      </c>
      <c r="C318">
        <f t="shared" si="2"/>
        <v>59</v>
      </c>
      <c r="D318" t="s">
        <v>886</v>
      </c>
      <c r="E318" t="s">
        <v>899</v>
      </c>
      <c r="G318" t="s">
        <v>631</v>
      </c>
      <c r="H318" t="s">
        <v>603</v>
      </c>
      <c r="I318" s="33">
        <v>296807</v>
      </c>
    </row>
    <row r="319" spans="1:9">
      <c r="A319">
        <v>2018</v>
      </c>
      <c r="B319" t="s">
        <v>44</v>
      </c>
      <c r="C319">
        <f t="shared" si="2"/>
        <v>60</v>
      </c>
      <c r="D319" t="s">
        <v>886</v>
      </c>
      <c r="E319" t="s">
        <v>900</v>
      </c>
      <c r="I319" s="33">
        <v>10981</v>
      </c>
    </row>
    <row r="320" spans="1:9">
      <c r="A320">
        <v>2018</v>
      </c>
      <c r="B320" t="s">
        <v>44</v>
      </c>
      <c r="C320">
        <f t="shared" si="2"/>
        <v>61</v>
      </c>
      <c r="D320" t="s">
        <v>886</v>
      </c>
      <c r="E320" t="s">
        <v>901</v>
      </c>
      <c r="F320" t="s">
        <v>606</v>
      </c>
      <c r="G320" t="s">
        <v>631</v>
      </c>
      <c r="I320" s="33">
        <v>190536</v>
      </c>
    </row>
    <row r="321" spans="1:9">
      <c r="A321">
        <v>2018</v>
      </c>
      <c r="B321" t="s">
        <v>44</v>
      </c>
      <c r="C321">
        <f t="shared" si="2"/>
        <v>62</v>
      </c>
      <c r="D321" t="s">
        <v>886</v>
      </c>
      <c r="E321" t="s">
        <v>902</v>
      </c>
      <c r="I321" s="33">
        <v>35189</v>
      </c>
    </row>
    <row r="322" spans="1:9">
      <c r="A322">
        <v>2018</v>
      </c>
      <c r="B322" t="s">
        <v>44</v>
      </c>
      <c r="C322">
        <f t="shared" si="2"/>
        <v>63</v>
      </c>
      <c r="D322" t="s">
        <v>886</v>
      </c>
      <c r="E322" t="s">
        <v>903</v>
      </c>
      <c r="F322" t="s">
        <v>702</v>
      </c>
      <c r="G322" t="s">
        <v>703</v>
      </c>
      <c r="H322" t="s">
        <v>704</v>
      </c>
      <c r="I322" s="33">
        <v>1000000</v>
      </c>
    </row>
    <row r="323" spans="1:9">
      <c r="A323">
        <v>2018</v>
      </c>
      <c r="B323" t="s">
        <v>44</v>
      </c>
      <c r="C323">
        <f t="shared" si="2"/>
        <v>64</v>
      </c>
      <c r="D323" t="s">
        <v>886</v>
      </c>
      <c r="E323" t="s">
        <v>904</v>
      </c>
      <c r="F323" t="s">
        <v>606</v>
      </c>
      <c r="G323" t="s">
        <v>631</v>
      </c>
      <c r="H323" t="s">
        <v>612</v>
      </c>
      <c r="I323" s="33">
        <v>1476950</v>
      </c>
    </row>
    <row r="324" spans="1:9">
      <c r="A324">
        <v>2018</v>
      </c>
      <c r="B324" t="s">
        <v>44</v>
      </c>
      <c r="C324">
        <f t="shared" si="2"/>
        <v>65</v>
      </c>
      <c r="D324" t="s">
        <v>886</v>
      </c>
      <c r="E324" t="s">
        <v>905</v>
      </c>
      <c r="G324" t="s">
        <v>631</v>
      </c>
      <c r="I324" s="33">
        <v>137155</v>
      </c>
    </row>
    <row r="325" spans="1:9">
      <c r="A325">
        <v>2018</v>
      </c>
      <c r="B325" t="s">
        <v>44</v>
      </c>
      <c r="C325">
        <f t="shared" si="2"/>
        <v>66</v>
      </c>
      <c r="D325" t="s">
        <v>886</v>
      </c>
      <c r="E325" t="s">
        <v>906</v>
      </c>
      <c r="G325" t="s">
        <v>631</v>
      </c>
      <c r="H325" t="s">
        <v>599</v>
      </c>
      <c r="I325" s="33">
        <v>1021930</v>
      </c>
    </row>
    <row r="326" spans="1:9">
      <c r="A326">
        <v>2018</v>
      </c>
      <c r="B326" t="s">
        <v>44</v>
      </c>
      <c r="C326">
        <f t="shared" ref="C326:C389" si="3">C325+1</f>
        <v>67</v>
      </c>
      <c r="D326" t="s">
        <v>886</v>
      </c>
      <c r="E326" t="s">
        <v>907</v>
      </c>
      <c r="I326" s="33">
        <v>220000</v>
      </c>
    </row>
    <row r="327" spans="1:9">
      <c r="A327">
        <v>2018</v>
      </c>
      <c r="B327" t="s">
        <v>44</v>
      </c>
      <c r="C327">
        <f t="shared" si="3"/>
        <v>68</v>
      </c>
      <c r="D327" t="s">
        <v>886</v>
      </c>
      <c r="E327" t="s">
        <v>908</v>
      </c>
      <c r="F327" t="s">
        <v>606</v>
      </c>
      <c r="G327" t="s">
        <v>598</v>
      </c>
      <c r="H327" t="s">
        <v>616</v>
      </c>
      <c r="I327" s="33">
        <v>134540</v>
      </c>
    </row>
    <row r="328" spans="1:9">
      <c r="A328">
        <v>2018</v>
      </c>
      <c r="B328" t="s">
        <v>44</v>
      </c>
      <c r="C328">
        <f t="shared" si="3"/>
        <v>69</v>
      </c>
      <c r="D328" t="s">
        <v>886</v>
      </c>
      <c r="E328" t="s">
        <v>909</v>
      </c>
      <c r="F328" t="s">
        <v>606</v>
      </c>
      <c r="G328" t="s">
        <v>598</v>
      </c>
      <c r="I328" s="33">
        <v>45773</v>
      </c>
    </row>
    <row r="329" spans="1:9">
      <c r="A329">
        <v>2018</v>
      </c>
      <c r="B329" t="s">
        <v>44</v>
      </c>
      <c r="C329">
        <f t="shared" si="3"/>
        <v>70</v>
      </c>
      <c r="D329" t="s">
        <v>886</v>
      </c>
      <c r="E329" t="s">
        <v>910</v>
      </c>
      <c r="F329" t="s">
        <v>606</v>
      </c>
      <c r="G329" t="s">
        <v>631</v>
      </c>
      <c r="H329" t="s">
        <v>612</v>
      </c>
      <c r="I329" s="33">
        <v>22542</v>
      </c>
    </row>
    <row r="330" spans="1:9">
      <c r="A330">
        <v>2018</v>
      </c>
      <c r="B330" t="s">
        <v>44</v>
      </c>
      <c r="C330">
        <f t="shared" si="3"/>
        <v>71</v>
      </c>
      <c r="D330" t="s">
        <v>886</v>
      </c>
      <c r="E330" t="s">
        <v>911</v>
      </c>
      <c r="F330" t="s">
        <v>606</v>
      </c>
      <c r="G330" t="s">
        <v>631</v>
      </c>
      <c r="H330" t="s">
        <v>612</v>
      </c>
      <c r="I330" s="33">
        <v>1970000</v>
      </c>
    </row>
    <row r="331" spans="1:9">
      <c r="A331">
        <v>2018</v>
      </c>
      <c r="B331" t="s">
        <v>44</v>
      </c>
      <c r="C331">
        <f t="shared" si="3"/>
        <v>72</v>
      </c>
      <c r="D331" t="s">
        <v>886</v>
      </c>
      <c r="E331" t="s">
        <v>912</v>
      </c>
      <c r="G331" t="s">
        <v>598</v>
      </c>
      <c r="I331" s="33">
        <v>676981</v>
      </c>
    </row>
    <row r="332" spans="1:9">
      <c r="A332">
        <v>2018</v>
      </c>
      <c r="B332" t="s">
        <v>44</v>
      </c>
      <c r="C332">
        <f t="shared" si="3"/>
        <v>73</v>
      </c>
      <c r="D332" t="s">
        <v>886</v>
      </c>
      <c r="E332" t="s">
        <v>381</v>
      </c>
      <c r="F332" t="s">
        <v>610</v>
      </c>
      <c r="G332" t="s">
        <v>598</v>
      </c>
      <c r="H332" t="s">
        <v>616</v>
      </c>
      <c r="I332" s="33">
        <v>51955230</v>
      </c>
    </row>
    <row r="333" spans="1:9">
      <c r="A333">
        <v>2018</v>
      </c>
      <c r="B333" t="s">
        <v>44</v>
      </c>
      <c r="C333">
        <f t="shared" si="3"/>
        <v>74</v>
      </c>
      <c r="D333" t="s">
        <v>886</v>
      </c>
      <c r="E333" t="s">
        <v>913</v>
      </c>
      <c r="I333" s="33">
        <v>1307365</v>
      </c>
    </row>
    <row r="334" spans="1:9">
      <c r="A334">
        <v>2018</v>
      </c>
      <c r="B334" t="s">
        <v>44</v>
      </c>
      <c r="C334">
        <f t="shared" si="3"/>
        <v>75</v>
      </c>
      <c r="D334" t="s">
        <v>886</v>
      </c>
      <c r="E334" t="s">
        <v>914</v>
      </c>
      <c r="F334" t="s">
        <v>606</v>
      </c>
      <c r="G334" t="s">
        <v>631</v>
      </c>
      <c r="H334" t="s">
        <v>612</v>
      </c>
      <c r="I334" s="33">
        <v>390928</v>
      </c>
    </row>
    <row r="335" spans="1:9">
      <c r="A335">
        <v>2018</v>
      </c>
      <c r="B335" t="s">
        <v>44</v>
      </c>
      <c r="C335">
        <f t="shared" si="3"/>
        <v>76</v>
      </c>
      <c r="D335" t="s">
        <v>886</v>
      </c>
      <c r="E335" t="s">
        <v>915</v>
      </c>
      <c r="G335" t="s">
        <v>598</v>
      </c>
      <c r="I335" s="33">
        <v>3257</v>
      </c>
    </row>
    <row r="336" spans="1:9">
      <c r="A336">
        <v>2018</v>
      </c>
      <c r="B336" t="s">
        <v>44</v>
      </c>
      <c r="C336">
        <f t="shared" si="3"/>
        <v>77</v>
      </c>
      <c r="D336" t="s">
        <v>886</v>
      </c>
      <c r="E336" t="s">
        <v>916</v>
      </c>
      <c r="I336" s="33">
        <v>35630</v>
      </c>
    </row>
    <row r="337" spans="1:9">
      <c r="A337">
        <v>2018</v>
      </c>
      <c r="B337" t="s">
        <v>44</v>
      </c>
      <c r="C337">
        <f t="shared" si="3"/>
        <v>78</v>
      </c>
      <c r="D337" t="s">
        <v>886</v>
      </c>
      <c r="E337" t="s">
        <v>917</v>
      </c>
      <c r="F337" t="s">
        <v>606</v>
      </c>
      <c r="G337" t="s">
        <v>631</v>
      </c>
      <c r="H337" t="s">
        <v>612</v>
      </c>
      <c r="I337" s="33">
        <v>744017</v>
      </c>
    </row>
    <row r="338" spans="1:9">
      <c r="A338">
        <v>2018</v>
      </c>
      <c r="B338" t="s">
        <v>44</v>
      </c>
      <c r="C338">
        <f t="shared" si="3"/>
        <v>79</v>
      </c>
      <c r="D338" t="s">
        <v>886</v>
      </c>
      <c r="E338" t="s">
        <v>918</v>
      </c>
      <c r="I338" s="33">
        <v>29725</v>
      </c>
    </row>
    <row r="339" spans="1:9">
      <c r="A339">
        <v>2018</v>
      </c>
      <c r="B339" t="s">
        <v>44</v>
      </c>
      <c r="C339">
        <f t="shared" si="3"/>
        <v>80</v>
      </c>
      <c r="D339" t="s">
        <v>886</v>
      </c>
      <c r="E339" t="s">
        <v>919</v>
      </c>
      <c r="F339" t="s">
        <v>606</v>
      </c>
      <c r="G339" t="s">
        <v>631</v>
      </c>
      <c r="H339" t="s">
        <v>612</v>
      </c>
      <c r="I339" s="33">
        <v>3161317</v>
      </c>
    </row>
    <row r="340" spans="1:9">
      <c r="A340">
        <v>2018</v>
      </c>
      <c r="B340" t="s">
        <v>44</v>
      </c>
      <c r="C340">
        <f t="shared" si="3"/>
        <v>81</v>
      </c>
      <c r="D340" t="s">
        <v>886</v>
      </c>
      <c r="E340" t="s">
        <v>920</v>
      </c>
      <c r="F340" t="s">
        <v>606</v>
      </c>
      <c r="G340" t="s">
        <v>631</v>
      </c>
      <c r="I340" s="33">
        <v>23130468</v>
      </c>
    </row>
    <row r="341" spans="1:9">
      <c r="A341">
        <v>2018</v>
      </c>
      <c r="B341" t="s">
        <v>44</v>
      </c>
      <c r="C341">
        <f t="shared" si="3"/>
        <v>82</v>
      </c>
      <c r="D341" t="s">
        <v>886</v>
      </c>
      <c r="E341" t="s">
        <v>921</v>
      </c>
      <c r="G341" t="s">
        <v>631</v>
      </c>
      <c r="I341" s="33">
        <v>301159</v>
      </c>
    </row>
    <row r="342" spans="1:9">
      <c r="A342">
        <v>2018</v>
      </c>
      <c r="B342" t="s">
        <v>44</v>
      </c>
      <c r="C342">
        <f t="shared" si="3"/>
        <v>83</v>
      </c>
      <c r="D342" t="s">
        <v>886</v>
      </c>
      <c r="E342" t="s">
        <v>247</v>
      </c>
      <c r="F342" t="s">
        <v>606</v>
      </c>
      <c r="G342" t="s">
        <v>598</v>
      </c>
      <c r="H342" t="s">
        <v>599</v>
      </c>
      <c r="I342" s="33">
        <v>1250000</v>
      </c>
    </row>
    <row r="343" spans="1:9">
      <c r="A343">
        <v>2018</v>
      </c>
      <c r="B343" t="s">
        <v>44</v>
      </c>
      <c r="C343">
        <f t="shared" si="3"/>
        <v>84</v>
      </c>
      <c r="D343" t="s">
        <v>886</v>
      </c>
      <c r="E343" t="s">
        <v>475</v>
      </c>
      <c r="F343" t="s">
        <v>606</v>
      </c>
      <c r="G343" t="s">
        <v>631</v>
      </c>
      <c r="H343" t="s">
        <v>616</v>
      </c>
      <c r="I343" s="33">
        <v>408244</v>
      </c>
    </row>
    <row r="344" spans="1:9">
      <c r="A344">
        <v>2018</v>
      </c>
      <c r="B344" t="s">
        <v>44</v>
      </c>
      <c r="C344">
        <f t="shared" si="3"/>
        <v>85</v>
      </c>
      <c r="D344" t="s">
        <v>886</v>
      </c>
      <c r="E344" t="s">
        <v>922</v>
      </c>
      <c r="I344" s="33">
        <v>23493</v>
      </c>
    </row>
    <row r="345" spans="1:9">
      <c r="A345">
        <v>2018</v>
      </c>
      <c r="B345" t="s">
        <v>44</v>
      </c>
      <c r="C345">
        <f t="shared" si="3"/>
        <v>86</v>
      </c>
      <c r="D345" t="s">
        <v>886</v>
      </c>
      <c r="E345" t="s">
        <v>923</v>
      </c>
      <c r="F345" t="s">
        <v>606</v>
      </c>
      <c r="G345" t="s">
        <v>598</v>
      </c>
      <c r="H345" t="s">
        <v>616</v>
      </c>
      <c r="I345" s="33">
        <v>1431283</v>
      </c>
    </row>
    <row r="346" spans="1:9">
      <c r="A346">
        <v>2018</v>
      </c>
      <c r="B346" t="s">
        <v>44</v>
      </c>
      <c r="C346">
        <f t="shared" si="3"/>
        <v>87</v>
      </c>
      <c r="D346" t="s">
        <v>886</v>
      </c>
      <c r="E346" t="s">
        <v>924</v>
      </c>
      <c r="I346" s="33">
        <v>1546530</v>
      </c>
    </row>
    <row r="347" spans="1:9">
      <c r="A347">
        <v>2018</v>
      </c>
      <c r="B347" t="s">
        <v>44</v>
      </c>
      <c r="C347">
        <f t="shared" si="3"/>
        <v>88</v>
      </c>
      <c r="D347" t="s">
        <v>886</v>
      </c>
      <c r="E347" t="s">
        <v>494</v>
      </c>
      <c r="G347" t="s">
        <v>598</v>
      </c>
      <c r="I347" s="33">
        <v>190532</v>
      </c>
    </row>
    <row r="348" spans="1:9">
      <c r="A348">
        <v>2018</v>
      </c>
      <c r="B348" t="s">
        <v>44</v>
      </c>
      <c r="C348">
        <f t="shared" si="3"/>
        <v>89</v>
      </c>
      <c r="D348" t="s">
        <v>886</v>
      </c>
      <c r="E348" t="s">
        <v>489</v>
      </c>
      <c r="G348" t="s">
        <v>598</v>
      </c>
      <c r="H348" t="s">
        <v>616</v>
      </c>
      <c r="I348" s="33">
        <v>213273</v>
      </c>
    </row>
    <row r="349" spans="1:9">
      <c r="A349">
        <v>2018</v>
      </c>
      <c r="B349" t="s">
        <v>44</v>
      </c>
      <c r="C349">
        <f t="shared" si="3"/>
        <v>90</v>
      </c>
      <c r="D349" t="s">
        <v>886</v>
      </c>
      <c r="E349" t="s">
        <v>927</v>
      </c>
      <c r="F349" t="s">
        <v>597</v>
      </c>
      <c r="G349" t="s">
        <v>598</v>
      </c>
      <c r="H349" t="s">
        <v>599</v>
      </c>
      <c r="I349" s="33">
        <v>1420000</v>
      </c>
    </row>
    <row r="350" spans="1:9">
      <c r="A350">
        <v>2018</v>
      </c>
      <c r="B350" t="s">
        <v>44</v>
      </c>
      <c r="C350">
        <f t="shared" si="3"/>
        <v>91</v>
      </c>
      <c r="D350" t="s">
        <v>886</v>
      </c>
      <c r="E350" t="s">
        <v>928</v>
      </c>
      <c r="G350" t="s">
        <v>598</v>
      </c>
      <c r="I350" s="33">
        <v>7053</v>
      </c>
    </row>
    <row r="351" spans="1:9">
      <c r="A351">
        <v>2018</v>
      </c>
      <c r="B351" t="s">
        <v>44</v>
      </c>
      <c r="C351">
        <f t="shared" si="3"/>
        <v>92</v>
      </c>
      <c r="D351" t="s">
        <v>886</v>
      </c>
      <c r="E351" t="s">
        <v>479</v>
      </c>
      <c r="I351" s="33">
        <v>363597</v>
      </c>
    </row>
    <row r="352" spans="1:9">
      <c r="A352">
        <v>2018</v>
      </c>
      <c r="B352" t="s">
        <v>44</v>
      </c>
      <c r="C352">
        <f t="shared" si="3"/>
        <v>93</v>
      </c>
      <c r="D352" t="s">
        <v>886</v>
      </c>
      <c r="E352" t="s">
        <v>929</v>
      </c>
      <c r="G352" t="s">
        <v>631</v>
      </c>
      <c r="I352" s="33">
        <v>29343</v>
      </c>
    </row>
    <row r="353" spans="1:9">
      <c r="A353">
        <v>2018</v>
      </c>
      <c r="B353" t="s">
        <v>44</v>
      </c>
      <c r="C353">
        <f t="shared" si="3"/>
        <v>94</v>
      </c>
      <c r="D353" t="s">
        <v>886</v>
      </c>
      <c r="E353" t="s">
        <v>285</v>
      </c>
      <c r="G353" t="s">
        <v>598</v>
      </c>
      <c r="I353" s="33">
        <v>276486</v>
      </c>
    </row>
    <row r="354" spans="1:9">
      <c r="A354">
        <v>2018</v>
      </c>
      <c r="B354" t="s">
        <v>44</v>
      </c>
      <c r="C354">
        <f t="shared" si="3"/>
        <v>95</v>
      </c>
      <c r="D354" t="s">
        <v>886</v>
      </c>
      <c r="E354" t="s">
        <v>456</v>
      </c>
      <c r="F354" t="s">
        <v>606</v>
      </c>
      <c r="G354" t="s">
        <v>631</v>
      </c>
      <c r="H354" t="s">
        <v>612</v>
      </c>
      <c r="I354" s="33">
        <v>726371</v>
      </c>
    </row>
    <row r="355" spans="1:9">
      <c r="A355">
        <v>2018</v>
      </c>
      <c r="B355" t="s">
        <v>44</v>
      </c>
      <c r="C355">
        <f t="shared" si="3"/>
        <v>96</v>
      </c>
      <c r="D355" t="s">
        <v>886</v>
      </c>
      <c r="E355" t="s">
        <v>930</v>
      </c>
      <c r="F355" t="s">
        <v>606</v>
      </c>
      <c r="G355" t="s">
        <v>631</v>
      </c>
      <c r="H355" t="s">
        <v>612</v>
      </c>
      <c r="I355" s="33">
        <v>740000</v>
      </c>
    </row>
    <row r="356" spans="1:9">
      <c r="A356">
        <v>2018</v>
      </c>
      <c r="B356" t="s">
        <v>44</v>
      </c>
      <c r="C356">
        <f t="shared" si="3"/>
        <v>97</v>
      </c>
      <c r="D356" t="s">
        <v>886</v>
      </c>
      <c r="E356" t="s">
        <v>931</v>
      </c>
      <c r="G356" t="s">
        <v>598</v>
      </c>
      <c r="I356" s="33">
        <v>661229</v>
      </c>
    </row>
    <row r="357" spans="1:9">
      <c r="A357">
        <v>2018</v>
      </c>
      <c r="B357" t="s">
        <v>44</v>
      </c>
      <c r="C357">
        <f t="shared" si="3"/>
        <v>98</v>
      </c>
      <c r="D357" t="s">
        <v>886</v>
      </c>
      <c r="E357" t="s">
        <v>339</v>
      </c>
      <c r="G357" t="s">
        <v>598</v>
      </c>
      <c r="I357" s="33">
        <v>11263</v>
      </c>
    </row>
    <row r="358" spans="1:9">
      <c r="A358">
        <v>2018</v>
      </c>
      <c r="B358" t="s">
        <v>44</v>
      </c>
      <c r="C358">
        <f t="shared" si="3"/>
        <v>99</v>
      </c>
      <c r="D358" t="s">
        <v>886</v>
      </c>
      <c r="E358" t="s">
        <v>522</v>
      </c>
      <c r="F358" t="s">
        <v>597</v>
      </c>
      <c r="G358" t="s">
        <v>598</v>
      </c>
      <c r="H358" t="s">
        <v>707</v>
      </c>
      <c r="I358" s="33">
        <v>46380</v>
      </c>
    </row>
    <row r="359" spans="1:9">
      <c r="A359">
        <v>2018</v>
      </c>
      <c r="B359" t="s">
        <v>44</v>
      </c>
      <c r="C359">
        <f t="shared" si="3"/>
        <v>100</v>
      </c>
      <c r="D359" t="s">
        <v>886</v>
      </c>
      <c r="E359" t="s">
        <v>480</v>
      </c>
      <c r="G359" t="s">
        <v>598</v>
      </c>
      <c r="I359" s="33">
        <v>342389</v>
      </c>
    </row>
    <row r="360" spans="1:9">
      <c r="A360">
        <v>2018</v>
      </c>
      <c r="B360" t="s">
        <v>44</v>
      </c>
      <c r="C360">
        <f t="shared" si="3"/>
        <v>101</v>
      </c>
      <c r="D360" t="s">
        <v>886</v>
      </c>
      <c r="E360" t="s">
        <v>932</v>
      </c>
      <c r="F360" t="s">
        <v>606</v>
      </c>
      <c r="G360" t="s">
        <v>598</v>
      </c>
      <c r="H360" t="s">
        <v>603</v>
      </c>
      <c r="I360" s="33">
        <v>3604</v>
      </c>
    </row>
    <row r="361" spans="1:9">
      <c r="A361">
        <v>2018</v>
      </c>
      <c r="B361" t="s">
        <v>44</v>
      </c>
      <c r="C361">
        <f t="shared" si="3"/>
        <v>102</v>
      </c>
      <c r="D361" t="s">
        <v>886</v>
      </c>
      <c r="E361" t="s">
        <v>459</v>
      </c>
      <c r="F361" t="s">
        <v>606</v>
      </c>
      <c r="G361" t="s">
        <v>631</v>
      </c>
      <c r="H361" t="s">
        <v>612</v>
      </c>
      <c r="I361" s="33">
        <v>695621</v>
      </c>
    </row>
    <row r="362" spans="1:9">
      <c r="A362">
        <v>2018</v>
      </c>
      <c r="B362" t="s">
        <v>44</v>
      </c>
      <c r="C362">
        <f t="shared" si="3"/>
        <v>103</v>
      </c>
      <c r="D362" t="s">
        <v>886</v>
      </c>
      <c r="E362" t="s">
        <v>481</v>
      </c>
      <c r="G362" t="s">
        <v>598</v>
      </c>
      <c r="I362" s="33">
        <v>326131</v>
      </c>
    </row>
    <row r="363" spans="1:9">
      <c r="A363">
        <v>2018</v>
      </c>
      <c r="B363" t="s">
        <v>44</v>
      </c>
      <c r="C363">
        <f t="shared" si="3"/>
        <v>104</v>
      </c>
      <c r="D363" t="s">
        <v>886</v>
      </c>
      <c r="E363" t="s">
        <v>933</v>
      </c>
      <c r="F363" t="s">
        <v>606</v>
      </c>
      <c r="G363" t="s">
        <v>631</v>
      </c>
      <c r="H363" t="s">
        <v>612</v>
      </c>
      <c r="I363" s="33">
        <v>4129689</v>
      </c>
    </row>
    <row r="364" spans="1:9">
      <c r="A364">
        <v>2018</v>
      </c>
      <c r="B364" t="s">
        <v>44</v>
      </c>
      <c r="C364">
        <f t="shared" si="3"/>
        <v>105</v>
      </c>
      <c r="D364" t="s">
        <v>886</v>
      </c>
      <c r="E364" t="s">
        <v>934</v>
      </c>
      <c r="I364" s="33">
        <v>468683</v>
      </c>
    </row>
    <row r="365" spans="1:9">
      <c r="A365">
        <v>2018</v>
      </c>
      <c r="B365" t="s">
        <v>44</v>
      </c>
      <c r="C365">
        <f t="shared" si="3"/>
        <v>106</v>
      </c>
      <c r="D365" t="s">
        <v>886</v>
      </c>
      <c r="E365" t="s">
        <v>935</v>
      </c>
      <c r="F365" t="s">
        <v>606</v>
      </c>
      <c r="G365" t="s">
        <v>631</v>
      </c>
      <c r="I365" s="33">
        <v>45521268</v>
      </c>
    </row>
    <row r="366" spans="1:9">
      <c r="A366">
        <v>2018</v>
      </c>
      <c r="B366" t="s">
        <v>44</v>
      </c>
      <c r="C366">
        <f t="shared" si="3"/>
        <v>107</v>
      </c>
      <c r="D366" t="s">
        <v>886</v>
      </c>
      <c r="E366" t="s">
        <v>335</v>
      </c>
      <c r="F366" t="s">
        <v>606</v>
      </c>
      <c r="G366" t="s">
        <v>598</v>
      </c>
      <c r="H366" t="s">
        <v>616</v>
      </c>
      <c r="I366" s="33">
        <v>15410</v>
      </c>
    </row>
    <row r="367" spans="1:9">
      <c r="A367">
        <v>2018</v>
      </c>
      <c r="B367" t="s">
        <v>44</v>
      </c>
      <c r="C367">
        <f t="shared" si="3"/>
        <v>108</v>
      </c>
      <c r="D367" t="s">
        <v>886</v>
      </c>
      <c r="E367" t="s">
        <v>460</v>
      </c>
      <c r="G367" t="s">
        <v>598</v>
      </c>
      <c r="H367" t="s">
        <v>616</v>
      </c>
      <c r="I367" s="33">
        <v>688869</v>
      </c>
    </row>
    <row r="368" spans="1:9">
      <c r="A368">
        <v>2018</v>
      </c>
      <c r="B368" t="s">
        <v>44</v>
      </c>
      <c r="C368">
        <f t="shared" si="3"/>
        <v>109</v>
      </c>
      <c r="D368" t="s">
        <v>886</v>
      </c>
      <c r="E368" t="s">
        <v>936</v>
      </c>
      <c r="G368" t="s">
        <v>598</v>
      </c>
      <c r="I368" s="33">
        <v>210967</v>
      </c>
    </row>
    <row r="369" spans="1:9">
      <c r="A369">
        <v>2018</v>
      </c>
      <c r="B369" t="s">
        <v>44</v>
      </c>
      <c r="C369">
        <f t="shared" si="3"/>
        <v>110</v>
      </c>
      <c r="D369" t="s">
        <v>886</v>
      </c>
      <c r="E369" t="s">
        <v>937</v>
      </c>
      <c r="G369" t="s">
        <v>598</v>
      </c>
      <c r="I369" s="33">
        <v>12185</v>
      </c>
    </row>
    <row r="370" spans="1:9">
      <c r="A370">
        <v>2018</v>
      </c>
      <c r="B370" t="s">
        <v>44</v>
      </c>
      <c r="C370">
        <f t="shared" si="3"/>
        <v>111</v>
      </c>
      <c r="D370" t="s">
        <v>886</v>
      </c>
      <c r="E370" t="s">
        <v>278</v>
      </c>
      <c r="G370" t="s">
        <v>598</v>
      </c>
      <c r="H370" t="s">
        <v>616</v>
      </c>
      <c r="I370" s="33">
        <v>435861</v>
      </c>
    </row>
    <row r="371" spans="1:9">
      <c r="A371">
        <v>2018</v>
      </c>
      <c r="B371" t="s">
        <v>44</v>
      </c>
      <c r="C371">
        <f t="shared" si="3"/>
        <v>112</v>
      </c>
      <c r="D371" t="s">
        <v>886</v>
      </c>
      <c r="E371" t="s">
        <v>541</v>
      </c>
      <c r="G371" t="s">
        <v>598</v>
      </c>
      <c r="H371" t="s">
        <v>616</v>
      </c>
      <c r="I371" s="33">
        <v>12751</v>
      </c>
    </row>
    <row r="372" spans="1:9">
      <c r="A372">
        <v>2018</v>
      </c>
      <c r="B372" t="s">
        <v>44</v>
      </c>
      <c r="C372">
        <f t="shared" si="3"/>
        <v>113</v>
      </c>
      <c r="D372" t="s">
        <v>886</v>
      </c>
      <c r="E372" t="s">
        <v>398</v>
      </c>
      <c r="F372" t="s">
        <v>1397</v>
      </c>
      <c r="G372" t="s">
        <v>631</v>
      </c>
      <c r="H372" t="s">
        <v>616</v>
      </c>
      <c r="I372" s="33">
        <v>12104346</v>
      </c>
    </row>
    <row r="373" spans="1:9">
      <c r="A373">
        <v>2018</v>
      </c>
      <c r="B373" t="s">
        <v>44</v>
      </c>
      <c r="C373">
        <f t="shared" si="3"/>
        <v>114</v>
      </c>
      <c r="D373" t="s">
        <v>886</v>
      </c>
      <c r="E373" t="s">
        <v>938</v>
      </c>
      <c r="G373" t="s">
        <v>598</v>
      </c>
      <c r="I373" s="33">
        <v>128296</v>
      </c>
    </row>
    <row r="374" spans="1:9">
      <c r="A374">
        <v>2018</v>
      </c>
      <c r="B374" t="s">
        <v>44</v>
      </c>
      <c r="C374">
        <f t="shared" si="3"/>
        <v>115</v>
      </c>
      <c r="D374" t="s">
        <v>886</v>
      </c>
      <c r="E374" t="s">
        <v>939</v>
      </c>
      <c r="G374" t="s">
        <v>631</v>
      </c>
      <c r="I374" s="33">
        <v>114006</v>
      </c>
    </row>
    <row r="375" spans="1:9">
      <c r="A375">
        <v>2018</v>
      </c>
      <c r="B375" t="s">
        <v>44</v>
      </c>
      <c r="C375">
        <f t="shared" si="3"/>
        <v>116</v>
      </c>
      <c r="D375" t="s">
        <v>886</v>
      </c>
      <c r="E375" t="s">
        <v>485</v>
      </c>
      <c r="G375" t="s">
        <v>598</v>
      </c>
      <c r="I375" s="33">
        <v>287293</v>
      </c>
    </row>
    <row r="376" spans="1:9">
      <c r="A376">
        <v>2018</v>
      </c>
      <c r="B376" t="s">
        <v>44</v>
      </c>
      <c r="C376">
        <f t="shared" si="3"/>
        <v>117</v>
      </c>
      <c r="D376" t="s">
        <v>886</v>
      </c>
      <c r="E376" t="s">
        <v>940</v>
      </c>
      <c r="F376" t="s">
        <v>606</v>
      </c>
      <c r="G376" t="s">
        <v>598</v>
      </c>
      <c r="I376" s="33">
        <v>640000</v>
      </c>
    </row>
    <row r="377" spans="1:9">
      <c r="A377">
        <v>2018</v>
      </c>
      <c r="B377" t="s">
        <v>44</v>
      </c>
      <c r="C377">
        <f t="shared" si="3"/>
        <v>118</v>
      </c>
      <c r="D377" t="s">
        <v>886</v>
      </c>
      <c r="E377" t="s">
        <v>941</v>
      </c>
      <c r="F377" t="s">
        <v>602</v>
      </c>
      <c r="G377" t="s">
        <v>631</v>
      </c>
      <c r="H377" t="s">
        <v>612</v>
      </c>
      <c r="I377" s="33">
        <v>5484138</v>
      </c>
    </row>
    <row r="378" spans="1:9">
      <c r="A378">
        <v>2018</v>
      </c>
      <c r="B378" t="s">
        <v>44</v>
      </c>
      <c r="C378">
        <f t="shared" si="3"/>
        <v>119</v>
      </c>
      <c r="D378" t="s">
        <v>886</v>
      </c>
      <c r="E378" t="s">
        <v>942</v>
      </c>
      <c r="I378" s="33">
        <v>41259</v>
      </c>
    </row>
    <row r="379" spans="1:9">
      <c r="A379">
        <v>2018</v>
      </c>
      <c r="B379" t="s">
        <v>44</v>
      </c>
      <c r="C379">
        <f t="shared" si="3"/>
        <v>120</v>
      </c>
      <c r="D379" t="s">
        <v>886</v>
      </c>
      <c r="E379" t="s">
        <v>943</v>
      </c>
      <c r="I379" s="33">
        <v>145250</v>
      </c>
    </row>
    <row r="380" spans="1:9">
      <c r="A380">
        <v>2018</v>
      </c>
      <c r="B380" t="s">
        <v>44</v>
      </c>
      <c r="C380">
        <f t="shared" si="3"/>
        <v>121</v>
      </c>
      <c r="D380" t="s">
        <v>886</v>
      </c>
      <c r="E380" t="s">
        <v>944</v>
      </c>
      <c r="F380" t="s">
        <v>606</v>
      </c>
      <c r="G380" t="s">
        <v>631</v>
      </c>
      <c r="H380" t="s">
        <v>603</v>
      </c>
      <c r="I380" s="33">
        <v>312295</v>
      </c>
    </row>
    <row r="381" spans="1:9">
      <c r="A381">
        <v>2018</v>
      </c>
      <c r="B381" t="s">
        <v>44</v>
      </c>
      <c r="C381">
        <f t="shared" si="3"/>
        <v>122</v>
      </c>
      <c r="D381" t="s">
        <v>886</v>
      </c>
      <c r="E381" t="s">
        <v>945</v>
      </c>
      <c r="G381" t="s">
        <v>598</v>
      </c>
      <c r="I381" s="33">
        <v>9135</v>
      </c>
    </row>
    <row r="382" spans="1:9">
      <c r="A382">
        <v>2018</v>
      </c>
      <c r="B382" t="s">
        <v>44</v>
      </c>
      <c r="C382">
        <f t="shared" si="3"/>
        <v>123</v>
      </c>
      <c r="D382" t="s">
        <v>886</v>
      </c>
      <c r="E382" t="s">
        <v>946</v>
      </c>
      <c r="F382" t="s">
        <v>606</v>
      </c>
      <c r="G382" t="s">
        <v>631</v>
      </c>
      <c r="I382" s="33">
        <v>1494779</v>
      </c>
    </row>
    <row r="383" spans="1:9">
      <c r="A383">
        <v>2018</v>
      </c>
      <c r="B383" t="s">
        <v>44</v>
      </c>
      <c r="C383">
        <f t="shared" si="3"/>
        <v>124</v>
      </c>
      <c r="D383" t="s">
        <v>886</v>
      </c>
      <c r="E383" t="s">
        <v>257</v>
      </c>
      <c r="F383" t="s">
        <v>606</v>
      </c>
      <c r="G383" t="s">
        <v>703</v>
      </c>
      <c r="H383" t="s">
        <v>616</v>
      </c>
      <c r="I383" s="33">
        <v>787747</v>
      </c>
    </row>
    <row r="384" spans="1:9">
      <c r="A384">
        <v>2018</v>
      </c>
      <c r="B384" t="s">
        <v>44</v>
      </c>
      <c r="C384">
        <f t="shared" si="3"/>
        <v>125</v>
      </c>
      <c r="D384" t="s">
        <v>886</v>
      </c>
      <c r="E384" t="s">
        <v>464</v>
      </c>
      <c r="G384" t="s">
        <v>598</v>
      </c>
      <c r="I384" s="33">
        <v>625975</v>
      </c>
    </row>
    <row r="385" spans="1:9">
      <c r="A385">
        <v>2018</v>
      </c>
      <c r="B385" t="s">
        <v>44</v>
      </c>
      <c r="C385">
        <f t="shared" si="3"/>
        <v>126</v>
      </c>
      <c r="D385" t="s">
        <v>886</v>
      </c>
      <c r="E385" t="s">
        <v>342</v>
      </c>
      <c r="G385" t="s">
        <v>598</v>
      </c>
      <c r="H385" t="s">
        <v>616</v>
      </c>
      <c r="I385" s="33">
        <v>10608</v>
      </c>
    </row>
    <row r="386" spans="1:9">
      <c r="A386">
        <v>2018</v>
      </c>
      <c r="B386" t="s">
        <v>44</v>
      </c>
      <c r="C386">
        <f t="shared" si="3"/>
        <v>127</v>
      </c>
      <c r="D386" t="s">
        <v>886</v>
      </c>
      <c r="E386" t="s">
        <v>947</v>
      </c>
      <c r="F386" t="s">
        <v>606</v>
      </c>
      <c r="G386" t="s">
        <v>598</v>
      </c>
      <c r="H386" t="s">
        <v>612</v>
      </c>
      <c r="I386" s="33">
        <v>11386</v>
      </c>
    </row>
    <row r="387" spans="1:9">
      <c r="A387">
        <v>2018</v>
      </c>
      <c r="B387" t="s">
        <v>44</v>
      </c>
      <c r="C387">
        <f t="shared" si="3"/>
        <v>128</v>
      </c>
      <c r="D387" t="s">
        <v>886</v>
      </c>
      <c r="E387" t="s">
        <v>244</v>
      </c>
      <c r="F387" t="s">
        <v>606</v>
      </c>
      <c r="G387" t="s">
        <v>631</v>
      </c>
      <c r="H387" t="s">
        <v>612</v>
      </c>
      <c r="I387" s="33">
        <v>1456558</v>
      </c>
    </row>
    <row r="388" spans="1:9">
      <c r="A388">
        <v>2018</v>
      </c>
      <c r="B388" t="s">
        <v>44</v>
      </c>
      <c r="C388">
        <f t="shared" si="3"/>
        <v>129</v>
      </c>
      <c r="D388" t="s">
        <v>886</v>
      </c>
      <c r="E388" t="s">
        <v>948</v>
      </c>
      <c r="G388" t="s">
        <v>598</v>
      </c>
      <c r="I388" s="33">
        <v>26102</v>
      </c>
    </row>
    <row r="389" spans="1:9">
      <c r="A389">
        <v>2018</v>
      </c>
      <c r="B389" t="s">
        <v>44</v>
      </c>
      <c r="C389">
        <f t="shared" si="3"/>
        <v>130</v>
      </c>
      <c r="D389" t="s">
        <v>886</v>
      </c>
      <c r="E389" t="s">
        <v>321</v>
      </c>
      <c r="G389" t="s">
        <v>598</v>
      </c>
      <c r="I389" s="33">
        <v>42815</v>
      </c>
    </row>
    <row r="390" spans="1:9">
      <c r="A390">
        <v>2018</v>
      </c>
      <c r="B390" t="s">
        <v>44</v>
      </c>
      <c r="C390">
        <f t="shared" ref="C390:C453" si="4">C389+1</f>
        <v>131</v>
      </c>
      <c r="D390" t="s">
        <v>886</v>
      </c>
      <c r="E390" t="s">
        <v>396</v>
      </c>
      <c r="F390" t="s">
        <v>606</v>
      </c>
      <c r="G390" t="s">
        <v>631</v>
      </c>
      <c r="H390" t="s">
        <v>612</v>
      </c>
      <c r="I390" s="33">
        <v>15382225</v>
      </c>
    </row>
    <row r="391" spans="1:9">
      <c r="A391">
        <v>2018</v>
      </c>
      <c r="B391" t="s">
        <v>44</v>
      </c>
      <c r="C391">
        <f t="shared" si="4"/>
        <v>132</v>
      </c>
      <c r="D391" t="s">
        <v>886</v>
      </c>
      <c r="E391" t="s">
        <v>949</v>
      </c>
      <c r="H391" t="s">
        <v>599</v>
      </c>
      <c r="I391" s="33">
        <v>2890000</v>
      </c>
    </row>
    <row r="392" spans="1:9">
      <c r="A392">
        <v>2018</v>
      </c>
      <c r="B392" t="s">
        <v>44</v>
      </c>
      <c r="C392">
        <f t="shared" si="4"/>
        <v>133</v>
      </c>
      <c r="D392" t="s">
        <v>886</v>
      </c>
      <c r="E392" t="s">
        <v>950</v>
      </c>
      <c r="F392" t="s">
        <v>597</v>
      </c>
      <c r="G392" t="s">
        <v>598</v>
      </c>
      <c r="H392" t="s">
        <v>599</v>
      </c>
      <c r="I392" s="33">
        <v>0</v>
      </c>
    </row>
    <row r="393" spans="1:9">
      <c r="A393">
        <v>2018</v>
      </c>
      <c r="B393" t="s">
        <v>44</v>
      </c>
      <c r="C393">
        <f t="shared" si="4"/>
        <v>134</v>
      </c>
      <c r="D393" t="s">
        <v>886</v>
      </c>
      <c r="E393" t="s">
        <v>403</v>
      </c>
      <c r="F393" t="s">
        <v>606</v>
      </c>
      <c r="G393" t="s">
        <v>631</v>
      </c>
      <c r="H393" t="s">
        <v>612</v>
      </c>
      <c r="I393" s="33">
        <v>11440000</v>
      </c>
    </row>
    <row r="394" spans="1:9">
      <c r="A394">
        <v>2018</v>
      </c>
      <c r="B394" t="s">
        <v>44</v>
      </c>
      <c r="C394">
        <f t="shared" si="4"/>
        <v>135</v>
      </c>
      <c r="D394" t="s">
        <v>886</v>
      </c>
      <c r="E394" t="s">
        <v>951</v>
      </c>
      <c r="F394" t="s">
        <v>606</v>
      </c>
      <c r="G394" t="s">
        <v>598</v>
      </c>
      <c r="H394" t="s">
        <v>616</v>
      </c>
      <c r="I394" s="33">
        <v>220000</v>
      </c>
    </row>
    <row r="395" spans="1:9">
      <c r="A395">
        <v>2018</v>
      </c>
      <c r="B395" t="s">
        <v>44</v>
      </c>
      <c r="C395">
        <f t="shared" si="4"/>
        <v>136</v>
      </c>
      <c r="D395" t="s">
        <v>886</v>
      </c>
      <c r="E395" t="s">
        <v>954</v>
      </c>
      <c r="G395" t="s">
        <v>598</v>
      </c>
      <c r="H395" t="s">
        <v>616</v>
      </c>
      <c r="I395" s="33">
        <v>210000</v>
      </c>
    </row>
    <row r="396" spans="1:9">
      <c r="A396">
        <v>2018</v>
      </c>
      <c r="B396" t="s">
        <v>44</v>
      </c>
      <c r="C396">
        <f t="shared" si="4"/>
        <v>137</v>
      </c>
      <c r="D396" t="s">
        <v>886</v>
      </c>
      <c r="E396" t="s">
        <v>955</v>
      </c>
      <c r="G396" t="s">
        <v>598</v>
      </c>
      <c r="I396" s="33">
        <v>29637</v>
      </c>
    </row>
    <row r="397" spans="1:9">
      <c r="A397">
        <v>2018</v>
      </c>
      <c r="B397" t="s">
        <v>44</v>
      </c>
      <c r="C397">
        <f t="shared" si="4"/>
        <v>138</v>
      </c>
      <c r="D397" t="s">
        <v>886</v>
      </c>
      <c r="E397" t="s">
        <v>956</v>
      </c>
      <c r="F397" t="s">
        <v>606</v>
      </c>
      <c r="G397" t="s">
        <v>631</v>
      </c>
      <c r="I397" s="33">
        <v>779255</v>
      </c>
    </row>
    <row r="398" spans="1:9">
      <c r="A398">
        <v>2018</v>
      </c>
      <c r="B398" t="s">
        <v>44</v>
      </c>
      <c r="C398">
        <f t="shared" si="4"/>
        <v>139</v>
      </c>
      <c r="D398" t="s">
        <v>886</v>
      </c>
      <c r="E398" t="s">
        <v>957</v>
      </c>
      <c r="F398" t="s">
        <v>602</v>
      </c>
      <c r="G398" t="s">
        <v>631</v>
      </c>
      <c r="H398" t="s">
        <v>612</v>
      </c>
      <c r="I398" s="33">
        <v>9484078</v>
      </c>
    </row>
    <row r="399" spans="1:9">
      <c r="A399">
        <v>2018</v>
      </c>
      <c r="B399" t="s">
        <v>44</v>
      </c>
      <c r="C399">
        <f t="shared" si="4"/>
        <v>140</v>
      </c>
      <c r="D399" t="s">
        <v>886</v>
      </c>
      <c r="E399" t="s">
        <v>472</v>
      </c>
      <c r="G399" t="s">
        <v>598</v>
      </c>
      <c r="H399" t="s">
        <v>616</v>
      </c>
      <c r="I399" s="33">
        <v>475322</v>
      </c>
    </row>
    <row r="400" spans="1:9">
      <c r="A400">
        <v>2018</v>
      </c>
      <c r="B400" t="s">
        <v>44</v>
      </c>
      <c r="C400">
        <f t="shared" si="4"/>
        <v>141</v>
      </c>
      <c r="D400" t="s">
        <v>886</v>
      </c>
      <c r="E400" t="s">
        <v>958</v>
      </c>
      <c r="G400" t="s">
        <v>598</v>
      </c>
      <c r="I400" s="33">
        <v>4984</v>
      </c>
    </row>
    <row r="401" spans="1:9">
      <c r="A401">
        <v>2018</v>
      </c>
      <c r="B401" t="s">
        <v>44</v>
      </c>
      <c r="C401">
        <f t="shared" si="4"/>
        <v>142</v>
      </c>
      <c r="D401" t="s">
        <v>886</v>
      </c>
      <c r="E401" t="s">
        <v>478</v>
      </c>
      <c r="F401" t="s">
        <v>606</v>
      </c>
      <c r="G401" t="s">
        <v>598</v>
      </c>
      <c r="H401" t="s">
        <v>616</v>
      </c>
      <c r="I401" s="33">
        <v>367754</v>
      </c>
    </row>
    <row r="402" spans="1:9">
      <c r="A402">
        <v>2018</v>
      </c>
      <c r="B402" t="s">
        <v>44</v>
      </c>
      <c r="C402">
        <f t="shared" si="4"/>
        <v>143</v>
      </c>
      <c r="D402" t="s">
        <v>886</v>
      </c>
      <c r="E402" t="s">
        <v>291</v>
      </c>
      <c r="F402" t="s">
        <v>606</v>
      </c>
      <c r="G402" t="s">
        <v>598</v>
      </c>
      <c r="I402" s="33">
        <v>202339</v>
      </c>
    </row>
    <row r="403" spans="1:9">
      <c r="A403">
        <v>2018</v>
      </c>
      <c r="B403" t="s">
        <v>44</v>
      </c>
      <c r="C403">
        <f t="shared" si="4"/>
        <v>144</v>
      </c>
      <c r="D403" t="s">
        <v>886</v>
      </c>
      <c r="E403" t="s">
        <v>468</v>
      </c>
      <c r="G403" t="s">
        <v>598</v>
      </c>
      <c r="H403" t="s">
        <v>616</v>
      </c>
      <c r="I403" s="33">
        <v>518385</v>
      </c>
    </row>
    <row r="404" spans="1:9">
      <c r="A404">
        <v>2018</v>
      </c>
      <c r="B404" t="s">
        <v>44</v>
      </c>
      <c r="C404">
        <f t="shared" si="4"/>
        <v>145</v>
      </c>
      <c r="D404" t="s">
        <v>886</v>
      </c>
      <c r="E404" t="s">
        <v>184</v>
      </c>
      <c r="F404" t="s">
        <v>606</v>
      </c>
      <c r="G404" t="s">
        <v>598</v>
      </c>
      <c r="H404" t="s">
        <v>616</v>
      </c>
      <c r="I404" s="33">
        <v>9345649</v>
      </c>
    </row>
    <row r="405" spans="1:9">
      <c r="A405">
        <v>2018</v>
      </c>
      <c r="B405" t="s">
        <v>44</v>
      </c>
      <c r="C405">
        <f t="shared" si="4"/>
        <v>146</v>
      </c>
      <c r="D405" t="s">
        <v>886</v>
      </c>
      <c r="E405" t="s">
        <v>527</v>
      </c>
      <c r="G405" t="s">
        <v>598</v>
      </c>
      <c r="I405" s="33">
        <v>30744</v>
      </c>
    </row>
    <row r="406" spans="1:9">
      <c r="A406">
        <v>2018</v>
      </c>
      <c r="B406" t="s">
        <v>44</v>
      </c>
      <c r="C406">
        <f t="shared" si="4"/>
        <v>147</v>
      </c>
      <c r="D406" t="s">
        <v>886</v>
      </c>
      <c r="E406" t="s">
        <v>544</v>
      </c>
      <c r="G406" t="s">
        <v>598</v>
      </c>
      <c r="H406" t="s">
        <v>616</v>
      </c>
      <c r="I406" s="33">
        <v>7898</v>
      </c>
    </row>
    <row r="407" spans="1:9">
      <c r="A407">
        <v>2018</v>
      </c>
      <c r="B407" t="s">
        <v>44</v>
      </c>
      <c r="C407">
        <f t="shared" si="4"/>
        <v>148</v>
      </c>
      <c r="D407" t="s">
        <v>886</v>
      </c>
      <c r="E407" t="s">
        <v>516</v>
      </c>
      <c r="F407" t="s">
        <v>606</v>
      </c>
      <c r="G407" t="s">
        <v>598</v>
      </c>
      <c r="I407" s="33">
        <v>65446</v>
      </c>
    </row>
    <row r="408" spans="1:9">
      <c r="A408">
        <v>2018</v>
      </c>
      <c r="B408" t="s">
        <v>44</v>
      </c>
      <c r="C408">
        <f t="shared" si="4"/>
        <v>149</v>
      </c>
      <c r="D408" t="s">
        <v>886</v>
      </c>
      <c r="E408" t="s">
        <v>524</v>
      </c>
      <c r="G408" t="s">
        <v>598</v>
      </c>
      <c r="H408" t="s">
        <v>607</v>
      </c>
      <c r="I408" s="33">
        <v>40417</v>
      </c>
    </row>
    <row r="409" spans="1:9">
      <c r="A409">
        <v>2018</v>
      </c>
      <c r="B409" t="s">
        <v>44</v>
      </c>
      <c r="C409">
        <f t="shared" si="4"/>
        <v>150</v>
      </c>
      <c r="D409" t="s">
        <v>886</v>
      </c>
      <c r="E409" t="s">
        <v>259</v>
      </c>
      <c r="F409" t="s">
        <v>606</v>
      </c>
      <c r="G409" t="s">
        <v>598</v>
      </c>
      <c r="H409" t="s">
        <v>616</v>
      </c>
      <c r="I409" s="33">
        <v>738015</v>
      </c>
    </row>
    <row r="410" spans="1:9">
      <c r="A410">
        <v>2018</v>
      </c>
      <c r="B410" t="s">
        <v>44</v>
      </c>
      <c r="C410">
        <f t="shared" si="4"/>
        <v>151</v>
      </c>
      <c r="D410" t="s">
        <v>886</v>
      </c>
      <c r="E410" t="s">
        <v>214</v>
      </c>
      <c r="F410" t="s">
        <v>606</v>
      </c>
      <c r="G410" t="s">
        <v>598</v>
      </c>
      <c r="H410" t="s">
        <v>616</v>
      </c>
      <c r="I410" s="33">
        <v>3493631</v>
      </c>
    </row>
    <row r="411" spans="1:9">
      <c r="A411">
        <v>2018</v>
      </c>
      <c r="B411" t="s">
        <v>44</v>
      </c>
      <c r="C411">
        <f t="shared" si="4"/>
        <v>152</v>
      </c>
      <c r="D411" t="s">
        <v>886</v>
      </c>
      <c r="E411" t="s">
        <v>959</v>
      </c>
      <c r="F411" t="s">
        <v>606</v>
      </c>
      <c r="G411" t="s">
        <v>631</v>
      </c>
      <c r="H411" t="s">
        <v>612</v>
      </c>
      <c r="I411" s="33">
        <v>4979</v>
      </c>
    </row>
    <row r="412" spans="1:9">
      <c r="A412">
        <v>2018</v>
      </c>
      <c r="B412" t="s">
        <v>44</v>
      </c>
      <c r="C412">
        <f t="shared" si="4"/>
        <v>153</v>
      </c>
      <c r="D412" t="s">
        <v>886</v>
      </c>
      <c r="E412" t="s">
        <v>960</v>
      </c>
      <c r="G412" t="s">
        <v>598</v>
      </c>
      <c r="H412" t="s">
        <v>603</v>
      </c>
      <c r="I412" s="33">
        <v>202398</v>
      </c>
    </row>
    <row r="413" spans="1:9">
      <c r="A413">
        <v>2018</v>
      </c>
      <c r="B413" t="s">
        <v>44</v>
      </c>
      <c r="C413">
        <f t="shared" si="4"/>
        <v>154</v>
      </c>
      <c r="D413" t="s">
        <v>886</v>
      </c>
      <c r="E413" t="s">
        <v>437</v>
      </c>
      <c r="F413" t="s">
        <v>606</v>
      </c>
      <c r="G413" t="s">
        <v>598</v>
      </c>
      <c r="I413" s="33">
        <v>1440000</v>
      </c>
    </row>
    <row r="414" spans="1:9">
      <c r="A414">
        <v>2018</v>
      </c>
      <c r="B414" t="s">
        <v>44</v>
      </c>
      <c r="C414">
        <f t="shared" si="4"/>
        <v>155</v>
      </c>
      <c r="D414" t="s">
        <v>886</v>
      </c>
      <c r="E414" t="s">
        <v>361</v>
      </c>
      <c r="F414" t="s">
        <v>606</v>
      </c>
      <c r="G414" t="s">
        <v>598</v>
      </c>
      <c r="H414" t="s">
        <v>616</v>
      </c>
      <c r="I414" s="33">
        <v>366961920</v>
      </c>
    </row>
    <row r="415" spans="1:9">
      <c r="A415">
        <v>2018</v>
      </c>
      <c r="B415" t="s">
        <v>44</v>
      </c>
      <c r="C415">
        <f t="shared" si="4"/>
        <v>156</v>
      </c>
      <c r="D415" t="s">
        <v>886</v>
      </c>
      <c r="E415" t="s">
        <v>288</v>
      </c>
      <c r="F415" t="s">
        <v>606</v>
      </c>
      <c r="G415" t="s">
        <v>598</v>
      </c>
      <c r="H415" t="s">
        <v>616</v>
      </c>
      <c r="I415" s="33">
        <v>223188</v>
      </c>
    </row>
    <row r="416" spans="1:9">
      <c r="A416">
        <v>2018</v>
      </c>
      <c r="B416" t="s">
        <v>44</v>
      </c>
      <c r="C416">
        <f t="shared" si="4"/>
        <v>157</v>
      </c>
      <c r="D416" t="s">
        <v>886</v>
      </c>
      <c r="E416" t="s">
        <v>345</v>
      </c>
      <c r="I416" s="33">
        <v>6534</v>
      </c>
    </row>
    <row r="417" spans="1:9">
      <c r="A417">
        <v>2018</v>
      </c>
      <c r="B417" t="s">
        <v>44</v>
      </c>
      <c r="C417">
        <f t="shared" si="4"/>
        <v>158</v>
      </c>
      <c r="D417" t="s">
        <v>886</v>
      </c>
      <c r="E417" t="s">
        <v>441</v>
      </c>
      <c r="I417" s="33">
        <v>1371255</v>
      </c>
    </row>
    <row r="418" spans="1:9">
      <c r="A418">
        <v>2018</v>
      </c>
      <c r="B418" t="s">
        <v>44</v>
      </c>
      <c r="C418">
        <f t="shared" si="4"/>
        <v>159</v>
      </c>
      <c r="D418" t="s">
        <v>886</v>
      </c>
      <c r="E418" t="s">
        <v>525</v>
      </c>
      <c r="F418" t="s">
        <v>606</v>
      </c>
      <c r="G418" t="s">
        <v>598</v>
      </c>
      <c r="H418" t="s">
        <v>603</v>
      </c>
      <c r="I418" s="33">
        <v>37853</v>
      </c>
    </row>
    <row r="419" spans="1:9">
      <c r="A419">
        <v>2018</v>
      </c>
      <c r="B419" t="s">
        <v>44</v>
      </c>
      <c r="C419">
        <f t="shared" si="4"/>
        <v>160</v>
      </c>
      <c r="D419" t="s">
        <v>886</v>
      </c>
      <c r="E419" t="s">
        <v>428</v>
      </c>
      <c r="F419" t="s">
        <v>606</v>
      </c>
      <c r="G419" t="s">
        <v>598</v>
      </c>
      <c r="H419" t="s">
        <v>616</v>
      </c>
      <c r="I419" s="33">
        <v>3004460</v>
      </c>
    </row>
    <row r="420" spans="1:9">
      <c r="A420">
        <v>2018</v>
      </c>
      <c r="B420" t="s">
        <v>44</v>
      </c>
      <c r="C420">
        <f t="shared" si="4"/>
        <v>161</v>
      </c>
      <c r="D420" t="s">
        <v>886</v>
      </c>
      <c r="E420" t="s">
        <v>961</v>
      </c>
      <c r="F420" t="s">
        <v>606</v>
      </c>
      <c r="G420" t="s">
        <v>631</v>
      </c>
      <c r="I420" s="33">
        <v>256787</v>
      </c>
    </row>
    <row r="421" spans="1:9">
      <c r="A421">
        <v>2018</v>
      </c>
      <c r="B421" t="s">
        <v>44</v>
      </c>
      <c r="C421">
        <f t="shared" si="4"/>
        <v>162</v>
      </c>
      <c r="D421" t="s">
        <v>886</v>
      </c>
      <c r="E421" t="s">
        <v>962</v>
      </c>
      <c r="G421" t="s">
        <v>598</v>
      </c>
      <c r="I421" s="33">
        <v>34759</v>
      </c>
    </row>
    <row r="422" spans="1:9">
      <c r="A422">
        <v>2018</v>
      </c>
      <c r="B422" t="s">
        <v>44</v>
      </c>
      <c r="C422">
        <f t="shared" si="4"/>
        <v>163</v>
      </c>
      <c r="D422" t="s">
        <v>886</v>
      </c>
      <c r="E422" t="s">
        <v>440</v>
      </c>
      <c r="F422" t="s">
        <v>606</v>
      </c>
      <c r="G422" t="s">
        <v>598</v>
      </c>
      <c r="H422" t="s">
        <v>616</v>
      </c>
      <c r="I422" s="33">
        <v>1380000</v>
      </c>
    </row>
    <row r="423" spans="1:9">
      <c r="A423">
        <v>2018</v>
      </c>
      <c r="B423" t="s">
        <v>44</v>
      </c>
      <c r="C423">
        <f t="shared" si="4"/>
        <v>164</v>
      </c>
      <c r="D423" t="s">
        <v>886</v>
      </c>
      <c r="E423" t="s">
        <v>963</v>
      </c>
      <c r="F423" t="s">
        <v>597</v>
      </c>
      <c r="G423" t="s">
        <v>598</v>
      </c>
      <c r="H423" t="s">
        <v>599</v>
      </c>
      <c r="I423" s="33">
        <v>33862</v>
      </c>
    </row>
    <row r="424" spans="1:9">
      <c r="A424">
        <v>2018</v>
      </c>
      <c r="B424" t="s">
        <v>44</v>
      </c>
      <c r="C424">
        <f t="shared" si="4"/>
        <v>165</v>
      </c>
      <c r="D424" t="s">
        <v>886</v>
      </c>
      <c r="E424" t="s">
        <v>203</v>
      </c>
      <c r="F424" t="s">
        <v>606</v>
      </c>
      <c r="G424" t="s">
        <v>631</v>
      </c>
      <c r="H424" t="s">
        <v>607</v>
      </c>
      <c r="I424" s="33">
        <v>5755641</v>
      </c>
    </row>
    <row r="425" spans="1:9">
      <c r="A425">
        <v>2018</v>
      </c>
      <c r="B425" t="s">
        <v>44</v>
      </c>
      <c r="C425">
        <f t="shared" si="4"/>
        <v>166</v>
      </c>
      <c r="D425" t="s">
        <v>886</v>
      </c>
      <c r="E425" t="s">
        <v>326</v>
      </c>
      <c r="G425" t="s">
        <v>598</v>
      </c>
      <c r="I425" s="33">
        <v>24930</v>
      </c>
    </row>
    <row r="426" spans="1:9">
      <c r="A426">
        <v>2018</v>
      </c>
      <c r="B426" t="s">
        <v>44</v>
      </c>
      <c r="C426">
        <f t="shared" si="4"/>
        <v>167</v>
      </c>
      <c r="D426" t="s">
        <v>886</v>
      </c>
      <c r="E426" t="s">
        <v>374</v>
      </c>
      <c r="G426" t="s">
        <v>598</v>
      </c>
      <c r="H426" t="s">
        <v>616</v>
      </c>
      <c r="I426" s="33">
        <v>86876449</v>
      </c>
    </row>
    <row r="427" spans="1:9">
      <c r="A427">
        <v>2018</v>
      </c>
      <c r="B427" t="s">
        <v>44</v>
      </c>
      <c r="C427">
        <f t="shared" si="4"/>
        <v>168</v>
      </c>
      <c r="D427" t="s">
        <v>886</v>
      </c>
      <c r="E427" t="s">
        <v>363</v>
      </c>
      <c r="G427" t="s">
        <v>598</v>
      </c>
      <c r="H427" t="s">
        <v>616</v>
      </c>
      <c r="I427" s="33">
        <v>209221328</v>
      </c>
    </row>
    <row r="428" spans="1:9">
      <c r="A428">
        <v>2018</v>
      </c>
      <c r="B428" t="s">
        <v>44</v>
      </c>
      <c r="C428">
        <f t="shared" si="4"/>
        <v>169</v>
      </c>
      <c r="D428" t="s">
        <v>886</v>
      </c>
      <c r="E428" t="s">
        <v>385</v>
      </c>
      <c r="F428" t="s">
        <v>606</v>
      </c>
      <c r="G428" t="s">
        <v>598</v>
      </c>
      <c r="H428" t="s">
        <v>616</v>
      </c>
      <c r="I428" s="33">
        <v>37516290</v>
      </c>
    </row>
    <row r="429" spans="1:9">
      <c r="A429">
        <v>2018</v>
      </c>
      <c r="B429" t="s">
        <v>44</v>
      </c>
      <c r="C429">
        <f t="shared" si="4"/>
        <v>170</v>
      </c>
      <c r="D429" t="s">
        <v>886</v>
      </c>
      <c r="E429" t="s">
        <v>964</v>
      </c>
      <c r="G429" t="s">
        <v>598</v>
      </c>
      <c r="I429" s="33">
        <v>157047</v>
      </c>
    </row>
    <row r="430" spans="1:9">
      <c r="A430">
        <v>2018</v>
      </c>
      <c r="B430" t="s">
        <v>44</v>
      </c>
      <c r="C430">
        <f t="shared" si="4"/>
        <v>171</v>
      </c>
      <c r="D430" t="s">
        <v>886</v>
      </c>
      <c r="E430" t="s">
        <v>145</v>
      </c>
      <c r="F430" t="s">
        <v>606</v>
      </c>
      <c r="G430" t="s">
        <v>631</v>
      </c>
      <c r="H430" t="s">
        <v>612</v>
      </c>
      <c r="I430" s="33">
        <v>107906177</v>
      </c>
    </row>
    <row r="431" spans="1:9">
      <c r="A431">
        <v>2018</v>
      </c>
      <c r="B431" t="s">
        <v>44</v>
      </c>
      <c r="C431">
        <f t="shared" si="4"/>
        <v>172</v>
      </c>
      <c r="D431" t="s">
        <v>886</v>
      </c>
      <c r="E431" t="s">
        <v>149</v>
      </c>
      <c r="F431" t="s">
        <v>606</v>
      </c>
      <c r="G431" t="s">
        <v>598</v>
      </c>
      <c r="H431" t="s">
        <v>616</v>
      </c>
      <c r="I431" s="33">
        <v>92796952</v>
      </c>
    </row>
    <row r="432" spans="1:9">
      <c r="A432">
        <v>2018</v>
      </c>
      <c r="B432" t="s">
        <v>44</v>
      </c>
      <c r="C432">
        <f t="shared" si="4"/>
        <v>173</v>
      </c>
      <c r="D432" t="s">
        <v>886</v>
      </c>
      <c r="E432" t="s">
        <v>965</v>
      </c>
      <c r="G432" t="s">
        <v>598</v>
      </c>
      <c r="I432" s="33">
        <v>311586</v>
      </c>
    </row>
    <row r="433" spans="1:9">
      <c r="A433">
        <v>2018</v>
      </c>
      <c r="B433" t="s">
        <v>44</v>
      </c>
      <c r="C433">
        <f t="shared" si="4"/>
        <v>174</v>
      </c>
      <c r="D433" t="s">
        <v>886</v>
      </c>
      <c r="E433" t="s">
        <v>546</v>
      </c>
      <c r="G433" t="s">
        <v>598</v>
      </c>
      <c r="I433" s="33">
        <v>6057</v>
      </c>
    </row>
    <row r="434" spans="1:9">
      <c r="A434">
        <v>2018</v>
      </c>
      <c r="B434" t="s">
        <v>44</v>
      </c>
      <c r="C434">
        <f t="shared" si="4"/>
        <v>175</v>
      </c>
      <c r="D434" t="s">
        <v>886</v>
      </c>
      <c r="E434" t="s">
        <v>484</v>
      </c>
      <c r="F434" t="s">
        <v>606</v>
      </c>
      <c r="G434" t="s">
        <v>598</v>
      </c>
      <c r="H434" t="s">
        <v>603</v>
      </c>
      <c r="I434" s="33">
        <v>299510</v>
      </c>
    </row>
    <row r="435" spans="1:9">
      <c r="A435">
        <v>2018</v>
      </c>
      <c r="B435" t="s">
        <v>44</v>
      </c>
      <c r="C435">
        <f t="shared" si="4"/>
        <v>176</v>
      </c>
      <c r="D435" t="s">
        <v>886</v>
      </c>
      <c r="E435" t="s">
        <v>476</v>
      </c>
      <c r="F435" t="s">
        <v>606</v>
      </c>
      <c r="G435" t="s">
        <v>598</v>
      </c>
      <c r="H435" t="s">
        <v>658</v>
      </c>
      <c r="I435" s="33">
        <v>399868</v>
      </c>
    </row>
    <row r="436" spans="1:9">
      <c r="A436">
        <v>2018</v>
      </c>
      <c r="B436" t="s">
        <v>44</v>
      </c>
      <c r="C436">
        <f t="shared" si="4"/>
        <v>177</v>
      </c>
      <c r="D436" t="s">
        <v>886</v>
      </c>
      <c r="E436" t="s">
        <v>966</v>
      </c>
      <c r="G436" t="s">
        <v>598</v>
      </c>
      <c r="I436" s="33">
        <v>156248</v>
      </c>
    </row>
    <row r="437" spans="1:9">
      <c r="A437">
        <v>2018</v>
      </c>
      <c r="B437" t="s">
        <v>44</v>
      </c>
      <c r="C437">
        <f t="shared" si="4"/>
        <v>178</v>
      </c>
      <c r="D437" t="s">
        <v>886</v>
      </c>
      <c r="E437" t="s">
        <v>549</v>
      </c>
      <c r="G437" t="s">
        <v>598</v>
      </c>
      <c r="H437" t="s">
        <v>616</v>
      </c>
      <c r="I437" s="33">
        <v>4995</v>
      </c>
    </row>
    <row r="438" spans="1:9">
      <c r="A438">
        <v>2018</v>
      </c>
      <c r="B438" t="s">
        <v>44</v>
      </c>
      <c r="C438">
        <f t="shared" si="4"/>
        <v>179</v>
      </c>
      <c r="D438" t="s">
        <v>886</v>
      </c>
      <c r="E438" t="s">
        <v>967</v>
      </c>
      <c r="G438" t="s">
        <v>598</v>
      </c>
      <c r="I438" s="33">
        <v>36375</v>
      </c>
    </row>
    <row r="439" spans="1:9">
      <c r="A439">
        <v>2018</v>
      </c>
      <c r="B439" t="s">
        <v>44</v>
      </c>
      <c r="C439">
        <f t="shared" si="4"/>
        <v>180</v>
      </c>
      <c r="D439" t="s">
        <v>886</v>
      </c>
      <c r="E439" t="s">
        <v>474</v>
      </c>
      <c r="G439" t="s">
        <v>598</v>
      </c>
      <c r="I439" s="33">
        <v>447191</v>
      </c>
    </row>
    <row r="440" spans="1:9">
      <c r="A440">
        <v>2018</v>
      </c>
      <c r="B440" t="s">
        <v>44</v>
      </c>
      <c r="C440">
        <f t="shared" si="4"/>
        <v>181</v>
      </c>
      <c r="D440" t="s">
        <v>886</v>
      </c>
      <c r="E440" t="s">
        <v>473</v>
      </c>
      <c r="G440" t="s">
        <v>598</v>
      </c>
      <c r="I440" s="33">
        <v>457137</v>
      </c>
    </row>
    <row r="441" spans="1:9">
      <c r="A441">
        <v>2018</v>
      </c>
      <c r="B441" t="s">
        <v>44</v>
      </c>
      <c r="C441">
        <f t="shared" si="4"/>
        <v>182</v>
      </c>
      <c r="D441" t="s">
        <v>886</v>
      </c>
      <c r="E441" t="s">
        <v>551</v>
      </c>
      <c r="G441" t="s">
        <v>598</v>
      </c>
      <c r="H441" t="s">
        <v>616</v>
      </c>
      <c r="I441" s="33">
        <v>2198</v>
      </c>
    </row>
    <row r="442" spans="1:9">
      <c r="A442">
        <v>2018</v>
      </c>
      <c r="B442" t="s">
        <v>44</v>
      </c>
      <c r="C442">
        <f t="shared" si="4"/>
        <v>183</v>
      </c>
      <c r="D442" t="s">
        <v>886</v>
      </c>
      <c r="E442" t="s">
        <v>968</v>
      </c>
      <c r="G442" t="s">
        <v>598</v>
      </c>
      <c r="I442" s="33">
        <v>208209</v>
      </c>
    </row>
    <row r="443" spans="1:9">
      <c r="A443">
        <v>2018</v>
      </c>
      <c r="B443" t="s">
        <v>44</v>
      </c>
      <c r="C443">
        <f t="shared" si="4"/>
        <v>184</v>
      </c>
      <c r="D443" t="s">
        <v>886</v>
      </c>
      <c r="E443" t="s">
        <v>511</v>
      </c>
      <c r="G443" t="s">
        <v>598</v>
      </c>
      <c r="H443" t="s">
        <v>616</v>
      </c>
      <c r="I443" s="33">
        <v>92673</v>
      </c>
    </row>
    <row r="444" spans="1:9">
      <c r="A444">
        <v>2018</v>
      </c>
      <c r="B444" t="s">
        <v>44</v>
      </c>
      <c r="C444">
        <f t="shared" si="4"/>
        <v>185</v>
      </c>
      <c r="D444" t="s">
        <v>886</v>
      </c>
      <c r="E444" t="s">
        <v>232</v>
      </c>
      <c r="F444" t="s">
        <v>606</v>
      </c>
      <c r="G444" t="s">
        <v>598</v>
      </c>
      <c r="H444" t="s">
        <v>616</v>
      </c>
      <c r="I444" s="33">
        <v>2415054</v>
      </c>
    </row>
    <row r="445" spans="1:9">
      <c r="A445">
        <v>2018</v>
      </c>
      <c r="B445" t="s">
        <v>44</v>
      </c>
      <c r="C445">
        <f t="shared" si="4"/>
        <v>186</v>
      </c>
      <c r="D445" t="s">
        <v>886</v>
      </c>
      <c r="E445" t="s">
        <v>969</v>
      </c>
      <c r="G445" t="s">
        <v>598</v>
      </c>
      <c r="I445" s="33">
        <v>49227</v>
      </c>
    </row>
    <row r="446" spans="1:9">
      <c r="A446">
        <v>2018</v>
      </c>
      <c r="B446" t="s">
        <v>44</v>
      </c>
      <c r="C446">
        <f t="shared" si="4"/>
        <v>187</v>
      </c>
      <c r="D446" t="s">
        <v>886</v>
      </c>
      <c r="E446" t="s">
        <v>970</v>
      </c>
      <c r="F446" t="s">
        <v>606</v>
      </c>
      <c r="G446" t="s">
        <v>598</v>
      </c>
      <c r="I446" s="33">
        <v>36540</v>
      </c>
    </row>
    <row r="447" spans="1:9">
      <c r="A447">
        <v>2018</v>
      </c>
      <c r="B447" t="s">
        <v>44</v>
      </c>
      <c r="C447">
        <f t="shared" si="4"/>
        <v>188</v>
      </c>
      <c r="D447" t="s">
        <v>886</v>
      </c>
      <c r="E447" t="s">
        <v>971</v>
      </c>
      <c r="I447" s="33">
        <v>32279</v>
      </c>
    </row>
    <row r="448" spans="1:9">
      <c r="A448">
        <v>2018</v>
      </c>
      <c r="B448" t="s">
        <v>44</v>
      </c>
      <c r="C448">
        <f t="shared" si="4"/>
        <v>189</v>
      </c>
      <c r="D448" t="s">
        <v>886</v>
      </c>
      <c r="E448" t="s">
        <v>972</v>
      </c>
      <c r="F448" t="s">
        <v>597</v>
      </c>
      <c r="G448" t="s">
        <v>598</v>
      </c>
      <c r="H448" t="s">
        <v>599</v>
      </c>
      <c r="I448" s="33">
        <v>16915</v>
      </c>
    </row>
    <row r="449" spans="1:9">
      <c r="A449">
        <v>2018</v>
      </c>
      <c r="B449" t="s">
        <v>44</v>
      </c>
      <c r="C449">
        <f t="shared" si="4"/>
        <v>190</v>
      </c>
      <c r="D449" t="s">
        <v>886</v>
      </c>
      <c r="E449" t="s">
        <v>540</v>
      </c>
      <c r="G449" t="s">
        <v>598</v>
      </c>
      <c r="I449" s="33">
        <v>14496</v>
      </c>
    </row>
    <row r="450" spans="1:9">
      <c r="A450">
        <v>2018</v>
      </c>
      <c r="B450" t="s">
        <v>44</v>
      </c>
      <c r="C450">
        <f t="shared" si="4"/>
        <v>191</v>
      </c>
      <c r="D450" t="s">
        <v>886</v>
      </c>
      <c r="E450" t="s">
        <v>194</v>
      </c>
      <c r="G450" t="s">
        <v>598</v>
      </c>
      <c r="I450" s="33">
        <v>7322128</v>
      </c>
    </row>
    <row r="451" spans="1:9">
      <c r="A451">
        <v>2018</v>
      </c>
      <c r="B451" t="s">
        <v>44</v>
      </c>
      <c r="C451">
        <f t="shared" si="4"/>
        <v>192</v>
      </c>
      <c r="D451" t="s">
        <v>886</v>
      </c>
      <c r="E451" t="s">
        <v>973</v>
      </c>
      <c r="I451" s="33">
        <v>62950</v>
      </c>
    </row>
    <row r="452" spans="1:9">
      <c r="A452">
        <v>2018</v>
      </c>
      <c r="B452" t="s">
        <v>44</v>
      </c>
      <c r="C452">
        <f t="shared" si="4"/>
        <v>193</v>
      </c>
      <c r="D452" t="s">
        <v>886</v>
      </c>
      <c r="E452" t="s">
        <v>347</v>
      </c>
      <c r="F452" t="s">
        <v>606</v>
      </c>
      <c r="G452" t="s">
        <v>598</v>
      </c>
      <c r="I452" s="33">
        <v>2508</v>
      </c>
    </row>
    <row r="453" spans="1:9">
      <c r="A453">
        <v>2018</v>
      </c>
      <c r="B453" t="s">
        <v>44</v>
      </c>
      <c r="C453">
        <f t="shared" si="4"/>
        <v>194</v>
      </c>
      <c r="D453" t="s">
        <v>886</v>
      </c>
      <c r="E453" t="s">
        <v>370</v>
      </c>
      <c r="F453" t="s">
        <v>606</v>
      </c>
      <c r="G453" t="s">
        <v>598</v>
      </c>
      <c r="I453" s="33">
        <v>94951615</v>
      </c>
    </row>
    <row r="454" spans="1:9">
      <c r="A454">
        <v>2018</v>
      </c>
      <c r="B454" t="s">
        <v>44</v>
      </c>
      <c r="C454">
        <f t="shared" ref="C454:C517" si="5">C453+1</f>
        <v>195</v>
      </c>
      <c r="D454" t="s">
        <v>886</v>
      </c>
      <c r="E454" t="s">
        <v>974</v>
      </c>
      <c r="I454" s="33">
        <v>70589</v>
      </c>
    </row>
    <row r="455" spans="1:9">
      <c r="A455">
        <v>2018</v>
      </c>
      <c r="B455" t="s">
        <v>44</v>
      </c>
      <c r="C455">
        <f t="shared" si="5"/>
        <v>196</v>
      </c>
      <c r="D455" t="s">
        <v>886</v>
      </c>
      <c r="E455" t="s">
        <v>421</v>
      </c>
      <c r="F455" t="s">
        <v>666</v>
      </c>
      <c r="G455" t="s">
        <v>631</v>
      </c>
      <c r="H455" t="s">
        <v>603</v>
      </c>
      <c r="I455" s="33">
        <v>5160000</v>
      </c>
    </row>
    <row r="456" spans="1:9">
      <c r="A456">
        <v>2018</v>
      </c>
      <c r="B456" t="s">
        <v>44</v>
      </c>
      <c r="C456">
        <f t="shared" si="5"/>
        <v>197</v>
      </c>
      <c r="D456" t="s">
        <v>975</v>
      </c>
      <c r="E456" t="s">
        <v>976</v>
      </c>
      <c r="F456" t="s">
        <v>606</v>
      </c>
      <c r="G456" t="s">
        <v>598</v>
      </c>
      <c r="H456" t="s">
        <v>658</v>
      </c>
      <c r="I456" s="33">
        <v>4447734</v>
      </c>
    </row>
    <row r="457" spans="1:9">
      <c r="A457">
        <v>2018</v>
      </c>
      <c r="B457" t="s">
        <v>44</v>
      </c>
      <c r="C457">
        <f t="shared" si="5"/>
        <v>198</v>
      </c>
      <c r="D457" t="s">
        <v>886</v>
      </c>
      <c r="E457" t="s">
        <v>308</v>
      </c>
      <c r="G457" t="s">
        <v>598</v>
      </c>
      <c r="I457" s="33">
        <v>102030</v>
      </c>
    </row>
    <row r="458" spans="1:9">
      <c r="A458">
        <v>2018</v>
      </c>
      <c r="B458" t="s">
        <v>44</v>
      </c>
      <c r="C458">
        <f t="shared" si="5"/>
        <v>199</v>
      </c>
      <c r="D458" t="s">
        <v>886</v>
      </c>
      <c r="E458" t="s">
        <v>420</v>
      </c>
      <c r="G458" t="s">
        <v>598</v>
      </c>
      <c r="H458" t="s">
        <v>616</v>
      </c>
      <c r="I458" s="33">
        <v>5483241</v>
      </c>
    </row>
    <row r="459" spans="1:9">
      <c r="A459">
        <v>2018</v>
      </c>
      <c r="B459" t="s">
        <v>44</v>
      </c>
      <c r="C459">
        <f t="shared" si="5"/>
        <v>200</v>
      </c>
      <c r="D459" t="s">
        <v>886</v>
      </c>
      <c r="E459" t="s">
        <v>977</v>
      </c>
      <c r="G459" t="s">
        <v>598</v>
      </c>
      <c r="I459" s="33">
        <v>113615</v>
      </c>
    </row>
    <row r="460" spans="1:9">
      <c r="A460">
        <v>2018</v>
      </c>
      <c r="B460" t="s">
        <v>44</v>
      </c>
      <c r="C460">
        <f t="shared" si="5"/>
        <v>201</v>
      </c>
      <c r="D460" t="s">
        <v>886</v>
      </c>
      <c r="E460" t="s">
        <v>978</v>
      </c>
      <c r="I460" s="33">
        <v>27225</v>
      </c>
    </row>
    <row r="461" spans="1:9">
      <c r="A461">
        <v>2018</v>
      </c>
      <c r="B461" t="s">
        <v>44</v>
      </c>
      <c r="C461">
        <f t="shared" si="5"/>
        <v>202</v>
      </c>
      <c r="D461" t="s">
        <v>886</v>
      </c>
      <c r="E461" t="s">
        <v>391</v>
      </c>
      <c r="G461" t="s">
        <v>598</v>
      </c>
      <c r="H461" t="s">
        <v>603</v>
      </c>
      <c r="I461" s="33">
        <v>20079528</v>
      </c>
    </row>
    <row r="462" spans="1:9">
      <c r="A462">
        <v>2018</v>
      </c>
      <c r="B462" t="s">
        <v>44</v>
      </c>
      <c r="C462">
        <f t="shared" si="5"/>
        <v>203</v>
      </c>
      <c r="D462" t="s">
        <v>886</v>
      </c>
      <c r="E462" t="s">
        <v>493</v>
      </c>
      <c r="G462" t="s">
        <v>598</v>
      </c>
      <c r="I462" s="33">
        <v>193005</v>
      </c>
    </row>
    <row r="463" spans="1:9">
      <c r="A463">
        <v>2018</v>
      </c>
      <c r="B463" t="s">
        <v>44</v>
      </c>
      <c r="C463">
        <f t="shared" si="5"/>
        <v>204</v>
      </c>
      <c r="D463" t="s">
        <v>886</v>
      </c>
      <c r="E463" t="s">
        <v>979</v>
      </c>
      <c r="G463" t="s">
        <v>598</v>
      </c>
      <c r="I463" s="33">
        <v>3541</v>
      </c>
    </row>
    <row r="464" spans="1:9">
      <c r="A464">
        <v>2018</v>
      </c>
      <c r="B464" t="s">
        <v>44</v>
      </c>
      <c r="C464">
        <f t="shared" si="5"/>
        <v>205</v>
      </c>
      <c r="D464" t="s">
        <v>886</v>
      </c>
      <c r="E464" t="s">
        <v>397</v>
      </c>
      <c r="F464" t="s">
        <v>606</v>
      </c>
      <c r="G464" t="s">
        <v>598</v>
      </c>
      <c r="H464" t="s">
        <v>616</v>
      </c>
      <c r="I464" s="33">
        <v>14798770</v>
      </c>
    </row>
    <row r="465" spans="1:9">
      <c r="A465">
        <v>2018</v>
      </c>
      <c r="B465" t="s">
        <v>44</v>
      </c>
      <c r="C465">
        <f t="shared" si="5"/>
        <v>206</v>
      </c>
      <c r="D465" t="s">
        <v>886</v>
      </c>
      <c r="E465" t="s">
        <v>292</v>
      </c>
      <c r="G465" t="s">
        <v>598</v>
      </c>
      <c r="I465" s="33">
        <v>193338</v>
      </c>
    </row>
    <row r="466" spans="1:9">
      <c r="A466">
        <v>2018</v>
      </c>
      <c r="B466" t="s">
        <v>44</v>
      </c>
      <c r="C466">
        <f t="shared" si="5"/>
        <v>207</v>
      </c>
      <c r="D466" t="s">
        <v>886</v>
      </c>
      <c r="E466" t="s">
        <v>435</v>
      </c>
      <c r="G466" t="s">
        <v>598</v>
      </c>
      <c r="H466" t="s">
        <v>603</v>
      </c>
      <c r="I466" s="33">
        <v>1838382</v>
      </c>
    </row>
    <row r="467" spans="1:9">
      <c r="A467">
        <v>2018</v>
      </c>
      <c r="B467" t="s">
        <v>44</v>
      </c>
      <c r="C467">
        <f t="shared" si="5"/>
        <v>208</v>
      </c>
      <c r="D467" t="s">
        <v>886</v>
      </c>
      <c r="E467" t="s">
        <v>980</v>
      </c>
      <c r="F467" t="s">
        <v>606</v>
      </c>
      <c r="G467" t="s">
        <v>598</v>
      </c>
      <c r="H467" t="s">
        <v>616</v>
      </c>
      <c r="I467" s="33">
        <v>17106</v>
      </c>
    </row>
    <row r="468" spans="1:9">
      <c r="A468">
        <v>2018</v>
      </c>
      <c r="B468" t="s">
        <v>44</v>
      </c>
      <c r="C468">
        <f t="shared" si="5"/>
        <v>209</v>
      </c>
      <c r="D468" t="s">
        <v>886</v>
      </c>
      <c r="E468" t="s">
        <v>405</v>
      </c>
      <c r="G468" t="s">
        <v>598</v>
      </c>
      <c r="H468" t="s">
        <v>616</v>
      </c>
      <c r="I468" s="33">
        <v>10657326</v>
      </c>
    </row>
    <row r="469" spans="1:9">
      <c r="A469">
        <v>2018</v>
      </c>
      <c r="B469" t="s">
        <v>44</v>
      </c>
      <c r="C469">
        <f t="shared" si="5"/>
        <v>210</v>
      </c>
      <c r="D469" t="s">
        <v>886</v>
      </c>
      <c r="E469" t="s">
        <v>981</v>
      </c>
      <c r="F469" t="s">
        <v>602</v>
      </c>
      <c r="G469" t="s">
        <v>598</v>
      </c>
      <c r="H469" t="s">
        <v>658</v>
      </c>
      <c r="I469" s="33">
        <v>599574</v>
      </c>
    </row>
    <row r="470" spans="1:9">
      <c r="A470">
        <v>2018</v>
      </c>
      <c r="B470" t="s">
        <v>44</v>
      </c>
      <c r="C470">
        <f t="shared" si="5"/>
        <v>211</v>
      </c>
      <c r="D470" t="s">
        <v>886</v>
      </c>
      <c r="E470" t="s">
        <v>982</v>
      </c>
      <c r="G470" t="s">
        <v>598</v>
      </c>
      <c r="H470" t="s">
        <v>607</v>
      </c>
      <c r="I470" s="33">
        <v>93792</v>
      </c>
    </row>
    <row r="471" spans="1:9">
      <c r="A471">
        <v>2018</v>
      </c>
      <c r="B471" t="s">
        <v>44</v>
      </c>
      <c r="C471">
        <f t="shared" si="5"/>
        <v>212</v>
      </c>
      <c r="D471" t="s">
        <v>886</v>
      </c>
      <c r="E471" t="s">
        <v>252</v>
      </c>
      <c r="F471" t="s">
        <v>606</v>
      </c>
      <c r="G471" t="s">
        <v>703</v>
      </c>
      <c r="H471" t="s">
        <v>603</v>
      </c>
      <c r="I471" s="33">
        <v>1106083</v>
      </c>
    </row>
    <row r="472" spans="1:9">
      <c r="A472">
        <v>2018</v>
      </c>
      <c r="B472" t="s">
        <v>44</v>
      </c>
      <c r="C472">
        <f t="shared" si="5"/>
        <v>213</v>
      </c>
      <c r="D472" t="s">
        <v>886</v>
      </c>
      <c r="E472" t="s">
        <v>482</v>
      </c>
      <c r="G472" t="s">
        <v>598</v>
      </c>
      <c r="H472" t="s">
        <v>616</v>
      </c>
      <c r="I472" s="33">
        <v>314854</v>
      </c>
    </row>
    <row r="473" spans="1:9">
      <c r="A473">
        <v>2018</v>
      </c>
      <c r="B473" t="s">
        <v>44</v>
      </c>
      <c r="C473">
        <f t="shared" si="5"/>
        <v>214</v>
      </c>
      <c r="D473" t="s">
        <v>886</v>
      </c>
      <c r="E473" t="s">
        <v>983</v>
      </c>
      <c r="G473" t="s">
        <v>598</v>
      </c>
      <c r="I473" s="33">
        <v>9144</v>
      </c>
    </row>
    <row r="474" spans="1:9">
      <c r="A474">
        <v>2018</v>
      </c>
      <c r="B474" t="s">
        <v>44</v>
      </c>
      <c r="C474">
        <f t="shared" si="5"/>
        <v>215</v>
      </c>
      <c r="D474" t="s">
        <v>886</v>
      </c>
      <c r="E474" t="s">
        <v>984</v>
      </c>
      <c r="F474" t="s">
        <v>606</v>
      </c>
      <c r="G474" t="s">
        <v>598</v>
      </c>
      <c r="H474" t="s">
        <v>599</v>
      </c>
      <c r="I474" s="33">
        <v>693523</v>
      </c>
    </row>
    <row r="475" spans="1:9">
      <c r="A475">
        <v>2018</v>
      </c>
      <c r="B475" t="s">
        <v>44</v>
      </c>
      <c r="C475">
        <f t="shared" si="5"/>
        <v>216</v>
      </c>
      <c r="D475" t="s">
        <v>886</v>
      </c>
      <c r="E475" t="s">
        <v>985</v>
      </c>
      <c r="F475" t="s">
        <v>606</v>
      </c>
      <c r="G475" t="s">
        <v>598</v>
      </c>
      <c r="H475" t="s">
        <v>616</v>
      </c>
      <c r="I475" s="33">
        <v>331844</v>
      </c>
    </row>
    <row r="476" spans="1:9">
      <c r="A476">
        <v>2018</v>
      </c>
      <c r="B476" t="s">
        <v>44</v>
      </c>
      <c r="C476">
        <f t="shared" si="5"/>
        <v>217</v>
      </c>
      <c r="D476" t="s">
        <v>886</v>
      </c>
      <c r="E476" t="s">
        <v>519</v>
      </c>
      <c r="G476" t="s">
        <v>598</v>
      </c>
      <c r="H476" t="s">
        <v>616</v>
      </c>
      <c r="I476" s="33">
        <v>51996</v>
      </c>
    </row>
    <row r="477" spans="1:9">
      <c r="A477">
        <v>2018</v>
      </c>
      <c r="B477" t="s">
        <v>44</v>
      </c>
      <c r="C477">
        <f t="shared" si="5"/>
        <v>218</v>
      </c>
      <c r="D477" t="s">
        <v>886</v>
      </c>
      <c r="E477" t="s">
        <v>228</v>
      </c>
      <c r="F477" t="s">
        <v>606</v>
      </c>
      <c r="G477" t="s">
        <v>598</v>
      </c>
      <c r="H477" t="s">
        <v>616</v>
      </c>
      <c r="I477" s="33">
        <v>2704326</v>
      </c>
    </row>
    <row r="478" spans="1:9">
      <c r="A478">
        <v>2018</v>
      </c>
      <c r="B478" t="s">
        <v>44</v>
      </c>
      <c r="C478">
        <f t="shared" si="5"/>
        <v>219</v>
      </c>
      <c r="D478" t="s">
        <v>886</v>
      </c>
      <c r="E478" t="s">
        <v>986</v>
      </c>
      <c r="G478" t="s">
        <v>598</v>
      </c>
      <c r="I478" s="33">
        <v>2789574</v>
      </c>
    </row>
    <row r="479" spans="1:9">
      <c r="A479">
        <v>2018</v>
      </c>
      <c r="B479" t="s">
        <v>44</v>
      </c>
      <c r="C479">
        <f t="shared" si="5"/>
        <v>220</v>
      </c>
      <c r="D479" t="s">
        <v>886</v>
      </c>
      <c r="E479" t="s">
        <v>338</v>
      </c>
      <c r="I479" s="33">
        <v>11412</v>
      </c>
    </row>
    <row r="480" spans="1:9">
      <c r="A480">
        <v>2018</v>
      </c>
      <c r="B480" t="s">
        <v>44</v>
      </c>
      <c r="C480">
        <f t="shared" si="5"/>
        <v>221</v>
      </c>
      <c r="D480" t="s">
        <v>886</v>
      </c>
      <c r="E480" t="s">
        <v>987</v>
      </c>
      <c r="F480" t="s">
        <v>606</v>
      </c>
      <c r="G480" t="s">
        <v>598</v>
      </c>
      <c r="I480" s="33">
        <v>3346</v>
      </c>
    </row>
    <row r="481" spans="1:9">
      <c r="A481">
        <v>2018</v>
      </c>
      <c r="B481" t="s">
        <v>44</v>
      </c>
      <c r="C481">
        <f t="shared" si="5"/>
        <v>222</v>
      </c>
      <c r="D481" t="s">
        <v>886</v>
      </c>
      <c r="E481" t="s">
        <v>988</v>
      </c>
      <c r="F481" t="s">
        <v>606</v>
      </c>
      <c r="G481" t="s">
        <v>598</v>
      </c>
      <c r="H481" t="s">
        <v>616</v>
      </c>
      <c r="I481" s="33">
        <v>214567</v>
      </c>
    </row>
    <row r="482" spans="1:9">
      <c r="A482">
        <v>2018</v>
      </c>
      <c r="B482" t="s">
        <v>44</v>
      </c>
      <c r="C482">
        <f t="shared" si="5"/>
        <v>223</v>
      </c>
      <c r="D482" t="s">
        <v>886</v>
      </c>
      <c r="E482" t="s">
        <v>989</v>
      </c>
      <c r="G482" t="s">
        <v>598</v>
      </c>
      <c r="H482" t="s">
        <v>603</v>
      </c>
      <c r="I482" s="33">
        <v>4449</v>
      </c>
    </row>
    <row r="483" spans="1:9">
      <c r="A483">
        <v>2018</v>
      </c>
      <c r="B483" t="s">
        <v>44</v>
      </c>
      <c r="C483">
        <f t="shared" si="5"/>
        <v>224</v>
      </c>
      <c r="D483" t="s">
        <v>886</v>
      </c>
      <c r="E483" t="s">
        <v>990</v>
      </c>
      <c r="G483" t="s">
        <v>598</v>
      </c>
      <c r="I483" s="33">
        <v>295719</v>
      </c>
    </row>
    <row r="484" spans="1:9">
      <c r="A484">
        <v>2018</v>
      </c>
      <c r="B484" t="s">
        <v>44</v>
      </c>
      <c r="C484">
        <f t="shared" si="5"/>
        <v>225</v>
      </c>
      <c r="D484" t="s">
        <v>886</v>
      </c>
      <c r="E484" t="s">
        <v>991</v>
      </c>
      <c r="F484" t="s">
        <v>606</v>
      </c>
      <c r="G484" t="s">
        <v>598</v>
      </c>
      <c r="H484" t="s">
        <v>616</v>
      </c>
      <c r="I484" s="33">
        <v>5197</v>
      </c>
    </row>
    <row r="485" spans="1:9">
      <c r="A485">
        <v>2018</v>
      </c>
      <c r="B485" t="s">
        <v>44</v>
      </c>
      <c r="C485">
        <f t="shared" si="5"/>
        <v>226</v>
      </c>
      <c r="D485" t="s">
        <v>886</v>
      </c>
      <c r="E485" t="s">
        <v>271</v>
      </c>
      <c r="F485" t="s">
        <v>597</v>
      </c>
      <c r="G485" t="s">
        <v>598</v>
      </c>
      <c r="H485" t="s">
        <v>599</v>
      </c>
      <c r="I485" s="33">
        <v>508836</v>
      </c>
    </row>
    <row r="486" spans="1:9">
      <c r="A486">
        <v>2018</v>
      </c>
      <c r="B486" t="s">
        <v>44</v>
      </c>
      <c r="C486">
        <f t="shared" si="5"/>
        <v>227</v>
      </c>
      <c r="D486" t="s">
        <v>886</v>
      </c>
      <c r="E486" t="s">
        <v>153</v>
      </c>
      <c r="F486" t="s">
        <v>606</v>
      </c>
      <c r="G486" t="s">
        <v>598</v>
      </c>
      <c r="H486" t="s">
        <v>616</v>
      </c>
      <c r="I486" s="33">
        <v>56040680</v>
      </c>
    </row>
    <row r="487" spans="1:9">
      <c r="A487">
        <v>2018</v>
      </c>
      <c r="B487" t="s">
        <v>44</v>
      </c>
      <c r="C487">
        <f t="shared" si="5"/>
        <v>228</v>
      </c>
      <c r="D487" t="s">
        <v>886</v>
      </c>
      <c r="E487" t="s">
        <v>491</v>
      </c>
      <c r="F487" t="s">
        <v>606</v>
      </c>
      <c r="G487" t="s">
        <v>598</v>
      </c>
      <c r="H487" t="s">
        <v>616</v>
      </c>
      <c r="I487" s="33">
        <v>211751</v>
      </c>
    </row>
    <row r="488" spans="1:9">
      <c r="A488">
        <v>2018</v>
      </c>
      <c r="B488" t="s">
        <v>44</v>
      </c>
      <c r="C488">
        <f t="shared" si="5"/>
        <v>229</v>
      </c>
      <c r="D488" t="s">
        <v>886</v>
      </c>
      <c r="E488" t="s">
        <v>313</v>
      </c>
      <c r="G488" t="s">
        <v>598</v>
      </c>
      <c r="I488" s="33">
        <v>75888</v>
      </c>
    </row>
    <row r="489" spans="1:9">
      <c r="A489">
        <v>2018</v>
      </c>
      <c r="B489" t="s">
        <v>44</v>
      </c>
      <c r="C489">
        <f t="shared" si="5"/>
        <v>230</v>
      </c>
      <c r="D489" t="s">
        <v>886</v>
      </c>
      <c r="E489" t="s">
        <v>471</v>
      </c>
      <c r="F489" t="s">
        <v>606</v>
      </c>
      <c r="G489" t="s">
        <v>598</v>
      </c>
      <c r="H489" t="s">
        <v>616</v>
      </c>
      <c r="I489" s="33">
        <v>483331</v>
      </c>
    </row>
    <row r="490" spans="1:9">
      <c r="A490">
        <v>2018</v>
      </c>
      <c r="B490" t="s">
        <v>44</v>
      </c>
      <c r="C490">
        <f t="shared" si="5"/>
        <v>231</v>
      </c>
      <c r="D490" t="s">
        <v>886</v>
      </c>
      <c r="E490" t="s">
        <v>439</v>
      </c>
      <c r="G490" t="s">
        <v>598</v>
      </c>
      <c r="I490" s="33">
        <v>1422563</v>
      </c>
    </row>
    <row r="491" spans="1:9">
      <c r="A491">
        <v>2018</v>
      </c>
      <c r="B491" t="s">
        <v>44</v>
      </c>
      <c r="C491">
        <f t="shared" si="5"/>
        <v>232</v>
      </c>
      <c r="D491" t="s">
        <v>994</v>
      </c>
      <c r="E491" t="s">
        <v>394</v>
      </c>
      <c r="G491" t="s">
        <v>598</v>
      </c>
      <c r="I491" s="33">
        <v>18485628</v>
      </c>
    </row>
    <row r="492" spans="1:9">
      <c r="A492">
        <v>2018</v>
      </c>
      <c r="B492" t="s">
        <v>44</v>
      </c>
      <c r="C492">
        <f t="shared" si="5"/>
        <v>233</v>
      </c>
      <c r="D492" t="s">
        <v>886</v>
      </c>
      <c r="E492" t="s">
        <v>165</v>
      </c>
      <c r="F492" t="s">
        <v>606</v>
      </c>
      <c r="G492" t="s">
        <v>598</v>
      </c>
      <c r="H492" t="s">
        <v>616</v>
      </c>
      <c r="I492" s="33">
        <v>25293852</v>
      </c>
    </row>
    <row r="493" spans="1:9">
      <c r="A493">
        <v>2018</v>
      </c>
      <c r="B493" t="s">
        <v>44</v>
      </c>
      <c r="C493">
        <f t="shared" si="5"/>
        <v>234</v>
      </c>
      <c r="D493" t="s">
        <v>886</v>
      </c>
      <c r="E493" t="s">
        <v>280</v>
      </c>
      <c r="F493" t="s">
        <v>606</v>
      </c>
      <c r="G493" t="s">
        <v>598</v>
      </c>
      <c r="H493" t="s">
        <v>616</v>
      </c>
      <c r="I493" s="33">
        <v>376898</v>
      </c>
    </row>
    <row r="494" spans="1:9">
      <c r="A494">
        <v>2018</v>
      </c>
      <c r="B494" t="s">
        <v>44</v>
      </c>
      <c r="C494">
        <f t="shared" si="5"/>
        <v>235</v>
      </c>
      <c r="D494" t="s">
        <v>886</v>
      </c>
      <c r="E494" t="s">
        <v>542</v>
      </c>
      <c r="F494" t="s">
        <v>606</v>
      </c>
      <c r="G494" t="s">
        <v>598</v>
      </c>
      <c r="I494" s="33">
        <v>11350</v>
      </c>
    </row>
    <row r="495" spans="1:9">
      <c r="A495">
        <v>2018</v>
      </c>
      <c r="B495" t="s">
        <v>44</v>
      </c>
      <c r="C495">
        <f t="shared" si="5"/>
        <v>236</v>
      </c>
      <c r="D495" t="s">
        <v>886</v>
      </c>
      <c r="E495" t="s">
        <v>346</v>
      </c>
      <c r="G495" t="s">
        <v>598</v>
      </c>
      <c r="I495" s="33">
        <v>2759</v>
      </c>
    </row>
    <row r="496" spans="1:9">
      <c r="A496">
        <v>2018</v>
      </c>
      <c r="B496" t="s">
        <v>44</v>
      </c>
      <c r="C496">
        <f t="shared" si="5"/>
        <v>237</v>
      </c>
      <c r="D496" t="s">
        <v>886</v>
      </c>
      <c r="E496" t="s">
        <v>995</v>
      </c>
      <c r="I496" s="33">
        <v>16504</v>
      </c>
    </row>
    <row r="497" spans="1:9">
      <c r="A497">
        <v>2018</v>
      </c>
      <c r="B497" t="s">
        <v>44</v>
      </c>
      <c r="C497">
        <f t="shared" si="5"/>
        <v>238</v>
      </c>
      <c r="D497" t="s">
        <v>886</v>
      </c>
      <c r="E497" t="s">
        <v>996</v>
      </c>
      <c r="I497" s="33">
        <v>10890</v>
      </c>
    </row>
    <row r="498" spans="1:9">
      <c r="A498">
        <v>2018</v>
      </c>
      <c r="B498" t="s">
        <v>44</v>
      </c>
      <c r="C498">
        <f t="shared" si="5"/>
        <v>239</v>
      </c>
      <c r="D498" t="s">
        <v>886</v>
      </c>
      <c r="E498" t="s">
        <v>997</v>
      </c>
      <c r="I498" s="33">
        <v>797024</v>
      </c>
    </row>
    <row r="499" spans="1:9">
      <c r="A499">
        <v>2018</v>
      </c>
      <c r="B499" t="s">
        <v>44</v>
      </c>
      <c r="C499">
        <f t="shared" si="5"/>
        <v>240</v>
      </c>
      <c r="D499" t="s">
        <v>886</v>
      </c>
      <c r="E499" t="s">
        <v>330</v>
      </c>
      <c r="F499" t="s">
        <v>606</v>
      </c>
      <c r="G499" t="s">
        <v>598</v>
      </c>
      <c r="H499" t="s">
        <v>616</v>
      </c>
      <c r="I499" s="33">
        <v>22337</v>
      </c>
    </row>
    <row r="500" spans="1:9">
      <c r="A500">
        <v>2018</v>
      </c>
      <c r="B500" t="s">
        <v>44</v>
      </c>
      <c r="C500">
        <f t="shared" si="5"/>
        <v>241</v>
      </c>
      <c r="D500" t="s">
        <v>886</v>
      </c>
      <c r="E500" t="s">
        <v>998</v>
      </c>
      <c r="I500" s="33">
        <v>5356</v>
      </c>
    </row>
    <row r="501" spans="1:9">
      <c r="A501">
        <v>2018</v>
      </c>
      <c r="B501" t="s">
        <v>44</v>
      </c>
      <c r="C501">
        <f t="shared" si="5"/>
        <v>242</v>
      </c>
      <c r="D501" t="s">
        <v>886</v>
      </c>
      <c r="E501" t="s">
        <v>260</v>
      </c>
      <c r="F501" t="s">
        <v>597</v>
      </c>
      <c r="G501" t="s">
        <v>598</v>
      </c>
      <c r="H501" t="s">
        <v>616</v>
      </c>
      <c r="I501" s="33">
        <v>720000</v>
      </c>
    </row>
    <row r="502" spans="1:9">
      <c r="A502">
        <v>2018</v>
      </c>
      <c r="B502" t="s">
        <v>44</v>
      </c>
      <c r="C502">
        <f t="shared" si="5"/>
        <v>243</v>
      </c>
      <c r="D502" t="s">
        <v>886</v>
      </c>
      <c r="E502" t="s">
        <v>999</v>
      </c>
      <c r="I502" s="33">
        <v>3739582</v>
      </c>
    </row>
    <row r="503" spans="1:9">
      <c r="A503">
        <v>2018</v>
      </c>
      <c r="B503" t="s">
        <v>44</v>
      </c>
      <c r="C503">
        <f t="shared" si="5"/>
        <v>244</v>
      </c>
      <c r="D503" t="s">
        <v>886</v>
      </c>
      <c r="E503" t="s">
        <v>376</v>
      </c>
      <c r="F503" t="s">
        <v>610</v>
      </c>
      <c r="G503" t="s">
        <v>598</v>
      </c>
      <c r="H503" t="s">
        <v>616</v>
      </c>
      <c r="I503" s="33">
        <v>81096320</v>
      </c>
    </row>
    <row r="504" spans="1:9">
      <c r="A504">
        <v>2018</v>
      </c>
      <c r="B504" t="s">
        <v>44</v>
      </c>
      <c r="C504">
        <f t="shared" si="5"/>
        <v>245</v>
      </c>
      <c r="D504" t="s">
        <v>886</v>
      </c>
      <c r="E504" t="s">
        <v>414</v>
      </c>
      <c r="F504" t="s">
        <v>606</v>
      </c>
      <c r="G504" t="s">
        <v>598</v>
      </c>
      <c r="I504" s="33">
        <v>7423443</v>
      </c>
    </row>
    <row r="505" spans="1:9">
      <c r="A505">
        <v>2018</v>
      </c>
      <c r="B505" t="s">
        <v>44</v>
      </c>
      <c r="C505">
        <f t="shared" si="5"/>
        <v>246</v>
      </c>
      <c r="D505" t="s">
        <v>886</v>
      </c>
      <c r="E505" t="s">
        <v>495</v>
      </c>
      <c r="I505" s="33">
        <v>187922</v>
      </c>
    </row>
    <row r="506" spans="1:9">
      <c r="A506">
        <v>2018</v>
      </c>
      <c r="B506" t="s">
        <v>44</v>
      </c>
      <c r="C506">
        <f t="shared" si="5"/>
        <v>247</v>
      </c>
      <c r="D506" t="s">
        <v>886</v>
      </c>
      <c r="E506" t="s">
        <v>1000</v>
      </c>
      <c r="I506" s="33">
        <v>63769</v>
      </c>
    </row>
    <row r="507" spans="1:9">
      <c r="A507">
        <v>2018</v>
      </c>
      <c r="B507" t="s">
        <v>44</v>
      </c>
      <c r="C507">
        <f t="shared" si="5"/>
        <v>248</v>
      </c>
      <c r="D507" t="s">
        <v>886</v>
      </c>
      <c r="E507" t="s">
        <v>455</v>
      </c>
      <c r="F507" t="s">
        <v>606</v>
      </c>
      <c r="G507" t="s">
        <v>598</v>
      </c>
      <c r="H507" t="s">
        <v>616</v>
      </c>
      <c r="I507" s="33">
        <v>739245</v>
      </c>
    </row>
    <row r="508" spans="1:9">
      <c r="A508">
        <v>2018</v>
      </c>
      <c r="B508" t="s">
        <v>44</v>
      </c>
      <c r="C508">
        <f t="shared" si="5"/>
        <v>249</v>
      </c>
      <c r="D508" t="s">
        <v>886</v>
      </c>
      <c r="E508" t="s">
        <v>248</v>
      </c>
      <c r="F508" t="s">
        <v>606</v>
      </c>
      <c r="G508" t="s">
        <v>598</v>
      </c>
      <c r="H508" t="s">
        <v>599</v>
      </c>
      <c r="I508" s="33">
        <v>1196360</v>
      </c>
    </row>
    <row r="509" spans="1:9">
      <c r="A509">
        <v>2018</v>
      </c>
      <c r="B509" t="s">
        <v>44</v>
      </c>
      <c r="C509">
        <f t="shared" si="5"/>
        <v>250</v>
      </c>
      <c r="D509" t="s">
        <v>886</v>
      </c>
      <c r="E509" t="s">
        <v>1001</v>
      </c>
      <c r="F509" t="s">
        <v>606</v>
      </c>
      <c r="G509" t="s">
        <v>598</v>
      </c>
      <c r="H509" t="s">
        <v>616</v>
      </c>
      <c r="I509" s="33">
        <v>11958</v>
      </c>
    </row>
    <row r="510" spans="1:9">
      <c r="A510">
        <v>2018</v>
      </c>
      <c r="B510" t="s">
        <v>44</v>
      </c>
      <c r="C510">
        <f t="shared" si="5"/>
        <v>251</v>
      </c>
      <c r="D510" t="s">
        <v>886</v>
      </c>
      <c r="E510" t="s">
        <v>311</v>
      </c>
      <c r="F510" t="s">
        <v>606</v>
      </c>
      <c r="I510" s="33">
        <v>87578</v>
      </c>
    </row>
    <row r="511" spans="1:9">
      <c r="A511">
        <v>2018</v>
      </c>
      <c r="B511" t="s">
        <v>44</v>
      </c>
      <c r="C511">
        <f t="shared" si="5"/>
        <v>252</v>
      </c>
      <c r="D511" t="s">
        <v>886</v>
      </c>
      <c r="E511" t="s">
        <v>487</v>
      </c>
      <c r="G511" t="s">
        <v>598</v>
      </c>
      <c r="H511" t="s">
        <v>616</v>
      </c>
      <c r="I511" s="33">
        <v>263814</v>
      </c>
    </row>
    <row r="512" spans="1:9">
      <c r="A512">
        <v>2018</v>
      </c>
      <c r="B512" t="s">
        <v>44</v>
      </c>
      <c r="C512">
        <f t="shared" si="5"/>
        <v>253</v>
      </c>
      <c r="D512" t="s">
        <v>886</v>
      </c>
      <c r="E512" t="s">
        <v>1002</v>
      </c>
      <c r="F512" t="s">
        <v>606</v>
      </c>
      <c r="G512" t="s">
        <v>598</v>
      </c>
      <c r="H512" t="s">
        <v>616</v>
      </c>
      <c r="I512" s="33">
        <v>0</v>
      </c>
    </row>
    <row r="513" spans="1:9">
      <c r="A513">
        <v>2018</v>
      </c>
      <c r="B513" t="s">
        <v>44</v>
      </c>
      <c r="C513">
        <f t="shared" si="5"/>
        <v>254</v>
      </c>
      <c r="D513" t="s">
        <v>886</v>
      </c>
      <c r="E513" t="s">
        <v>463</v>
      </c>
      <c r="G513" t="s">
        <v>598</v>
      </c>
      <c r="H513" t="s">
        <v>616</v>
      </c>
      <c r="I513" s="33">
        <v>630896</v>
      </c>
    </row>
    <row r="514" spans="1:9">
      <c r="A514">
        <v>2018</v>
      </c>
      <c r="B514" t="s">
        <v>44</v>
      </c>
      <c r="C514">
        <f t="shared" si="5"/>
        <v>255</v>
      </c>
      <c r="D514" t="s">
        <v>886</v>
      </c>
      <c r="E514" t="s">
        <v>137</v>
      </c>
      <c r="F514" t="s">
        <v>606</v>
      </c>
      <c r="G514" t="s">
        <v>598</v>
      </c>
      <c r="H514" t="s">
        <v>616</v>
      </c>
      <c r="I514" s="33">
        <v>255832826</v>
      </c>
    </row>
    <row r="515" spans="1:9">
      <c r="A515">
        <v>2018</v>
      </c>
      <c r="B515" t="s">
        <v>44</v>
      </c>
      <c r="C515">
        <f t="shared" si="5"/>
        <v>256</v>
      </c>
      <c r="D515" t="s">
        <v>886</v>
      </c>
      <c r="E515" t="s">
        <v>486</v>
      </c>
      <c r="I515" s="33">
        <v>285872</v>
      </c>
    </row>
    <row r="516" spans="1:9">
      <c r="A516">
        <v>2018</v>
      </c>
      <c r="B516" t="s">
        <v>44</v>
      </c>
      <c r="C516">
        <f t="shared" si="5"/>
        <v>257</v>
      </c>
      <c r="D516" t="s">
        <v>886</v>
      </c>
      <c r="E516" t="s">
        <v>323</v>
      </c>
      <c r="G516" t="s">
        <v>598</v>
      </c>
      <c r="I516" s="33">
        <v>34755</v>
      </c>
    </row>
    <row r="517" spans="1:9">
      <c r="A517">
        <v>2018</v>
      </c>
      <c r="B517" t="s">
        <v>44</v>
      </c>
      <c r="C517">
        <f t="shared" si="5"/>
        <v>258</v>
      </c>
      <c r="D517" t="s">
        <v>886</v>
      </c>
      <c r="E517" t="s">
        <v>1003</v>
      </c>
      <c r="F517" t="s">
        <v>666</v>
      </c>
      <c r="G517" t="s">
        <v>598</v>
      </c>
      <c r="H517" t="s">
        <v>616</v>
      </c>
      <c r="I517" s="33">
        <v>339673</v>
      </c>
    </row>
    <row r="518" spans="1:9">
      <c r="A518">
        <v>2018</v>
      </c>
      <c r="B518" t="s">
        <v>44</v>
      </c>
      <c r="C518">
        <f t="shared" ref="C518:C581" si="6">C517+1</f>
        <v>259</v>
      </c>
      <c r="D518" t="s">
        <v>886</v>
      </c>
      <c r="E518" t="s">
        <v>461</v>
      </c>
      <c r="G518" t="s">
        <v>598</v>
      </c>
      <c r="H518" t="s">
        <v>599</v>
      </c>
      <c r="I518" s="33">
        <v>678553</v>
      </c>
    </row>
    <row r="519" spans="1:9">
      <c r="A519">
        <v>2018</v>
      </c>
      <c r="B519" t="s">
        <v>44</v>
      </c>
      <c r="C519">
        <f t="shared" si="6"/>
        <v>260</v>
      </c>
      <c r="D519" t="s">
        <v>886</v>
      </c>
      <c r="E519" t="s">
        <v>518</v>
      </c>
      <c r="H519" t="s">
        <v>607</v>
      </c>
      <c r="I519" s="33">
        <v>56948</v>
      </c>
    </row>
    <row r="520" spans="1:9">
      <c r="A520">
        <v>2018</v>
      </c>
      <c r="B520" t="s">
        <v>44</v>
      </c>
      <c r="C520">
        <f t="shared" si="6"/>
        <v>261</v>
      </c>
      <c r="D520" t="s">
        <v>886</v>
      </c>
      <c r="E520" t="s">
        <v>513</v>
      </c>
      <c r="F520" t="s">
        <v>606</v>
      </c>
      <c r="G520" t="s">
        <v>598</v>
      </c>
      <c r="H520" t="s">
        <v>616</v>
      </c>
      <c r="I520" s="33">
        <v>69175</v>
      </c>
    </row>
    <row r="521" spans="1:9">
      <c r="A521">
        <v>2018</v>
      </c>
      <c r="B521" t="s">
        <v>44</v>
      </c>
      <c r="C521">
        <f t="shared" si="6"/>
        <v>262</v>
      </c>
      <c r="D521" t="s">
        <v>886</v>
      </c>
      <c r="E521" t="s">
        <v>294</v>
      </c>
      <c r="G521" t="s">
        <v>598</v>
      </c>
      <c r="I521" s="33">
        <v>159503</v>
      </c>
    </row>
    <row r="522" spans="1:9">
      <c r="A522">
        <v>2018</v>
      </c>
      <c r="B522" t="s">
        <v>44</v>
      </c>
      <c r="C522">
        <f t="shared" si="6"/>
        <v>263</v>
      </c>
      <c r="D522" t="s">
        <v>886</v>
      </c>
      <c r="E522" t="s">
        <v>303</v>
      </c>
      <c r="G522" t="s">
        <v>598</v>
      </c>
      <c r="I522" s="33">
        <v>119943</v>
      </c>
    </row>
    <row r="523" spans="1:9">
      <c r="A523">
        <v>2018</v>
      </c>
      <c r="B523" t="s">
        <v>44</v>
      </c>
      <c r="C523">
        <f t="shared" si="6"/>
        <v>264</v>
      </c>
      <c r="D523" t="s">
        <v>886</v>
      </c>
      <c r="E523" t="s">
        <v>465</v>
      </c>
      <c r="G523" t="s">
        <v>598</v>
      </c>
      <c r="H523" t="s">
        <v>616</v>
      </c>
      <c r="I523" s="33">
        <v>550000</v>
      </c>
    </row>
    <row r="524" spans="1:9">
      <c r="A524">
        <v>2018</v>
      </c>
      <c r="B524" t="s">
        <v>44</v>
      </c>
      <c r="C524">
        <f t="shared" si="6"/>
        <v>265</v>
      </c>
      <c r="D524" t="s">
        <v>886</v>
      </c>
      <c r="E524" t="s">
        <v>496</v>
      </c>
      <c r="F524" t="s">
        <v>606</v>
      </c>
      <c r="G524" t="s">
        <v>598</v>
      </c>
      <c r="H524" t="s">
        <v>616</v>
      </c>
      <c r="I524" s="33">
        <v>186226</v>
      </c>
    </row>
    <row r="525" spans="1:9">
      <c r="A525">
        <v>2018</v>
      </c>
      <c r="B525" t="s">
        <v>44</v>
      </c>
      <c r="C525">
        <f t="shared" si="6"/>
        <v>266</v>
      </c>
      <c r="D525" t="s">
        <v>886</v>
      </c>
      <c r="E525" t="s">
        <v>498</v>
      </c>
      <c r="F525" t="s">
        <v>597</v>
      </c>
      <c r="G525" t="s">
        <v>598</v>
      </c>
      <c r="H525" t="s">
        <v>599</v>
      </c>
      <c r="I525" s="33">
        <v>173603</v>
      </c>
    </row>
    <row r="526" spans="1:9">
      <c r="A526">
        <v>2018</v>
      </c>
      <c r="B526" t="s">
        <v>44</v>
      </c>
      <c r="C526">
        <f t="shared" si="6"/>
        <v>267</v>
      </c>
      <c r="D526" t="s">
        <v>886</v>
      </c>
      <c r="E526" t="s">
        <v>454</v>
      </c>
      <c r="F526" t="s">
        <v>606</v>
      </c>
      <c r="G526" t="s">
        <v>598</v>
      </c>
      <c r="H526" t="s">
        <v>599</v>
      </c>
      <c r="I526" s="33">
        <v>761348</v>
      </c>
    </row>
    <row r="527" spans="1:9">
      <c r="A527">
        <v>2018</v>
      </c>
      <c r="B527" t="s">
        <v>44</v>
      </c>
      <c r="C527">
        <f t="shared" si="6"/>
        <v>268</v>
      </c>
      <c r="D527" t="s">
        <v>886</v>
      </c>
      <c r="E527" t="s">
        <v>341</v>
      </c>
      <c r="G527" t="s">
        <v>598</v>
      </c>
      <c r="H527" t="s">
        <v>607</v>
      </c>
      <c r="I527" s="33">
        <v>11039</v>
      </c>
    </row>
    <row r="528" spans="1:9">
      <c r="A528">
        <v>2018</v>
      </c>
      <c r="B528" t="s">
        <v>44</v>
      </c>
      <c r="C528">
        <f t="shared" si="6"/>
        <v>269</v>
      </c>
      <c r="D528" t="s">
        <v>886</v>
      </c>
      <c r="E528" t="s">
        <v>344</v>
      </c>
      <c r="F528" t="s">
        <v>606</v>
      </c>
      <c r="G528" t="s">
        <v>598</v>
      </c>
      <c r="H528" t="s">
        <v>599</v>
      </c>
      <c r="I528" s="33">
        <v>10188</v>
      </c>
    </row>
    <row r="529" spans="1:9">
      <c r="A529">
        <v>2018</v>
      </c>
      <c r="B529" t="s">
        <v>44</v>
      </c>
      <c r="C529">
        <f t="shared" si="6"/>
        <v>270</v>
      </c>
      <c r="D529" t="s">
        <v>886</v>
      </c>
      <c r="E529" t="s">
        <v>426</v>
      </c>
      <c r="F529" t="s">
        <v>606</v>
      </c>
      <c r="G529" t="s">
        <v>598</v>
      </c>
      <c r="H529" t="s">
        <v>616</v>
      </c>
      <c r="I529" s="33">
        <v>3042381</v>
      </c>
    </row>
    <row r="530" spans="1:9">
      <c r="A530">
        <v>2018</v>
      </c>
      <c r="B530" t="s">
        <v>44</v>
      </c>
      <c r="C530">
        <f t="shared" si="6"/>
        <v>271</v>
      </c>
      <c r="D530" t="s">
        <v>886</v>
      </c>
      <c r="E530" t="s">
        <v>1004</v>
      </c>
      <c r="G530" t="s">
        <v>598</v>
      </c>
      <c r="I530" s="33">
        <v>1630917</v>
      </c>
    </row>
    <row r="531" spans="1:9">
      <c r="A531">
        <v>2018</v>
      </c>
      <c r="B531" t="s">
        <v>44</v>
      </c>
      <c r="C531">
        <f t="shared" si="6"/>
        <v>272</v>
      </c>
      <c r="D531" t="s">
        <v>886</v>
      </c>
      <c r="E531" t="s">
        <v>442</v>
      </c>
      <c r="F531" t="s">
        <v>606</v>
      </c>
      <c r="G531" t="s">
        <v>631</v>
      </c>
      <c r="H531" t="s">
        <v>612</v>
      </c>
      <c r="I531" s="33">
        <v>1197984</v>
      </c>
    </row>
    <row r="532" spans="1:9">
      <c r="A532">
        <v>2018</v>
      </c>
      <c r="B532" t="s">
        <v>44</v>
      </c>
      <c r="C532">
        <f t="shared" si="6"/>
        <v>273</v>
      </c>
      <c r="D532" t="s">
        <v>886</v>
      </c>
      <c r="E532" t="s">
        <v>320</v>
      </c>
      <c r="G532" t="s">
        <v>598</v>
      </c>
      <c r="I532" s="33">
        <v>45804</v>
      </c>
    </row>
    <row r="533" spans="1:9">
      <c r="A533">
        <v>2018</v>
      </c>
      <c r="B533" t="s">
        <v>44</v>
      </c>
      <c r="C533">
        <f t="shared" si="6"/>
        <v>274</v>
      </c>
      <c r="D533" t="s">
        <v>886</v>
      </c>
      <c r="E533" t="s">
        <v>416</v>
      </c>
      <c r="I533" s="33">
        <v>6849959</v>
      </c>
    </row>
    <row r="534" spans="1:9">
      <c r="A534">
        <v>2018</v>
      </c>
      <c r="B534" t="s">
        <v>44</v>
      </c>
      <c r="C534">
        <f t="shared" si="6"/>
        <v>275</v>
      </c>
      <c r="D534" t="s">
        <v>886</v>
      </c>
      <c r="E534" t="s">
        <v>1005</v>
      </c>
      <c r="G534" t="s">
        <v>598</v>
      </c>
      <c r="I534" s="33">
        <v>730000</v>
      </c>
    </row>
    <row r="535" spans="1:9">
      <c r="A535">
        <v>2018</v>
      </c>
      <c r="B535" t="s">
        <v>44</v>
      </c>
      <c r="C535">
        <f t="shared" si="6"/>
        <v>276</v>
      </c>
      <c r="D535" t="s">
        <v>886</v>
      </c>
      <c r="E535" t="s">
        <v>1006</v>
      </c>
      <c r="F535" t="s">
        <v>606</v>
      </c>
      <c r="G535" t="s">
        <v>598</v>
      </c>
      <c r="H535" t="s">
        <v>616</v>
      </c>
      <c r="I535" s="33">
        <v>100000</v>
      </c>
    </row>
    <row r="536" spans="1:9">
      <c r="A536">
        <v>2018</v>
      </c>
      <c r="B536" t="s">
        <v>44</v>
      </c>
      <c r="C536">
        <f t="shared" si="6"/>
        <v>277</v>
      </c>
      <c r="D536" t="s">
        <v>886</v>
      </c>
      <c r="E536" t="s">
        <v>1007</v>
      </c>
      <c r="F536" t="s">
        <v>606</v>
      </c>
      <c r="G536" t="s">
        <v>598</v>
      </c>
      <c r="I536" s="33">
        <v>218412</v>
      </c>
    </row>
    <row r="537" spans="1:9">
      <c r="A537">
        <v>2018</v>
      </c>
      <c r="B537" t="s">
        <v>44</v>
      </c>
      <c r="C537">
        <f t="shared" si="6"/>
        <v>278</v>
      </c>
      <c r="D537" t="s">
        <v>886</v>
      </c>
      <c r="E537" t="s">
        <v>517</v>
      </c>
      <c r="I537" s="33">
        <v>62007</v>
      </c>
    </row>
    <row r="538" spans="1:9">
      <c r="A538">
        <v>2018</v>
      </c>
      <c r="B538" t="s">
        <v>44</v>
      </c>
      <c r="C538">
        <f t="shared" si="6"/>
        <v>279</v>
      </c>
      <c r="D538" t="s">
        <v>886</v>
      </c>
      <c r="E538" t="s">
        <v>1008</v>
      </c>
      <c r="F538" t="s">
        <v>606</v>
      </c>
      <c r="G538" t="s">
        <v>598</v>
      </c>
      <c r="H538" t="s">
        <v>616</v>
      </c>
      <c r="I538" s="33">
        <v>185427900</v>
      </c>
    </row>
    <row r="539" spans="1:9">
      <c r="A539">
        <v>2018</v>
      </c>
      <c r="B539" t="s">
        <v>44</v>
      </c>
      <c r="C539">
        <f t="shared" si="6"/>
        <v>280</v>
      </c>
      <c r="D539" t="s">
        <v>886</v>
      </c>
      <c r="E539" t="s">
        <v>1009</v>
      </c>
      <c r="I539" s="33">
        <v>1752067</v>
      </c>
    </row>
    <row r="540" spans="1:9">
      <c r="A540">
        <v>2018</v>
      </c>
      <c r="B540" t="s">
        <v>44</v>
      </c>
      <c r="C540">
        <f t="shared" si="6"/>
        <v>281</v>
      </c>
      <c r="D540" t="s">
        <v>886</v>
      </c>
      <c r="E540" t="s">
        <v>274</v>
      </c>
      <c r="F540" t="s">
        <v>606</v>
      </c>
      <c r="G540" t="s">
        <v>598</v>
      </c>
      <c r="H540" t="s">
        <v>616</v>
      </c>
      <c r="I540" s="33">
        <v>462886</v>
      </c>
    </row>
    <row r="541" spans="1:9">
      <c r="A541">
        <v>2018</v>
      </c>
      <c r="B541" t="s">
        <v>44</v>
      </c>
      <c r="C541">
        <f t="shared" si="6"/>
        <v>282</v>
      </c>
      <c r="D541" t="s">
        <v>886</v>
      </c>
      <c r="E541" t="s">
        <v>325</v>
      </c>
      <c r="G541" t="s">
        <v>598</v>
      </c>
      <c r="I541" s="33">
        <v>27149</v>
      </c>
    </row>
    <row r="542" spans="1:9">
      <c r="A542">
        <v>2018</v>
      </c>
      <c r="B542" t="s">
        <v>44</v>
      </c>
      <c r="C542">
        <f t="shared" si="6"/>
        <v>283</v>
      </c>
      <c r="D542" t="s">
        <v>886</v>
      </c>
      <c r="E542" t="s">
        <v>250</v>
      </c>
      <c r="F542" t="s">
        <v>602</v>
      </c>
      <c r="G542" t="s">
        <v>598</v>
      </c>
      <c r="H542" t="s">
        <v>603</v>
      </c>
      <c r="I542" s="33">
        <v>1162914</v>
      </c>
    </row>
    <row r="543" spans="1:9">
      <c r="A543">
        <v>2018</v>
      </c>
      <c r="B543" t="s">
        <v>44</v>
      </c>
      <c r="C543">
        <f t="shared" si="6"/>
        <v>284</v>
      </c>
      <c r="D543" t="s">
        <v>886</v>
      </c>
      <c r="E543" t="s">
        <v>1010</v>
      </c>
      <c r="G543" t="s">
        <v>598</v>
      </c>
      <c r="I543" s="33">
        <v>3632046</v>
      </c>
    </row>
    <row r="544" spans="1:9">
      <c r="A544">
        <v>2018</v>
      </c>
      <c r="B544" t="s">
        <v>44</v>
      </c>
      <c r="C544">
        <f t="shared" si="6"/>
        <v>285</v>
      </c>
      <c r="D544" t="s">
        <v>886</v>
      </c>
      <c r="E544" t="s">
        <v>425</v>
      </c>
      <c r="G544" t="s">
        <v>598</v>
      </c>
      <c r="I544" s="33">
        <v>3576269</v>
      </c>
    </row>
    <row r="545" spans="1:9">
      <c r="A545">
        <v>2018</v>
      </c>
      <c r="B545" t="s">
        <v>44</v>
      </c>
      <c r="C545">
        <f t="shared" si="6"/>
        <v>286</v>
      </c>
      <c r="D545" t="s">
        <v>886</v>
      </c>
      <c r="E545" t="s">
        <v>419</v>
      </c>
      <c r="F545" t="s">
        <v>606</v>
      </c>
      <c r="G545" t="s">
        <v>598</v>
      </c>
      <c r="H545" t="s">
        <v>616</v>
      </c>
      <c r="I545" s="33">
        <v>5504562</v>
      </c>
    </row>
    <row r="546" spans="1:9">
      <c r="A546">
        <v>2018</v>
      </c>
      <c r="B546" t="s">
        <v>44</v>
      </c>
      <c r="C546">
        <f t="shared" si="6"/>
        <v>287</v>
      </c>
      <c r="D546" t="s">
        <v>886</v>
      </c>
      <c r="E546" t="s">
        <v>135</v>
      </c>
      <c r="F546" t="s">
        <v>606</v>
      </c>
      <c r="G546" t="s">
        <v>703</v>
      </c>
      <c r="H546" t="s">
        <v>704</v>
      </c>
      <c r="I546" s="33">
        <v>326150303</v>
      </c>
    </row>
    <row r="547" spans="1:9">
      <c r="A547">
        <v>2018</v>
      </c>
      <c r="B547" t="s">
        <v>44</v>
      </c>
      <c r="C547">
        <f t="shared" si="6"/>
        <v>288</v>
      </c>
      <c r="D547" t="s">
        <v>886</v>
      </c>
      <c r="E547" t="s">
        <v>500</v>
      </c>
      <c r="G547" t="s">
        <v>598</v>
      </c>
      <c r="H547" t="s">
        <v>616</v>
      </c>
      <c r="I547" s="33">
        <v>157874</v>
      </c>
    </row>
    <row r="548" spans="1:9">
      <c r="A548">
        <v>2018</v>
      </c>
      <c r="B548" t="s">
        <v>44</v>
      </c>
      <c r="C548">
        <f t="shared" si="6"/>
        <v>289</v>
      </c>
      <c r="D548" t="s">
        <v>886</v>
      </c>
      <c r="E548" t="s">
        <v>273</v>
      </c>
      <c r="G548" t="s">
        <v>598</v>
      </c>
      <c r="H548" t="s">
        <v>616</v>
      </c>
      <c r="I548" s="33">
        <v>474656</v>
      </c>
    </row>
    <row r="549" spans="1:9">
      <c r="A549">
        <v>2018</v>
      </c>
      <c r="B549" t="s">
        <v>44</v>
      </c>
      <c r="C549">
        <f t="shared" si="6"/>
        <v>290</v>
      </c>
      <c r="D549" t="s">
        <v>886</v>
      </c>
      <c r="E549" t="s">
        <v>1011</v>
      </c>
      <c r="I549" s="33">
        <v>35259</v>
      </c>
    </row>
    <row r="550" spans="1:9">
      <c r="A550">
        <v>2018</v>
      </c>
      <c r="B550" t="s">
        <v>44</v>
      </c>
      <c r="C550">
        <f t="shared" si="6"/>
        <v>291</v>
      </c>
      <c r="D550" t="s">
        <v>886</v>
      </c>
      <c r="E550" t="s">
        <v>1012</v>
      </c>
      <c r="G550" t="s">
        <v>598</v>
      </c>
      <c r="I550" s="33">
        <v>1339004</v>
      </c>
    </row>
    <row r="551" spans="1:9">
      <c r="A551">
        <v>2018</v>
      </c>
      <c r="B551" t="s">
        <v>44</v>
      </c>
      <c r="C551">
        <f t="shared" si="6"/>
        <v>292</v>
      </c>
      <c r="D551" t="s">
        <v>886</v>
      </c>
      <c r="E551" t="s">
        <v>508</v>
      </c>
      <c r="F551" t="s">
        <v>602</v>
      </c>
      <c r="G551" t="s">
        <v>598</v>
      </c>
      <c r="H551" t="s">
        <v>616</v>
      </c>
      <c r="I551" s="33">
        <v>99673</v>
      </c>
    </row>
    <row r="552" spans="1:9">
      <c r="A552">
        <v>2018</v>
      </c>
      <c r="B552" t="s">
        <v>44</v>
      </c>
      <c r="C552">
        <f t="shared" si="6"/>
        <v>293</v>
      </c>
      <c r="D552" t="s">
        <v>886</v>
      </c>
      <c r="E552" t="s">
        <v>268</v>
      </c>
      <c r="F552" t="s">
        <v>606</v>
      </c>
      <c r="G552" t="s">
        <v>598</v>
      </c>
      <c r="I552" s="33">
        <v>577923</v>
      </c>
    </row>
    <row r="553" spans="1:9">
      <c r="A553">
        <v>2018</v>
      </c>
      <c r="B553" t="s">
        <v>44</v>
      </c>
      <c r="C553">
        <f t="shared" si="6"/>
        <v>294</v>
      </c>
      <c r="D553" t="s">
        <v>886</v>
      </c>
      <c r="E553" t="s">
        <v>514</v>
      </c>
      <c r="G553" t="s">
        <v>598</v>
      </c>
      <c r="I553" s="33">
        <v>68836</v>
      </c>
    </row>
    <row r="554" spans="1:9">
      <c r="A554">
        <v>2018</v>
      </c>
      <c r="B554" t="s">
        <v>44</v>
      </c>
      <c r="C554">
        <f t="shared" si="6"/>
        <v>295</v>
      </c>
      <c r="D554" t="s">
        <v>886</v>
      </c>
      <c r="E554" t="s">
        <v>143</v>
      </c>
      <c r="F554" t="s">
        <v>606</v>
      </c>
      <c r="G554" t="s">
        <v>598</v>
      </c>
      <c r="H554" t="s">
        <v>616</v>
      </c>
      <c r="I554" s="33">
        <v>115687407</v>
      </c>
    </row>
    <row r="555" spans="1:9">
      <c r="A555">
        <v>2018</v>
      </c>
      <c r="B555" t="s">
        <v>44</v>
      </c>
      <c r="C555">
        <f t="shared" si="6"/>
        <v>296</v>
      </c>
      <c r="D555" t="s">
        <v>886</v>
      </c>
      <c r="E555" t="s">
        <v>1013</v>
      </c>
      <c r="I555" s="33">
        <v>8405</v>
      </c>
    </row>
    <row r="556" spans="1:9">
      <c r="A556">
        <v>2018</v>
      </c>
      <c r="B556" t="s">
        <v>44</v>
      </c>
      <c r="C556">
        <f t="shared" si="6"/>
        <v>297</v>
      </c>
      <c r="D556" t="s">
        <v>886</v>
      </c>
      <c r="E556" t="s">
        <v>413</v>
      </c>
      <c r="G556" t="s">
        <v>598</v>
      </c>
      <c r="H556" t="s">
        <v>616</v>
      </c>
      <c r="I556" s="33">
        <v>7448509</v>
      </c>
    </row>
    <row r="557" spans="1:9">
      <c r="A557">
        <v>2018</v>
      </c>
      <c r="B557" t="s">
        <v>44</v>
      </c>
      <c r="C557">
        <f t="shared" si="6"/>
        <v>298</v>
      </c>
      <c r="D557" t="s">
        <v>886</v>
      </c>
      <c r="E557" t="s">
        <v>1014</v>
      </c>
      <c r="G557" t="s">
        <v>631</v>
      </c>
      <c r="H557" t="s">
        <v>603</v>
      </c>
      <c r="I557" s="33">
        <v>16558135</v>
      </c>
    </row>
    <row r="558" spans="1:9">
      <c r="A558">
        <v>2018</v>
      </c>
      <c r="B558" t="s">
        <v>44</v>
      </c>
      <c r="C558">
        <f t="shared" si="6"/>
        <v>299</v>
      </c>
      <c r="D558" t="s">
        <v>886</v>
      </c>
      <c r="E558" t="s">
        <v>1015</v>
      </c>
      <c r="G558" t="s">
        <v>598</v>
      </c>
      <c r="I558" s="33">
        <v>48389</v>
      </c>
    </row>
    <row r="559" spans="1:9">
      <c r="A559">
        <v>2018</v>
      </c>
      <c r="B559" t="s">
        <v>44</v>
      </c>
      <c r="C559">
        <f t="shared" si="6"/>
        <v>300</v>
      </c>
      <c r="D559" t="s">
        <v>886</v>
      </c>
      <c r="E559" t="s">
        <v>1016</v>
      </c>
      <c r="I559" s="33">
        <v>39290</v>
      </c>
    </row>
    <row r="560" spans="1:9">
      <c r="A560">
        <v>2018</v>
      </c>
      <c r="B560" t="s">
        <v>44</v>
      </c>
      <c r="C560">
        <f t="shared" si="6"/>
        <v>301</v>
      </c>
      <c r="D560" t="s">
        <v>886</v>
      </c>
      <c r="E560" t="s">
        <v>277</v>
      </c>
      <c r="F560" t="s">
        <v>606</v>
      </c>
      <c r="G560" t="s">
        <v>703</v>
      </c>
      <c r="H560" t="s">
        <v>607</v>
      </c>
      <c r="I560" s="33">
        <v>442969</v>
      </c>
    </row>
    <row r="561" spans="1:9">
      <c r="A561">
        <v>2018</v>
      </c>
      <c r="B561" t="s">
        <v>44</v>
      </c>
      <c r="C561">
        <f t="shared" si="6"/>
        <v>302</v>
      </c>
      <c r="D561" t="s">
        <v>886</v>
      </c>
      <c r="E561" t="s">
        <v>1017</v>
      </c>
      <c r="G561" t="s">
        <v>598</v>
      </c>
      <c r="I561" s="33">
        <v>255779</v>
      </c>
    </row>
    <row r="562" spans="1:9">
      <c r="A562">
        <v>2018</v>
      </c>
      <c r="B562" t="s">
        <v>44</v>
      </c>
      <c r="C562">
        <f t="shared" si="6"/>
        <v>303</v>
      </c>
      <c r="D562" t="s">
        <v>886</v>
      </c>
      <c r="E562" t="s">
        <v>1018</v>
      </c>
      <c r="I562" s="33">
        <v>76483</v>
      </c>
    </row>
    <row r="563" spans="1:9">
      <c r="A563">
        <v>2018</v>
      </c>
      <c r="B563" t="s">
        <v>44</v>
      </c>
      <c r="C563">
        <f t="shared" si="6"/>
        <v>304</v>
      </c>
      <c r="D563" t="s">
        <v>886</v>
      </c>
      <c r="E563" t="s">
        <v>443</v>
      </c>
      <c r="F563" t="s">
        <v>606</v>
      </c>
      <c r="G563" t="s">
        <v>598</v>
      </c>
      <c r="H563" t="s">
        <v>616</v>
      </c>
      <c r="I563" s="33">
        <v>1160000</v>
      </c>
    </row>
    <row r="564" spans="1:9">
      <c r="A564">
        <v>2018</v>
      </c>
      <c r="B564" t="s">
        <v>44</v>
      </c>
      <c r="C564">
        <f t="shared" si="6"/>
        <v>305</v>
      </c>
      <c r="D564" t="s">
        <v>886</v>
      </c>
      <c r="E564" t="s">
        <v>557</v>
      </c>
      <c r="F564" t="s">
        <v>606</v>
      </c>
      <c r="G564" t="s">
        <v>598</v>
      </c>
      <c r="H564" t="s">
        <v>607</v>
      </c>
      <c r="I564" s="33">
        <v>0</v>
      </c>
    </row>
    <row r="565" spans="1:9">
      <c r="A565">
        <v>2018</v>
      </c>
      <c r="B565" t="s">
        <v>44</v>
      </c>
      <c r="C565">
        <f t="shared" si="6"/>
        <v>306</v>
      </c>
      <c r="D565" t="s">
        <v>886</v>
      </c>
      <c r="E565" t="s">
        <v>1019</v>
      </c>
      <c r="F565" t="s">
        <v>597</v>
      </c>
      <c r="G565" t="s">
        <v>598</v>
      </c>
      <c r="H565" t="s">
        <v>599</v>
      </c>
      <c r="I565" s="33">
        <v>146050</v>
      </c>
    </row>
    <row r="566" spans="1:9">
      <c r="A566">
        <v>2018</v>
      </c>
      <c r="B566" t="s">
        <v>44</v>
      </c>
      <c r="C566">
        <f t="shared" si="6"/>
        <v>307</v>
      </c>
      <c r="D566" t="s">
        <v>886</v>
      </c>
      <c r="E566" t="s">
        <v>1020</v>
      </c>
      <c r="G566" t="s">
        <v>598</v>
      </c>
      <c r="I566" s="33">
        <v>2754</v>
      </c>
    </row>
    <row r="567" spans="1:9">
      <c r="A567">
        <v>2018</v>
      </c>
      <c r="B567" t="s">
        <v>44</v>
      </c>
      <c r="C567">
        <f t="shared" si="6"/>
        <v>308</v>
      </c>
      <c r="D567" t="s">
        <v>886</v>
      </c>
      <c r="E567" t="s">
        <v>1021</v>
      </c>
      <c r="I567" s="33">
        <v>25049</v>
      </c>
    </row>
    <row r="568" spans="1:9">
      <c r="A568">
        <v>2018</v>
      </c>
      <c r="B568" t="s">
        <v>44</v>
      </c>
      <c r="C568">
        <f t="shared" si="6"/>
        <v>309</v>
      </c>
      <c r="D568" t="s">
        <v>886</v>
      </c>
      <c r="E568" t="s">
        <v>240</v>
      </c>
      <c r="F568" t="s">
        <v>606</v>
      </c>
      <c r="G568" t="s">
        <v>631</v>
      </c>
      <c r="H568" t="s">
        <v>612</v>
      </c>
      <c r="I568" s="33">
        <v>1562462</v>
      </c>
    </row>
    <row r="569" spans="1:9">
      <c r="A569">
        <v>2018</v>
      </c>
      <c r="B569" t="s">
        <v>44</v>
      </c>
      <c r="C569">
        <f t="shared" si="6"/>
        <v>310</v>
      </c>
      <c r="D569" t="s">
        <v>886</v>
      </c>
      <c r="E569" t="s">
        <v>241</v>
      </c>
      <c r="F569" t="s">
        <v>606</v>
      </c>
      <c r="G569" t="s">
        <v>598</v>
      </c>
      <c r="H569" t="s">
        <v>599</v>
      </c>
      <c r="I569" s="33">
        <v>1561731</v>
      </c>
    </row>
    <row r="570" spans="1:9">
      <c r="A570">
        <v>2018</v>
      </c>
      <c r="B570" t="s">
        <v>44</v>
      </c>
      <c r="C570">
        <f t="shared" si="6"/>
        <v>311</v>
      </c>
      <c r="D570" t="s">
        <v>886</v>
      </c>
      <c r="E570" t="s">
        <v>552</v>
      </c>
      <c r="I570" s="33">
        <v>1968</v>
      </c>
    </row>
    <row r="571" spans="1:9">
      <c r="A571">
        <v>2018</v>
      </c>
      <c r="B571" t="s">
        <v>44</v>
      </c>
      <c r="C571">
        <f t="shared" si="6"/>
        <v>312</v>
      </c>
      <c r="D571" t="s">
        <v>886</v>
      </c>
      <c r="E571" t="s">
        <v>383</v>
      </c>
      <c r="G571" t="s">
        <v>598</v>
      </c>
      <c r="H571" t="s">
        <v>616</v>
      </c>
      <c r="I571" s="33">
        <v>41046927</v>
      </c>
    </row>
    <row r="572" spans="1:9">
      <c r="A572">
        <v>2018</v>
      </c>
      <c r="B572" t="s">
        <v>44</v>
      </c>
      <c r="C572">
        <f t="shared" si="6"/>
        <v>313</v>
      </c>
      <c r="D572" t="s">
        <v>886</v>
      </c>
      <c r="E572" t="s">
        <v>1022</v>
      </c>
      <c r="F572" t="s">
        <v>606</v>
      </c>
      <c r="G572" t="s">
        <v>598</v>
      </c>
      <c r="H572" t="s">
        <v>616</v>
      </c>
      <c r="I572" s="33">
        <v>19583</v>
      </c>
    </row>
    <row r="573" spans="1:9">
      <c r="A573">
        <v>2018</v>
      </c>
      <c r="B573" t="s">
        <v>44</v>
      </c>
      <c r="C573">
        <f t="shared" si="6"/>
        <v>314</v>
      </c>
      <c r="D573" t="s">
        <v>886</v>
      </c>
      <c r="E573" t="s">
        <v>220</v>
      </c>
      <c r="F573" t="s">
        <v>610</v>
      </c>
      <c r="G573" t="s">
        <v>598</v>
      </c>
      <c r="H573" t="s">
        <v>616</v>
      </c>
      <c r="I573" s="33">
        <v>3154206</v>
      </c>
    </row>
    <row r="574" spans="1:9">
      <c r="A574">
        <v>2018</v>
      </c>
      <c r="B574" t="s">
        <v>44</v>
      </c>
      <c r="C574">
        <f t="shared" si="6"/>
        <v>315</v>
      </c>
      <c r="D574" t="s">
        <v>886</v>
      </c>
      <c r="E574" t="s">
        <v>422</v>
      </c>
      <c r="F574" t="s">
        <v>606</v>
      </c>
      <c r="G574" t="s">
        <v>598</v>
      </c>
      <c r="H574" t="s">
        <v>616</v>
      </c>
      <c r="I574" s="33">
        <v>4778869</v>
      </c>
    </row>
    <row r="575" spans="1:9">
      <c r="A575">
        <v>2018</v>
      </c>
      <c r="B575" t="s">
        <v>44</v>
      </c>
      <c r="C575">
        <f t="shared" si="6"/>
        <v>316</v>
      </c>
      <c r="D575" t="s">
        <v>886</v>
      </c>
      <c r="E575" t="s">
        <v>302</v>
      </c>
      <c r="G575" t="s">
        <v>598</v>
      </c>
      <c r="I575" s="33">
        <v>127410</v>
      </c>
    </row>
    <row r="576" spans="1:9">
      <c r="A576">
        <v>2018</v>
      </c>
      <c r="B576" t="s">
        <v>44</v>
      </c>
      <c r="C576">
        <f t="shared" si="6"/>
        <v>317</v>
      </c>
      <c r="D576" t="s">
        <v>886</v>
      </c>
      <c r="E576" t="s">
        <v>512</v>
      </c>
      <c r="G576" t="s">
        <v>598</v>
      </c>
      <c r="I576" s="33">
        <v>91014</v>
      </c>
    </row>
    <row r="577" spans="1:9">
      <c r="A577">
        <v>2018</v>
      </c>
      <c r="B577" t="s">
        <v>44</v>
      </c>
      <c r="C577">
        <f t="shared" si="6"/>
        <v>318</v>
      </c>
      <c r="D577" t="s">
        <v>886</v>
      </c>
      <c r="E577" t="s">
        <v>1023</v>
      </c>
      <c r="G577" t="s">
        <v>598</v>
      </c>
      <c r="I577" s="33">
        <v>18516</v>
      </c>
    </row>
    <row r="578" spans="1:9">
      <c r="A578">
        <v>2018</v>
      </c>
      <c r="B578" t="s">
        <v>44</v>
      </c>
      <c r="C578">
        <f t="shared" si="6"/>
        <v>319</v>
      </c>
      <c r="D578" t="s">
        <v>886</v>
      </c>
      <c r="E578" t="s">
        <v>1024</v>
      </c>
      <c r="G578" t="s">
        <v>598</v>
      </c>
      <c r="H578" t="s">
        <v>616</v>
      </c>
      <c r="I578" s="33">
        <v>469140</v>
      </c>
    </row>
    <row r="579" spans="1:9">
      <c r="A579">
        <v>2018</v>
      </c>
      <c r="B579" t="s">
        <v>44</v>
      </c>
      <c r="C579">
        <f t="shared" si="6"/>
        <v>320</v>
      </c>
      <c r="D579" t="s">
        <v>886</v>
      </c>
      <c r="E579" t="s">
        <v>1025</v>
      </c>
      <c r="F579" t="s">
        <v>606</v>
      </c>
      <c r="G579" t="s">
        <v>598</v>
      </c>
      <c r="H579" t="s">
        <v>616</v>
      </c>
      <c r="I579" s="33">
        <v>43523</v>
      </c>
    </row>
    <row r="580" spans="1:9">
      <c r="A580">
        <v>2018</v>
      </c>
      <c r="B580" t="s">
        <v>44</v>
      </c>
      <c r="C580">
        <f t="shared" si="6"/>
        <v>321</v>
      </c>
      <c r="D580" t="s">
        <v>886</v>
      </c>
      <c r="E580" t="s">
        <v>387</v>
      </c>
      <c r="F580" t="s">
        <v>606</v>
      </c>
      <c r="G580" t="s">
        <v>631</v>
      </c>
      <c r="H580" t="s">
        <v>603</v>
      </c>
      <c r="I580" s="33">
        <v>30355804</v>
      </c>
    </row>
    <row r="581" spans="1:9">
      <c r="A581">
        <v>2018</v>
      </c>
      <c r="B581" t="s">
        <v>44</v>
      </c>
      <c r="C581">
        <f t="shared" si="6"/>
        <v>322</v>
      </c>
      <c r="D581" t="s">
        <v>886</v>
      </c>
      <c r="E581" t="s">
        <v>242</v>
      </c>
      <c r="F581" t="s">
        <v>606</v>
      </c>
      <c r="G581" t="s">
        <v>598</v>
      </c>
      <c r="H581" t="s">
        <v>616</v>
      </c>
      <c r="I581" s="33">
        <v>1487745</v>
      </c>
    </row>
    <row r="582" spans="1:9">
      <c r="A582">
        <v>2018</v>
      </c>
      <c r="B582" t="s">
        <v>44</v>
      </c>
      <c r="C582">
        <f t="shared" ref="C582:C596" si="7">C581+1</f>
        <v>323</v>
      </c>
      <c r="D582" t="s">
        <v>886</v>
      </c>
      <c r="E582" t="s">
        <v>467</v>
      </c>
      <c r="F582" t="s">
        <v>606</v>
      </c>
      <c r="G582" t="s">
        <v>598</v>
      </c>
      <c r="H582" t="s">
        <v>603</v>
      </c>
      <c r="I582" s="33">
        <v>542586</v>
      </c>
    </row>
    <row r="583" spans="1:9">
      <c r="A583">
        <v>2018</v>
      </c>
      <c r="B583" t="s">
        <v>44</v>
      </c>
      <c r="C583">
        <f t="shared" si="7"/>
        <v>324</v>
      </c>
      <c r="D583" t="s">
        <v>886</v>
      </c>
      <c r="E583" t="s">
        <v>155</v>
      </c>
      <c r="F583" t="s">
        <v>606</v>
      </c>
      <c r="G583" t="s">
        <v>598</v>
      </c>
      <c r="I583" s="33">
        <v>50885008</v>
      </c>
    </row>
    <row r="584" spans="1:9">
      <c r="A584">
        <v>2018</v>
      </c>
      <c r="B584" t="s">
        <v>44</v>
      </c>
      <c r="C584">
        <f t="shared" si="7"/>
        <v>325</v>
      </c>
      <c r="D584" t="s">
        <v>886</v>
      </c>
      <c r="E584" t="s">
        <v>431</v>
      </c>
      <c r="G584" t="s">
        <v>598</v>
      </c>
      <c r="I584" s="33">
        <v>2585854</v>
      </c>
    </row>
    <row r="585" spans="1:9">
      <c r="A585">
        <v>2018</v>
      </c>
      <c r="B585" t="s">
        <v>44</v>
      </c>
      <c r="C585">
        <f t="shared" si="7"/>
        <v>326</v>
      </c>
      <c r="D585" t="s">
        <v>886</v>
      </c>
      <c r="E585" t="s">
        <v>548</v>
      </c>
      <c r="G585" t="s">
        <v>703</v>
      </c>
      <c r="H585" t="s">
        <v>603</v>
      </c>
      <c r="I585" s="33">
        <v>5281</v>
      </c>
    </row>
    <row r="586" spans="1:9">
      <c r="A586">
        <v>2018</v>
      </c>
      <c r="B586" t="s">
        <v>44</v>
      </c>
      <c r="C586">
        <f t="shared" si="7"/>
        <v>327</v>
      </c>
      <c r="D586" t="s">
        <v>886</v>
      </c>
      <c r="E586" t="s">
        <v>375</v>
      </c>
      <c r="F586" t="s">
        <v>606</v>
      </c>
      <c r="G586" t="s">
        <v>598</v>
      </c>
      <c r="H586" t="s">
        <v>658</v>
      </c>
      <c r="I586" s="33">
        <v>85170584</v>
      </c>
    </row>
    <row r="587" spans="1:9">
      <c r="A587">
        <v>2018</v>
      </c>
      <c r="B587" t="s">
        <v>44</v>
      </c>
      <c r="C587">
        <f t="shared" si="7"/>
        <v>328</v>
      </c>
      <c r="D587" t="s">
        <v>886</v>
      </c>
      <c r="E587" t="s">
        <v>1027</v>
      </c>
      <c r="F587" t="s">
        <v>606</v>
      </c>
      <c r="G587" t="s">
        <v>598</v>
      </c>
      <c r="H587" t="s">
        <v>616</v>
      </c>
      <c r="I587" s="33">
        <v>0</v>
      </c>
    </row>
    <row r="588" spans="1:9">
      <c r="A588">
        <v>2018</v>
      </c>
      <c r="B588" t="s">
        <v>44</v>
      </c>
      <c r="C588">
        <f t="shared" si="7"/>
        <v>329</v>
      </c>
      <c r="D588" t="s">
        <v>886</v>
      </c>
      <c r="E588" t="s">
        <v>190</v>
      </c>
      <c r="F588" t="s">
        <v>606</v>
      </c>
      <c r="G588" t="s">
        <v>598</v>
      </c>
      <c r="H588" t="s">
        <v>616</v>
      </c>
      <c r="I588" s="33">
        <v>8091941</v>
      </c>
    </row>
    <row r="589" spans="1:9">
      <c r="A589">
        <v>2018</v>
      </c>
      <c r="B589" t="s">
        <v>44</v>
      </c>
      <c r="C589">
        <f t="shared" si="7"/>
        <v>330</v>
      </c>
      <c r="D589" t="s">
        <v>975</v>
      </c>
      <c r="E589" t="s">
        <v>1028</v>
      </c>
      <c r="F589" t="s">
        <v>597</v>
      </c>
      <c r="G589" t="s">
        <v>598</v>
      </c>
      <c r="H589" t="s">
        <v>616</v>
      </c>
      <c r="I589" s="33">
        <v>32449600</v>
      </c>
    </row>
    <row r="590" spans="1:9">
      <c r="A590">
        <v>2018</v>
      </c>
      <c r="B590" t="s">
        <v>44</v>
      </c>
      <c r="C590">
        <f t="shared" si="7"/>
        <v>331</v>
      </c>
      <c r="D590" t="s">
        <v>886</v>
      </c>
      <c r="E590" t="s">
        <v>415</v>
      </c>
      <c r="F590" t="s">
        <v>602</v>
      </c>
      <c r="G590" t="s">
        <v>598</v>
      </c>
      <c r="H590" t="s">
        <v>603</v>
      </c>
      <c r="I590" s="33">
        <v>7353354</v>
      </c>
    </row>
    <row r="591" spans="1:9">
      <c r="A591">
        <v>2018</v>
      </c>
      <c r="B591" t="s">
        <v>44</v>
      </c>
      <c r="C591">
        <f t="shared" si="7"/>
        <v>332</v>
      </c>
      <c r="D591" t="s">
        <v>886</v>
      </c>
      <c r="E591" t="s">
        <v>1029</v>
      </c>
      <c r="G591" t="s">
        <v>598</v>
      </c>
      <c r="I591" s="33">
        <v>60326</v>
      </c>
    </row>
    <row r="592" spans="1:9">
      <c r="A592">
        <v>2018</v>
      </c>
      <c r="B592" t="s">
        <v>44</v>
      </c>
      <c r="C592">
        <f t="shared" si="7"/>
        <v>333</v>
      </c>
      <c r="D592" t="s">
        <v>886</v>
      </c>
      <c r="E592" t="s">
        <v>180</v>
      </c>
      <c r="F592" t="s">
        <v>606</v>
      </c>
      <c r="G592" t="s">
        <v>598</v>
      </c>
      <c r="H592" t="s">
        <v>616</v>
      </c>
      <c r="I592" s="33">
        <v>9626679</v>
      </c>
    </row>
    <row r="593" spans="1:10">
      <c r="A593">
        <v>2018</v>
      </c>
      <c r="B593" t="s">
        <v>44</v>
      </c>
      <c r="C593">
        <f t="shared" si="7"/>
        <v>334</v>
      </c>
      <c r="D593" t="s">
        <v>886</v>
      </c>
      <c r="E593" t="s">
        <v>377</v>
      </c>
      <c r="F593" t="s">
        <v>1397</v>
      </c>
      <c r="G593" t="s">
        <v>703</v>
      </c>
      <c r="H593" t="s">
        <v>607</v>
      </c>
      <c r="I593" s="33">
        <v>74842075</v>
      </c>
    </row>
    <row r="594" spans="1:10">
      <c r="A594">
        <v>2018</v>
      </c>
      <c r="B594" t="s">
        <v>44</v>
      </c>
      <c r="C594">
        <f t="shared" si="7"/>
        <v>335</v>
      </c>
      <c r="D594" t="s">
        <v>886</v>
      </c>
      <c r="E594" t="s">
        <v>1030</v>
      </c>
      <c r="G594" t="s">
        <v>598</v>
      </c>
      <c r="I594" s="33">
        <v>151826</v>
      </c>
    </row>
    <row r="595" spans="1:10">
      <c r="A595">
        <v>2018</v>
      </c>
      <c r="B595" t="s">
        <v>44</v>
      </c>
      <c r="C595">
        <f t="shared" si="7"/>
        <v>336</v>
      </c>
      <c r="D595" t="s">
        <v>886</v>
      </c>
      <c r="E595" t="s">
        <v>53</v>
      </c>
      <c r="F595" t="s">
        <v>1397</v>
      </c>
      <c r="G595" t="s">
        <v>598</v>
      </c>
      <c r="H595" t="s">
        <v>616</v>
      </c>
      <c r="I595" s="33">
        <v>28792065</v>
      </c>
    </row>
    <row r="596" spans="1:10">
      <c r="A596">
        <v>2018</v>
      </c>
      <c r="B596" t="s">
        <v>44</v>
      </c>
      <c r="C596">
        <f t="shared" si="7"/>
        <v>337</v>
      </c>
      <c r="D596" t="s">
        <v>886</v>
      </c>
      <c r="E596" t="s">
        <v>332</v>
      </c>
      <c r="F596" t="s">
        <v>606</v>
      </c>
      <c r="G596" t="s">
        <v>598</v>
      </c>
      <c r="H596" t="s">
        <v>658</v>
      </c>
      <c r="I596" s="33">
        <v>18176</v>
      </c>
    </row>
    <row r="597" spans="1:10">
      <c r="A597">
        <v>2018</v>
      </c>
      <c r="B597" t="s">
        <v>45</v>
      </c>
      <c r="C597">
        <v>1</v>
      </c>
      <c r="D597" t="s">
        <v>1031</v>
      </c>
      <c r="E597" t="s">
        <v>1032</v>
      </c>
      <c r="F597" t="s">
        <v>606</v>
      </c>
      <c r="G597" t="s">
        <v>598</v>
      </c>
      <c r="H597" t="s">
        <v>616</v>
      </c>
      <c r="I597" s="33">
        <v>46165078</v>
      </c>
      <c r="J597" s="33"/>
    </row>
    <row r="598" spans="1:10">
      <c r="A598">
        <v>2018</v>
      </c>
      <c r="B598" t="s">
        <v>45</v>
      </c>
      <c r="C598">
        <v>2</v>
      </c>
      <c r="D598" t="s">
        <v>817</v>
      </c>
      <c r="E598" t="s">
        <v>373</v>
      </c>
      <c r="F598" t="s">
        <v>606</v>
      </c>
      <c r="G598" t="s">
        <v>598</v>
      </c>
      <c r="H598" t="s">
        <v>603</v>
      </c>
      <c r="I598" s="33">
        <v>90035547</v>
      </c>
      <c r="J598" s="33"/>
    </row>
    <row r="599" spans="1:10">
      <c r="A599">
        <v>2018</v>
      </c>
      <c r="B599" t="s">
        <v>45</v>
      </c>
      <c r="C599">
        <v>3</v>
      </c>
      <c r="D599" t="s">
        <v>813</v>
      </c>
      <c r="E599" t="s">
        <v>1033</v>
      </c>
      <c r="F599" t="s">
        <v>606</v>
      </c>
      <c r="G599" t="s">
        <v>598</v>
      </c>
      <c r="H599" t="s">
        <v>616</v>
      </c>
      <c r="I599" s="33">
        <v>208351</v>
      </c>
      <c r="J599" s="33"/>
    </row>
    <row r="600" spans="1:10">
      <c r="A600">
        <v>2018</v>
      </c>
      <c r="B600" t="s">
        <v>45</v>
      </c>
      <c r="C600">
        <v>4</v>
      </c>
      <c r="D600" t="s">
        <v>848</v>
      </c>
      <c r="E600" t="s">
        <v>1034</v>
      </c>
      <c r="G600" t="s">
        <v>598</v>
      </c>
      <c r="H600" t="s">
        <v>616</v>
      </c>
      <c r="I600" s="33">
        <v>21451708</v>
      </c>
      <c r="J600" s="33"/>
    </row>
    <row r="601" spans="1:10">
      <c r="A601">
        <v>2018</v>
      </c>
      <c r="B601" t="s">
        <v>45</v>
      </c>
      <c r="C601">
        <v>5</v>
      </c>
      <c r="D601" t="s">
        <v>818</v>
      </c>
      <c r="E601" t="s">
        <v>827</v>
      </c>
      <c r="F601" t="s">
        <v>602</v>
      </c>
      <c r="G601" t="s">
        <v>598</v>
      </c>
      <c r="H601" t="s">
        <v>616</v>
      </c>
      <c r="I601" s="33">
        <v>35327718</v>
      </c>
      <c r="J601" s="33"/>
    </row>
    <row r="602" spans="1:10">
      <c r="A602">
        <v>2018</v>
      </c>
      <c r="B602" t="s">
        <v>45</v>
      </c>
      <c r="C602">
        <v>6</v>
      </c>
      <c r="D602" t="s">
        <v>828</v>
      </c>
      <c r="E602" t="s">
        <v>407</v>
      </c>
      <c r="F602" t="s">
        <v>606</v>
      </c>
      <c r="G602" t="s">
        <v>598</v>
      </c>
      <c r="H602" t="s">
        <v>616</v>
      </c>
      <c r="I602" s="33">
        <v>10281835</v>
      </c>
      <c r="J602" s="33"/>
    </row>
    <row r="603" spans="1:10">
      <c r="A603">
        <v>2018</v>
      </c>
      <c r="B603" t="s">
        <v>45</v>
      </c>
      <c r="C603">
        <v>7</v>
      </c>
      <c r="D603" t="s">
        <v>835</v>
      </c>
      <c r="E603" t="s">
        <v>836</v>
      </c>
      <c r="F603" t="s">
        <v>1399</v>
      </c>
      <c r="G603" t="s">
        <v>598</v>
      </c>
      <c r="H603" t="s">
        <v>616</v>
      </c>
      <c r="I603" s="33">
        <v>1278065</v>
      </c>
      <c r="J603" s="33"/>
    </row>
    <row r="604" spans="1:10">
      <c r="A604">
        <v>2018</v>
      </c>
      <c r="B604" t="s">
        <v>45</v>
      </c>
      <c r="C604">
        <v>8</v>
      </c>
      <c r="D604" t="s">
        <v>824</v>
      </c>
      <c r="E604" t="s">
        <v>38</v>
      </c>
      <c r="F604" t="s">
        <v>606</v>
      </c>
      <c r="G604" t="s">
        <v>598</v>
      </c>
      <c r="H604" t="s">
        <v>616</v>
      </c>
      <c r="I604" s="33">
        <v>7639</v>
      </c>
      <c r="J604" s="33"/>
    </row>
    <row r="605" spans="1:10">
      <c r="A605">
        <v>2018</v>
      </c>
      <c r="B605" t="s">
        <v>45</v>
      </c>
      <c r="C605">
        <v>9</v>
      </c>
      <c r="D605" t="s">
        <v>837</v>
      </c>
      <c r="E605" t="s">
        <v>838</v>
      </c>
      <c r="F605" t="s">
        <v>597</v>
      </c>
      <c r="G605" t="s">
        <v>598</v>
      </c>
      <c r="H605" t="s">
        <v>599</v>
      </c>
      <c r="I605" s="33">
        <v>1034</v>
      </c>
      <c r="J605" s="33"/>
    </row>
    <row r="606" spans="1:10">
      <c r="A606">
        <v>2018</v>
      </c>
      <c r="B606" t="s">
        <v>45</v>
      </c>
      <c r="C606">
        <v>10</v>
      </c>
      <c r="D606" t="s">
        <v>886</v>
      </c>
      <c r="E606" t="s">
        <v>165</v>
      </c>
      <c r="F606" t="s">
        <v>606</v>
      </c>
      <c r="G606" t="s">
        <v>598</v>
      </c>
      <c r="H606" t="s">
        <v>616</v>
      </c>
      <c r="I606" s="33">
        <v>25293852</v>
      </c>
      <c r="J606" s="33"/>
    </row>
    <row r="607" spans="1:10">
      <c r="A607">
        <v>2018</v>
      </c>
      <c r="B607" t="s">
        <v>45</v>
      </c>
      <c r="C607">
        <v>11</v>
      </c>
      <c r="D607" t="s">
        <v>886</v>
      </c>
      <c r="E607" t="s">
        <v>1035</v>
      </c>
      <c r="F607" t="s">
        <v>606</v>
      </c>
      <c r="G607" t="s">
        <v>598</v>
      </c>
      <c r="H607" t="s">
        <v>616</v>
      </c>
      <c r="I607" s="33">
        <v>63931005</v>
      </c>
      <c r="J607" s="33"/>
    </row>
    <row r="608" spans="1:10">
      <c r="A608">
        <v>2018</v>
      </c>
      <c r="B608" t="s">
        <v>45</v>
      </c>
      <c r="C608">
        <v>12</v>
      </c>
      <c r="D608" t="s">
        <v>1036</v>
      </c>
      <c r="E608" t="s">
        <v>1037</v>
      </c>
      <c r="G608" t="s">
        <v>598</v>
      </c>
      <c r="I608" s="33">
        <v>0</v>
      </c>
      <c r="J608" s="33"/>
    </row>
    <row r="609" spans="1:10">
      <c r="A609">
        <v>2018</v>
      </c>
      <c r="B609" t="s">
        <v>45</v>
      </c>
      <c r="C609">
        <v>13</v>
      </c>
      <c r="D609" t="s">
        <v>886</v>
      </c>
      <c r="E609" t="s">
        <v>1038</v>
      </c>
      <c r="F609" t="s">
        <v>606</v>
      </c>
      <c r="G609" t="s">
        <v>598</v>
      </c>
      <c r="I609" s="33">
        <v>4815816</v>
      </c>
      <c r="J609" s="33"/>
    </row>
    <row r="610" spans="1:10">
      <c r="A610">
        <v>2018</v>
      </c>
      <c r="B610" t="s">
        <v>45</v>
      </c>
      <c r="C610">
        <v>14</v>
      </c>
      <c r="D610" t="s">
        <v>886</v>
      </c>
      <c r="E610" t="s">
        <v>230</v>
      </c>
      <c r="F610" t="s">
        <v>606</v>
      </c>
      <c r="G610" t="s">
        <v>598</v>
      </c>
      <c r="H610" t="s">
        <v>616</v>
      </c>
      <c r="I610" s="33">
        <v>2610000</v>
      </c>
      <c r="J610" s="33"/>
    </row>
    <row r="611" spans="1:10">
      <c r="A611">
        <v>2018</v>
      </c>
      <c r="B611" t="s">
        <v>45</v>
      </c>
      <c r="C611">
        <v>15</v>
      </c>
      <c r="D611" t="s">
        <v>886</v>
      </c>
      <c r="E611" t="s">
        <v>1039</v>
      </c>
      <c r="G611" t="s">
        <v>598</v>
      </c>
      <c r="I611" s="33">
        <v>95649</v>
      </c>
      <c r="J611" s="33"/>
    </row>
    <row r="612" spans="1:10">
      <c r="A612">
        <v>2018</v>
      </c>
      <c r="B612" t="s">
        <v>45</v>
      </c>
      <c r="C612">
        <v>16</v>
      </c>
      <c r="D612" t="s">
        <v>874</v>
      </c>
      <c r="E612" t="s">
        <v>875</v>
      </c>
      <c r="F612" t="s">
        <v>606</v>
      </c>
      <c r="G612" t="s">
        <v>598</v>
      </c>
      <c r="H612" t="s">
        <v>616</v>
      </c>
      <c r="I612" s="33">
        <v>79214896</v>
      </c>
      <c r="J612" s="33"/>
    </row>
    <row r="613" spans="1:10">
      <c r="A613">
        <v>2018</v>
      </c>
      <c r="B613" t="s">
        <v>45</v>
      </c>
      <c r="C613">
        <v>17</v>
      </c>
      <c r="D613" t="s">
        <v>1040</v>
      </c>
      <c r="E613" t="s">
        <v>554</v>
      </c>
      <c r="F613" t="s">
        <v>597</v>
      </c>
      <c r="G613" t="s">
        <v>598</v>
      </c>
      <c r="H613" t="s">
        <v>599</v>
      </c>
      <c r="I613" s="33">
        <v>0</v>
      </c>
      <c r="J613" s="33"/>
    </row>
    <row r="614" spans="1:10">
      <c r="A614">
        <v>2018</v>
      </c>
      <c r="B614" t="s">
        <v>45</v>
      </c>
      <c r="C614">
        <v>18</v>
      </c>
      <c r="D614" t="s">
        <v>886</v>
      </c>
      <c r="E614" t="s">
        <v>405</v>
      </c>
      <c r="G614" t="s">
        <v>598</v>
      </c>
      <c r="H614" t="s">
        <v>616</v>
      </c>
      <c r="I614" s="33">
        <v>10657326</v>
      </c>
      <c r="J614" s="33"/>
    </row>
    <row r="615" spans="1:10">
      <c r="A615">
        <v>2018</v>
      </c>
      <c r="B615" t="s">
        <v>45</v>
      </c>
      <c r="C615">
        <v>19</v>
      </c>
      <c r="D615" t="s">
        <v>1042</v>
      </c>
      <c r="E615" t="s">
        <v>1043</v>
      </c>
      <c r="G615" t="s">
        <v>598</v>
      </c>
      <c r="I615" s="33">
        <v>0</v>
      </c>
      <c r="J615" s="33"/>
    </row>
    <row r="616" spans="1:10">
      <c r="A616">
        <v>2018</v>
      </c>
      <c r="B616" t="s">
        <v>45</v>
      </c>
      <c r="C616">
        <v>20</v>
      </c>
      <c r="D616" t="s">
        <v>886</v>
      </c>
      <c r="E616" t="s">
        <v>1044</v>
      </c>
      <c r="G616" t="s">
        <v>598</v>
      </c>
      <c r="H616" t="s">
        <v>616</v>
      </c>
      <c r="I616" s="33">
        <v>22446966</v>
      </c>
      <c r="J616" s="33"/>
    </row>
    <row r="617" spans="1:10">
      <c r="A617">
        <v>2018</v>
      </c>
      <c r="B617" t="s">
        <v>45</v>
      </c>
      <c r="C617">
        <v>21</v>
      </c>
      <c r="D617" t="s">
        <v>886</v>
      </c>
      <c r="E617" t="s">
        <v>414</v>
      </c>
      <c r="F617" t="s">
        <v>606</v>
      </c>
      <c r="G617" t="s">
        <v>598</v>
      </c>
      <c r="I617" s="33">
        <v>7423443</v>
      </c>
      <c r="J617" s="33"/>
    </row>
    <row r="618" spans="1:10">
      <c r="A618">
        <v>2018</v>
      </c>
      <c r="B618" t="s">
        <v>45</v>
      </c>
      <c r="C618">
        <v>22</v>
      </c>
      <c r="D618" t="s">
        <v>886</v>
      </c>
      <c r="E618" t="s">
        <v>327</v>
      </c>
      <c r="F618" t="s">
        <v>606</v>
      </c>
      <c r="G618" t="s">
        <v>598</v>
      </c>
      <c r="H618" t="s">
        <v>616</v>
      </c>
      <c r="I618" s="33">
        <v>24927</v>
      </c>
      <c r="J618" s="33"/>
    </row>
    <row r="619" spans="1:10">
      <c r="A619">
        <v>2018</v>
      </c>
      <c r="B619" t="s">
        <v>45</v>
      </c>
      <c r="C619">
        <v>23</v>
      </c>
      <c r="D619" t="s">
        <v>886</v>
      </c>
      <c r="E619" t="s">
        <v>232</v>
      </c>
      <c r="F619" t="s">
        <v>606</v>
      </c>
      <c r="G619" t="s">
        <v>598</v>
      </c>
      <c r="H619" t="s">
        <v>616</v>
      </c>
      <c r="I619" s="33">
        <v>2415054</v>
      </c>
      <c r="J619" s="33"/>
    </row>
    <row r="620" spans="1:10">
      <c r="A620">
        <v>2018</v>
      </c>
      <c r="B620" t="s">
        <v>45</v>
      </c>
      <c r="C620">
        <v>24</v>
      </c>
      <c r="D620" t="s">
        <v>886</v>
      </c>
      <c r="E620" t="s">
        <v>1045</v>
      </c>
      <c r="F620" t="s">
        <v>606</v>
      </c>
      <c r="G620" t="s">
        <v>598</v>
      </c>
      <c r="H620" t="s">
        <v>616</v>
      </c>
      <c r="I620" s="33">
        <v>120837</v>
      </c>
      <c r="J620" s="33"/>
    </row>
    <row r="621" spans="1:10">
      <c r="A621">
        <v>2018</v>
      </c>
      <c r="B621" t="s">
        <v>45</v>
      </c>
      <c r="C621">
        <v>25</v>
      </c>
      <c r="D621" t="s">
        <v>850</v>
      </c>
      <c r="E621" t="s">
        <v>851</v>
      </c>
      <c r="F621" t="s">
        <v>606</v>
      </c>
      <c r="G621" t="s">
        <v>598</v>
      </c>
      <c r="H621" t="s">
        <v>603</v>
      </c>
      <c r="I621" s="33">
        <v>47872755</v>
      </c>
      <c r="J621" s="33"/>
    </row>
    <row r="622" spans="1:10">
      <c r="A622">
        <v>2018</v>
      </c>
      <c r="B622" t="s">
        <v>45</v>
      </c>
      <c r="C622">
        <v>26</v>
      </c>
      <c r="D622" t="s">
        <v>886</v>
      </c>
      <c r="E622" t="s">
        <v>1046</v>
      </c>
      <c r="F622" t="s">
        <v>606</v>
      </c>
      <c r="G622" t="s">
        <v>598</v>
      </c>
      <c r="H622" t="s">
        <v>616</v>
      </c>
      <c r="I622" s="33">
        <v>0</v>
      </c>
      <c r="J622" s="33"/>
    </row>
    <row r="623" spans="1:10">
      <c r="A623">
        <v>2018</v>
      </c>
      <c r="B623" t="s">
        <v>45</v>
      </c>
      <c r="C623">
        <v>27</v>
      </c>
      <c r="D623" t="s">
        <v>886</v>
      </c>
      <c r="E623" t="s">
        <v>1047</v>
      </c>
      <c r="F623" t="s">
        <v>597</v>
      </c>
      <c r="G623" t="s">
        <v>598</v>
      </c>
      <c r="H623" t="s">
        <v>707</v>
      </c>
      <c r="I623" s="33">
        <v>280417</v>
      </c>
      <c r="J623" s="33"/>
    </row>
    <row r="624" spans="1:10">
      <c r="A624">
        <v>2018</v>
      </c>
      <c r="B624" t="s">
        <v>45</v>
      </c>
      <c r="C624">
        <v>28</v>
      </c>
      <c r="D624" t="s">
        <v>886</v>
      </c>
      <c r="E624" t="s">
        <v>54</v>
      </c>
      <c r="F624" t="s">
        <v>606</v>
      </c>
      <c r="G624" t="s">
        <v>598</v>
      </c>
      <c r="H624" t="s">
        <v>616</v>
      </c>
      <c r="I624" s="33">
        <v>186027770</v>
      </c>
      <c r="J624" s="33"/>
    </row>
    <row r="625" spans="1:10">
      <c r="A625">
        <v>2018</v>
      </c>
      <c r="B625" t="s">
        <v>45</v>
      </c>
      <c r="C625">
        <v>29</v>
      </c>
      <c r="D625" t="s">
        <v>886</v>
      </c>
      <c r="E625" t="s">
        <v>1048</v>
      </c>
      <c r="F625" t="s">
        <v>606</v>
      </c>
      <c r="G625" t="s">
        <v>598</v>
      </c>
      <c r="H625" t="s">
        <v>616</v>
      </c>
      <c r="I625" s="33">
        <v>0</v>
      </c>
      <c r="J625" s="33"/>
    </row>
    <row r="626" spans="1:10">
      <c r="A626">
        <v>2018</v>
      </c>
      <c r="B626" t="s">
        <v>45</v>
      </c>
      <c r="C626">
        <v>30</v>
      </c>
      <c r="D626" t="s">
        <v>886</v>
      </c>
      <c r="E626" t="s">
        <v>143</v>
      </c>
      <c r="F626" t="s">
        <v>606</v>
      </c>
      <c r="G626" t="s">
        <v>598</v>
      </c>
      <c r="H626" t="s">
        <v>616</v>
      </c>
      <c r="I626" s="33">
        <v>115687407</v>
      </c>
    </row>
    <row r="627" spans="1:10">
      <c r="A627">
        <v>2018</v>
      </c>
      <c r="B627" t="s">
        <v>45</v>
      </c>
      <c r="C627">
        <v>31</v>
      </c>
      <c r="D627" t="s">
        <v>886</v>
      </c>
      <c r="E627" t="s">
        <v>247</v>
      </c>
      <c r="F627" t="s">
        <v>606</v>
      </c>
      <c r="G627" t="s">
        <v>598</v>
      </c>
      <c r="H627" t="s">
        <v>599</v>
      </c>
      <c r="I627" s="33">
        <v>1250000</v>
      </c>
    </row>
    <row r="628" spans="1:10">
      <c r="A628">
        <v>2018</v>
      </c>
      <c r="B628" t="s">
        <v>45</v>
      </c>
      <c r="C628">
        <v>32</v>
      </c>
      <c r="D628" t="s">
        <v>886</v>
      </c>
      <c r="E628" t="s">
        <v>1008</v>
      </c>
      <c r="F628" t="s">
        <v>606</v>
      </c>
      <c r="G628" t="s">
        <v>598</v>
      </c>
      <c r="H628" t="s">
        <v>616</v>
      </c>
      <c r="I628" s="33">
        <v>185427900</v>
      </c>
    </row>
    <row r="629" spans="1:10">
      <c r="A629">
        <v>2018</v>
      </c>
      <c r="B629" t="s">
        <v>45</v>
      </c>
      <c r="C629">
        <v>33</v>
      </c>
      <c r="D629" t="s">
        <v>857</v>
      </c>
      <c r="E629" t="s">
        <v>858</v>
      </c>
      <c r="F629" t="s">
        <v>606</v>
      </c>
      <c r="G629" t="s">
        <v>598</v>
      </c>
      <c r="H629" t="s">
        <v>616</v>
      </c>
      <c r="I629" s="33">
        <v>22682660</v>
      </c>
    </row>
    <row r="630" spans="1:10">
      <c r="A630">
        <v>2018</v>
      </c>
      <c r="B630" t="s">
        <v>46</v>
      </c>
      <c r="C630">
        <v>1</v>
      </c>
      <c r="D630" t="s">
        <v>824</v>
      </c>
      <c r="E630" t="s">
        <v>38</v>
      </c>
      <c r="F630" t="s">
        <v>606</v>
      </c>
      <c r="G630" t="s">
        <v>598</v>
      </c>
      <c r="H630" t="s">
        <v>616</v>
      </c>
      <c r="I630" s="33">
        <v>7639</v>
      </c>
    </row>
    <row r="631" spans="1:10">
      <c r="A631">
        <v>2018</v>
      </c>
      <c r="B631" t="s">
        <v>46</v>
      </c>
      <c r="C631">
        <v>2</v>
      </c>
      <c r="D631" t="s">
        <v>886</v>
      </c>
      <c r="E631" t="s">
        <v>557</v>
      </c>
      <c r="F631" t="s">
        <v>606</v>
      </c>
      <c r="G631" t="s">
        <v>598</v>
      </c>
      <c r="H631" t="s">
        <v>607</v>
      </c>
      <c r="I631" s="33">
        <v>0</v>
      </c>
    </row>
    <row r="632" spans="1:10">
      <c r="A632">
        <v>2018</v>
      </c>
      <c r="B632" t="s">
        <v>46</v>
      </c>
      <c r="C632">
        <v>3</v>
      </c>
      <c r="D632" t="s">
        <v>886</v>
      </c>
      <c r="E632" t="s">
        <v>1049</v>
      </c>
      <c r="F632" t="s">
        <v>606</v>
      </c>
      <c r="G632" t="s">
        <v>598</v>
      </c>
      <c r="H632" t="s">
        <v>616</v>
      </c>
      <c r="I632" s="33">
        <v>116521</v>
      </c>
    </row>
    <row r="633" spans="1:10">
      <c r="A633">
        <v>2018</v>
      </c>
      <c r="B633" t="s">
        <v>46</v>
      </c>
      <c r="C633">
        <v>4</v>
      </c>
      <c r="D633" t="s">
        <v>886</v>
      </c>
      <c r="E633" t="s">
        <v>324</v>
      </c>
      <c r="F633" t="s">
        <v>666</v>
      </c>
      <c r="G633" t="s">
        <v>703</v>
      </c>
      <c r="H633" t="s">
        <v>603</v>
      </c>
      <c r="I633" s="33">
        <v>30778</v>
      </c>
    </row>
    <row r="634" spans="1:10">
      <c r="A634">
        <v>2018</v>
      </c>
      <c r="B634" t="s">
        <v>46</v>
      </c>
      <c r="C634">
        <v>5</v>
      </c>
      <c r="D634" t="s">
        <v>1050</v>
      </c>
      <c r="E634" t="s">
        <v>559</v>
      </c>
      <c r="F634" t="s">
        <v>597</v>
      </c>
      <c r="G634" t="s">
        <v>598</v>
      </c>
      <c r="H634" t="s">
        <v>599</v>
      </c>
      <c r="I634" s="33">
        <v>0</v>
      </c>
    </row>
    <row r="635" spans="1:10">
      <c r="A635">
        <v>2018</v>
      </c>
      <c r="B635" t="s">
        <v>46</v>
      </c>
      <c r="C635">
        <v>6</v>
      </c>
      <c r="D635" t="s">
        <v>886</v>
      </c>
      <c r="E635" t="s">
        <v>53</v>
      </c>
      <c r="F635" t="s">
        <v>1397</v>
      </c>
      <c r="G635" t="s">
        <v>598</v>
      </c>
      <c r="H635" t="s">
        <v>616</v>
      </c>
      <c r="I635" s="33">
        <v>28792065</v>
      </c>
    </row>
    <row r="636" spans="1:10">
      <c r="A636">
        <v>2018</v>
      </c>
      <c r="B636" t="s">
        <v>46</v>
      </c>
      <c r="C636">
        <v>7</v>
      </c>
      <c r="D636" t="s">
        <v>1042</v>
      </c>
      <c r="E636" t="s">
        <v>1043</v>
      </c>
      <c r="G636" t="s">
        <v>598</v>
      </c>
      <c r="I636" s="33">
        <v>0</v>
      </c>
    </row>
    <row r="637" spans="1:10">
      <c r="A637">
        <v>2018</v>
      </c>
      <c r="B637" t="s">
        <v>46</v>
      </c>
      <c r="C637">
        <v>8</v>
      </c>
      <c r="D637" t="s">
        <v>886</v>
      </c>
      <c r="E637" t="s">
        <v>561</v>
      </c>
      <c r="F637" t="s">
        <v>606</v>
      </c>
      <c r="G637" t="s">
        <v>598</v>
      </c>
      <c r="H637" t="s">
        <v>616</v>
      </c>
      <c r="I637" s="33">
        <v>0</v>
      </c>
    </row>
    <row r="638" spans="1:10">
      <c r="A638">
        <v>2018</v>
      </c>
      <c r="B638" t="s">
        <v>46</v>
      </c>
      <c r="C638">
        <v>9</v>
      </c>
      <c r="D638" t="s">
        <v>886</v>
      </c>
      <c r="E638" t="s">
        <v>300</v>
      </c>
      <c r="F638" t="s">
        <v>606</v>
      </c>
      <c r="G638" t="s">
        <v>598</v>
      </c>
      <c r="H638" t="s">
        <v>616</v>
      </c>
      <c r="I638" s="33">
        <v>130446</v>
      </c>
    </row>
    <row r="639" spans="1:10">
      <c r="A639">
        <v>2018</v>
      </c>
      <c r="B639" t="s">
        <v>47</v>
      </c>
      <c r="C639">
        <v>1</v>
      </c>
      <c r="D639" t="s">
        <v>871</v>
      </c>
      <c r="E639" t="s">
        <v>1052</v>
      </c>
      <c r="F639" t="s">
        <v>597</v>
      </c>
      <c r="G639" t="s">
        <v>598</v>
      </c>
      <c r="H639" t="s">
        <v>599</v>
      </c>
      <c r="I639" s="33">
        <v>0</v>
      </c>
    </row>
    <row r="640" spans="1:10">
      <c r="A640">
        <v>2018</v>
      </c>
      <c r="B640" t="s">
        <v>47</v>
      </c>
      <c r="C640">
        <v>2</v>
      </c>
      <c r="D640" t="s">
        <v>886</v>
      </c>
      <c r="E640" t="s">
        <v>1054</v>
      </c>
      <c r="F640" t="s">
        <v>606</v>
      </c>
      <c r="G640" t="s">
        <v>598</v>
      </c>
      <c r="H640" t="s">
        <v>616</v>
      </c>
      <c r="I640" s="33">
        <v>1612</v>
      </c>
    </row>
    <row r="641" spans="1:9">
      <c r="A641">
        <v>2017</v>
      </c>
      <c r="B641" t="s">
        <v>44</v>
      </c>
      <c r="C641">
        <v>1</v>
      </c>
      <c r="D641" t="s">
        <v>1057</v>
      </c>
      <c r="E641" t="s">
        <v>1058</v>
      </c>
      <c r="F641" t="s">
        <v>606</v>
      </c>
      <c r="G641" t="s">
        <v>598</v>
      </c>
      <c r="H641" t="s">
        <v>658</v>
      </c>
      <c r="I641" s="33">
        <v>289329747</v>
      </c>
    </row>
    <row r="642" spans="1:9">
      <c r="A642">
        <v>2017</v>
      </c>
      <c r="B642" t="s">
        <v>44</v>
      </c>
      <c r="C642">
        <v>2</v>
      </c>
      <c r="D642" t="s">
        <v>1059</v>
      </c>
      <c r="E642" t="s">
        <v>1060</v>
      </c>
      <c r="F642" t="s">
        <v>602</v>
      </c>
      <c r="G642" t="s">
        <v>598</v>
      </c>
      <c r="H642" t="s">
        <v>616</v>
      </c>
      <c r="I642" s="33">
        <v>106389853</v>
      </c>
    </row>
    <row r="643" spans="1:9">
      <c r="A643">
        <v>2017</v>
      </c>
      <c r="B643" t="s">
        <v>44</v>
      </c>
      <c r="C643">
        <v>3</v>
      </c>
      <c r="D643" t="s">
        <v>1061</v>
      </c>
      <c r="E643" t="s">
        <v>1062</v>
      </c>
      <c r="F643" t="s">
        <v>597</v>
      </c>
      <c r="G643" t="s">
        <v>598</v>
      </c>
      <c r="H643" t="s">
        <v>599</v>
      </c>
      <c r="I643" s="33">
        <v>11164532</v>
      </c>
    </row>
    <row r="644" spans="1:9">
      <c r="A644">
        <v>2017</v>
      </c>
      <c r="B644" t="s">
        <v>44</v>
      </c>
      <c r="C644">
        <v>4</v>
      </c>
      <c r="D644" t="s">
        <v>1064</v>
      </c>
      <c r="E644" t="s">
        <v>1065</v>
      </c>
      <c r="F644" t="s">
        <v>606</v>
      </c>
      <c r="G644" t="s">
        <v>631</v>
      </c>
      <c r="H644" t="s">
        <v>612</v>
      </c>
      <c r="I644" s="33">
        <v>14727942</v>
      </c>
    </row>
    <row r="645" spans="1:9">
      <c r="A645">
        <v>2017</v>
      </c>
      <c r="B645" t="s">
        <v>44</v>
      </c>
      <c r="C645">
        <v>5</v>
      </c>
      <c r="D645" t="s">
        <v>1066</v>
      </c>
      <c r="E645" t="s">
        <v>8</v>
      </c>
      <c r="F645" t="s">
        <v>606</v>
      </c>
      <c r="G645" t="s">
        <v>598</v>
      </c>
      <c r="H645" t="s">
        <v>616</v>
      </c>
      <c r="I645" s="33">
        <v>832753071</v>
      </c>
    </row>
    <row r="646" spans="1:9">
      <c r="A646">
        <v>2017</v>
      </c>
      <c r="B646" t="s">
        <v>44</v>
      </c>
      <c r="C646">
        <v>6</v>
      </c>
      <c r="D646" t="s">
        <v>1068</v>
      </c>
      <c r="E646" t="s">
        <v>1069</v>
      </c>
      <c r="F646" t="s">
        <v>606</v>
      </c>
      <c r="G646" t="s">
        <v>598</v>
      </c>
      <c r="H646" t="s">
        <v>616</v>
      </c>
      <c r="I646" s="33">
        <v>247924803</v>
      </c>
    </row>
    <row r="647" spans="1:9">
      <c r="A647">
        <v>2017</v>
      </c>
      <c r="B647" t="s">
        <v>44</v>
      </c>
      <c r="C647">
        <v>7</v>
      </c>
      <c r="D647" t="s">
        <v>1070</v>
      </c>
      <c r="E647" t="s">
        <v>1071</v>
      </c>
      <c r="F647" t="s">
        <v>602</v>
      </c>
      <c r="G647" t="s">
        <v>598</v>
      </c>
      <c r="H647" t="s">
        <v>616</v>
      </c>
      <c r="I647" s="33">
        <v>58576718</v>
      </c>
    </row>
    <row r="648" spans="1:9">
      <c r="A648">
        <v>2017</v>
      </c>
      <c r="B648" t="s">
        <v>44</v>
      </c>
      <c r="C648">
        <v>8</v>
      </c>
      <c r="D648" t="s">
        <v>1072</v>
      </c>
      <c r="E648" t="s">
        <v>1073</v>
      </c>
      <c r="F648" t="s">
        <v>606</v>
      </c>
      <c r="G648" t="s">
        <v>598</v>
      </c>
      <c r="H648" t="s">
        <v>616</v>
      </c>
      <c r="I648" s="33">
        <v>43301061</v>
      </c>
    </row>
    <row r="649" spans="1:9">
      <c r="A649">
        <v>2017</v>
      </c>
      <c r="B649" t="s">
        <v>44</v>
      </c>
      <c r="C649">
        <v>9</v>
      </c>
      <c r="D649" t="s">
        <v>1074</v>
      </c>
      <c r="E649" t="s">
        <v>1075</v>
      </c>
      <c r="F649" t="s">
        <v>602</v>
      </c>
      <c r="G649" t="s">
        <v>598</v>
      </c>
      <c r="H649" t="s">
        <v>603</v>
      </c>
      <c r="I649" s="33">
        <v>82406221</v>
      </c>
    </row>
    <row r="650" spans="1:9">
      <c r="A650">
        <v>2017</v>
      </c>
      <c r="B650" t="s">
        <v>44</v>
      </c>
      <c r="C650">
        <v>10</v>
      </c>
      <c r="D650" t="s">
        <v>1076</v>
      </c>
      <c r="E650" t="s">
        <v>1077</v>
      </c>
      <c r="F650" t="s">
        <v>606</v>
      </c>
      <c r="G650" t="s">
        <v>598</v>
      </c>
      <c r="H650" t="s">
        <v>616</v>
      </c>
      <c r="I650" s="33">
        <v>152549032</v>
      </c>
    </row>
    <row r="651" spans="1:9">
      <c r="A651">
        <v>2017</v>
      </c>
      <c r="B651" t="s">
        <v>44</v>
      </c>
      <c r="C651">
        <v>11</v>
      </c>
      <c r="D651" t="s">
        <v>1078</v>
      </c>
      <c r="E651" t="s">
        <v>1079</v>
      </c>
      <c r="F651" t="s">
        <v>1398</v>
      </c>
      <c r="G651" t="s">
        <v>598</v>
      </c>
      <c r="H651" t="s">
        <v>616</v>
      </c>
      <c r="I651" s="33">
        <v>87512183</v>
      </c>
    </row>
    <row r="652" spans="1:9">
      <c r="A652">
        <v>2017</v>
      </c>
      <c r="B652" t="s">
        <v>44</v>
      </c>
      <c r="C652">
        <v>12</v>
      </c>
      <c r="D652" t="s">
        <v>1080</v>
      </c>
      <c r="E652" t="s">
        <v>1081</v>
      </c>
      <c r="F652" t="s">
        <v>606</v>
      </c>
      <c r="G652" t="s">
        <v>598</v>
      </c>
      <c r="H652" t="s">
        <v>616</v>
      </c>
      <c r="I652" s="33">
        <v>255641470</v>
      </c>
    </row>
    <row r="653" spans="1:9">
      <c r="A653">
        <v>2017</v>
      </c>
      <c r="B653" t="s">
        <v>44</v>
      </c>
      <c r="C653">
        <v>13</v>
      </c>
      <c r="D653" t="s">
        <v>1082</v>
      </c>
      <c r="E653" t="s">
        <v>1083</v>
      </c>
      <c r="F653" t="s">
        <v>606</v>
      </c>
      <c r="G653" t="s">
        <v>598</v>
      </c>
      <c r="H653" t="s">
        <v>616</v>
      </c>
      <c r="I653" s="33">
        <v>30658944</v>
      </c>
    </row>
    <row r="654" spans="1:9">
      <c r="A654">
        <v>2017</v>
      </c>
      <c r="B654" t="s">
        <v>44</v>
      </c>
      <c r="C654">
        <v>14</v>
      </c>
      <c r="D654" t="s">
        <v>1084</v>
      </c>
      <c r="E654" t="s">
        <v>1085</v>
      </c>
      <c r="F654" t="s">
        <v>606</v>
      </c>
      <c r="G654" t="s">
        <v>598</v>
      </c>
      <c r="H654" t="s">
        <v>616</v>
      </c>
      <c r="I654" s="33">
        <v>68409784</v>
      </c>
    </row>
    <row r="655" spans="1:9">
      <c r="A655">
        <v>2017</v>
      </c>
      <c r="B655" t="s">
        <v>44</v>
      </c>
      <c r="C655">
        <v>15</v>
      </c>
      <c r="D655" t="s">
        <v>1080</v>
      </c>
      <c r="E655" t="s">
        <v>1086</v>
      </c>
      <c r="F655" t="s">
        <v>606</v>
      </c>
      <c r="G655" t="s">
        <v>598</v>
      </c>
      <c r="H655" t="s">
        <v>616</v>
      </c>
      <c r="I655" s="33">
        <v>109911139</v>
      </c>
    </row>
    <row r="656" spans="1:9">
      <c r="A656">
        <v>2017</v>
      </c>
      <c r="B656" t="s">
        <v>44</v>
      </c>
      <c r="C656">
        <v>16</v>
      </c>
      <c r="D656" t="s">
        <v>1087</v>
      </c>
      <c r="E656" t="s">
        <v>1088</v>
      </c>
      <c r="F656" t="s">
        <v>606</v>
      </c>
      <c r="G656" t="s">
        <v>598</v>
      </c>
      <c r="H656" t="s">
        <v>658</v>
      </c>
      <c r="I656" s="33">
        <v>101595233</v>
      </c>
    </row>
    <row r="657" spans="1:9">
      <c r="A657">
        <v>2017</v>
      </c>
      <c r="B657" t="s">
        <v>44</v>
      </c>
      <c r="C657">
        <v>17</v>
      </c>
      <c r="D657" t="s">
        <v>1089</v>
      </c>
      <c r="E657" t="s">
        <v>1090</v>
      </c>
      <c r="F657" t="s">
        <v>606</v>
      </c>
      <c r="G657" t="s">
        <v>598</v>
      </c>
      <c r="H657" t="s">
        <v>616</v>
      </c>
      <c r="I657" s="33">
        <v>36585148</v>
      </c>
    </row>
    <row r="658" spans="1:9">
      <c r="A658">
        <v>2017</v>
      </c>
      <c r="B658" t="s">
        <v>44</v>
      </c>
      <c r="C658">
        <v>18</v>
      </c>
      <c r="D658" t="s">
        <v>1091</v>
      </c>
      <c r="E658" t="s">
        <v>1092</v>
      </c>
      <c r="F658" t="s">
        <v>606</v>
      </c>
      <c r="G658" t="s">
        <v>598</v>
      </c>
      <c r="H658" t="s">
        <v>616</v>
      </c>
      <c r="I658" s="33">
        <v>7618024</v>
      </c>
    </row>
    <row r="659" spans="1:9">
      <c r="A659">
        <v>2017</v>
      </c>
      <c r="B659" t="s">
        <v>44</v>
      </c>
      <c r="C659">
        <v>19</v>
      </c>
      <c r="D659" t="s">
        <v>1093</v>
      </c>
      <c r="E659" t="s">
        <v>1094</v>
      </c>
      <c r="F659" t="s">
        <v>606</v>
      </c>
      <c r="G659" t="s">
        <v>598</v>
      </c>
      <c r="H659" t="s">
        <v>616</v>
      </c>
      <c r="I659" s="33">
        <v>9387872</v>
      </c>
    </row>
    <row r="660" spans="1:9">
      <c r="A660">
        <v>2017</v>
      </c>
      <c r="B660" t="s">
        <v>44</v>
      </c>
      <c r="C660">
        <v>20</v>
      </c>
      <c r="D660" t="s">
        <v>1095</v>
      </c>
      <c r="E660" t="s">
        <v>1096</v>
      </c>
      <c r="F660" t="s">
        <v>606</v>
      </c>
      <c r="G660" t="s">
        <v>598</v>
      </c>
      <c r="H660" t="s">
        <v>607</v>
      </c>
      <c r="I660" s="33">
        <v>29836276</v>
      </c>
    </row>
    <row r="661" spans="1:9">
      <c r="A661">
        <v>2017</v>
      </c>
      <c r="B661" t="s">
        <v>44</v>
      </c>
      <c r="C661">
        <v>21</v>
      </c>
      <c r="D661" t="s">
        <v>1097</v>
      </c>
      <c r="E661" t="s">
        <v>1098</v>
      </c>
      <c r="F661" t="s">
        <v>606</v>
      </c>
      <c r="G661" t="s">
        <v>598</v>
      </c>
      <c r="H661" t="s">
        <v>658</v>
      </c>
      <c r="I661" s="33">
        <v>9506524</v>
      </c>
    </row>
    <row r="662" spans="1:9">
      <c r="A662">
        <v>2017</v>
      </c>
      <c r="B662" t="s">
        <v>44</v>
      </c>
      <c r="C662">
        <v>22</v>
      </c>
      <c r="D662" t="s">
        <v>1099</v>
      </c>
      <c r="E662" t="s">
        <v>1100</v>
      </c>
      <c r="F662" t="s">
        <v>606</v>
      </c>
      <c r="G662" t="s">
        <v>598</v>
      </c>
      <c r="H662" t="s">
        <v>616</v>
      </c>
      <c r="I662" s="33">
        <v>2580320</v>
      </c>
    </row>
    <row r="663" spans="1:9">
      <c r="A663">
        <v>2017</v>
      </c>
      <c r="B663" t="s">
        <v>44</v>
      </c>
      <c r="C663">
        <v>23</v>
      </c>
      <c r="D663" t="s">
        <v>1101</v>
      </c>
      <c r="E663" t="s">
        <v>1102</v>
      </c>
      <c r="F663" t="s">
        <v>606</v>
      </c>
      <c r="G663" t="s">
        <v>598</v>
      </c>
      <c r="H663" t="s">
        <v>616</v>
      </c>
      <c r="I663" s="33">
        <v>95655578</v>
      </c>
    </row>
    <row r="664" spans="1:9">
      <c r="A664">
        <v>2017</v>
      </c>
      <c r="B664" t="s">
        <v>44</v>
      </c>
      <c r="C664">
        <v>24</v>
      </c>
      <c r="D664" t="s">
        <v>1103</v>
      </c>
      <c r="E664" t="s">
        <v>1104</v>
      </c>
      <c r="F664" t="s">
        <v>597</v>
      </c>
      <c r="G664" t="s">
        <v>598</v>
      </c>
      <c r="H664" t="s">
        <v>599</v>
      </c>
      <c r="I664" s="33">
        <v>12006</v>
      </c>
    </row>
    <row r="665" spans="1:9">
      <c r="A665">
        <v>2017</v>
      </c>
      <c r="B665" t="s">
        <v>44</v>
      </c>
      <c r="C665">
        <v>25</v>
      </c>
      <c r="D665" t="s">
        <v>1105</v>
      </c>
      <c r="E665" t="s">
        <v>1106</v>
      </c>
      <c r="F665" t="s">
        <v>597</v>
      </c>
      <c r="G665" t="s">
        <v>598</v>
      </c>
      <c r="H665" t="s">
        <v>599</v>
      </c>
      <c r="I665" s="33">
        <v>25711603</v>
      </c>
    </row>
    <row r="666" spans="1:9">
      <c r="A666">
        <v>2017</v>
      </c>
      <c r="B666" t="s">
        <v>44</v>
      </c>
      <c r="C666">
        <v>26</v>
      </c>
      <c r="D666" t="s">
        <v>1107</v>
      </c>
      <c r="E666" t="s">
        <v>1108</v>
      </c>
      <c r="F666" t="s">
        <v>606</v>
      </c>
      <c r="G666" t="s">
        <v>598</v>
      </c>
      <c r="H666" t="s">
        <v>603</v>
      </c>
      <c r="I666" s="33">
        <v>17269548</v>
      </c>
    </row>
    <row r="667" spans="1:9">
      <c r="A667">
        <v>2017</v>
      </c>
      <c r="B667" t="s">
        <v>44</v>
      </c>
      <c r="C667">
        <v>27</v>
      </c>
      <c r="D667" t="s">
        <v>1109</v>
      </c>
      <c r="E667" t="s">
        <v>1110</v>
      </c>
      <c r="F667" t="s">
        <v>606</v>
      </c>
      <c r="G667" t="s">
        <v>598</v>
      </c>
      <c r="H667" t="s">
        <v>616</v>
      </c>
      <c r="I667" s="33">
        <v>487625</v>
      </c>
    </row>
    <row r="668" spans="1:9">
      <c r="A668">
        <v>2017</v>
      </c>
      <c r="B668" t="s">
        <v>44</v>
      </c>
      <c r="C668">
        <v>28</v>
      </c>
      <c r="D668" t="s">
        <v>1111</v>
      </c>
      <c r="E668" t="s">
        <v>1112</v>
      </c>
      <c r="F668" t="s">
        <v>597</v>
      </c>
      <c r="G668" t="s">
        <v>598</v>
      </c>
      <c r="H668" t="s">
        <v>707</v>
      </c>
      <c r="I668" s="33">
        <v>0</v>
      </c>
    </row>
    <row r="669" spans="1:9">
      <c r="A669">
        <v>2017</v>
      </c>
      <c r="B669" t="s">
        <v>44</v>
      </c>
      <c r="C669">
        <v>29</v>
      </c>
      <c r="D669" t="s">
        <v>1114</v>
      </c>
      <c r="E669" t="s">
        <v>1115</v>
      </c>
      <c r="F669" t="s">
        <v>606</v>
      </c>
      <c r="G669" t="s">
        <v>598</v>
      </c>
      <c r="H669" t="s">
        <v>616</v>
      </c>
      <c r="I669" s="33">
        <v>230000</v>
      </c>
    </row>
    <row r="670" spans="1:9">
      <c r="A670">
        <v>2017</v>
      </c>
      <c r="B670" t="s">
        <v>44</v>
      </c>
      <c r="C670">
        <v>30</v>
      </c>
      <c r="D670" t="s">
        <v>1082</v>
      </c>
      <c r="E670" t="s">
        <v>1116</v>
      </c>
      <c r="F670" t="s">
        <v>606</v>
      </c>
      <c r="G670" t="s">
        <v>598</v>
      </c>
      <c r="H670" t="s">
        <v>616</v>
      </c>
      <c r="I670" s="33">
        <v>3303741</v>
      </c>
    </row>
    <row r="671" spans="1:9">
      <c r="A671">
        <v>2017</v>
      </c>
      <c r="B671" t="s">
        <v>44</v>
      </c>
      <c r="C671">
        <v>31</v>
      </c>
      <c r="D671" t="s">
        <v>1080</v>
      </c>
      <c r="E671" t="s">
        <v>1118</v>
      </c>
      <c r="F671" t="s">
        <v>606</v>
      </c>
      <c r="G671" t="s">
        <v>598</v>
      </c>
      <c r="H671" t="s">
        <v>599</v>
      </c>
      <c r="I671" s="33">
        <v>0</v>
      </c>
    </row>
    <row r="672" spans="1:9">
      <c r="A672">
        <v>2017</v>
      </c>
      <c r="B672" t="s">
        <v>44</v>
      </c>
      <c r="C672">
        <v>32</v>
      </c>
      <c r="D672" t="s">
        <v>1120</v>
      </c>
      <c r="E672" t="s">
        <v>1121</v>
      </c>
      <c r="F672" t="s">
        <v>606</v>
      </c>
      <c r="G672" t="s">
        <v>598</v>
      </c>
      <c r="H672" t="s">
        <v>616</v>
      </c>
      <c r="I672" s="33">
        <v>0</v>
      </c>
    </row>
    <row r="673" spans="1:9">
      <c r="A673">
        <v>2017</v>
      </c>
      <c r="B673" t="s">
        <v>44</v>
      </c>
      <c r="C673">
        <v>33</v>
      </c>
      <c r="D673" t="s">
        <v>1122</v>
      </c>
      <c r="E673" t="s">
        <v>1123</v>
      </c>
      <c r="F673" t="s">
        <v>606</v>
      </c>
      <c r="G673" t="s">
        <v>631</v>
      </c>
      <c r="H673" t="s">
        <v>612</v>
      </c>
      <c r="I673" s="33">
        <v>916822</v>
      </c>
    </row>
    <row r="674" spans="1:9">
      <c r="A674">
        <v>2017</v>
      </c>
      <c r="B674" t="s">
        <v>44</v>
      </c>
      <c r="C674">
        <v>34</v>
      </c>
      <c r="D674" t="s">
        <v>1124</v>
      </c>
      <c r="E674" t="s">
        <v>1125</v>
      </c>
      <c r="F674" t="s">
        <v>606</v>
      </c>
      <c r="G674" t="s">
        <v>598</v>
      </c>
      <c r="H674" t="s">
        <v>616</v>
      </c>
      <c r="I674" s="33">
        <v>790000</v>
      </c>
    </row>
    <row r="675" spans="1:9">
      <c r="A675">
        <v>2017</v>
      </c>
      <c r="B675" t="s">
        <v>44</v>
      </c>
      <c r="C675">
        <v>1</v>
      </c>
      <c r="D675" t="s">
        <v>1126</v>
      </c>
      <c r="E675" t="s">
        <v>1143</v>
      </c>
      <c r="I675" s="33">
        <v>55966</v>
      </c>
    </row>
    <row r="676" spans="1:9">
      <c r="A676">
        <v>2017</v>
      </c>
      <c r="B676" t="s">
        <v>44</v>
      </c>
      <c r="C676">
        <v>2</v>
      </c>
      <c r="D676" t="s">
        <v>1126</v>
      </c>
      <c r="E676" t="s">
        <v>545</v>
      </c>
      <c r="G676" t="s">
        <v>598</v>
      </c>
      <c r="H676" t="s">
        <v>603</v>
      </c>
      <c r="I676" s="33">
        <v>7432</v>
      </c>
    </row>
    <row r="677" spans="1:9">
      <c r="A677">
        <v>2017</v>
      </c>
      <c r="B677" t="s">
        <v>44</v>
      </c>
      <c r="C677">
        <v>3</v>
      </c>
      <c r="D677" t="s">
        <v>1126</v>
      </c>
      <c r="E677" t="s">
        <v>1144</v>
      </c>
      <c r="I677" s="33">
        <v>19287</v>
      </c>
    </row>
    <row r="678" spans="1:9">
      <c r="A678">
        <v>2017</v>
      </c>
      <c r="B678" t="s">
        <v>44</v>
      </c>
      <c r="C678">
        <v>4</v>
      </c>
      <c r="D678" t="s">
        <v>1126</v>
      </c>
      <c r="E678" t="s">
        <v>1145</v>
      </c>
      <c r="F678" t="s">
        <v>597</v>
      </c>
      <c r="G678" t="s">
        <v>598</v>
      </c>
      <c r="H678" t="s">
        <v>616</v>
      </c>
      <c r="I678" s="33">
        <v>73772</v>
      </c>
    </row>
    <row r="679" spans="1:9">
      <c r="A679">
        <v>2017</v>
      </c>
      <c r="B679" t="s">
        <v>44</v>
      </c>
      <c r="C679">
        <v>5</v>
      </c>
      <c r="D679" t="s">
        <v>1126</v>
      </c>
      <c r="E679" t="s">
        <v>1147</v>
      </c>
      <c r="H679" t="s">
        <v>599</v>
      </c>
      <c r="I679" s="33">
        <v>156145</v>
      </c>
    </row>
    <row r="680" spans="1:9">
      <c r="A680">
        <v>2017</v>
      </c>
      <c r="B680" t="s">
        <v>44</v>
      </c>
      <c r="C680">
        <v>6</v>
      </c>
      <c r="D680" t="s">
        <v>1126</v>
      </c>
      <c r="E680" t="s">
        <v>1146</v>
      </c>
      <c r="I680" s="33">
        <v>60000</v>
      </c>
    </row>
    <row r="681" spans="1:9">
      <c r="A681">
        <v>2017</v>
      </c>
      <c r="B681" t="s">
        <v>44</v>
      </c>
      <c r="C681">
        <v>7</v>
      </c>
      <c r="D681" t="s">
        <v>1126</v>
      </c>
      <c r="E681" t="s">
        <v>1148</v>
      </c>
      <c r="I681" s="33">
        <v>12536</v>
      </c>
    </row>
    <row r="682" spans="1:9">
      <c r="A682">
        <v>2017</v>
      </c>
      <c r="B682" t="s">
        <v>44</v>
      </c>
      <c r="C682">
        <v>8</v>
      </c>
      <c r="D682" t="s">
        <v>1126</v>
      </c>
      <c r="E682" t="s">
        <v>1149</v>
      </c>
      <c r="I682" s="33">
        <v>306411</v>
      </c>
    </row>
    <row r="683" spans="1:9">
      <c r="A683">
        <v>2017</v>
      </c>
      <c r="B683" t="s">
        <v>44</v>
      </c>
      <c r="C683">
        <v>9</v>
      </c>
      <c r="D683" t="s">
        <v>1126</v>
      </c>
      <c r="E683" t="s">
        <v>1151</v>
      </c>
      <c r="I683" s="33">
        <v>126654</v>
      </c>
    </row>
    <row r="684" spans="1:9">
      <c r="A684">
        <v>2017</v>
      </c>
      <c r="B684" t="s">
        <v>44</v>
      </c>
      <c r="C684">
        <v>10</v>
      </c>
      <c r="D684" t="s">
        <v>1126</v>
      </c>
      <c r="E684" t="s">
        <v>1150</v>
      </c>
      <c r="G684" t="s">
        <v>598</v>
      </c>
      <c r="H684" t="s">
        <v>603</v>
      </c>
      <c r="I684" s="33">
        <v>381071</v>
      </c>
    </row>
    <row r="685" spans="1:9">
      <c r="A685">
        <v>2017</v>
      </c>
      <c r="B685" t="s">
        <v>44</v>
      </c>
      <c r="C685">
        <v>11</v>
      </c>
      <c r="D685" t="s">
        <v>1126</v>
      </c>
      <c r="E685" t="s">
        <v>1152</v>
      </c>
      <c r="I685" s="33">
        <v>30652</v>
      </c>
    </row>
    <row r="686" spans="1:9">
      <c r="A686">
        <v>2017</v>
      </c>
      <c r="B686" t="s">
        <v>44</v>
      </c>
      <c r="C686">
        <v>12</v>
      </c>
      <c r="D686" t="s">
        <v>1126</v>
      </c>
      <c r="E686" t="s">
        <v>1153</v>
      </c>
      <c r="F686" t="s">
        <v>606</v>
      </c>
      <c r="G686" t="s">
        <v>598</v>
      </c>
      <c r="H686" t="s">
        <v>616</v>
      </c>
      <c r="I686" s="33">
        <v>378192</v>
      </c>
    </row>
    <row r="687" spans="1:9">
      <c r="A687">
        <v>2017</v>
      </c>
      <c r="B687" t="s">
        <v>44</v>
      </c>
      <c r="C687">
        <v>13</v>
      </c>
      <c r="D687" t="s">
        <v>1126</v>
      </c>
      <c r="E687" t="s">
        <v>1154</v>
      </c>
      <c r="G687" t="s">
        <v>598</v>
      </c>
      <c r="I687" s="33">
        <v>5726</v>
      </c>
    </row>
    <row r="688" spans="1:9">
      <c r="A688">
        <v>2017</v>
      </c>
      <c r="B688" t="s">
        <v>44</v>
      </c>
      <c r="C688">
        <v>14</v>
      </c>
      <c r="D688" t="s">
        <v>1126</v>
      </c>
      <c r="E688" t="s">
        <v>1155</v>
      </c>
      <c r="F688" t="s">
        <v>606</v>
      </c>
      <c r="G688" t="s">
        <v>611</v>
      </c>
      <c r="H688" t="s">
        <v>612</v>
      </c>
      <c r="I688" s="33">
        <v>4015456</v>
      </c>
    </row>
    <row r="689" spans="1:9">
      <c r="A689">
        <v>2017</v>
      </c>
      <c r="B689" t="s">
        <v>44</v>
      </c>
      <c r="C689">
        <v>15</v>
      </c>
      <c r="D689" t="s">
        <v>1126</v>
      </c>
      <c r="E689" t="s">
        <v>1157</v>
      </c>
      <c r="F689" t="s">
        <v>606</v>
      </c>
      <c r="G689" t="s">
        <v>598</v>
      </c>
      <c r="H689" t="s">
        <v>616</v>
      </c>
      <c r="I689" s="33">
        <v>439839</v>
      </c>
    </row>
    <row r="690" spans="1:9">
      <c r="A690">
        <v>2017</v>
      </c>
      <c r="B690" t="s">
        <v>44</v>
      </c>
      <c r="C690">
        <v>16</v>
      </c>
      <c r="D690" t="s">
        <v>1126</v>
      </c>
      <c r="E690" t="s">
        <v>1156</v>
      </c>
      <c r="I690" s="33">
        <v>313957</v>
      </c>
    </row>
    <row r="691" spans="1:9">
      <c r="A691">
        <v>2017</v>
      </c>
      <c r="B691" t="s">
        <v>44</v>
      </c>
      <c r="C691">
        <v>17</v>
      </c>
      <c r="D691" t="s">
        <v>1126</v>
      </c>
      <c r="E691" t="s">
        <v>1158</v>
      </c>
      <c r="I691" s="33">
        <v>3805</v>
      </c>
    </row>
    <row r="692" spans="1:9">
      <c r="A692">
        <v>2017</v>
      </c>
      <c r="B692" t="s">
        <v>44</v>
      </c>
      <c r="C692">
        <v>18</v>
      </c>
      <c r="D692" t="s">
        <v>1126</v>
      </c>
      <c r="E692" t="s">
        <v>1159</v>
      </c>
      <c r="F692" t="s">
        <v>606</v>
      </c>
      <c r="G692" t="s">
        <v>631</v>
      </c>
      <c r="H692" t="s">
        <v>612</v>
      </c>
      <c r="I692" s="33">
        <v>2813572</v>
      </c>
    </row>
    <row r="693" spans="1:9">
      <c r="A693">
        <v>2017</v>
      </c>
      <c r="B693" t="s">
        <v>44</v>
      </c>
      <c r="C693">
        <v>19</v>
      </c>
      <c r="D693" t="s">
        <v>1126</v>
      </c>
      <c r="E693" t="s">
        <v>1161</v>
      </c>
      <c r="F693" t="s">
        <v>610</v>
      </c>
      <c r="G693" t="s">
        <v>631</v>
      </c>
      <c r="H693" t="s">
        <v>607</v>
      </c>
      <c r="I693" s="33">
        <v>6120728</v>
      </c>
    </row>
    <row r="694" spans="1:9">
      <c r="A694">
        <v>2017</v>
      </c>
      <c r="B694" t="s">
        <v>44</v>
      </c>
      <c r="C694">
        <v>20</v>
      </c>
      <c r="D694" t="s">
        <v>1126</v>
      </c>
      <c r="E694" t="s">
        <v>1160</v>
      </c>
      <c r="I694" s="33">
        <v>143451</v>
      </c>
    </row>
    <row r="695" spans="1:9">
      <c r="A695">
        <v>2017</v>
      </c>
      <c r="B695" t="s">
        <v>44</v>
      </c>
      <c r="C695">
        <v>21</v>
      </c>
      <c r="D695" t="s">
        <v>1126</v>
      </c>
      <c r="E695" t="s">
        <v>1162</v>
      </c>
      <c r="G695" t="s">
        <v>598</v>
      </c>
      <c r="I695" s="33">
        <v>558953</v>
      </c>
    </row>
    <row r="696" spans="1:9">
      <c r="A696">
        <v>2017</v>
      </c>
      <c r="B696" t="s">
        <v>44</v>
      </c>
      <c r="C696">
        <v>22</v>
      </c>
      <c r="D696" t="s">
        <v>1126</v>
      </c>
      <c r="E696" t="s">
        <v>1163</v>
      </c>
      <c r="F696" t="s">
        <v>602</v>
      </c>
      <c r="G696" t="s">
        <v>631</v>
      </c>
      <c r="H696" t="s">
        <v>612</v>
      </c>
      <c r="I696" s="33">
        <v>11264408</v>
      </c>
    </row>
    <row r="697" spans="1:9">
      <c r="A697">
        <v>2017</v>
      </c>
      <c r="B697" t="s">
        <v>44</v>
      </c>
      <c r="C697">
        <v>23</v>
      </c>
      <c r="D697" t="s">
        <v>1126</v>
      </c>
      <c r="E697" t="s">
        <v>1165</v>
      </c>
      <c r="G697" t="s">
        <v>598</v>
      </c>
      <c r="I697" s="33">
        <v>600768</v>
      </c>
    </row>
    <row r="698" spans="1:9">
      <c r="A698">
        <v>2017</v>
      </c>
      <c r="B698" t="s">
        <v>44</v>
      </c>
      <c r="C698">
        <v>24</v>
      </c>
      <c r="D698" t="s">
        <v>1126</v>
      </c>
      <c r="E698" t="s">
        <v>1164</v>
      </c>
      <c r="I698" s="33">
        <v>34521</v>
      </c>
    </row>
    <row r="699" spans="1:9">
      <c r="A699">
        <v>2017</v>
      </c>
      <c r="B699" t="s">
        <v>44</v>
      </c>
      <c r="C699">
        <v>25</v>
      </c>
      <c r="D699" t="s">
        <v>1126</v>
      </c>
      <c r="E699" t="s">
        <v>1166</v>
      </c>
      <c r="F699" t="s">
        <v>597</v>
      </c>
      <c r="G699" t="s">
        <v>598</v>
      </c>
      <c r="H699" t="s">
        <v>599</v>
      </c>
      <c r="I699" s="33">
        <v>346515</v>
      </c>
    </row>
    <row r="700" spans="1:9">
      <c r="A700">
        <v>2017</v>
      </c>
      <c r="B700" t="s">
        <v>44</v>
      </c>
      <c r="C700">
        <v>26</v>
      </c>
      <c r="D700" t="s">
        <v>1126</v>
      </c>
      <c r="E700" t="s">
        <v>523</v>
      </c>
      <c r="F700" t="s">
        <v>606</v>
      </c>
      <c r="G700" t="s">
        <v>598</v>
      </c>
      <c r="H700" t="s">
        <v>616</v>
      </c>
      <c r="I700" s="33">
        <v>44311</v>
      </c>
    </row>
    <row r="701" spans="1:9">
      <c r="A701">
        <v>2017</v>
      </c>
      <c r="B701" t="s">
        <v>44</v>
      </c>
      <c r="C701">
        <v>27</v>
      </c>
      <c r="D701" t="s">
        <v>1126</v>
      </c>
      <c r="E701" t="s">
        <v>1168</v>
      </c>
      <c r="I701" s="33">
        <v>33523</v>
      </c>
    </row>
    <row r="702" spans="1:9">
      <c r="A702">
        <v>2017</v>
      </c>
      <c r="B702" t="s">
        <v>44</v>
      </c>
      <c r="C702">
        <v>28</v>
      </c>
      <c r="D702" t="s">
        <v>1126</v>
      </c>
      <c r="E702" t="s">
        <v>1167</v>
      </c>
      <c r="G702" t="s">
        <v>598</v>
      </c>
      <c r="H702" t="s">
        <v>607</v>
      </c>
      <c r="I702" s="33">
        <v>416698</v>
      </c>
    </row>
    <row r="703" spans="1:9">
      <c r="A703">
        <v>2017</v>
      </c>
      <c r="B703" t="s">
        <v>44</v>
      </c>
      <c r="C703">
        <v>29</v>
      </c>
      <c r="D703" t="s">
        <v>1126</v>
      </c>
      <c r="E703" t="s">
        <v>1170</v>
      </c>
      <c r="I703" s="33">
        <v>94532</v>
      </c>
    </row>
    <row r="704" spans="1:9">
      <c r="A704">
        <v>2017</v>
      </c>
      <c r="B704" t="s">
        <v>44</v>
      </c>
      <c r="C704">
        <v>30</v>
      </c>
      <c r="D704" t="s">
        <v>1126</v>
      </c>
      <c r="E704" t="s">
        <v>1169</v>
      </c>
      <c r="I704" s="33">
        <v>120690</v>
      </c>
    </row>
    <row r="705" spans="1:9">
      <c r="A705">
        <v>2017</v>
      </c>
      <c r="B705" t="s">
        <v>44</v>
      </c>
      <c r="C705">
        <v>31</v>
      </c>
      <c r="D705" t="s">
        <v>1126</v>
      </c>
      <c r="E705" t="s">
        <v>1171</v>
      </c>
      <c r="I705" s="33">
        <v>107199</v>
      </c>
    </row>
    <row r="706" spans="1:9">
      <c r="A706">
        <v>2017</v>
      </c>
      <c r="B706" t="s">
        <v>44</v>
      </c>
      <c r="C706">
        <v>32</v>
      </c>
      <c r="D706" t="s">
        <v>1126</v>
      </c>
      <c r="E706" t="s">
        <v>348</v>
      </c>
      <c r="F706" t="s">
        <v>606</v>
      </c>
      <c r="G706" t="s">
        <v>598</v>
      </c>
      <c r="H706" t="s">
        <v>603</v>
      </c>
      <c r="I706" s="33">
        <v>2033</v>
      </c>
    </row>
    <row r="707" spans="1:9">
      <c r="A707">
        <v>2017</v>
      </c>
      <c r="B707" t="s">
        <v>44</v>
      </c>
      <c r="C707">
        <v>33</v>
      </c>
      <c r="D707" t="s">
        <v>1126</v>
      </c>
      <c r="E707" t="s">
        <v>1173</v>
      </c>
      <c r="F707" t="s">
        <v>606</v>
      </c>
      <c r="G707" t="s">
        <v>598</v>
      </c>
      <c r="H707" t="s">
        <v>616</v>
      </c>
      <c r="I707" s="33">
        <v>171807</v>
      </c>
    </row>
    <row r="708" spans="1:9">
      <c r="A708">
        <v>2017</v>
      </c>
      <c r="B708" t="s">
        <v>44</v>
      </c>
      <c r="C708">
        <v>34</v>
      </c>
      <c r="D708" t="s">
        <v>1126</v>
      </c>
      <c r="E708" t="s">
        <v>1172</v>
      </c>
      <c r="I708" s="33">
        <v>684806</v>
      </c>
    </row>
    <row r="709" spans="1:9">
      <c r="A709">
        <v>2017</v>
      </c>
      <c r="B709" t="s">
        <v>44</v>
      </c>
      <c r="C709">
        <v>35</v>
      </c>
      <c r="D709" t="s">
        <v>1126</v>
      </c>
      <c r="E709" t="s">
        <v>1175</v>
      </c>
      <c r="I709" s="33">
        <v>38558</v>
      </c>
    </row>
    <row r="710" spans="1:9">
      <c r="A710">
        <v>2017</v>
      </c>
      <c r="B710" t="s">
        <v>44</v>
      </c>
      <c r="C710">
        <v>36</v>
      </c>
      <c r="D710" t="s">
        <v>1126</v>
      </c>
      <c r="E710" t="s">
        <v>1174</v>
      </c>
      <c r="F710" t="s">
        <v>606</v>
      </c>
      <c r="G710" t="s">
        <v>611</v>
      </c>
      <c r="H710" t="s">
        <v>612</v>
      </c>
      <c r="I710" s="33">
        <v>2280212</v>
      </c>
    </row>
    <row r="711" spans="1:9">
      <c r="A711">
        <v>2017</v>
      </c>
      <c r="B711" t="s">
        <v>44</v>
      </c>
      <c r="C711">
        <v>37</v>
      </c>
      <c r="D711" t="s">
        <v>1126</v>
      </c>
      <c r="E711" t="s">
        <v>1177</v>
      </c>
      <c r="F711" t="s">
        <v>606</v>
      </c>
      <c r="G711" t="s">
        <v>611</v>
      </c>
      <c r="H711" t="s">
        <v>607</v>
      </c>
      <c r="I711" s="33">
        <v>1459015</v>
      </c>
    </row>
    <row r="712" spans="1:9">
      <c r="A712">
        <v>2017</v>
      </c>
      <c r="B712" t="s">
        <v>44</v>
      </c>
      <c r="C712">
        <v>38</v>
      </c>
      <c r="D712" t="s">
        <v>1126</v>
      </c>
      <c r="E712" t="s">
        <v>1176</v>
      </c>
      <c r="I712" s="33">
        <v>35625</v>
      </c>
    </row>
    <row r="713" spans="1:9">
      <c r="A713">
        <v>2017</v>
      </c>
      <c r="B713" t="s">
        <v>44</v>
      </c>
      <c r="C713">
        <v>39</v>
      </c>
      <c r="D713" t="s">
        <v>1126</v>
      </c>
      <c r="E713" t="s">
        <v>1179</v>
      </c>
      <c r="I713" s="33">
        <v>672565</v>
      </c>
    </row>
    <row r="714" spans="1:9">
      <c r="A714">
        <v>2017</v>
      </c>
      <c r="B714" t="s">
        <v>44</v>
      </c>
      <c r="C714">
        <v>40</v>
      </c>
      <c r="D714" t="s">
        <v>1126</v>
      </c>
      <c r="E714" t="s">
        <v>1178</v>
      </c>
      <c r="F714" t="s">
        <v>606</v>
      </c>
      <c r="G714" t="s">
        <v>631</v>
      </c>
      <c r="H714" t="s">
        <v>612</v>
      </c>
      <c r="I714" s="33">
        <v>4884807</v>
      </c>
    </row>
    <row r="715" spans="1:9">
      <c r="A715">
        <v>2017</v>
      </c>
      <c r="B715" t="s">
        <v>44</v>
      </c>
      <c r="C715">
        <v>41</v>
      </c>
      <c r="D715" t="s">
        <v>1126</v>
      </c>
      <c r="E715" t="s">
        <v>1181</v>
      </c>
      <c r="F715" t="s">
        <v>606</v>
      </c>
      <c r="G715" t="s">
        <v>598</v>
      </c>
      <c r="H715" t="s">
        <v>616</v>
      </c>
      <c r="I715" s="33">
        <v>1320000</v>
      </c>
    </row>
    <row r="716" spans="1:9">
      <c r="A716">
        <v>2017</v>
      </c>
      <c r="B716" t="s">
        <v>44</v>
      </c>
      <c r="C716">
        <v>42</v>
      </c>
      <c r="D716" t="s">
        <v>1126</v>
      </c>
      <c r="E716" t="s">
        <v>1180</v>
      </c>
      <c r="G716" t="s">
        <v>598</v>
      </c>
      <c r="I716" s="33">
        <v>9780</v>
      </c>
    </row>
    <row r="717" spans="1:9">
      <c r="A717">
        <v>2017</v>
      </c>
      <c r="B717" t="s">
        <v>44</v>
      </c>
      <c r="C717">
        <v>43</v>
      </c>
      <c r="D717" t="s">
        <v>1126</v>
      </c>
      <c r="E717" t="s">
        <v>1183</v>
      </c>
      <c r="G717" t="s">
        <v>631</v>
      </c>
      <c r="I717" s="33">
        <v>338690</v>
      </c>
    </row>
    <row r="718" spans="1:9">
      <c r="A718">
        <v>2017</v>
      </c>
      <c r="B718" t="s">
        <v>44</v>
      </c>
      <c r="C718">
        <v>44</v>
      </c>
      <c r="D718" t="s">
        <v>1126</v>
      </c>
      <c r="E718" t="s">
        <v>1182</v>
      </c>
      <c r="I718" s="33">
        <v>480000</v>
      </c>
    </row>
    <row r="719" spans="1:9">
      <c r="A719">
        <v>2017</v>
      </c>
      <c r="B719" t="s">
        <v>44</v>
      </c>
      <c r="C719">
        <v>45</v>
      </c>
      <c r="D719" t="s">
        <v>1126</v>
      </c>
      <c r="E719" t="s">
        <v>1184</v>
      </c>
      <c r="I719" s="33">
        <v>1863</v>
      </c>
    </row>
    <row r="720" spans="1:9">
      <c r="A720">
        <v>2017</v>
      </c>
      <c r="B720" t="s">
        <v>44</v>
      </c>
      <c r="C720">
        <v>46</v>
      </c>
      <c r="D720" t="s">
        <v>1126</v>
      </c>
      <c r="E720" t="s">
        <v>538</v>
      </c>
      <c r="G720" t="s">
        <v>598</v>
      </c>
      <c r="H720" t="s">
        <v>612</v>
      </c>
      <c r="I720" s="33">
        <v>15069</v>
      </c>
    </row>
    <row r="721" spans="1:9">
      <c r="A721">
        <v>2017</v>
      </c>
      <c r="B721" t="s">
        <v>44</v>
      </c>
      <c r="C721">
        <v>47</v>
      </c>
      <c r="D721" t="s">
        <v>1126</v>
      </c>
      <c r="E721" t="s">
        <v>1185</v>
      </c>
      <c r="I721" s="33">
        <v>42388</v>
      </c>
    </row>
    <row r="722" spans="1:9">
      <c r="A722">
        <v>2017</v>
      </c>
      <c r="B722" t="s">
        <v>44</v>
      </c>
      <c r="C722">
        <v>48</v>
      </c>
      <c r="D722" t="s">
        <v>1126</v>
      </c>
      <c r="E722" t="s">
        <v>536</v>
      </c>
      <c r="F722" t="s">
        <v>606</v>
      </c>
      <c r="G722" t="s">
        <v>598</v>
      </c>
      <c r="H722" t="s">
        <v>616</v>
      </c>
      <c r="I722" s="33">
        <v>17177</v>
      </c>
    </row>
    <row r="723" spans="1:9">
      <c r="A723">
        <v>2017</v>
      </c>
      <c r="B723" t="s">
        <v>44</v>
      </c>
      <c r="C723">
        <v>49</v>
      </c>
      <c r="D723" t="s">
        <v>1126</v>
      </c>
      <c r="E723" t="s">
        <v>1127</v>
      </c>
      <c r="I723" s="33">
        <v>41413</v>
      </c>
    </row>
    <row r="724" spans="1:9">
      <c r="A724">
        <v>2017</v>
      </c>
      <c r="B724" t="s">
        <v>44</v>
      </c>
      <c r="C724">
        <v>50</v>
      </c>
      <c r="D724" t="s">
        <v>1126</v>
      </c>
      <c r="E724" t="s">
        <v>1128</v>
      </c>
      <c r="I724" s="33">
        <v>203386</v>
      </c>
    </row>
    <row r="725" spans="1:9">
      <c r="A725">
        <v>2017</v>
      </c>
      <c r="B725" t="s">
        <v>44</v>
      </c>
      <c r="C725">
        <v>51</v>
      </c>
      <c r="D725" t="s">
        <v>1126</v>
      </c>
      <c r="E725" t="s">
        <v>1130</v>
      </c>
      <c r="F725" t="s">
        <v>606</v>
      </c>
      <c r="G725" t="s">
        <v>631</v>
      </c>
      <c r="H725" t="s">
        <v>612</v>
      </c>
      <c r="I725" s="33">
        <v>185876</v>
      </c>
    </row>
    <row r="726" spans="1:9">
      <c r="A726">
        <v>2017</v>
      </c>
      <c r="B726" t="s">
        <v>44</v>
      </c>
      <c r="C726">
        <v>52</v>
      </c>
      <c r="D726" t="s">
        <v>1126</v>
      </c>
      <c r="E726" t="s">
        <v>1129</v>
      </c>
      <c r="I726" s="33">
        <v>9215</v>
      </c>
    </row>
    <row r="727" spans="1:9">
      <c r="A727">
        <v>2017</v>
      </c>
      <c r="B727" t="s">
        <v>44</v>
      </c>
      <c r="C727">
        <v>53</v>
      </c>
      <c r="D727" t="s">
        <v>1126</v>
      </c>
      <c r="E727" t="s">
        <v>488</v>
      </c>
      <c r="F727" t="s">
        <v>606</v>
      </c>
      <c r="G727" t="s">
        <v>631</v>
      </c>
      <c r="H727" t="s">
        <v>612</v>
      </c>
      <c r="I727" s="33">
        <v>238049</v>
      </c>
    </row>
    <row r="728" spans="1:9">
      <c r="A728">
        <v>2017</v>
      </c>
      <c r="B728" t="s">
        <v>44</v>
      </c>
      <c r="C728">
        <v>54</v>
      </c>
      <c r="D728" t="s">
        <v>1126</v>
      </c>
      <c r="E728" t="s">
        <v>1132</v>
      </c>
      <c r="I728" s="33">
        <v>18487</v>
      </c>
    </row>
    <row r="729" spans="1:9">
      <c r="A729">
        <v>2017</v>
      </c>
      <c r="B729" t="s">
        <v>44</v>
      </c>
      <c r="C729">
        <v>55</v>
      </c>
      <c r="D729" t="s">
        <v>1126</v>
      </c>
      <c r="E729" t="s">
        <v>1131</v>
      </c>
      <c r="F729" t="s">
        <v>606</v>
      </c>
      <c r="G729" t="s">
        <v>598</v>
      </c>
      <c r="H729" t="s">
        <v>616</v>
      </c>
      <c r="I729" s="33">
        <v>0</v>
      </c>
    </row>
    <row r="730" spans="1:9">
      <c r="A730">
        <v>2017</v>
      </c>
      <c r="B730" t="s">
        <v>44</v>
      </c>
      <c r="C730">
        <v>56</v>
      </c>
      <c r="D730" t="s">
        <v>1126</v>
      </c>
      <c r="E730" t="s">
        <v>1134</v>
      </c>
      <c r="F730" t="s">
        <v>606</v>
      </c>
      <c r="G730" t="s">
        <v>598</v>
      </c>
      <c r="H730" t="s">
        <v>616</v>
      </c>
      <c r="I730" s="33">
        <v>2155017</v>
      </c>
    </row>
    <row r="731" spans="1:9">
      <c r="A731">
        <v>2017</v>
      </c>
      <c r="B731" t="s">
        <v>44</v>
      </c>
      <c r="C731">
        <v>57</v>
      </c>
      <c r="D731" t="s">
        <v>1126</v>
      </c>
      <c r="E731" t="s">
        <v>1133</v>
      </c>
      <c r="I731" s="33">
        <v>36568</v>
      </c>
    </row>
    <row r="732" spans="1:9">
      <c r="A732">
        <v>2017</v>
      </c>
      <c r="B732" t="s">
        <v>44</v>
      </c>
      <c r="C732">
        <v>58</v>
      </c>
      <c r="D732" t="s">
        <v>1126</v>
      </c>
      <c r="E732" t="s">
        <v>1136</v>
      </c>
      <c r="I732" s="33">
        <v>5726</v>
      </c>
    </row>
    <row r="733" spans="1:9">
      <c r="A733">
        <v>2017</v>
      </c>
      <c r="B733" t="s">
        <v>44</v>
      </c>
      <c r="C733">
        <v>59</v>
      </c>
      <c r="D733" t="s">
        <v>1126</v>
      </c>
      <c r="E733" t="s">
        <v>1135</v>
      </c>
      <c r="F733" t="s">
        <v>606</v>
      </c>
      <c r="G733" t="s">
        <v>598</v>
      </c>
      <c r="H733" t="s">
        <v>616</v>
      </c>
      <c r="I733" s="33">
        <v>1270000</v>
      </c>
    </row>
    <row r="734" spans="1:9">
      <c r="A734">
        <v>2017</v>
      </c>
      <c r="B734" t="s">
        <v>44</v>
      </c>
      <c r="C734">
        <v>60</v>
      </c>
      <c r="D734" t="s">
        <v>1126</v>
      </c>
      <c r="E734" t="s">
        <v>1137</v>
      </c>
      <c r="G734" t="s">
        <v>631</v>
      </c>
      <c r="I734" s="33">
        <v>4483</v>
      </c>
    </row>
    <row r="735" spans="1:9">
      <c r="A735">
        <v>2017</v>
      </c>
      <c r="B735" t="s">
        <v>44</v>
      </c>
      <c r="C735">
        <v>61</v>
      </c>
      <c r="D735" t="s">
        <v>1126</v>
      </c>
      <c r="E735" t="s">
        <v>1138</v>
      </c>
      <c r="F735" t="s">
        <v>606</v>
      </c>
      <c r="G735" t="s">
        <v>598</v>
      </c>
      <c r="H735" t="s">
        <v>612</v>
      </c>
      <c r="I735" s="33">
        <v>3741863</v>
      </c>
    </row>
    <row r="736" spans="1:9">
      <c r="A736">
        <v>2017</v>
      </c>
      <c r="B736" t="s">
        <v>44</v>
      </c>
      <c r="C736">
        <v>62</v>
      </c>
      <c r="D736" t="s">
        <v>1126</v>
      </c>
      <c r="E736" t="s">
        <v>1140</v>
      </c>
      <c r="F736" t="s">
        <v>606</v>
      </c>
      <c r="G736" t="s">
        <v>598</v>
      </c>
      <c r="H736" t="s">
        <v>616</v>
      </c>
      <c r="I736" s="33">
        <v>15044</v>
      </c>
    </row>
    <row r="737" spans="1:9">
      <c r="A737">
        <v>2017</v>
      </c>
      <c r="B737" t="s">
        <v>44</v>
      </c>
      <c r="C737">
        <v>63</v>
      </c>
      <c r="D737" t="s">
        <v>1126</v>
      </c>
      <c r="E737" t="s">
        <v>1139</v>
      </c>
      <c r="F737" t="s">
        <v>606</v>
      </c>
      <c r="G737" t="s">
        <v>631</v>
      </c>
      <c r="H737" t="s">
        <v>612</v>
      </c>
      <c r="I737" s="33">
        <v>506150</v>
      </c>
    </row>
    <row r="738" spans="1:9">
      <c r="A738">
        <v>2017</v>
      </c>
      <c r="B738" t="s">
        <v>44</v>
      </c>
      <c r="C738">
        <v>64</v>
      </c>
      <c r="D738" t="s">
        <v>1126</v>
      </c>
      <c r="E738" t="s">
        <v>1141</v>
      </c>
      <c r="I738" s="33">
        <v>157828</v>
      </c>
    </row>
    <row r="739" spans="1:9">
      <c r="A739">
        <v>2017</v>
      </c>
      <c r="B739" t="s">
        <v>44</v>
      </c>
      <c r="C739">
        <v>65</v>
      </c>
      <c r="D739" t="s">
        <v>1126</v>
      </c>
      <c r="E739" t="s">
        <v>1142</v>
      </c>
      <c r="F739" t="s">
        <v>606</v>
      </c>
      <c r="G739" t="s">
        <v>631</v>
      </c>
      <c r="H739" t="s">
        <v>612</v>
      </c>
      <c r="I739" s="33">
        <v>7784033</v>
      </c>
    </row>
    <row r="740" spans="1:9">
      <c r="A740">
        <v>2017</v>
      </c>
      <c r="B740" t="s">
        <v>44</v>
      </c>
      <c r="C740">
        <v>1</v>
      </c>
      <c r="D740" t="s">
        <v>1126</v>
      </c>
      <c r="E740" t="s">
        <v>1187</v>
      </c>
      <c r="I740" s="33">
        <v>11347</v>
      </c>
    </row>
    <row r="741" spans="1:9">
      <c r="A741">
        <v>2017</v>
      </c>
      <c r="B741" t="s">
        <v>44</v>
      </c>
      <c r="C741">
        <v>2</v>
      </c>
      <c r="D741" t="s">
        <v>1126</v>
      </c>
      <c r="E741" t="s">
        <v>1188</v>
      </c>
      <c r="F741" t="s">
        <v>602</v>
      </c>
      <c r="G741" t="s">
        <v>598</v>
      </c>
      <c r="H741" t="s">
        <v>616</v>
      </c>
      <c r="I741" s="33">
        <v>1556202</v>
      </c>
    </row>
    <row r="742" spans="1:9">
      <c r="A742">
        <v>2017</v>
      </c>
      <c r="B742" t="s">
        <v>44</v>
      </c>
      <c r="C742">
        <v>3</v>
      </c>
      <c r="D742" t="s">
        <v>1126</v>
      </c>
      <c r="E742" t="s">
        <v>1189</v>
      </c>
      <c r="I742" s="33">
        <v>24077</v>
      </c>
    </row>
    <row r="743" spans="1:9">
      <c r="A743">
        <v>2017</v>
      </c>
      <c r="B743" t="s">
        <v>44</v>
      </c>
      <c r="C743">
        <v>4</v>
      </c>
      <c r="D743" t="s">
        <v>1126</v>
      </c>
      <c r="E743" t="s">
        <v>409</v>
      </c>
      <c r="F743" t="s">
        <v>606</v>
      </c>
      <c r="G743" t="s">
        <v>598</v>
      </c>
      <c r="H743" t="s">
        <v>616</v>
      </c>
      <c r="I743" s="33">
        <v>10079961</v>
      </c>
    </row>
    <row r="744" spans="1:9">
      <c r="A744">
        <v>2017</v>
      </c>
      <c r="B744" t="s">
        <v>44</v>
      </c>
      <c r="C744">
        <v>5</v>
      </c>
      <c r="D744" t="s">
        <v>1126</v>
      </c>
      <c r="E744" t="s">
        <v>1190</v>
      </c>
      <c r="G744" t="s">
        <v>598</v>
      </c>
      <c r="I744" s="33">
        <v>51485</v>
      </c>
    </row>
    <row r="745" spans="1:9">
      <c r="A745">
        <v>2017</v>
      </c>
      <c r="B745" t="s">
        <v>44</v>
      </c>
      <c r="C745">
        <v>6</v>
      </c>
      <c r="D745" t="s">
        <v>1126</v>
      </c>
      <c r="E745" t="s">
        <v>1191</v>
      </c>
      <c r="F745" t="s">
        <v>606</v>
      </c>
      <c r="G745" t="s">
        <v>598</v>
      </c>
      <c r="H745" t="s">
        <v>616</v>
      </c>
      <c r="I745" s="33">
        <v>89226</v>
      </c>
    </row>
    <row r="746" spans="1:9">
      <c r="A746">
        <v>2017</v>
      </c>
      <c r="B746" t="s">
        <v>44</v>
      </c>
      <c r="C746">
        <v>7</v>
      </c>
      <c r="D746" t="s">
        <v>1126</v>
      </c>
      <c r="E746" t="s">
        <v>1192</v>
      </c>
      <c r="I746" s="33">
        <v>81834</v>
      </c>
    </row>
    <row r="747" spans="1:9">
      <c r="A747">
        <v>2017</v>
      </c>
      <c r="B747" t="s">
        <v>44</v>
      </c>
      <c r="C747">
        <v>8</v>
      </c>
      <c r="D747" t="s">
        <v>1126</v>
      </c>
      <c r="E747" t="s">
        <v>497</v>
      </c>
      <c r="F747" t="s">
        <v>606</v>
      </c>
      <c r="G747" t="s">
        <v>598</v>
      </c>
      <c r="H747" t="s">
        <v>603</v>
      </c>
      <c r="I747" s="33">
        <v>175696</v>
      </c>
    </row>
    <row r="748" spans="1:9">
      <c r="A748">
        <v>2017</v>
      </c>
      <c r="B748" t="s">
        <v>44</v>
      </c>
      <c r="C748">
        <v>9</v>
      </c>
      <c r="D748" t="s">
        <v>1126</v>
      </c>
      <c r="E748" t="s">
        <v>1193</v>
      </c>
      <c r="F748" t="s">
        <v>597</v>
      </c>
      <c r="G748" t="s">
        <v>598</v>
      </c>
      <c r="H748" t="s">
        <v>707</v>
      </c>
      <c r="I748" s="33">
        <v>3314</v>
      </c>
    </row>
    <row r="749" spans="1:9">
      <c r="A749">
        <v>2017</v>
      </c>
      <c r="B749" t="s">
        <v>44</v>
      </c>
      <c r="C749">
        <v>10</v>
      </c>
      <c r="D749" t="s">
        <v>1126</v>
      </c>
      <c r="E749" t="s">
        <v>388</v>
      </c>
      <c r="F749" t="s">
        <v>606</v>
      </c>
      <c r="G749" t="s">
        <v>598</v>
      </c>
      <c r="H749" t="s">
        <v>603</v>
      </c>
      <c r="I749" s="33">
        <v>26796280</v>
      </c>
    </row>
    <row r="750" spans="1:9">
      <c r="A750">
        <v>2017</v>
      </c>
      <c r="B750" t="s">
        <v>44</v>
      </c>
      <c r="C750">
        <v>11</v>
      </c>
      <c r="D750" t="s">
        <v>1126</v>
      </c>
      <c r="E750" t="s">
        <v>1194</v>
      </c>
      <c r="I750" s="33">
        <v>278865</v>
      </c>
    </row>
    <row r="751" spans="1:9">
      <c r="A751">
        <v>2017</v>
      </c>
      <c r="B751" t="s">
        <v>44</v>
      </c>
      <c r="C751">
        <v>12</v>
      </c>
      <c r="D751" t="s">
        <v>1126</v>
      </c>
      <c r="E751" t="s">
        <v>535</v>
      </c>
      <c r="I751" s="33">
        <v>18824</v>
      </c>
    </row>
    <row r="752" spans="1:9">
      <c r="A752">
        <v>2017</v>
      </c>
      <c r="B752" t="s">
        <v>44</v>
      </c>
      <c r="C752">
        <v>13</v>
      </c>
      <c r="D752" t="s">
        <v>1126</v>
      </c>
      <c r="E752" t="s">
        <v>1195</v>
      </c>
      <c r="I752" s="33">
        <v>23276</v>
      </c>
    </row>
    <row r="753" spans="1:9">
      <c r="A753">
        <v>2017</v>
      </c>
      <c r="B753" t="s">
        <v>44</v>
      </c>
      <c r="C753">
        <v>14</v>
      </c>
      <c r="D753" t="s">
        <v>1126</v>
      </c>
      <c r="E753" t="s">
        <v>395</v>
      </c>
      <c r="F753" t="s">
        <v>606</v>
      </c>
      <c r="G753" t="s">
        <v>598</v>
      </c>
      <c r="H753" t="s">
        <v>616</v>
      </c>
      <c r="I753" s="33">
        <v>17241380</v>
      </c>
    </row>
    <row r="754" spans="1:9">
      <c r="A754">
        <v>2017</v>
      </c>
      <c r="B754" t="s">
        <v>44</v>
      </c>
      <c r="C754">
        <v>15</v>
      </c>
      <c r="D754" t="s">
        <v>1126</v>
      </c>
      <c r="E754" t="s">
        <v>1196</v>
      </c>
      <c r="F754" t="s">
        <v>606</v>
      </c>
      <c r="G754" t="s">
        <v>598</v>
      </c>
      <c r="H754" t="s">
        <v>616</v>
      </c>
      <c r="I754" s="33">
        <v>1443658</v>
      </c>
    </row>
    <row r="755" spans="1:9">
      <c r="A755">
        <v>2017</v>
      </c>
      <c r="B755" t="s">
        <v>44</v>
      </c>
      <c r="C755">
        <v>16</v>
      </c>
      <c r="D755" t="s">
        <v>1126</v>
      </c>
      <c r="E755" t="s">
        <v>462</v>
      </c>
      <c r="F755" t="s">
        <v>606</v>
      </c>
      <c r="G755" t="s">
        <v>598</v>
      </c>
      <c r="I755" s="33">
        <v>669128</v>
      </c>
    </row>
    <row r="756" spans="1:9">
      <c r="A756">
        <v>2017</v>
      </c>
      <c r="B756" t="s">
        <v>44</v>
      </c>
      <c r="C756">
        <v>17</v>
      </c>
      <c r="D756" t="s">
        <v>1126</v>
      </c>
      <c r="E756" t="s">
        <v>446</v>
      </c>
      <c r="F756" t="s">
        <v>597</v>
      </c>
      <c r="G756" t="s">
        <v>598</v>
      </c>
      <c r="H756" t="s">
        <v>658</v>
      </c>
      <c r="I756" s="33">
        <v>1034623</v>
      </c>
    </row>
    <row r="757" spans="1:9">
      <c r="A757">
        <v>2017</v>
      </c>
      <c r="B757" t="s">
        <v>44</v>
      </c>
      <c r="C757">
        <v>18</v>
      </c>
      <c r="D757" t="s">
        <v>1126</v>
      </c>
      <c r="E757" t="s">
        <v>1197</v>
      </c>
      <c r="F757" t="s">
        <v>606</v>
      </c>
      <c r="G757" t="s">
        <v>598</v>
      </c>
      <c r="H757" t="s">
        <v>616</v>
      </c>
      <c r="I757" s="33">
        <v>30000</v>
      </c>
    </row>
    <row r="758" spans="1:9">
      <c r="A758">
        <v>2017</v>
      </c>
      <c r="B758" t="s">
        <v>44</v>
      </c>
      <c r="C758">
        <v>19</v>
      </c>
      <c r="D758" t="s">
        <v>1126</v>
      </c>
      <c r="E758" t="s">
        <v>1198</v>
      </c>
      <c r="F758" t="s">
        <v>606</v>
      </c>
      <c r="G758" t="s">
        <v>598</v>
      </c>
      <c r="H758" t="s">
        <v>616</v>
      </c>
      <c r="I758" s="33">
        <v>79980</v>
      </c>
    </row>
    <row r="759" spans="1:9">
      <c r="A759">
        <v>2017</v>
      </c>
      <c r="B759" t="s">
        <v>44</v>
      </c>
      <c r="C759">
        <v>20</v>
      </c>
      <c r="D759" t="s">
        <v>1126</v>
      </c>
      <c r="E759" t="s">
        <v>1199</v>
      </c>
      <c r="F759" t="s">
        <v>597</v>
      </c>
      <c r="G759" t="s">
        <v>598</v>
      </c>
      <c r="H759" t="s">
        <v>707</v>
      </c>
      <c r="I759" s="33">
        <v>11037772</v>
      </c>
    </row>
    <row r="760" spans="1:9">
      <c r="A760">
        <v>2017</v>
      </c>
      <c r="B760" t="s">
        <v>44</v>
      </c>
      <c r="C760">
        <v>21</v>
      </c>
      <c r="D760" t="s">
        <v>1126</v>
      </c>
      <c r="E760" t="s">
        <v>1200</v>
      </c>
      <c r="G760" t="s">
        <v>598</v>
      </c>
      <c r="I760" s="33">
        <v>11280</v>
      </c>
    </row>
    <row r="761" spans="1:9">
      <c r="A761">
        <v>2017</v>
      </c>
      <c r="B761" t="s">
        <v>44</v>
      </c>
      <c r="C761">
        <v>22</v>
      </c>
      <c r="D761" t="s">
        <v>1126</v>
      </c>
      <c r="E761" t="s">
        <v>1201</v>
      </c>
      <c r="F761" t="s">
        <v>606</v>
      </c>
      <c r="G761" t="s">
        <v>598</v>
      </c>
      <c r="H761" t="s">
        <v>616</v>
      </c>
      <c r="I761" s="33">
        <v>114402</v>
      </c>
    </row>
    <row r="762" spans="1:9">
      <c r="A762">
        <v>2017</v>
      </c>
      <c r="B762" t="s">
        <v>44</v>
      </c>
      <c r="C762">
        <v>23</v>
      </c>
      <c r="D762" t="s">
        <v>1126</v>
      </c>
      <c r="E762" t="s">
        <v>550</v>
      </c>
      <c r="F762" t="s">
        <v>606</v>
      </c>
      <c r="G762" t="s">
        <v>598</v>
      </c>
      <c r="H762" t="s">
        <v>616</v>
      </c>
      <c r="I762" s="33">
        <v>4482</v>
      </c>
    </row>
    <row r="763" spans="1:9">
      <c r="A763">
        <v>2017</v>
      </c>
      <c r="B763" t="s">
        <v>44</v>
      </c>
      <c r="C763">
        <v>24</v>
      </c>
      <c r="D763" t="s">
        <v>1126</v>
      </c>
      <c r="E763" t="s">
        <v>1202</v>
      </c>
      <c r="F763" t="s">
        <v>606</v>
      </c>
      <c r="G763" t="s">
        <v>631</v>
      </c>
      <c r="H763" t="s">
        <v>612</v>
      </c>
      <c r="I763" s="33">
        <v>6425179</v>
      </c>
    </row>
    <row r="764" spans="1:9">
      <c r="A764">
        <v>2017</v>
      </c>
      <c r="B764" t="s">
        <v>44</v>
      </c>
      <c r="C764">
        <v>25</v>
      </c>
      <c r="D764" t="s">
        <v>1126</v>
      </c>
      <c r="E764" t="s">
        <v>1203</v>
      </c>
      <c r="I764" s="33">
        <v>36355</v>
      </c>
    </row>
    <row r="765" spans="1:9">
      <c r="A765">
        <v>2017</v>
      </c>
      <c r="B765" t="s">
        <v>44</v>
      </c>
      <c r="C765">
        <v>26</v>
      </c>
      <c r="D765" t="s">
        <v>1126</v>
      </c>
      <c r="E765" t="s">
        <v>1204</v>
      </c>
      <c r="F765" t="s">
        <v>606</v>
      </c>
      <c r="G765" t="s">
        <v>631</v>
      </c>
      <c r="H765" t="s">
        <v>616</v>
      </c>
      <c r="I765" s="33">
        <v>1110000</v>
      </c>
    </row>
    <row r="766" spans="1:9">
      <c r="A766">
        <v>2017</v>
      </c>
      <c r="B766" t="s">
        <v>44</v>
      </c>
      <c r="C766">
        <v>27</v>
      </c>
      <c r="D766" t="s">
        <v>1126</v>
      </c>
      <c r="E766" t="s">
        <v>1205</v>
      </c>
      <c r="I766" s="33">
        <v>8134</v>
      </c>
    </row>
    <row r="767" spans="1:9">
      <c r="A767">
        <v>2017</v>
      </c>
      <c r="B767" t="s">
        <v>44</v>
      </c>
      <c r="C767">
        <v>28</v>
      </c>
      <c r="D767" t="s">
        <v>1126</v>
      </c>
      <c r="E767" t="s">
        <v>1206</v>
      </c>
      <c r="F767" t="s">
        <v>597</v>
      </c>
      <c r="G767" t="s">
        <v>598</v>
      </c>
      <c r="H767" t="s">
        <v>707</v>
      </c>
      <c r="I767" s="33">
        <v>2820000</v>
      </c>
    </row>
    <row r="768" spans="1:9">
      <c r="A768">
        <v>2017</v>
      </c>
      <c r="B768" t="s">
        <v>44</v>
      </c>
      <c r="C768">
        <v>29</v>
      </c>
      <c r="D768" t="s">
        <v>1126</v>
      </c>
      <c r="E768" t="s">
        <v>1207</v>
      </c>
      <c r="G768" t="s">
        <v>598</v>
      </c>
      <c r="H768" t="s">
        <v>599</v>
      </c>
      <c r="I768" s="33">
        <v>23337</v>
      </c>
    </row>
    <row r="769" spans="1:9">
      <c r="A769">
        <v>2017</v>
      </c>
      <c r="B769" t="s">
        <v>44</v>
      </c>
      <c r="C769">
        <v>30</v>
      </c>
      <c r="D769" t="s">
        <v>1126</v>
      </c>
      <c r="E769" t="s">
        <v>1208</v>
      </c>
      <c r="F769" t="s">
        <v>606</v>
      </c>
      <c r="G769" t="s">
        <v>598</v>
      </c>
      <c r="H769" t="s">
        <v>616</v>
      </c>
      <c r="I769" s="33">
        <v>15988889</v>
      </c>
    </row>
    <row r="770" spans="1:9">
      <c r="A770">
        <v>2017</v>
      </c>
      <c r="B770" t="s">
        <v>44</v>
      </c>
      <c r="C770">
        <v>31</v>
      </c>
      <c r="D770" t="s">
        <v>1126</v>
      </c>
      <c r="E770" t="s">
        <v>1209</v>
      </c>
      <c r="G770" t="s">
        <v>598</v>
      </c>
      <c r="I770" s="33">
        <v>16919</v>
      </c>
    </row>
    <row r="771" spans="1:9">
      <c r="A771">
        <v>2017</v>
      </c>
      <c r="B771" t="s">
        <v>44</v>
      </c>
      <c r="C771">
        <v>32</v>
      </c>
      <c r="D771" t="s">
        <v>1126</v>
      </c>
      <c r="E771" t="s">
        <v>1210</v>
      </c>
      <c r="F771" t="s">
        <v>606</v>
      </c>
      <c r="G771" t="s">
        <v>598</v>
      </c>
      <c r="H771" t="s">
        <v>616</v>
      </c>
      <c r="I771" s="33">
        <v>1806679</v>
      </c>
    </row>
    <row r="772" spans="1:9">
      <c r="A772">
        <v>2017</v>
      </c>
      <c r="B772" t="s">
        <v>44</v>
      </c>
      <c r="C772">
        <v>33</v>
      </c>
      <c r="D772" t="s">
        <v>1126</v>
      </c>
      <c r="E772" t="s">
        <v>1211</v>
      </c>
      <c r="I772" s="33">
        <v>386634</v>
      </c>
    </row>
    <row r="773" spans="1:9">
      <c r="A773">
        <v>2017</v>
      </c>
      <c r="B773" t="s">
        <v>44</v>
      </c>
      <c r="C773">
        <v>34</v>
      </c>
      <c r="D773" t="s">
        <v>1126</v>
      </c>
      <c r="E773" t="s">
        <v>1212</v>
      </c>
      <c r="F773" t="s">
        <v>606</v>
      </c>
      <c r="G773" t="s">
        <v>598</v>
      </c>
      <c r="H773" t="s">
        <v>616</v>
      </c>
      <c r="I773" s="33">
        <v>209711</v>
      </c>
    </row>
    <row r="774" spans="1:9">
      <c r="A774">
        <v>2017</v>
      </c>
      <c r="B774" t="s">
        <v>44</v>
      </c>
      <c r="C774">
        <v>35</v>
      </c>
      <c r="D774" t="s">
        <v>1126</v>
      </c>
      <c r="E774" t="s">
        <v>1213</v>
      </c>
      <c r="I774" s="33">
        <v>337786</v>
      </c>
    </row>
    <row r="775" spans="1:9">
      <c r="A775">
        <v>2017</v>
      </c>
      <c r="B775" t="s">
        <v>44</v>
      </c>
      <c r="C775">
        <v>36</v>
      </c>
      <c r="D775" t="s">
        <v>1126</v>
      </c>
      <c r="E775" t="s">
        <v>1214</v>
      </c>
      <c r="I775" s="33">
        <v>169861</v>
      </c>
    </row>
    <row r="776" spans="1:9">
      <c r="A776">
        <v>2017</v>
      </c>
      <c r="B776" t="s">
        <v>44</v>
      </c>
      <c r="C776">
        <v>37</v>
      </c>
      <c r="D776" t="s">
        <v>1126</v>
      </c>
      <c r="E776" t="s">
        <v>1215</v>
      </c>
      <c r="F776" t="s">
        <v>606</v>
      </c>
      <c r="G776" t="s">
        <v>598</v>
      </c>
      <c r="H776" t="s">
        <v>616</v>
      </c>
      <c r="I776" s="33">
        <v>8595808</v>
      </c>
    </row>
    <row r="777" spans="1:9">
      <c r="A777">
        <v>2017</v>
      </c>
      <c r="B777" t="s">
        <v>44</v>
      </c>
      <c r="C777">
        <v>38</v>
      </c>
      <c r="D777" t="s">
        <v>1126</v>
      </c>
      <c r="E777" t="s">
        <v>369</v>
      </c>
      <c r="F777" t="s">
        <v>606</v>
      </c>
      <c r="G777" t="s">
        <v>631</v>
      </c>
      <c r="H777" t="s">
        <v>612</v>
      </c>
      <c r="I777" s="33">
        <v>96755799</v>
      </c>
    </row>
    <row r="778" spans="1:9">
      <c r="A778">
        <v>2017</v>
      </c>
      <c r="B778" t="s">
        <v>44</v>
      </c>
      <c r="C778">
        <v>39</v>
      </c>
      <c r="D778" t="s">
        <v>1126</v>
      </c>
      <c r="E778" t="s">
        <v>1216</v>
      </c>
      <c r="F778" t="s">
        <v>606</v>
      </c>
      <c r="G778" t="s">
        <v>598</v>
      </c>
      <c r="H778" t="s">
        <v>616</v>
      </c>
      <c r="I778" s="33">
        <v>28219</v>
      </c>
    </row>
    <row r="779" spans="1:9">
      <c r="A779">
        <v>2017</v>
      </c>
      <c r="B779" t="s">
        <v>44</v>
      </c>
      <c r="C779">
        <v>40</v>
      </c>
      <c r="D779" t="s">
        <v>1126</v>
      </c>
      <c r="E779" t="s">
        <v>1217</v>
      </c>
      <c r="I779" s="33">
        <v>5737</v>
      </c>
    </row>
    <row r="780" spans="1:9">
      <c r="A780">
        <v>2017</v>
      </c>
      <c r="B780" t="s">
        <v>44</v>
      </c>
      <c r="C780">
        <v>41</v>
      </c>
      <c r="D780" t="s">
        <v>1126</v>
      </c>
      <c r="E780" t="s">
        <v>1218</v>
      </c>
      <c r="G780" t="s">
        <v>598</v>
      </c>
      <c r="I780" s="33">
        <v>1034133</v>
      </c>
    </row>
    <row r="781" spans="1:9">
      <c r="A781">
        <v>2017</v>
      </c>
      <c r="B781" t="s">
        <v>44</v>
      </c>
      <c r="C781">
        <v>42</v>
      </c>
      <c r="D781" t="s">
        <v>1126</v>
      </c>
      <c r="E781" t="s">
        <v>1219</v>
      </c>
      <c r="I781" s="33">
        <v>26334</v>
      </c>
    </row>
    <row r="782" spans="1:9">
      <c r="A782">
        <v>2017</v>
      </c>
      <c r="B782" t="s">
        <v>44</v>
      </c>
      <c r="C782">
        <v>43</v>
      </c>
      <c r="D782" t="s">
        <v>1126</v>
      </c>
      <c r="E782" t="s">
        <v>424</v>
      </c>
      <c r="F782" t="s">
        <v>606</v>
      </c>
      <c r="G782" t="s">
        <v>598</v>
      </c>
      <c r="H782" t="s">
        <v>612</v>
      </c>
      <c r="I782" s="33">
        <v>3791880</v>
      </c>
    </row>
    <row r="783" spans="1:9">
      <c r="A783">
        <v>2017</v>
      </c>
      <c r="B783" t="s">
        <v>44</v>
      </c>
      <c r="C783">
        <v>44</v>
      </c>
      <c r="D783" t="s">
        <v>1126</v>
      </c>
      <c r="E783" t="s">
        <v>378</v>
      </c>
      <c r="F783" t="s">
        <v>597</v>
      </c>
      <c r="G783" t="s">
        <v>598</v>
      </c>
      <c r="H783" t="s">
        <v>599</v>
      </c>
      <c r="I783" s="33">
        <v>72506344</v>
      </c>
    </row>
    <row r="784" spans="1:9">
      <c r="A784">
        <v>2017</v>
      </c>
      <c r="B784" t="s">
        <v>44</v>
      </c>
      <c r="C784">
        <v>45</v>
      </c>
      <c r="D784" t="s">
        <v>1126</v>
      </c>
      <c r="E784" t="s">
        <v>1220</v>
      </c>
      <c r="F784" t="s">
        <v>606</v>
      </c>
      <c r="G784" t="s">
        <v>598</v>
      </c>
      <c r="H784" t="s">
        <v>616</v>
      </c>
      <c r="I784" s="33">
        <v>3660871</v>
      </c>
    </row>
    <row r="785" spans="1:9">
      <c r="A785">
        <v>2017</v>
      </c>
      <c r="B785" t="s">
        <v>44</v>
      </c>
      <c r="C785">
        <v>46</v>
      </c>
      <c r="D785" t="s">
        <v>1126</v>
      </c>
      <c r="E785" t="s">
        <v>483</v>
      </c>
      <c r="G785" t="s">
        <v>598</v>
      </c>
      <c r="H785" t="s">
        <v>603</v>
      </c>
      <c r="I785" s="33">
        <v>300158</v>
      </c>
    </row>
    <row r="786" spans="1:9">
      <c r="A786">
        <v>2017</v>
      </c>
      <c r="B786" t="s">
        <v>44</v>
      </c>
      <c r="C786">
        <v>47</v>
      </c>
      <c r="D786" t="s">
        <v>1126</v>
      </c>
      <c r="E786" t="s">
        <v>1221</v>
      </c>
      <c r="G786" t="s">
        <v>598</v>
      </c>
      <c r="I786" s="33">
        <v>341673</v>
      </c>
    </row>
    <row r="787" spans="1:9">
      <c r="A787">
        <v>2017</v>
      </c>
      <c r="B787" t="s">
        <v>44</v>
      </c>
      <c r="C787">
        <v>48</v>
      </c>
      <c r="D787" t="s">
        <v>1126</v>
      </c>
      <c r="E787" t="s">
        <v>1222</v>
      </c>
      <c r="F787" t="s">
        <v>606</v>
      </c>
      <c r="G787" t="s">
        <v>598</v>
      </c>
      <c r="H787" t="s">
        <v>616</v>
      </c>
      <c r="I787" s="33">
        <v>2350000</v>
      </c>
    </row>
    <row r="788" spans="1:9">
      <c r="A788">
        <v>2017</v>
      </c>
      <c r="B788" t="s">
        <v>44</v>
      </c>
      <c r="C788">
        <v>49</v>
      </c>
      <c r="D788" t="s">
        <v>1126</v>
      </c>
      <c r="E788" t="s">
        <v>1223</v>
      </c>
      <c r="F788" t="s">
        <v>606</v>
      </c>
      <c r="G788" t="s">
        <v>598</v>
      </c>
      <c r="H788" t="s">
        <v>658</v>
      </c>
      <c r="I788" s="33">
        <v>0</v>
      </c>
    </row>
    <row r="789" spans="1:9">
      <c r="A789">
        <v>2017</v>
      </c>
      <c r="B789" t="s">
        <v>44</v>
      </c>
      <c r="C789">
        <v>50</v>
      </c>
      <c r="D789" t="s">
        <v>1126</v>
      </c>
      <c r="E789" t="s">
        <v>1224</v>
      </c>
      <c r="I789" s="33">
        <v>57229</v>
      </c>
    </row>
    <row r="790" spans="1:9">
      <c r="A790">
        <v>2017</v>
      </c>
      <c r="B790" t="s">
        <v>44</v>
      </c>
      <c r="C790">
        <v>51</v>
      </c>
      <c r="D790" t="s">
        <v>1126</v>
      </c>
      <c r="E790" t="s">
        <v>379</v>
      </c>
      <c r="F790" t="s">
        <v>606</v>
      </c>
      <c r="G790" t="s">
        <v>598</v>
      </c>
      <c r="H790" t="s">
        <v>616</v>
      </c>
      <c r="I790" s="33">
        <v>56235548</v>
      </c>
    </row>
    <row r="791" spans="1:9">
      <c r="A791">
        <v>2017</v>
      </c>
      <c r="B791" t="s">
        <v>44</v>
      </c>
      <c r="C791">
        <v>52</v>
      </c>
      <c r="D791" t="s">
        <v>1126</v>
      </c>
      <c r="E791" t="s">
        <v>1225</v>
      </c>
      <c r="I791" s="33">
        <v>300741</v>
      </c>
    </row>
    <row r="792" spans="1:9">
      <c r="A792">
        <v>2017</v>
      </c>
      <c r="B792" t="s">
        <v>44</v>
      </c>
      <c r="C792">
        <v>53</v>
      </c>
      <c r="D792" t="s">
        <v>1126</v>
      </c>
      <c r="E792" t="s">
        <v>510</v>
      </c>
      <c r="F792" t="s">
        <v>606</v>
      </c>
      <c r="G792" t="s">
        <v>598</v>
      </c>
      <c r="H792" t="s">
        <v>616</v>
      </c>
      <c r="I792" s="33">
        <v>92700</v>
      </c>
    </row>
    <row r="793" spans="1:9">
      <c r="A793">
        <v>2017</v>
      </c>
      <c r="B793" t="s">
        <v>44</v>
      </c>
      <c r="C793">
        <v>54</v>
      </c>
      <c r="D793" t="s">
        <v>1126</v>
      </c>
      <c r="E793" t="s">
        <v>1226</v>
      </c>
      <c r="F793" t="s">
        <v>606</v>
      </c>
      <c r="G793" t="s">
        <v>598</v>
      </c>
      <c r="H793" t="s">
        <v>616</v>
      </c>
      <c r="I793" s="33">
        <v>1890232</v>
      </c>
    </row>
    <row r="794" spans="1:9">
      <c r="A794">
        <v>2017</v>
      </c>
      <c r="B794" t="s">
        <v>44</v>
      </c>
      <c r="C794">
        <v>55</v>
      </c>
      <c r="D794" t="s">
        <v>1126</v>
      </c>
      <c r="E794" t="s">
        <v>1227</v>
      </c>
      <c r="F794" t="s">
        <v>606</v>
      </c>
      <c r="G794" t="s">
        <v>598</v>
      </c>
      <c r="H794" t="s">
        <v>603</v>
      </c>
      <c r="I794" s="33">
        <v>1440968</v>
      </c>
    </row>
    <row r="795" spans="1:9">
      <c r="A795">
        <v>2017</v>
      </c>
      <c r="B795" t="s">
        <v>44</v>
      </c>
      <c r="C795">
        <v>56</v>
      </c>
      <c r="D795" t="s">
        <v>1126</v>
      </c>
      <c r="E795" t="s">
        <v>1228</v>
      </c>
      <c r="I795" s="33">
        <v>7876</v>
      </c>
    </row>
    <row r="796" spans="1:9">
      <c r="A796">
        <v>2017</v>
      </c>
      <c r="B796" t="s">
        <v>44</v>
      </c>
      <c r="C796">
        <v>57</v>
      </c>
      <c r="D796" t="s">
        <v>1126</v>
      </c>
      <c r="E796" t="s">
        <v>1229</v>
      </c>
      <c r="F796" t="s">
        <v>606</v>
      </c>
      <c r="G796" t="s">
        <v>598</v>
      </c>
      <c r="H796" t="s">
        <v>616</v>
      </c>
      <c r="I796" s="33">
        <v>5101</v>
      </c>
    </row>
    <row r="797" spans="1:9">
      <c r="A797">
        <v>2017</v>
      </c>
      <c r="B797" t="s">
        <v>44</v>
      </c>
      <c r="C797">
        <v>58</v>
      </c>
      <c r="D797" t="s">
        <v>1126</v>
      </c>
      <c r="E797" t="s">
        <v>1230</v>
      </c>
      <c r="I797" s="33">
        <v>63312</v>
      </c>
    </row>
    <row r="798" spans="1:9">
      <c r="A798">
        <v>2017</v>
      </c>
      <c r="B798" t="s">
        <v>44</v>
      </c>
      <c r="C798">
        <v>59</v>
      </c>
      <c r="D798" t="s">
        <v>1126</v>
      </c>
      <c r="E798" t="s">
        <v>1231</v>
      </c>
      <c r="G798" t="s">
        <v>598</v>
      </c>
      <c r="I798" s="33">
        <v>3670</v>
      </c>
    </row>
    <row r="799" spans="1:9">
      <c r="A799">
        <v>2017</v>
      </c>
      <c r="B799" t="s">
        <v>44</v>
      </c>
      <c r="C799">
        <v>60</v>
      </c>
      <c r="D799" t="s">
        <v>1126</v>
      </c>
      <c r="E799" t="s">
        <v>1232</v>
      </c>
      <c r="F799" t="s">
        <v>606</v>
      </c>
      <c r="G799" t="s">
        <v>598</v>
      </c>
      <c r="H799" t="s">
        <v>603</v>
      </c>
      <c r="I799" s="33">
        <v>3957193</v>
      </c>
    </row>
    <row r="800" spans="1:9">
      <c r="A800">
        <v>2017</v>
      </c>
      <c r="B800" t="s">
        <v>44</v>
      </c>
      <c r="C800">
        <v>61</v>
      </c>
      <c r="D800" t="s">
        <v>1126</v>
      </c>
      <c r="E800" t="s">
        <v>1233</v>
      </c>
      <c r="F800" t="s">
        <v>606</v>
      </c>
      <c r="G800" t="s">
        <v>631</v>
      </c>
      <c r="H800" t="s">
        <v>616</v>
      </c>
      <c r="I800" s="33">
        <v>7330000</v>
      </c>
    </row>
    <row r="801" spans="1:9">
      <c r="A801">
        <v>2017</v>
      </c>
      <c r="B801" t="s">
        <v>44</v>
      </c>
      <c r="C801">
        <v>62</v>
      </c>
      <c r="D801" t="s">
        <v>1126</v>
      </c>
      <c r="E801" t="s">
        <v>1234</v>
      </c>
      <c r="G801" t="s">
        <v>598</v>
      </c>
      <c r="I801" s="33">
        <v>234423</v>
      </c>
    </row>
    <row r="802" spans="1:9">
      <c r="A802">
        <v>2017</v>
      </c>
      <c r="B802" t="s">
        <v>44</v>
      </c>
      <c r="C802">
        <v>63</v>
      </c>
      <c r="D802" t="s">
        <v>1126</v>
      </c>
      <c r="E802" t="s">
        <v>1235</v>
      </c>
      <c r="F802" t="s">
        <v>597</v>
      </c>
      <c r="G802" t="s">
        <v>598</v>
      </c>
      <c r="H802" t="s">
        <v>599</v>
      </c>
      <c r="I802" s="33">
        <v>63802</v>
      </c>
    </row>
    <row r="803" spans="1:9">
      <c r="A803">
        <v>2017</v>
      </c>
      <c r="B803" t="s">
        <v>44</v>
      </c>
      <c r="C803">
        <v>64</v>
      </c>
      <c r="D803" t="s">
        <v>1126</v>
      </c>
      <c r="E803" t="s">
        <v>1236</v>
      </c>
      <c r="G803" t="s">
        <v>598</v>
      </c>
      <c r="I803" s="33">
        <v>16610</v>
      </c>
    </row>
    <row r="804" spans="1:9">
      <c r="A804">
        <v>2017</v>
      </c>
      <c r="B804" t="s">
        <v>44</v>
      </c>
      <c r="C804">
        <v>65</v>
      </c>
      <c r="D804" t="s">
        <v>1126</v>
      </c>
      <c r="E804" t="s">
        <v>1237</v>
      </c>
      <c r="I804" s="33">
        <v>41914</v>
      </c>
    </row>
    <row r="805" spans="1:9">
      <c r="A805">
        <v>2017</v>
      </c>
      <c r="B805" t="s">
        <v>44</v>
      </c>
      <c r="C805">
        <v>66</v>
      </c>
      <c r="D805" t="s">
        <v>1126</v>
      </c>
      <c r="E805" t="s">
        <v>1238</v>
      </c>
      <c r="F805" t="s">
        <v>606</v>
      </c>
      <c r="G805" t="s">
        <v>598</v>
      </c>
      <c r="H805" t="s">
        <v>616</v>
      </c>
      <c r="I805" s="33">
        <v>2749490</v>
      </c>
    </row>
    <row r="806" spans="1:9">
      <c r="A806">
        <v>2017</v>
      </c>
      <c r="B806" t="s">
        <v>44</v>
      </c>
      <c r="C806">
        <v>67</v>
      </c>
      <c r="D806" t="s">
        <v>1126</v>
      </c>
      <c r="E806" t="s">
        <v>1239</v>
      </c>
      <c r="F806" t="s">
        <v>606</v>
      </c>
      <c r="G806" t="s">
        <v>598</v>
      </c>
      <c r="H806" t="s">
        <v>616</v>
      </c>
      <c r="I806" s="33">
        <v>17934</v>
      </c>
    </row>
    <row r="807" spans="1:9">
      <c r="A807">
        <v>2017</v>
      </c>
      <c r="B807" t="s">
        <v>44</v>
      </c>
      <c r="C807">
        <v>68</v>
      </c>
      <c r="D807" t="s">
        <v>1126</v>
      </c>
      <c r="E807" t="s">
        <v>1240</v>
      </c>
      <c r="F807" t="s">
        <v>606</v>
      </c>
      <c r="G807" t="s">
        <v>598</v>
      </c>
      <c r="H807" t="s">
        <v>603</v>
      </c>
      <c r="I807" s="33">
        <v>13867066</v>
      </c>
    </row>
    <row r="808" spans="1:9">
      <c r="A808">
        <v>2017</v>
      </c>
      <c r="B808" t="s">
        <v>44</v>
      </c>
      <c r="C808">
        <v>69</v>
      </c>
      <c r="D808" t="s">
        <v>1126</v>
      </c>
      <c r="E808" t="s">
        <v>1241</v>
      </c>
      <c r="I808" s="33">
        <v>1706807</v>
      </c>
    </row>
    <row r="809" spans="1:9">
      <c r="A809">
        <v>2017</v>
      </c>
      <c r="B809" t="s">
        <v>44</v>
      </c>
      <c r="C809">
        <v>70</v>
      </c>
      <c r="D809" t="s">
        <v>1126</v>
      </c>
      <c r="E809" t="s">
        <v>1242</v>
      </c>
      <c r="I809" s="33">
        <v>129045</v>
      </c>
    </row>
    <row r="810" spans="1:9">
      <c r="A810">
        <v>2017</v>
      </c>
      <c r="B810" t="s">
        <v>44</v>
      </c>
      <c r="C810">
        <v>71</v>
      </c>
      <c r="D810" t="s">
        <v>1126</v>
      </c>
      <c r="E810" t="s">
        <v>1243</v>
      </c>
      <c r="I810" s="33">
        <v>30994</v>
      </c>
    </row>
    <row r="811" spans="1:9">
      <c r="A811">
        <v>2017</v>
      </c>
      <c r="B811" t="s">
        <v>44</v>
      </c>
      <c r="C811">
        <v>72</v>
      </c>
      <c r="D811" t="s">
        <v>1126</v>
      </c>
      <c r="E811" t="s">
        <v>1244</v>
      </c>
      <c r="F811" t="s">
        <v>606</v>
      </c>
      <c r="G811" t="s">
        <v>598</v>
      </c>
      <c r="H811" t="s">
        <v>616</v>
      </c>
      <c r="I811" s="33">
        <v>6168544</v>
      </c>
    </row>
    <row r="812" spans="1:9">
      <c r="A812">
        <v>2017</v>
      </c>
      <c r="B812" t="s">
        <v>44</v>
      </c>
      <c r="C812">
        <v>73</v>
      </c>
      <c r="D812" t="s">
        <v>1126</v>
      </c>
      <c r="E812" t="s">
        <v>1245</v>
      </c>
      <c r="I812" s="33">
        <v>3713</v>
      </c>
    </row>
    <row r="813" spans="1:9">
      <c r="A813">
        <v>2017</v>
      </c>
      <c r="B813" t="s">
        <v>44</v>
      </c>
      <c r="C813">
        <v>74</v>
      </c>
      <c r="D813" t="s">
        <v>1126</v>
      </c>
      <c r="E813" t="s">
        <v>450</v>
      </c>
      <c r="F813" t="s">
        <v>606</v>
      </c>
      <c r="G813" t="s">
        <v>631</v>
      </c>
      <c r="H813" t="s">
        <v>612</v>
      </c>
      <c r="I813" s="33">
        <v>933589</v>
      </c>
    </row>
    <row r="814" spans="1:9">
      <c r="A814">
        <v>2017</v>
      </c>
      <c r="B814" t="s">
        <v>44</v>
      </c>
      <c r="C814">
        <v>75</v>
      </c>
      <c r="D814" t="s">
        <v>1126</v>
      </c>
      <c r="E814" t="s">
        <v>1246</v>
      </c>
      <c r="G814" t="s">
        <v>598</v>
      </c>
      <c r="H814" t="s">
        <v>616</v>
      </c>
      <c r="I814" s="33">
        <v>35929</v>
      </c>
    </row>
    <row r="815" spans="1:9">
      <c r="A815">
        <v>2017</v>
      </c>
      <c r="B815" t="s">
        <v>44</v>
      </c>
      <c r="C815">
        <v>76</v>
      </c>
      <c r="D815" t="s">
        <v>1126</v>
      </c>
      <c r="E815" t="s">
        <v>1247</v>
      </c>
      <c r="G815" t="s">
        <v>598</v>
      </c>
      <c r="I815" s="33">
        <v>127225</v>
      </c>
    </row>
    <row r="816" spans="1:9">
      <c r="A816">
        <v>2017</v>
      </c>
      <c r="B816" t="s">
        <v>44</v>
      </c>
      <c r="C816">
        <v>77</v>
      </c>
      <c r="D816" t="s">
        <v>1126</v>
      </c>
      <c r="E816" t="s">
        <v>1248</v>
      </c>
      <c r="I816" s="33">
        <v>5178</v>
      </c>
    </row>
    <row r="817" spans="1:9">
      <c r="A817">
        <v>2017</v>
      </c>
      <c r="B817" t="s">
        <v>44</v>
      </c>
      <c r="C817">
        <v>78</v>
      </c>
      <c r="D817" t="s">
        <v>1126</v>
      </c>
      <c r="E817" t="s">
        <v>427</v>
      </c>
      <c r="F817" t="s">
        <v>606</v>
      </c>
      <c r="G817" t="s">
        <v>598</v>
      </c>
      <c r="H817" t="s">
        <v>616</v>
      </c>
      <c r="I817" s="33">
        <v>3026917</v>
      </c>
    </row>
    <row r="818" spans="1:9">
      <c r="A818">
        <v>2017</v>
      </c>
      <c r="B818" t="s">
        <v>44</v>
      </c>
      <c r="C818">
        <v>79</v>
      </c>
      <c r="D818" t="s">
        <v>1126</v>
      </c>
      <c r="E818" t="s">
        <v>1249</v>
      </c>
      <c r="G818" t="s">
        <v>598</v>
      </c>
      <c r="I818" s="33">
        <v>8878</v>
      </c>
    </row>
    <row r="819" spans="1:9">
      <c r="A819">
        <v>2017</v>
      </c>
      <c r="B819" t="s">
        <v>44</v>
      </c>
      <c r="C819">
        <v>80</v>
      </c>
      <c r="D819" t="s">
        <v>1126</v>
      </c>
      <c r="E819" t="s">
        <v>430</v>
      </c>
      <c r="F819" t="s">
        <v>606</v>
      </c>
      <c r="G819" t="s">
        <v>598</v>
      </c>
      <c r="H819" t="s">
        <v>616</v>
      </c>
      <c r="I819" s="33">
        <v>2814977</v>
      </c>
    </row>
    <row r="820" spans="1:9">
      <c r="A820">
        <v>2017</v>
      </c>
      <c r="B820" t="s">
        <v>44</v>
      </c>
      <c r="C820">
        <v>81</v>
      </c>
      <c r="D820" t="s">
        <v>1126</v>
      </c>
      <c r="E820" t="s">
        <v>1250</v>
      </c>
      <c r="F820" t="s">
        <v>606</v>
      </c>
      <c r="G820" t="s">
        <v>598</v>
      </c>
      <c r="H820" t="s">
        <v>616</v>
      </c>
      <c r="I820" s="33">
        <v>637626</v>
      </c>
    </row>
    <row r="821" spans="1:9">
      <c r="A821">
        <v>2017</v>
      </c>
      <c r="B821" t="s">
        <v>44</v>
      </c>
      <c r="C821">
        <v>82</v>
      </c>
      <c r="D821" t="s">
        <v>1126</v>
      </c>
      <c r="E821" t="s">
        <v>526</v>
      </c>
      <c r="F821" t="s">
        <v>606</v>
      </c>
      <c r="G821" t="s">
        <v>598</v>
      </c>
      <c r="I821" s="33">
        <v>32405</v>
      </c>
    </row>
    <row r="822" spans="1:9">
      <c r="A822">
        <v>2017</v>
      </c>
      <c r="B822" t="s">
        <v>44</v>
      </c>
      <c r="C822">
        <v>83</v>
      </c>
      <c r="D822" t="s">
        <v>1126</v>
      </c>
      <c r="E822" t="s">
        <v>417</v>
      </c>
      <c r="F822" t="s">
        <v>597</v>
      </c>
      <c r="G822" t="s">
        <v>703</v>
      </c>
      <c r="H822" t="s">
        <v>707</v>
      </c>
      <c r="I822" s="33">
        <v>5957524</v>
      </c>
    </row>
    <row r="823" spans="1:9">
      <c r="A823">
        <v>2017</v>
      </c>
      <c r="B823" t="s">
        <v>44</v>
      </c>
      <c r="C823">
        <v>84</v>
      </c>
      <c r="D823" t="s">
        <v>1126</v>
      </c>
      <c r="E823" t="s">
        <v>1251</v>
      </c>
      <c r="F823" t="s">
        <v>606</v>
      </c>
      <c r="G823" t="s">
        <v>598</v>
      </c>
      <c r="H823" t="s">
        <v>616</v>
      </c>
      <c r="I823" s="33">
        <v>1039439</v>
      </c>
    </row>
    <row r="824" spans="1:9">
      <c r="A824">
        <v>2017</v>
      </c>
      <c r="B824" t="s">
        <v>44</v>
      </c>
      <c r="C824">
        <v>85</v>
      </c>
      <c r="D824" t="s">
        <v>1126</v>
      </c>
      <c r="E824" t="s">
        <v>1252</v>
      </c>
      <c r="I824" s="33">
        <v>14335</v>
      </c>
    </row>
    <row r="825" spans="1:9">
      <c r="A825">
        <v>2017</v>
      </c>
      <c r="B825" t="s">
        <v>44</v>
      </c>
      <c r="C825">
        <v>86</v>
      </c>
      <c r="D825" t="s">
        <v>1126</v>
      </c>
      <c r="E825" t="s">
        <v>1253</v>
      </c>
      <c r="I825" s="33">
        <v>141578</v>
      </c>
    </row>
    <row r="826" spans="1:9">
      <c r="A826">
        <v>2017</v>
      </c>
      <c r="B826" t="s">
        <v>44</v>
      </c>
      <c r="C826">
        <v>87</v>
      </c>
      <c r="D826" t="s">
        <v>1126</v>
      </c>
      <c r="E826" t="s">
        <v>1254</v>
      </c>
      <c r="F826" t="s">
        <v>606</v>
      </c>
      <c r="G826" t="s">
        <v>631</v>
      </c>
      <c r="H826" t="s">
        <v>612</v>
      </c>
      <c r="I826" s="33">
        <v>1653264</v>
      </c>
    </row>
    <row r="827" spans="1:9">
      <c r="A827">
        <v>2017</v>
      </c>
      <c r="B827" t="s">
        <v>44</v>
      </c>
      <c r="C827">
        <v>88</v>
      </c>
      <c r="D827" t="s">
        <v>1126</v>
      </c>
      <c r="E827" t="s">
        <v>1255</v>
      </c>
      <c r="F827" t="s">
        <v>606</v>
      </c>
      <c r="G827" t="s">
        <v>598</v>
      </c>
      <c r="H827" t="s">
        <v>612</v>
      </c>
      <c r="I827" s="33">
        <v>5921481</v>
      </c>
    </row>
    <row r="828" spans="1:9">
      <c r="A828">
        <v>2017</v>
      </c>
      <c r="B828" t="s">
        <v>44</v>
      </c>
      <c r="C828">
        <v>89</v>
      </c>
      <c r="D828" t="s">
        <v>1126</v>
      </c>
      <c r="E828" t="s">
        <v>515</v>
      </c>
      <c r="G828" t="s">
        <v>598</v>
      </c>
      <c r="H828" t="s">
        <v>603</v>
      </c>
      <c r="I828" s="33">
        <v>65915</v>
      </c>
    </row>
    <row r="829" spans="1:9">
      <c r="A829">
        <v>2017</v>
      </c>
      <c r="B829" t="s">
        <v>44</v>
      </c>
      <c r="C829">
        <v>90</v>
      </c>
      <c r="D829" t="s">
        <v>1126</v>
      </c>
      <c r="E829" t="s">
        <v>1256</v>
      </c>
      <c r="F829" t="s">
        <v>606</v>
      </c>
      <c r="G829" t="s">
        <v>631</v>
      </c>
      <c r="H829" t="s">
        <v>612</v>
      </c>
      <c r="I829" s="33">
        <v>600000</v>
      </c>
    </row>
    <row r="830" spans="1:9">
      <c r="A830">
        <v>2017</v>
      </c>
      <c r="B830" t="s">
        <v>44</v>
      </c>
      <c r="C830">
        <v>91</v>
      </c>
      <c r="D830" t="s">
        <v>1126</v>
      </c>
      <c r="E830" t="s">
        <v>1257</v>
      </c>
      <c r="I830" s="33">
        <v>337323</v>
      </c>
    </row>
    <row r="831" spans="1:9">
      <c r="A831">
        <v>2017</v>
      </c>
      <c r="B831" t="s">
        <v>44</v>
      </c>
      <c r="C831">
        <v>92</v>
      </c>
      <c r="D831" t="s">
        <v>1126</v>
      </c>
      <c r="E831" t="s">
        <v>1258</v>
      </c>
      <c r="I831" s="33">
        <v>83595</v>
      </c>
    </row>
    <row r="832" spans="1:9">
      <c r="A832">
        <v>2017</v>
      </c>
      <c r="B832" t="s">
        <v>44</v>
      </c>
      <c r="C832">
        <v>93</v>
      </c>
      <c r="D832" t="s">
        <v>1126</v>
      </c>
      <c r="E832" t="s">
        <v>466</v>
      </c>
      <c r="F832" t="s">
        <v>606</v>
      </c>
      <c r="G832" t="s">
        <v>598</v>
      </c>
      <c r="H832" t="s">
        <v>616</v>
      </c>
      <c r="I832" s="33">
        <v>544914</v>
      </c>
    </row>
    <row r="833" spans="1:9">
      <c r="A833">
        <v>2017</v>
      </c>
      <c r="B833" t="s">
        <v>44</v>
      </c>
      <c r="C833">
        <v>94</v>
      </c>
      <c r="D833" t="s">
        <v>1126</v>
      </c>
      <c r="E833" t="s">
        <v>1259</v>
      </c>
      <c r="F833" t="s">
        <v>606</v>
      </c>
      <c r="G833" t="s">
        <v>598</v>
      </c>
      <c r="H833" t="s">
        <v>616</v>
      </c>
      <c r="I833" s="33">
        <v>1145984</v>
      </c>
    </row>
    <row r="834" spans="1:9">
      <c r="A834">
        <v>2017</v>
      </c>
      <c r="B834" t="s">
        <v>44</v>
      </c>
      <c r="C834">
        <v>95</v>
      </c>
      <c r="D834" t="s">
        <v>1126</v>
      </c>
      <c r="E834" t="s">
        <v>1260</v>
      </c>
      <c r="I834" s="33">
        <v>213749</v>
      </c>
    </row>
    <row r="835" spans="1:9">
      <c r="A835">
        <v>2017</v>
      </c>
      <c r="B835" t="s">
        <v>44</v>
      </c>
      <c r="C835">
        <v>96</v>
      </c>
      <c r="D835" t="s">
        <v>1126</v>
      </c>
      <c r="E835" t="s">
        <v>1261</v>
      </c>
      <c r="F835" t="s">
        <v>606</v>
      </c>
      <c r="G835" t="s">
        <v>598</v>
      </c>
      <c r="H835" t="s">
        <v>616</v>
      </c>
      <c r="I835" s="33">
        <v>2022609</v>
      </c>
    </row>
    <row r="836" spans="1:9">
      <c r="A836">
        <v>2017</v>
      </c>
      <c r="B836" t="s">
        <v>44</v>
      </c>
      <c r="C836">
        <v>97</v>
      </c>
      <c r="D836" t="s">
        <v>1126</v>
      </c>
      <c r="E836" t="s">
        <v>1262</v>
      </c>
      <c r="I836" s="33">
        <v>18801</v>
      </c>
    </row>
    <row r="837" spans="1:9">
      <c r="A837">
        <v>2017</v>
      </c>
      <c r="B837" t="s">
        <v>44</v>
      </c>
      <c r="C837">
        <v>98</v>
      </c>
      <c r="D837" t="s">
        <v>1126</v>
      </c>
      <c r="E837" t="s">
        <v>1263</v>
      </c>
      <c r="F837" t="s">
        <v>606</v>
      </c>
      <c r="G837" t="s">
        <v>598</v>
      </c>
      <c r="H837" t="s">
        <v>607</v>
      </c>
      <c r="I837" s="33">
        <v>14955</v>
      </c>
    </row>
    <row r="838" spans="1:9">
      <c r="A838">
        <v>2017</v>
      </c>
      <c r="B838" t="s">
        <v>44</v>
      </c>
      <c r="C838">
        <v>99</v>
      </c>
      <c r="D838" t="s">
        <v>1126</v>
      </c>
      <c r="E838" t="s">
        <v>1264</v>
      </c>
      <c r="I838" s="33">
        <v>17134</v>
      </c>
    </row>
    <row r="839" spans="1:9">
      <c r="A839">
        <v>2017</v>
      </c>
      <c r="B839" t="s">
        <v>44</v>
      </c>
      <c r="C839">
        <v>100</v>
      </c>
      <c r="D839" t="s">
        <v>1126</v>
      </c>
      <c r="E839" t="s">
        <v>1265</v>
      </c>
      <c r="F839" t="s">
        <v>606</v>
      </c>
      <c r="G839" t="s">
        <v>598</v>
      </c>
      <c r="H839" t="s">
        <v>616</v>
      </c>
      <c r="I839" s="33">
        <v>3667477</v>
      </c>
    </row>
    <row r="840" spans="1:9">
      <c r="A840">
        <v>2017</v>
      </c>
      <c r="B840" t="s">
        <v>44</v>
      </c>
      <c r="C840">
        <v>1</v>
      </c>
      <c r="D840" t="s">
        <v>1267</v>
      </c>
      <c r="E840" t="s">
        <v>1268</v>
      </c>
      <c r="F840" t="s">
        <v>606</v>
      </c>
      <c r="G840" t="s">
        <v>598</v>
      </c>
      <c r="H840" t="s">
        <v>658</v>
      </c>
      <c r="I840" s="33">
        <v>227089269</v>
      </c>
    </row>
    <row r="841" spans="1:9">
      <c r="A841">
        <v>2017</v>
      </c>
      <c r="B841" t="s">
        <v>44</v>
      </c>
      <c r="C841">
        <v>2</v>
      </c>
      <c r="D841" t="s">
        <v>1269</v>
      </c>
      <c r="E841" t="s">
        <v>1270</v>
      </c>
      <c r="F841" t="s">
        <v>606</v>
      </c>
      <c r="G841" t="s">
        <v>598</v>
      </c>
      <c r="H841" t="s">
        <v>616</v>
      </c>
      <c r="I841" s="33">
        <v>307547824</v>
      </c>
    </row>
    <row r="842" spans="1:9">
      <c r="A842">
        <v>2017</v>
      </c>
      <c r="B842" t="s">
        <v>44</v>
      </c>
      <c r="C842">
        <v>3</v>
      </c>
      <c r="D842" t="s">
        <v>1267</v>
      </c>
      <c r="E842" t="s">
        <v>1271</v>
      </c>
      <c r="F842" t="s">
        <v>1398</v>
      </c>
      <c r="G842" t="s">
        <v>598</v>
      </c>
      <c r="H842" t="s">
        <v>603</v>
      </c>
      <c r="I842" s="33">
        <v>46263233</v>
      </c>
    </row>
    <row r="843" spans="1:9">
      <c r="A843">
        <v>2017</v>
      </c>
      <c r="B843" t="s">
        <v>44</v>
      </c>
      <c r="C843">
        <v>4</v>
      </c>
      <c r="D843" t="s">
        <v>1272</v>
      </c>
      <c r="E843" t="s">
        <v>1273</v>
      </c>
      <c r="F843" t="s">
        <v>606</v>
      </c>
      <c r="G843" t="s">
        <v>598</v>
      </c>
      <c r="H843" t="s">
        <v>658</v>
      </c>
      <c r="I843" s="33">
        <v>39965792</v>
      </c>
    </row>
    <row r="844" spans="1:9">
      <c r="A844">
        <v>2017</v>
      </c>
      <c r="B844" t="s">
        <v>44</v>
      </c>
      <c r="C844">
        <v>5</v>
      </c>
      <c r="D844" t="s">
        <v>1126</v>
      </c>
      <c r="E844" t="s">
        <v>547</v>
      </c>
      <c r="G844" t="s">
        <v>598</v>
      </c>
      <c r="H844" t="s">
        <v>616</v>
      </c>
      <c r="I844" s="33">
        <v>5992</v>
      </c>
    </row>
    <row r="845" spans="1:9">
      <c r="A845">
        <v>2017</v>
      </c>
      <c r="B845" t="s">
        <v>44</v>
      </c>
      <c r="C845">
        <v>6</v>
      </c>
      <c r="D845" t="s">
        <v>1126</v>
      </c>
      <c r="E845" t="s">
        <v>1274</v>
      </c>
      <c r="F845" t="s">
        <v>606</v>
      </c>
      <c r="G845" t="s">
        <v>631</v>
      </c>
      <c r="H845" t="s">
        <v>612</v>
      </c>
      <c r="I845" s="33">
        <v>15874097</v>
      </c>
    </row>
    <row r="846" spans="1:9">
      <c r="A846">
        <v>2017</v>
      </c>
      <c r="B846" t="s">
        <v>44</v>
      </c>
      <c r="C846">
        <v>7</v>
      </c>
      <c r="D846" t="s">
        <v>1126</v>
      </c>
      <c r="E846" t="s">
        <v>1275</v>
      </c>
      <c r="F846" t="s">
        <v>597</v>
      </c>
      <c r="G846" t="s">
        <v>598</v>
      </c>
      <c r="H846" t="s">
        <v>707</v>
      </c>
      <c r="I846" s="33">
        <v>282320</v>
      </c>
    </row>
    <row r="847" spans="1:9">
      <c r="A847">
        <v>2017</v>
      </c>
      <c r="B847" t="s">
        <v>44</v>
      </c>
      <c r="C847">
        <v>8</v>
      </c>
      <c r="D847" t="s">
        <v>1126</v>
      </c>
      <c r="E847" t="s">
        <v>1276</v>
      </c>
      <c r="F847" t="s">
        <v>606</v>
      </c>
      <c r="G847" t="s">
        <v>598</v>
      </c>
      <c r="H847" t="s">
        <v>616</v>
      </c>
      <c r="I847" s="33">
        <v>23369</v>
      </c>
    </row>
    <row r="848" spans="1:9">
      <c r="A848">
        <v>2017</v>
      </c>
      <c r="B848" t="s">
        <v>44</v>
      </c>
      <c r="C848">
        <v>9</v>
      </c>
      <c r="D848" t="s">
        <v>1126</v>
      </c>
      <c r="E848" t="s">
        <v>1277</v>
      </c>
      <c r="G848" t="s">
        <v>598</v>
      </c>
      <c r="I848" s="33">
        <v>40900</v>
      </c>
    </row>
    <row r="849" spans="1:9">
      <c r="A849">
        <v>2017</v>
      </c>
      <c r="B849" t="s">
        <v>44</v>
      </c>
      <c r="C849">
        <v>10</v>
      </c>
      <c r="D849" t="s">
        <v>1126</v>
      </c>
      <c r="E849" t="s">
        <v>1278</v>
      </c>
      <c r="I849" s="33">
        <v>29445</v>
      </c>
    </row>
    <row r="850" spans="1:9">
      <c r="A850">
        <v>2017</v>
      </c>
      <c r="B850" t="s">
        <v>44</v>
      </c>
      <c r="C850">
        <v>11</v>
      </c>
      <c r="D850" t="s">
        <v>1126</v>
      </c>
      <c r="E850" t="s">
        <v>1279</v>
      </c>
      <c r="F850" t="s">
        <v>606</v>
      </c>
      <c r="G850" t="s">
        <v>598</v>
      </c>
      <c r="H850" t="s">
        <v>616</v>
      </c>
      <c r="I850" s="33">
        <v>334536622</v>
      </c>
    </row>
    <row r="851" spans="1:9">
      <c r="A851">
        <v>2017</v>
      </c>
      <c r="B851" t="s">
        <v>44</v>
      </c>
      <c r="C851">
        <v>12</v>
      </c>
      <c r="D851" t="s">
        <v>1126</v>
      </c>
      <c r="E851" t="s">
        <v>1280</v>
      </c>
      <c r="F851" t="s">
        <v>606</v>
      </c>
      <c r="G851" t="s">
        <v>598</v>
      </c>
      <c r="H851" t="s">
        <v>616</v>
      </c>
      <c r="I851" s="33">
        <v>686594</v>
      </c>
    </row>
    <row r="852" spans="1:9">
      <c r="A852">
        <v>2017</v>
      </c>
      <c r="B852" t="s">
        <v>44</v>
      </c>
      <c r="C852">
        <v>13</v>
      </c>
      <c r="D852" t="s">
        <v>1126</v>
      </c>
      <c r="E852" t="s">
        <v>534</v>
      </c>
      <c r="G852" t="s">
        <v>598</v>
      </c>
      <c r="I852" s="33">
        <v>23688</v>
      </c>
    </row>
    <row r="853" spans="1:9">
      <c r="A853">
        <v>2017</v>
      </c>
      <c r="B853" t="s">
        <v>44</v>
      </c>
      <c r="C853">
        <v>14</v>
      </c>
      <c r="D853" t="s">
        <v>1126</v>
      </c>
      <c r="E853" t="s">
        <v>1281</v>
      </c>
      <c r="F853" t="s">
        <v>606</v>
      </c>
      <c r="G853" t="s">
        <v>598</v>
      </c>
      <c r="H853" t="s">
        <v>616</v>
      </c>
      <c r="I853" s="33">
        <v>50995</v>
      </c>
    </row>
    <row r="854" spans="1:9">
      <c r="A854">
        <v>2017</v>
      </c>
      <c r="B854" t="s">
        <v>44</v>
      </c>
      <c r="C854">
        <v>15</v>
      </c>
      <c r="D854" t="s">
        <v>1126</v>
      </c>
      <c r="E854" t="s">
        <v>1282</v>
      </c>
      <c r="F854" t="s">
        <v>602</v>
      </c>
      <c r="G854" t="s">
        <v>598</v>
      </c>
      <c r="H854" t="s">
        <v>616</v>
      </c>
      <c r="I854" s="33">
        <v>18339343</v>
      </c>
    </row>
    <row r="855" spans="1:9">
      <c r="A855">
        <v>2017</v>
      </c>
      <c r="B855" t="s">
        <v>44</v>
      </c>
      <c r="C855">
        <v>16</v>
      </c>
      <c r="D855" t="s">
        <v>1126</v>
      </c>
      <c r="E855" t="s">
        <v>1283</v>
      </c>
      <c r="F855" t="s">
        <v>1398</v>
      </c>
      <c r="G855" t="s">
        <v>598</v>
      </c>
      <c r="H855" t="s">
        <v>616</v>
      </c>
      <c r="I855" s="33">
        <v>4681992</v>
      </c>
    </row>
    <row r="856" spans="1:9">
      <c r="A856">
        <v>2017</v>
      </c>
      <c r="B856" t="s">
        <v>44</v>
      </c>
      <c r="C856">
        <v>17</v>
      </c>
      <c r="D856" t="s">
        <v>1126</v>
      </c>
      <c r="E856" t="s">
        <v>1284</v>
      </c>
      <c r="F856" t="s">
        <v>606</v>
      </c>
      <c r="G856" t="s">
        <v>598</v>
      </c>
      <c r="H856" t="s">
        <v>616</v>
      </c>
      <c r="I856" s="33">
        <v>1369687</v>
      </c>
    </row>
    <row r="857" spans="1:9">
      <c r="A857">
        <v>2017</v>
      </c>
      <c r="B857" t="s">
        <v>44</v>
      </c>
      <c r="C857">
        <v>18</v>
      </c>
      <c r="D857" t="s">
        <v>1126</v>
      </c>
      <c r="E857" t="s">
        <v>1285</v>
      </c>
      <c r="I857" s="33">
        <v>195419</v>
      </c>
    </row>
    <row r="858" spans="1:9">
      <c r="A858">
        <v>2017</v>
      </c>
      <c r="B858" t="s">
        <v>44</v>
      </c>
      <c r="C858">
        <v>19</v>
      </c>
      <c r="D858" t="s">
        <v>1126</v>
      </c>
      <c r="E858" t="s">
        <v>1286</v>
      </c>
      <c r="F858" t="s">
        <v>606</v>
      </c>
      <c r="G858" t="s">
        <v>598</v>
      </c>
      <c r="H858" t="s">
        <v>616</v>
      </c>
      <c r="I858" s="33">
        <v>760000</v>
      </c>
    </row>
    <row r="859" spans="1:9">
      <c r="A859">
        <v>2017</v>
      </c>
      <c r="B859" t="s">
        <v>44</v>
      </c>
      <c r="C859">
        <v>20</v>
      </c>
      <c r="D859" t="s">
        <v>1126</v>
      </c>
      <c r="E859" t="s">
        <v>1287</v>
      </c>
      <c r="I859" s="33">
        <v>63297</v>
      </c>
    </row>
    <row r="860" spans="1:9">
      <c r="A860">
        <v>2017</v>
      </c>
      <c r="B860" t="s">
        <v>44</v>
      </c>
      <c r="C860">
        <v>21</v>
      </c>
      <c r="D860" t="s">
        <v>1126</v>
      </c>
      <c r="E860" t="s">
        <v>366</v>
      </c>
      <c r="F860" t="s">
        <v>602</v>
      </c>
      <c r="G860" t="s">
        <v>598</v>
      </c>
      <c r="H860" t="s">
        <v>658</v>
      </c>
      <c r="I860" s="33">
        <v>119035160</v>
      </c>
    </row>
    <row r="861" spans="1:9">
      <c r="A861">
        <v>2017</v>
      </c>
      <c r="B861" t="s">
        <v>44</v>
      </c>
      <c r="C861">
        <v>22</v>
      </c>
      <c r="D861" t="s">
        <v>1126</v>
      </c>
      <c r="E861" t="s">
        <v>1288</v>
      </c>
      <c r="F861" t="s">
        <v>606</v>
      </c>
      <c r="G861" t="s">
        <v>598</v>
      </c>
      <c r="H861" t="s">
        <v>616</v>
      </c>
      <c r="I861" s="33">
        <v>512000</v>
      </c>
    </row>
    <row r="862" spans="1:9">
      <c r="A862">
        <v>2017</v>
      </c>
      <c r="B862" t="s">
        <v>44</v>
      </c>
      <c r="C862">
        <v>23</v>
      </c>
      <c r="D862" t="s">
        <v>1126</v>
      </c>
      <c r="E862" t="s">
        <v>1289</v>
      </c>
      <c r="F862" t="s">
        <v>606</v>
      </c>
      <c r="G862" t="s">
        <v>598</v>
      </c>
      <c r="H862" t="s">
        <v>616</v>
      </c>
      <c r="I862" s="33">
        <v>14897163</v>
      </c>
    </row>
    <row r="863" spans="1:9">
      <c r="A863">
        <v>2017</v>
      </c>
      <c r="B863" t="s">
        <v>44</v>
      </c>
      <c r="C863">
        <v>24</v>
      </c>
      <c r="D863" t="s">
        <v>1126</v>
      </c>
      <c r="E863" t="s">
        <v>1290</v>
      </c>
      <c r="I863" s="33">
        <v>263745</v>
      </c>
    </row>
    <row r="864" spans="1:9">
      <c r="A864">
        <v>2017</v>
      </c>
      <c r="B864" t="s">
        <v>44</v>
      </c>
      <c r="C864">
        <v>25</v>
      </c>
      <c r="D864" t="s">
        <v>1126</v>
      </c>
      <c r="E864" t="s">
        <v>1291</v>
      </c>
      <c r="F864" t="s">
        <v>606</v>
      </c>
      <c r="G864" t="s">
        <v>631</v>
      </c>
      <c r="H864" t="s">
        <v>612</v>
      </c>
      <c r="I864" s="33">
        <v>13006233</v>
      </c>
    </row>
    <row r="865" spans="1:9">
      <c r="A865">
        <v>2017</v>
      </c>
      <c r="B865" t="s">
        <v>44</v>
      </c>
      <c r="C865">
        <v>26</v>
      </c>
      <c r="D865" t="s">
        <v>1126</v>
      </c>
      <c r="E865" t="s">
        <v>1292</v>
      </c>
      <c r="G865" t="s">
        <v>598</v>
      </c>
      <c r="I865" s="33">
        <v>10526</v>
      </c>
    </row>
    <row r="866" spans="1:9">
      <c r="A866">
        <v>2017</v>
      </c>
      <c r="B866" t="s">
        <v>44</v>
      </c>
      <c r="C866">
        <v>27</v>
      </c>
      <c r="D866" t="s">
        <v>1126</v>
      </c>
      <c r="E866" t="s">
        <v>1293</v>
      </c>
      <c r="F866" t="s">
        <v>606</v>
      </c>
      <c r="G866" t="s">
        <v>598</v>
      </c>
      <c r="H866" t="s">
        <v>599</v>
      </c>
      <c r="I866" s="33">
        <v>889012</v>
      </c>
    </row>
    <row r="867" spans="1:9">
      <c r="A867">
        <v>2017</v>
      </c>
      <c r="B867" t="s">
        <v>44</v>
      </c>
      <c r="C867">
        <v>28</v>
      </c>
      <c r="D867" t="s">
        <v>1126</v>
      </c>
      <c r="E867" t="s">
        <v>477</v>
      </c>
      <c r="F867" t="s">
        <v>606</v>
      </c>
      <c r="G867" t="s">
        <v>598</v>
      </c>
      <c r="H867" t="s">
        <v>616</v>
      </c>
      <c r="I867" s="33">
        <v>387766</v>
      </c>
    </row>
    <row r="868" spans="1:9">
      <c r="A868">
        <v>2017</v>
      </c>
      <c r="B868" t="s">
        <v>44</v>
      </c>
      <c r="C868">
        <v>29</v>
      </c>
      <c r="D868" t="s">
        <v>1126</v>
      </c>
      <c r="E868" t="s">
        <v>1294</v>
      </c>
      <c r="F868" t="s">
        <v>606</v>
      </c>
      <c r="G868" t="s">
        <v>598</v>
      </c>
      <c r="H868" t="s">
        <v>616</v>
      </c>
      <c r="I868" s="33">
        <v>18764048</v>
      </c>
    </row>
    <row r="869" spans="1:9">
      <c r="A869">
        <v>2017</v>
      </c>
      <c r="B869" t="s">
        <v>44</v>
      </c>
      <c r="C869">
        <v>30</v>
      </c>
      <c r="D869" t="s">
        <v>1126</v>
      </c>
      <c r="E869" t="s">
        <v>1295</v>
      </c>
      <c r="F869" t="s">
        <v>606</v>
      </c>
      <c r="G869" t="s">
        <v>598</v>
      </c>
      <c r="I869" s="33">
        <v>289527</v>
      </c>
    </row>
    <row r="870" spans="1:9">
      <c r="A870">
        <v>2017</v>
      </c>
      <c r="B870" t="s">
        <v>44</v>
      </c>
      <c r="C870">
        <v>31</v>
      </c>
      <c r="D870" t="s">
        <v>1126</v>
      </c>
      <c r="E870" t="s">
        <v>1296</v>
      </c>
      <c r="F870" t="s">
        <v>597</v>
      </c>
      <c r="G870" t="s">
        <v>598</v>
      </c>
      <c r="H870" t="s">
        <v>599</v>
      </c>
      <c r="I870" s="33">
        <v>9782949</v>
      </c>
    </row>
    <row r="871" spans="1:9">
      <c r="A871">
        <v>2017</v>
      </c>
      <c r="B871" t="s">
        <v>44</v>
      </c>
      <c r="C871">
        <v>32</v>
      </c>
      <c r="D871" t="s">
        <v>1126</v>
      </c>
      <c r="E871" t="s">
        <v>1297</v>
      </c>
      <c r="G871" t="s">
        <v>598</v>
      </c>
      <c r="I871" s="33">
        <v>13739</v>
      </c>
    </row>
    <row r="872" spans="1:9">
      <c r="A872">
        <v>2017</v>
      </c>
      <c r="B872" t="s">
        <v>44</v>
      </c>
      <c r="C872">
        <v>33</v>
      </c>
      <c r="D872" t="s">
        <v>1126</v>
      </c>
      <c r="E872" t="s">
        <v>1298</v>
      </c>
      <c r="G872" t="s">
        <v>598</v>
      </c>
      <c r="H872" t="s">
        <v>658</v>
      </c>
      <c r="I872" s="33">
        <v>917277</v>
      </c>
    </row>
    <row r="873" spans="1:9">
      <c r="A873">
        <v>2017</v>
      </c>
      <c r="B873" t="s">
        <v>44</v>
      </c>
      <c r="C873">
        <v>34</v>
      </c>
      <c r="D873" t="s">
        <v>1126</v>
      </c>
      <c r="E873" t="s">
        <v>509</v>
      </c>
      <c r="F873" t="s">
        <v>606</v>
      </c>
      <c r="G873" t="s">
        <v>598</v>
      </c>
      <c r="H873" t="s">
        <v>607</v>
      </c>
      <c r="I873" s="33">
        <v>98143</v>
      </c>
    </row>
    <row r="874" spans="1:9">
      <c r="A874">
        <v>2017</v>
      </c>
      <c r="B874" t="s">
        <v>44</v>
      </c>
      <c r="C874">
        <v>35</v>
      </c>
      <c r="D874" t="s">
        <v>1126</v>
      </c>
      <c r="E874" t="s">
        <v>315</v>
      </c>
      <c r="F874" t="s">
        <v>606</v>
      </c>
      <c r="G874" t="s">
        <v>598</v>
      </c>
      <c r="H874" t="s">
        <v>616</v>
      </c>
      <c r="I874" s="33">
        <v>67678</v>
      </c>
    </row>
    <row r="875" spans="1:9">
      <c r="A875">
        <v>2017</v>
      </c>
      <c r="B875" t="s">
        <v>44</v>
      </c>
      <c r="C875">
        <v>36</v>
      </c>
      <c r="D875" t="s">
        <v>1126</v>
      </c>
      <c r="E875" t="s">
        <v>1299</v>
      </c>
      <c r="F875" t="s">
        <v>610</v>
      </c>
      <c r="G875" t="s">
        <v>631</v>
      </c>
      <c r="H875" t="s">
        <v>616</v>
      </c>
      <c r="I875" s="33">
        <v>20460352</v>
      </c>
    </row>
    <row r="876" spans="1:9">
      <c r="A876">
        <v>2017</v>
      </c>
      <c r="B876" t="s">
        <v>44</v>
      </c>
      <c r="C876">
        <v>37</v>
      </c>
      <c r="D876" t="s">
        <v>1126</v>
      </c>
      <c r="E876" t="s">
        <v>1300</v>
      </c>
      <c r="F876" t="s">
        <v>597</v>
      </c>
      <c r="G876" t="s">
        <v>598</v>
      </c>
      <c r="H876" t="s">
        <v>599</v>
      </c>
      <c r="I876" s="33">
        <v>1549782</v>
      </c>
    </row>
    <row r="877" spans="1:9">
      <c r="A877">
        <v>2017</v>
      </c>
      <c r="B877" t="s">
        <v>44</v>
      </c>
      <c r="C877">
        <v>38</v>
      </c>
      <c r="D877" t="s">
        <v>1126</v>
      </c>
      <c r="E877" t="s">
        <v>310</v>
      </c>
      <c r="F877" t="s">
        <v>606</v>
      </c>
      <c r="G877" t="s">
        <v>598</v>
      </c>
      <c r="H877" t="s">
        <v>616</v>
      </c>
      <c r="I877" s="33">
        <v>93338</v>
      </c>
    </row>
    <row r="878" spans="1:9">
      <c r="A878">
        <v>2017</v>
      </c>
      <c r="B878" t="s">
        <v>44</v>
      </c>
      <c r="C878">
        <v>39</v>
      </c>
      <c r="D878" t="s">
        <v>1126</v>
      </c>
      <c r="E878" t="s">
        <v>533</v>
      </c>
      <c r="G878" t="s">
        <v>598</v>
      </c>
      <c r="I878" s="33">
        <v>27171</v>
      </c>
    </row>
    <row r="879" spans="1:9">
      <c r="A879">
        <v>2017</v>
      </c>
      <c r="B879" t="s">
        <v>44</v>
      </c>
      <c r="C879">
        <v>40</v>
      </c>
      <c r="D879" t="s">
        <v>1126</v>
      </c>
      <c r="E879" t="s">
        <v>1301</v>
      </c>
      <c r="I879" s="33">
        <v>72044</v>
      </c>
    </row>
    <row r="880" spans="1:9">
      <c r="A880">
        <v>2017</v>
      </c>
      <c r="B880" t="s">
        <v>44</v>
      </c>
      <c r="C880">
        <v>41</v>
      </c>
      <c r="D880" t="s">
        <v>1126</v>
      </c>
      <c r="E880" t="s">
        <v>1302</v>
      </c>
      <c r="F880" t="s">
        <v>606</v>
      </c>
      <c r="G880" t="s">
        <v>598</v>
      </c>
      <c r="H880" t="s">
        <v>616</v>
      </c>
      <c r="I880" s="33">
        <v>16444489</v>
      </c>
    </row>
    <row r="881" spans="1:9">
      <c r="A881">
        <v>2017</v>
      </c>
      <c r="B881" t="s">
        <v>44</v>
      </c>
      <c r="C881">
        <v>42</v>
      </c>
      <c r="D881" t="s">
        <v>1126</v>
      </c>
      <c r="E881" t="s">
        <v>1303</v>
      </c>
      <c r="F881" t="s">
        <v>606</v>
      </c>
      <c r="G881" t="s">
        <v>598</v>
      </c>
      <c r="H881" t="s">
        <v>658</v>
      </c>
      <c r="I881" s="33">
        <v>11170000</v>
      </c>
    </row>
    <row r="882" spans="1:9">
      <c r="A882">
        <v>2017</v>
      </c>
      <c r="B882" t="s">
        <v>44</v>
      </c>
      <c r="C882">
        <v>43</v>
      </c>
      <c r="D882" t="s">
        <v>1126</v>
      </c>
      <c r="E882" t="s">
        <v>1304</v>
      </c>
      <c r="F882" t="s">
        <v>606</v>
      </c>
      <c r="G882" t="s">
        <v>598</v>
      </c>
      <c r="H882" t="s">
        <v>603</v>
      </c>
      <c r="I882" s="33">
        <v>663773</v>
      </c>
    </row>
    <row r="883" spans="1:9">
      <c r="A883">
        <v>2017</v>
      </c>
      <c r="B883" t="s">
        <v>44</v>
      </c>
      <c r="C883">
        <v>44</v>
      </c>
      <c r="D883" t="s">
        <v>1126</v>
      </c>
      <c r="E883" t="s">
        <v>1305</v>
      </c>
      <c r="G883" t="s">
        <v>598</v>
      </c>
      <c r="H883" t="s">
        <v>607</v>
      </c>
      <c r="I883" s="33">
        <v>16664</v>
      </c>
    </row>
    <row r="884" spans="1:9">
      <c r="A884">
        <v>2017</v>
      </c>
      <c r="B884" t="s">
        <v>44</v>
      </c>
      <c r="C884">
        <v>45</v>
      </c>
      <c r="D884" t="s">
        <v>1126</v>
      </c>
      <c r="E884" t="s">
        <v>1306</v>
      </c>
      <c r="F884" t="s">
        <v>606</v>
      </c>
      <c r="G884" t="s">
        <v>598</v>
      </c>
      <c r="H884" t="s">
        <v>616</v>
      </c>
      <c r="I884" s="33">
        <v>1905999</v>
      </c>
    </row>
    <row r="885" spans="1:9">
      <c r="A885">
        <v>2017</v>
      </c>
      <c r="B885" t="s">
        <v>44</v>
      </c>
      <c r="C885">
        <v>46</v>
      </c>
      <c r="D885" t="s">
        <v>1126</v>
      </c>
      <c r="E885" t="s">
        <v>1307</v>
      </c>
      <c r="F885" t="s">
        <v>597</v>
      </c>
      <c r="G885" t="s">
        <v>598</v>
      </c>
      <c r="H885" t="s">
        <v>707</v>
      </c>
      <c r="I885" s="33">
        <v>285714</v>
      </c>
    </row>
    <row r="886" spans="1:9">
      <c r="A886">
        <v>2017</v>
      </c>
      <c r="B886" t="s">
        <v>44</v>
      </c>
      <c r="C886">
        <v>47</v>
      </c>
      <c r="D886" t="s">
        <v>1126</v>
      </c>
      <c r="E886" t="s">
        <v>1308</v>
      </c>
      <c r="F886" t="s">
        <v>606</v>
      </c>
      <c r="G886" t="s">
        <v>598</v>
      </c>
      <c r="H886" t="s">
        <v>616</v>
      </c>
      <c r="I886" s="33">
        <v>8242805</v>
      </c>
    </row>
    <row r="887" spans="1:9">
      <c r="A887">
        <v>2017</v>
      </c>
      <c r="B887" t="s">
        <v>44</v>
      </c>
      <c r="C887">
        <v>48</v>
      </c>
      <c r="D887" t="s">
        <v>1126</v>
      </c>
      <c r="E887" t="s">
        <v>1309</v>
      </c>
      <c r="G887" t="s">
        <v>598</v>
      </c>
      <c r="I887" s="33">
        <v>12488</v>
      </c>
    </row>
    <row r="888" spans="1:9">
      <c r="A888">
        <v>2017</v>
      </c>
      <c r="B888" t="s">
        <v>44</v>
      </c>
      <c r="C888">
        <v>49</v>
      </c>
      <c r="D888" t="s">
        <v>1126</v>
      </c>
      <c r="E888" t="s">
        <v>1310</v>
      </c>
      <c r="F888" t="s">
        <v>606</v>
      </c>
      <c r="G888" t="s">
        <v>598</v>
      </c>
      <c r="H888" t="s">
        <v>616</v>
      </c>
      <c r="I888" s="33">
        <v>828455</v>
      </c>
    </row>
    <row r="889" spans="1:9">
      <c r="A889">
        <v>2017</v>
      </c>
      <c r="B889" t="s">
        <v>44</v>
      </c>
      <c r="C889">
        <v>50</v>
      </c>
      <c r="D889" t="s">
        <v>1126</v>
      </c>
      <c r="E889" t="s">
        <v>1311</v>
      </c>
      <c r="F889" t="s">
        <v>597</v>
      </c>
      <c r="G889" t="s">
        <v>598</v>
      </c>
      <c r="H889" t="s">
        <v>599</v>
      </c>
      <c r="I889" s="33">
        <v>4886088</v>
      </c>
    </row>
    <row r="890" spans="1:9">
      <c r="A890">
        <v>2017</v>
      </c>
      <c r="B890" t="s">
        <v>44</v>
      </c>
      <c r="C890">
        <v>51</v>
      </c>
      <c r="D890" t="s">
        <v>1126</v>
      </c>
      <c r="E890" t="s">
        <v>1312</v>
      </c>
      <c r="F890" t="s">
        <v>606</v>
      </c>
      <c r="G890" t="s">
        <v>598</v>
      </c>
      <c r="H890" t="s">
        <v>616</v>
      </c>
      <c r="I890" s="33">
        <v>2430165</v>
      </c>
    </row>
    <row r="891" spans="1:9">
      <c r="A891">
        <v>2017</v>
      </c>
      <c r="B891" t="s">
        <v>44</v>
      </c>
      <c r="C891">
        <v>52</v>
      </c>
      <c r="D891" t="s">
        <v>1126</v>
      </c>
      <c r="E891" t="s">
        <v>1313</v>
      </c>
      <c r="I891" s="33">
        <v>18126</v>
      </c>
    </row>
    <row r="892" spans="1:9">
      <c r="A892">
        <v>2017</v>
      </c>
      <c r="B892" t="s">
        <v>44</v>
      </c>
      <c r="C892">
        <v>53</v>
      </c>
      <c r="D892" t="s">
        <v>1126</v>
      </c>
      <c r="E892" t="s">
        <v>411</v>
      </c>
      <c r="F892" t="s">
        <v>606</v>
      </c>
      <c r="G892" t="s">
        <v>598</v>
      </c>
      <c r="H892" t="s">
        <v>616</v>
      </c>
      <c r="I892" s="33">
        <v>8051388</v>
      </c>
    </row>
    <row r="893" spans="1:9">
      <c r="A893">
        <v>2017</v>
      </c>
      <c r="B893" t="s">
        <v>44</v>
      </c>
      <c r="C893">
        <v>54</v>
      </c>
      <c r="D893" t="s">
        <v>1126</v>
      </c>
      <c r="E893" t="s">
        <v>1314</v>
      </c>
      <c r="I893" s="33">
        <v>1785824</v>
      </c>
    </row>
    <row r="894" spans="1:9">
      <c r="A894">
        <v>2017</v>
      </c>
      <c r="B894" t="s">
        <v>44</v>
      </c>
      <c r="C894">
        <v>55</v>
      </c>
      <c r="D894" t="s">
        <v>1126</v>
      </c>
      <c r="E894" t="s">
        <v>1315</v>
      </c>
      <c r="G894" t="s">
        <v>598</v>
      </c>
      <c r="H894" t="s">
        <v>616</v>
      </c>
      <c r="I894" s="33">
        <v>346069</v>
      </c>
    </row>
    <row r="895" spans="1:9">
      <c r="A895">
        <v>2017</v>
      </c>
      <c r="B895" t="s">
        <v>44</v>
      </c>
      <c r="C895">
        <v>56</v>
      </c>
      <c r="D895" t="s">
        <v>1126</v>
      </c>
      <c r="E895" t="s">
        <v>1316</v>
      </c>
      <c r="F895" t="s">
        <v>602</v>
      </c>
      <c r="G895" t="s">
        <v>598</v>
      </c>
      <c r="H895" t="s">
        <v>616</v>
      </c>
      <c r="I895" s="33">
        <v>1159373</v>
      </c>
    </row>
    <row r="896" spans="1:9">
      <c r="A896">
        <v>2017</v>
      </c>
      <c r="B896" t="s">
        <v>44</v>
      </c>
      <c r="C896">
        <v>57</v>
      </c>
      <c r="D896" t="s">
        <v>1126</v>
      </c>
      <c r="E896" t="s">
        <v>1317</v>
      </c>
      <c r="F896" t="s">
        <v>606</v>
      </c>
      <c r="G896" t="s">
        <v>598</v>
      </c>
      <c r="H896" t="s">
        <v>616</v>
      </c>
      <c r="I896" s="33">
        <v>9949926</v>
      </c>
    </row>
    <row r="897" spans="1:9">
      <c r="A897">
        <v>2017</v>
      </c>
      <c r="B897" t="s">
        <v>44</v>
      </c>
      <c r="C897">
        <v>58</v>
      </c>
      <c r="D897" t="s">
        <v>1126</v>
      </c>
      <c r="E897" t="s">
        <v>1318</v>
      </c>
      <c r="I897" s="33">
        <v>53487</v>
      </c>
    </row>
    <row r="898" spans="1:9">
      <c r="A898">
        <v>2017</v>
      </c>
      <c r="B898" t="s">
        <v>44</v>
      </c>
      <c r="C898">
        <v>59</v>
      </c>
      <c r="D898" t="s">
        <v>1126</v>
      </c>
      <c r="E898" t="s">
        <v>490</v>
      </c>
      <c r="F898" t="s">
        <v>606</v>
      </c>
      <c r="G898" t="s">
        <v>598</v>
      </c>
      <c r="H898" t="s">
        <v>658</v>
      </c>
      <c r="I898" s="33">
        <v>212590</v>
      </c>
    </row>
    <row r="899" spans="1:9">
      <c r="A899">
        <v>2017</v>
      </c>
      <c r="B899" t="s">
        <v>44</v>
      </c>
      <c r="C899">
        <v>60</v>
      </c>
      <c r="D899" t="s">
        <v>1126</v>
      </c>
      <c r="E899" t="s">
        <v>1319</v>
      </c>
      <c r="G899" t="s">
        <v>611</v>
      </c>
      <c r="I899" s="33">
        <v>44028</v>
      </c>
    </row>
    <row r="900" spans="1:9">
      <c r="A900">
        <v>2017</v>
      </c>
      <c r="B900" t="s">
        <v>44</v>
      </c>
      <c r="C900">
        <v>61</v>
      </c>
      <c r="D900" t="s">
        <v>1126</v>
      </c>
      <c r="E900" t="s">
        <v>503</v>
      </c>
      <c r="F900" t="s">
        <v>606</v>
      </c>
      <c r="G900" t="s">
        <v>598</v>
      </c>
      <c r="H900" t="s">
        <v>616</v>
      </c>
      <c r="I900" s="33">
        <v>140923</v>
      </c>
    </row>
    <row r="901" spans="1:9">
      <c r="A901">
        <v>2017</v>
      </c>
      <c r="B901" t="s">
        <v>44</v>
      </c>
      <c r="C901">
        <v>62</v>
      </c>
      <c r="D901" t="s">
        <v>1126</v>
      </c>
      <c r="E901" t="s">
        <v>1320</v>
      </c>
      <c r="F901" t="s">
        <v>606</v>
      </c>
      <c r="G901" t="s">
        <v>598</v>
      </c>
      <c r="H901" t="s">
        <v>658</v>
      </c>
      <c r="I901" s="33">
        <v>60600360</v>
      </c>
    </row>
    <row r="902" spans="1:9">
      <c r="A902">
        <v>2017</v>
      </c>
      <c r="B902" t="s">
        <v>44</v>
      </c>
      <c r="C902">
        <v>63</v>
      </c>
      <c r="D902" t="s">
        <v>1126</v>
      </c>
      <c r="E902" t="s">
        <v>492</v>
      </c>
      <c r="G902" t="s">
        <v>598</v>
      </c>
      <c r="H902" t="s">
        <v>616</v>
      </c>
      <c r="I902" s="33">
        <v>194504</v>
      </c>
    </row>
    <row r="903" spans="1:9">
      <c r="A903">
        <v>2017</v>
      </c>
      <c r="B903" t="s">
        <v>44</v>
      </c>
      <c r="C903">
        <v>64</v>
      </c>
      <c r="D903" t="s">
        <v>1126</v>
      </c>
      <c r="E903" t="s">
        <v>1321</v>
      </c>
      <c r="F903" t="s">
        <v>606</v>
      </c>
      <c r="G903" t="s">
        <v>598</v>
      </c>
      <c r="H903" t="s">
        <v>616</v>
      </c>
      <c r="I903" s="33">
        <v>1321360</v>
      </c>
    </row>
    <row r="904" spans="1:9">
      <c r="A904">
        <v>2017</v>
      </c>
      <c r="B904" t="s">
        <v>44</v>
      </c>
      <c r="C904">
        <v>65</v>
      </c>
      <c r="D904" t="s">
        <v>1126</v>
      </c>
      <c r="E904" t="s">
        <v>1322</v>
      </c>
      <c r="I904" s="33">
        <v>311678</v>
      </c>
    </row>
    <row r="905" spans="1:9">
      <c r="A905">
        <v>2017</v>
      </c>
      <c r="B905" t="s">
        <v>44</v>
      </c>
      <c r="C905">
        <v>66</v>
      </c>
      <c r="D905" t="s">
        <v>1126</v>
      </c>
      <c r="E905" t="s">
        <v>1323</v>
      </c>
      <c r="F905" t="s">
        <v>606</v>
      </c>
      <c r="G905" t="s">
        <v>598</v>
      </c>
      <c r="H905" t="s">
        <v>616</v>
      </c>
      <c r="I905" s="33">
        <v>83081</v>
      </c>
    </row>
    <row r="906" spans="1:9">
      <c r="A906">
        <v>2017</v>
      </c>
      <c r="B906" t="s">
        <v>44</v>
      </c>
      <c r="C906">
        <v>67</v>
      </c>
      <c r="D906" t="s">
        <v>1126</v>
      </c>
      <c r="E906" t="s">
        <v>1324</v>
      </c>
      <c r="F906" t="s">
        <v>606</v>
      </c>
      <c r="G906" t="s">
        <v>598</v>
      </c>
      <c r="H906" t="s">
        <v>616</v>
      </c>
      <c r="I906" s="33">
        <v>100318</v>
      </c>
    </row>
    <row r="907" spans="1:9">
      <c r="A907">
        <v>2017</v>
      </c>
      <c r="B907" t="s">
        <v>44</v>
      </c>
      <c r="C907">
        <v>68</v>
      </c>
      <c r="D907" t="s">
        <v>1126</v>
      </c>
      <c r="E907" t="s">
        <v>1325</v>
      </c>
      <c r="F907" t="s">
        <v>606</v>
      </c>
      <c r="G907" t="s">
        <v>598</v>
      </c>
      <c r="H907" t="s">
        <v>616</v>
      </c>
      <c r="I907" s="33">
        <v>5029820</v>
      </c>
    </row>
    <row r="908" spans="1:9">
      <c r="A908">
        <v>2017</v>
      </c>
      <c r="B908" t="s">
        <v>44</v>
      </c>
      <c r="C908">
        <v>69</v>
      </c>
      <c r="D908" t="s">
        <v>1126</v>
      </c>
      <c r="E908" t="s">
        <v>1326</v>
      </c>
      <c r="G908" t="s">
        <v>598</v>
      </c>
      <c r="I908" s="33">
        <v>1327225</v>
      </c>
    </row>
    <row r="909" spans="1:9">
      <c r="A909">
        <v>2017</v>
      </c>
      <c r="B909" t="s">
        <v>44</v>
      </c>
      <c r="C909">
        <v>70</v>
      </c>
      <c r="D909" t="s">
        <v>1126</v>
      </c>
      <c r="E909" t="s">
        <v>1327</v>
      </c>
      <c r="F909" t="s">
        <v>606</v>
      </c>
      <c r="G909" t="s">
        <v>598</v>
      </c>
      <c r="H909" t="s">
        <v>616</v>
      </c>
      <c r="I909" s="33">
        <v>48069252</v>
      </c>
    </row>
    <row r="910" spans="1:9">
      <c r="A910">
        <v>2017</v>
      </c>
      <c r="B910" t="s">
        <v>44</v>
      </c>
      <c r="C910">
        <v>71</v>
      </c>
      <c r="D910" t="s">
        <v>1126</v>
      </c>
      <c r="E910" t="s">
        <v>1328</v>
      </c>
      <c r="G910" t="s">
        <v>598</v>
      </c>
      <c r="I910" s="33">
        <v>20671</v>
      </c>
    </row>
    <row r="911" spans="1:9">
      <c r="A911">
        <v>2017</v>
      </c>
      <c r="B911" t="s">
        <v>44</v>
      </c>
      <c r="C911">
        <v>72</v>
      </c>
      <c r="D911" t="s">
        <v>1126</v>
      </c>
      <c r="E911" t="s">
        <v>1329</v>
      </c>
      <c r="I911" s="33">
        <v>27031</v>
      </c>
    </row>
    <row r="912" spans="1:9">
      <c r="A912">
        <v>2017</v>
      </c>
      <c r="B912" t="s">
        <v>44</v>
      </c>
      <c r="C912">
        <v>73</v>
      </c>
      <c r="D912" t="s">
        <v>1126</v>
      </c>
      <c r="E912" t="s">
        <v>1330</v>
      </c>
      <c r="F912" t="s">
        <v>606</v>
      </c>
      <c r="G912" t="s">
        <v>598</v>
      </c>
      <c r="H912" t="s">
        <v>616</v>
      </c>
      <c r="I912" s="33">
        <v>1170000</v>
      </c>
    </row>
    <row r="913" spans="1:9">
      <c r="A913">
        <v>2017</v>
      </c>
      <c r="B913" t="s">
        <v>44</v>
      </c>
      <c r="C913">
        <v>74</v>
      </c>
      <c r="D913" t="s">
        <v>1126</v>
      </c>
      <c r="E913" t="s">
        <v>1331</v>
      </c>
      <c r="G913" t="s">
        <v>598</v>
      </c>
      <c r="I913" s="33">
        <v>533102</v>
      </c>
    </row>
    <row r="914" spans="1:9">
      <c r="A914">
        <v>2017</v>
      </c>
      <c r="B914" t="s">
        <v>44</v>
      </c>
      <c r="C914">
        <v>75</v>
      </c>
      <c r="D914" t="s">
        <v>1126</v>
      </c>
      <c r="E914" t="s">
        <v>1332</v>
      </c>
      <c r="F914" t="s">
        <v>606</v>
      </c>
      <c r="G914" t="s">
        <v>598</v>
      </c>
      <c r="H914" t="s">
        <v>616</v>
      </c>
      <c r="I914" s="33">
        <v>4964366</v>
      </c>
    </row>
    <row r="915" spans="1:9">
      <c r="A915">
        <v>2017</v>
      </c>
      <c r="B915" t="s">
        <v>44</v>
      </c>
      <c r="C915">
        <v>76</v>
      </c>
      <c r="D915" t="s">
        <v>1126</v>
      </c>
      <c r="E915" t="s">
        <v>1333</v>
      </c>
      <c r="F915" t="s">
        <v>602</v>
      </c>
      <c r="G915" t="s">
        <v>598</v>
      </c>
      <c r="H915" t="s">
        <v>616</v>
      </c>
      <c r="I915" s="33">
        <v>18019652</v>
      </c>
    </row>
    <row r="916" spans="1:9">
      <c r="A916">
        <v>2017</v>
      </c>
      <c r="B916" t="s">
        <v>44</v>
      </c>
      <c r="C916">
        <v>77</v>
      </c>
      <c r="D916" t="s">
        <v>1126</v>
      </c>
      <c r="E916" t="s">
        <v>1334</v>
      </c>
      <c r="F916" t="s">
        <v>606</v>
      </c>
      <c r="G916" t="s">
        <v>598</v>
      </c>
      <c r="H916" t="s">
        <v>616</v>
      </c>
      <c r="I916" s="33">
        <v>886183</v>
      </c>
    </row>
    <row r="917" spans="1:9">
      <c r="A917">
        <v>2017</v>
      </c>
      <c r="B917" t="s">
        <v>44</v>
      </c>
      <c r="C917">
        <v>78</v>
      </c>
      <c r="D917" t="s">
        <v>1126</v>
      </c>
      <c r="E917" s="78" t="s">
        <v>1335</v>
      </c>
      <c r="F917" t="s">
        <v>597</v>
      </c>
      <c r="G917" t="s">
        <v>598</v>
      </c>
      <c r="H917" t="s">
        <v>707</v>
      </c>
      <c r="I917" s="33">
        <v>2955320</v>
      </c>
    </row>
    <row r="918" spans="1:9">
      <c r="A918">
        <v>2017</v>
      </c>
      <c r="B918" t="s">
        <v>44</v>
      </c>
      <c r="C918">
        <v>79</v>
      </c>
      <c r="D918" t="s">
        <v>1126</v>
      </c>
      <c r="E918" t="s">
        <v>1336</v>
      </c>
      <c r="G918" t="s">
        <v>598</v>
      </c>
      <c r="I918" s="33">
        <v>4915</v>
      </c>
    </row>
    <row r="919" spans="1:9">
      <c r="A919">
        <v>2017</v>
      </c>
      <c r="B919" t="s">
        <v>44</v>
      </c>
      <c r="C919">
        <v>80</v>
      </c>
      <c r="D919" t="s">
        <v>1126</v>
      </c>
      <c r="E919" t="s">
        <v>1337</v>
      </c>
      <c r="I919" s="33">
        <v>1302670</v>
      </c>
    </row>
    <row r="920" spans="1:9">
      <c r="A920">
        <v>2017</v>
      </c>
      <c r="B920" t="s">
        <v>44</v>
      </c>
      <c r="C920">
        <v>81</v>
      </c>
      <c r="D920" t="s">
        <v>1126</v>
      </c>
      <c r="E920" t="s">
        <v>1338</v>
      </c>
      <c r="F920" t="s">
        <v>606</v>
      </c>
      <c r="G920" t="s">
        <v>598</v>
      </c>
      <c r="H920" t="s">
        <v>616</v>
      </c>
      <c r="I920" s="33">
        <v>190000</v>
      </c>
    </row>
    <row r="921" spans="1:9">
      <c r="A921">
        <v>2017</v>
      </c>
      <c r="B921" t="s">
        <v>44</v>
      </c>
      <c r="C921">
        <v>82</v>
      </c>
      <c r="D921" t="s">
        <v>1126</v>
      </c>
      <c r="E921" t="s">
        <v>410</v>
      </c>
      <c r="F921" t="s">
        <v>606</v>
      </c>
      <c r="G921" t="s">
        <v>598</v>
      </c>
      <c r="H921" t="s">
        <v>616</v>
      </c>
      <c r="I921" s="33">
        <v>8512220</v>
      </c>
    </row>
    <row r="922" spans="1:9">
      <c r="A922">
        <v>2017</v>
      </c>
      <c r="B922" t="s">
        <v>44</v>
      </c>
      <c r="C922">
        <v>83</v>
      </c>
      <c r="D922" t="s">
        <v>1126</v>
      </c>
      <c r="E922" t="s">
        <v>1339</v>
      </c>
      <c r="F922" t="s">
        <v>606</v>
      </c>
      <c r="G922" t="s">
        <v>703</v>
      </c>
      <c r="H922" t="s">
        <v>603</v>
      </c>
      <c r="I922" s="33">
        <v>10238078</v>
      </c>
    </row>
    <row r="923" spans="1:9">
      <c r="A923">
        <v>2017</v>
      </c>
      <c r="B923" t="s">
        <v>44</v>
      </c>
      <c r="C923">
        <v>84</v>
      </c>
      <c r="D923" t="s">
        <v>1126</v>
      </c>
      <c r="E923" t="s">
        <v>1340</v>
      </c>
      <c r="I923" s="33">
        <v>9772</v>
      </c>
    </row>
    <row r="924" spans="1:9">
      <c r="A924">
        <v>2017</v>
      </c>
      <c r="B924" t="s">
        <v>44</v>
      </c>
      <c r="C924">
        <v>85</v>
      </c>
      <c r="D924" t="s">
        <v>1126</v>
      </c>
      <c r="E924" t="s">
        <v>1341</v>
      </c>
      <c r="H924" t="s">
        <v>603</v>
      </c>
      <c r="I924" s="33">
        <v>492189</v>
      </c>
    </row>
    <row r="925" spans="1:9">
      <c r="A925">
        <v>2017</v>
      </c>
      <c r="B925" t="s">
        <v>44</v>
      </c>
      <c r="C925">
        <v>86</v>
      </c>
      <c r="D925" t="s">
        <v>1126</v>
      </c>
      <c r="E925" t="s">
        <v>418</v>
      </c>
      <c r="F925" t="s">
        <v>606</v>
      </c>
      <c r="G925" t="s">
        <v>598</v>
      </c>
      <c r="H925" t="s">
        <v>616</v>
      </c>
      <c r="I925" s="33">
        <v>5748970</v>
      </c>
    </row>
    <row r="926" spans="1:9">
      <c r="A926">
        <v>2017</v>
      </c>
      <c r="B926" t="s">
        <v>44</v>
      </c>
      <c r="C926">
        <v>87</v>
      </c>
      <c r="D926" t="s">
        <v>1126</v>
      </c>
      <c r="E926" t="s">
        <v>1342</v>
      </c>
      <c r="F926" t="s">
        <v>606</v>
      </c>
      <c r="G926" t="s">
        <v>598</v>
      </c>
      <c r="H926" t="s">
        <v>658</v>
      </c>
      <c r="I926" s="33">
        <v>4433919</v>
      </c>
    </row>
    <row r="927" spans="1:9">
      <c r="A927">
        <v>2017</v>
      </c>
      <c r="B927" t="s">
        <v>44</v>
      </c>
      <c r="C927">
        <v>88</v>
      </c>
      <c r="D927" t="s">
        <v>1126</v>
      </c>
      <c r="E927" t="s">
        <v>1343</v>
      </c>
      <c r="F927" t="s">
        <v>602</v>
      </c>
      <c r="G927" t="s">
        <v>598</v>
      </c>
      <c r="H927" t="s">
        <v>658</v>
      </c>
      <c r="I927" s="33">
        <v>286549</v>
      </c>
    </row>
    <row r="928" spans="1:9">
      <c r="A928">
        <v>2017</v>
      </c>
      <c r="B928" t="s">
        <v>44</v>
      </c>
      <c r="C928">
        <v>89</v>
      </c>
      <c r="D928" t="s">
        <v>1126</v>
      </c>
      <c r="E928" t="s">
        <v>1344</v>
      </c>
      <c r="G928" t="s">
        <v>598</v>
      </c>
      <c r="I928" s="33">
        <v>8224</v>
      </c>
    </row>
    <row r="929" spans="1:9">
      <c r="A929">
        <v>2017</v>
      </c>
      <c r="B929" t="s">
        <v>44</v>
      </c>
      <c r="C929">
        <v>90</v>
      </c>
      <c r="D929" t="s">
        <v>1126</v>
      </c>
      <c r="E929" t="s">
        <v>1345</v>
      </c>
      <c r="I929" s="33">
        <v>638695</v>
      </c>
    </row>
    <row r="930" spans="1:9">
      <c r="A930">
        <v>2017</v>
      </c>
      <c r="B930" t="s">
        <v>44</v>
      </c>
      <c r="C930">
        <v>91</v>
      </c>
      <c r="D930" t="s">
        <v>1126</v>
      </c>
      <c r="E930" t="s">
        <v>1346</v>
      </c>
      <c r="F930" t="s">
        <v>606</v>
      </c>
      <c r="G930" t="s">
        <v>598</v>
      </c>
      <c r="H930" t="s">
        <v>599</v>
      </c>
      <c r="I930" s="33">
        <v>143865</v>
      </c>
    </row>
    <row r="931" spans="1:9">
      <c r="A931">
        <v>2017</v>
      </c>
      <c r="B931" t="s">
        <v>44</v>
      </c>
      <c r="C931">
        <v>92</v>
      </c>
      <c r="D931" t="s">
        <v>1126</v>
      </c>
      <c r="E931" t="s">
        <v>1347</v>
      </c>
      <c r="F931" t="s">
        <v>606</v>
      </c>
      <c r="G931" t="s">
        <v>598</v>
      </c>
      <c r="H931" t="s">
        <v>616</v>
      </c>
      <c r="I931" s="33">
        <v>45698504</v>
      </c>
    </row>
    <row r="932" spans="1:9">
      <c r="A932">
        <v>2017</v>
      </c>
      <c r="B932" t="s">
        <v>45</v>
      </c>
      <c r="C932">
        <v>1</v>
      </c>
      <c r="D932" t="s">
        <v>1064</v>
      </c>
      <c r="E932" t="s">
        <v>1065</v>
      </c>
      <c r="F932" t="s">
        <v>606</v>
      </c>
      <c r="G932" t="s">
        <v>631</v>
      </c>
      <c r="H932" t="s">
        <v>612</v>
      </c>
      <c r="I932" s="33">
        <v>24148488</v>
      </c>
    </row>
    <row r="933" spans="1:9">
      <c r="A933">
        <v>2017</v>
      </c>
      <c r="B933" t="s">
        <v>45</v>
      </c>
      <c r="C933">
        <v>2</v>
      </c>
      <c r="D933" t="s">
        <v>1078</v>
      </c>
      <c r="E933" t="s">
        <v>1079</v>
      </c>
      <c r="F933" t="s">
        <v>1398</v>
      </c>
      <c r="G933" t="s">
        <v>598</v>
      </c>
      <c r="H933" t="s">
        <v>616</v>
      </c>
      <c r="I933" s="33">
        <v>87969037</v>
      </c>
    </row>
    <row r="934" spans="1:9">
      <c r="A934">
        <v>2017</v>
      </c>
      <c r="B934" t="s">
        <v>45</v>
      </c>
      <c r="C934">
        <v>3</v>
      </c>
      <c r="D934" t="s">
        <v>1089</v>
      </c>
      <c r="E934" t="s">
        <v>1090</v>
      </c>
      <c r="F934" t="s">
        <v>606</v>
      </c>
      <c r="G934" t="s">
        <v>598</v>
      </c>
      <c r="H934" t="s">
        <v>616</v>
      </c>
      <c r="I934" s="33">
        <v>36801704</v>
      </c>
    </row>
    <row r="935" spans="1:9">
      <c r="A935">
        <v>2017</v>
      </c>
      <c r="B935" t="s">
        <v>45</v>
      </c>
      <c r="C935">
        <v>4</v>
      </c>
      <c r="D935" t="s">
        <v>1267</v>
      </c>
      <c r="E935" t="s">
        <v>1271</v>
      </c>
      <c r="F935" t="s">
        <v>1398</v>
      </c>
      <c r="G935" t="s">
        <v>598</v>
      </c>
      <c r="H935" t="s">
        <v>603</v>
      </c>
      <c r="I935" s="33">
        <v>46263233</v>
      </c>
    </row>
    <row r="936" spans="1:9">
      <c r="A936">
        <v>2017</v>
      </c>
      <c r="B936" t="s">
        <v>45</v>
      </c>
      <c r="C936">
        <v>5</v>
      </c>
      <c r="D936" t="s">
        <v>1093</v>
      </c>
      <c r="E936" t="s">
        <v>1094</v>
      </c>
      <c r="F936" t="s">
        <v>606</v>
      </c>
      <c r="G936" t="s">
        <v>598</v>
      </c>
      <c r="H936" t="s">
        <v>616</v>
      </c>
      <c r="I936" s="33">
        <v>9499456</v>
      </c>
    </row>
    <row r="937" spans="1:9">
      <c r="A937">
        <v>2017</v>
      </c>
      <c r="B937" t="s">
        <v>45</v>
      </c>
      <c r="C937">
        <v>6</v>
      </c>
      <c r="D937" t="s">
        <v>1103</v>
      </c>
      <c r="E937" t="s">
        <v>1104</v>
      </c>
      <c r="F937" t="s">
        <v>597</v>
      </c>
      <c r="G937" t="s">
        <v>598</v>
      </c>
      <c r="H937" t="s">
        <v>599</v>
      </c>
      <c r="I937" s="33">
        <v>41056</v>
      </c>
    </row>
    <row r="938" spans="1:9">
      <c r="A938">
        <v>2017</v>
      </c>
      <c r="B938" t="s">
        <v>45</v>
      </c>
      <c r="C938">
        <v>7</v>
      </c>
      <c r="D938" t="s">
        <v>1348</v>
      </c>
      <c r="E938" t="s">
        <v>1349</v>
      </c>
      <c r="F938" t="s">
        <v>602</v>
      </c>
      <c r="G938" t="s">
        <v>598</v>
      </c>
      <c r="H938" t="s">
        <v>616</v>
      </c>
      <c r="I938" s="33">
        <v>57155</v>
      </c>
    </row>
    <row r="939" spans="1:9">
      <c r="A939">
        <v>2017</v>
      </c>
      <c r="B939" t="s">
        <v>45</v>
      </c>
      <c r="C939">
        <v>8</v>
      </c>
      <c r="D939" t="s">
        <v>1126</v>
      </c>
      <c r="E939" t="s">
        <v>1304</v>
      </c>
      <c r="F939" t="s">
        <v>606</v>
      </c>
      <c r="G939" t="s">
        <v>598</v>
      </c>
      <c r="H939" t="s">
        <v>603</v>
      </c>
      <c r="I939" s="33">
        <v>663773</v>
      </c>
    </row>
    <row r="940" spans="1:9">
      <c r="A940">
        <v>2017</v>
      </c>
      <c r="B940" t="s">
        <v>45</v>
      </c>
      <c r="C940">
        <v>9</v>
      </c>
      <c r="D940" t="s">
        <v>1126</v>
      </c>
      <c r="E940" t="s">
        <v>1350</v>
      </c>
      <c r="F940" t="s">
        <v>597</v>
      </c>
      <c r="G940" t="s">
        <v>598</v>
      </c>
      <c r="H940" t="s">
        <v>707</v>
      </c>
      <c r="I940" s="33">
        <v>5919976</v>
      </c>
    </row>
    <row r="941" spans="1:9">
      <c r="A941">
        <v>2017</v>
      </c>
      <c r="B941" t="s">
        <v>45</v>
      </c>
      <c r="C941">
        <v>10</v>
      </c>
      <c r="D941" t="s">
        <v>1111</v>
      </c>
      <c r="E941" t="s">
        <v>1112</v>
      </c>
      <c r="F941" t="s">
        <v>597</v>
      </c>
      <c r="G941" t="s">
        <v>598</v>
      </c>
      <c r="H941" t="s">
        <v>707</v>
      </c>
      <c r="I941" s="33">
        <v>0</v>
      </c>
    </row>
    <row r="942" spans="1:9">
      <c r="A942">
        <v>2017</v>
      </c>
      <c r="B942" t="s">
        <v>45</v>
      </c>
      <c r="C942">
        <v>11</v>
      </c>
      <c r="D942" t="s">
        <v>1126</v>
      </c>
      <c r="E942" t="s">
        <v>1351</v>
      </c>
      <c r="F942" t="s">
        <v>606</v>
      </c>
      <c r="G942" t="s">
        <v>703</v>
      </c>
      <c r="H942" t="s">
        <v>612</v>
      </c>
      <c r="I942" s="33">
        <v>6651494</v>
      </c>
    </row>
    <row r="943" spans="1:9">
      <c r="A943">
        <v>2017</v>
      </c>
      <c r="B943" t="s">
        <v>45</v>
      </c>
      <c r="C943">
        <v>12</v>
      </c>
      <c r="D943" t="s">
        <v>1126</v>
      </c>
      <c r="E943" t="s">
        <v>1352</v>
      </c>
      <c r="F943" t="s">
        <v>606</v>
      </c>
      <c r="G943" t="s">
        <v>598</v>
      </c>
      <c r="H943" t="s">
        <v>616</v>
      </c>
      <c r="I943" s="33">
        <v>7052423</v>
      </c>
    </row>
    <row r="944" spans="1:9">
      <c r="A944">
        <v>2017</v>
      </c>
      <c r="B944" t="s">
        <v>45</v>
      </c>
      <c r="C944">
        <v>13</v>
      </c>
      <c r="D944" t="s">
        <v>1126</v>
      </c>
      <c r="E944" t="s">
        <v>1215</v>
      </c>
      <c r="F944" t="s">
        <v>606</v>
      </c>
      <c r="G944" t="s">
        <v>598</v>
      </c>
      <c r="H944" t="s">
        <v>616</v>
      </c>
      <c r="I944" s="33">
        <v>8595808</v>
      </c>
    </row>
    <row r="945" spans="1:9">
      <c r="A945">
        <v>2017</v>
      </c>
      <c r="B945" t="s">
        <v>45</v>
      </c>
      <c r="C945">
        <v>14</v>
      </c>
      <c r="D945" t="s">
        <v>1126</v>
      </c>
      <c r="E945" t="s">
        <v>1353</v>
      </c>
      <c r="F945" t="s">
        <v>606</v>
      </c>
      <c r="I945" s="33">
        <v>207989</v>
      </c>
    </row>
    <row r="946" spans="1:9">
      <c r="A946">
        <v>2017</v>
      </c>
      <c r="B946" t="s">
        <v>45</v>
      </c>
      <c r="C946">
        <v>15</v>
      </c>
      <c r="D946" t="s">
        <v>1354</v>
      </c>
      <c r="E946" t="s">
        <v>1355</v>
      </c>
      <c r="F946" t="s">
        <v>597</v>
      </c>
      <c r="G946" t="s">
        <v>598</v>
      </c>
      <c r="H946" t="s">
        <v>599</v>
      </c>
      <c r="I946" s="33">
        <v>1134</v>
      </c>
    </row>
    <row r="947" spans="1:9">
      <c r="A947">
        <v>2017</v>
      </c>
      <c r="B947" t="s">
        <v>45</v>
      </c>
      <c r="C947">
        <v>16</v>
      </c>
      <c r="D947" t="s">
        <v>1082</v>
      </c>
      <c r="E947" t="s">
        <v>1356</v>
      </c>
      <c r="F947" t="s">
        <v>606</v>
      </c>
      <c r="G947" t="s">
        <v>598</v>
      </c>
      <c r="H947" t="s">
        <v>616</v>
      </c>
      <c r="I947" s="33">
        <v>58807172</v>
      </c>
    </row>
    <row r="948" spans="1:9">
      <c r="A948">
        <v>2017</v>
      </c>
      <c r="B948" t="s">
        <v>45</v>
      </c>
      <c r="C948">
        <v>17</v>
      </c>
      <c r="D948" t="s">
        <v>1358</v>
      </c>
      <c r="E948" t="s">
        <v>1359</v>
      </c>
      <c r="F948" t="s">
        <v>597</v>
      </c>
      <c r="G948" t="s">
        <v>598</v>
      </c>
      <c r="H948" t="s">
        <v>707</v>
      </c>
      <c r="I948" s="33">
        <v>0</v>
      </c>
    </row>
    <row r="949" spans="1:9">
      <c r="A949">
        <v>2017</v>
      </c>
      <c r="B949" t="s">
        <v>45</v>
      </c>
      <c r="C949">
        <v>18</v>
      </c>
      <c r="D949" t="s">
        <v>1126</v>
      </c>
      <c r="E949" t="s">
        <v>1320</v>
      </c>
      <c r="F949" t="s">
        <v>606</v>
      </c>
      <c r="G949" t="s">
        <v>598</v>
      </c>
      <c r="H949" t="s">
        <v>658</v>
      </c>
      <c r="I949" s="33">
        <v>60600360</v>
      </c>
    </row>
    <row r="950" spans="1:9">
      <c r="A950">
        <v>2017</v>
      </c>
      <c r="B950" t="s">
        <v>45</v>
      </c>
      <c r="C950">
        <v>19</v>
      </c>
      <c r="D950" t="s">
        <v>1126</v>
      </c>
      <c r="E950" t="s">
        <v>1360</v>
      </c>
      <c r="F950" t="s">
        <v>606</v>
      </c>
      <c r="G950" t="s">
        <v>598</v>
      </c>
      <c r="H950" t="s">
        <v>616</v>
      </c>
      <c r="I950" s="33">
        <v>6892</v>
      </c>
    </row>
    <row r="951" spans="1:9">
      <c r="A951">
        <v>2017</v>
      </c>
      <c r="B951" t="s">
        <v>45</v>
      </c>
      <c r="C951">
        <v>20</v>
      </c>
      <c r="D951" t="s">
        <v>1126</v>
      </c>
      <c r="E951" t="s">
        <v>1282</v>
      </c>
      <c r="F951" t="s">
        <v>602</v>
      </c>
      <c r="G951" t="s">
        <v>598</v>
      </c>
      <c r="H951" t="s">
        <v>616</v>
      </c>
      <c r="I951" s="33">
        <v>18339343</v>
      </c>
    </row>
    <row r="952" spans="1:9">
      <c r="A952">
        <v>2017</v>
      </c>
      <c r="B952" t="s">
        <v>45</v>
      </c>
      <c r="C952">
        <v>21</v>
      </c>
      <c r="D952" t="s">
        <v>1126</v>
      </c>
      <c r="E952" t="s">
        <v>1361</v>
      </c>
      <c r="G952" t="s">
        <v>598</v>
      </c>
      <c r="H952" t="s">
        <v>616</v>
      </c>
      <c r="I952" s="33">
        <v>0</v>
      </c>
    </row>
    <row r="953" spans="1:9">
      <c r="A953">
        <v>2017</v>
      </c>
      <c r="B953" t="s">
        <v>45</v>
      </c>
      <c r="C953">
        <v>22</v>
      </c>
      <c r="D953" t="s">
        <v>1126</v>
      </c>
      <c r="E953" t="s">
        <v>315</v>
      </c>
      <c r="F953" t="s">
        <v>606</v>
      </c>
      <c r="G953" t="s">
        <v>598</v>
      </c>
      <c r="H953" t="s">
        <v>616</v>
      </c>
      <c r="I953" s="33">
        <v>67678</v>
      </c>
    </row>
    <row r="954" spans="1:9">
      <c r="A954">
        <v>2017</v>
      </c>
      <c r="B954" t="s">
        <v>45</v>
      </c>
      <c r="C954">
        <v>23</v>
      </c>
      <c r="D954" t="s">
        <v>1082</v>
      </c>
      <c r="E954" t="s">
        <v>1362</v>
      </c>
      <c r="F954" t="s">
        <v>606</v>
      </c>
      <c r="G954" t="s">
        <v>598</v>
      </c>
      <c r="H954" t="s">
        <v>616</v>
      </c>
      <c r="I954" s="33">
        <v>13109</v>
      </c>
    </row>
    <row r="955" spans="1:9">
      <c r="A955">
        <v>2017</v>
      </c>
      <c r="B955" t="s">
        <v>45</v>
      </c>
      <c r="C955">
        <v>24</v>
      </c>
      <c r="D955" t="s">
        <v>1364</v>
      </c>
      <c r="E955" t="s">
        <v>1365</v>
      </c>
      <c r="F955" t="s">
        <v>606</v>
      </c>
      <c r="G955" t="s">
        <v>598</v>
      </c>
      <c r="H955" t="s">
        <v>616</v>
      </c>
      <c r="I955" s="33">
        <v>0</v>
      </c>
    </row>
    <row r="956" spans="1:9">
      <c r="A956">
        <v>2017</v>
      </c>
      <c r="B956" t="s">
        <v>45</v>
      </c>
      <c r="C956">
        <v>25</v>
      </c>
      <c r="D956" t="s">
        <v>1126</v>
      </c>
      <c r="E956" t="s">
        <v>1366</v>
      </c>
      <c r="F956" t="s">
        <v>606</v>
      </c>
      <c r="G956" t="s">
        <v>598</v>
      </c>
      <c r="H956" t="s">
        <v>616</v>
      </c>
      <c r="I956" s="33">
        <v>11077852</v>
      </c>
    </row>
    <row r="957" spans="1:9">
      <c r="A957">
        <v>2017</v>
      </c>
      <c r="B957" t="s">
        <v>45</v>
      </c>
      <c r="C957">
        <v>26</v>
      </c>
      <c r="D957" t="s">
        <v>1126</v>
      </c>
      <c r="E957" t="s">
        <v>1325</v>
      </c>
      <c r="F957" t="s">
        <v>606</v>
      </c>
      <c r="G957" t="s">
        <v>598</v>
      </c>
      <c r="H957" t="s">
        <v>616</v>
      </c>
      <c r="I957" s="33">
        <v>5029820</v>
      </c>
    </row>
    <row r="958" spans="1:9">
      <c r="A958">
        <v>2017</v>
      </c>
      <c r="B958" t="s">
        <v>45</v>
      </c>
      <c r="C958">
        <v>27</v>
      </c>
      <c r="D958" t="s">
        <v>1126</v>
      </c>
      <c r="E958" t="s">
        <v>1367</v>
      </c>
      <c r="F958" t="s">
        <v>606</v>
      </c>
      <c r="G958" t="s">
        <v>598</v>
      </c>
      <c r="H958" t="s">
        <v>616</v>
      </c>
      <c r="I958" s="33">
        <v>22178</v>
      </c>
    </row>
    <row r="959" spans="1:9">
      <c r="A959">
        <v>2017</v>
      </c>
      <c r="B959" t="s">
        <v>45</v>
      </c>
      <c r="C959">
        <v>28</v>
      </c>
      <c r="D959" t="s">
        <v>1126</v>
      </c>
      <c r="E959" t="s">
        <v>1368</v>
      </c>
      <c r="F959" t="s">
        <v>606</v>
      </c>
      <c r="G959" t="s">
        <v>598</v>
      </c>
      <c r="H959" t="s">
        <v>616</v>
      </c>
      <c r="I959" s="33">
        <v>231975</v>
      </c>
    </row>
    <row r="960" spans="1:9">
      <c r="A960">
        <v>2017</v>
      </c>
      <c r="B960" t="s">
        <v>45</v>
      </c>
      <c r="C960">
        <v>29</v>
      </c>
      <c r="D960" t="s">
        <v>1126</v>
      </c>
      <c r="E960" t="s">
        <v>1369</v>
      </c>
      <c r="I960" s="33">
        <v>0</v>
      </c>
    </row>
    <row r="961" spans="1:9">
      <c r="A961">
        <v>2017</v>
      </c>
      <c r="B961" t="s">
        <v>46</v>
      </c>
      <c r="C961">
        <v>1</v>
      </c>
      <c r="D961" t="s">
        <v>1103</v>
      </c>
      <c r="E961" t="s">
        <v>1104</v>
      </c>
      <c r="F961" t="s">
        <v>597</v>
      </c>
      <c r="G961" t="s">
        <v>598</v>
      </c>
      <c r="H961" t="s">
        <v>599</v>
      </c>
      <c r="I961" s="33">
        <v>41056</v>
      </c>
    </row>
    <row r="962" spans="1:9">
      <c r="A962">
        <v>2017</v>
      </c>
      <c r="B962" t="s">
        <v>46</v>
      </c>
      <c r="C962">
        <v>2</v>
      </c>
      <c r="D962" t="s">
        <v>1370</v>
      </c>
      <c r="E962" t="s">
        <v>1371</v>
      </c>
      <c r="F962" t="s">
        <v>606</v>
      </c>
      <c r="G962" t="s">
        <v>598</v>
      </c>
      <c r="H962" t="s">
        <v>616</v>
      </c>
      <c r="I962" s="33">
        <v>18870</v>
      </c>
    </row>
    <row r="963" spans="1:9">
      <c r="A963">
        <v>2017</v>
      </c>
      <c r="B963" t="s">
        <v>46</v>
      </c>
      <c r="C963">
        <v>3</v>
      </c>
      <c r="D963" t="s">
        <v>1372</v>
      </c>
      <c r="E963" t="s">
        <v>35</v>
      </c>
      <c r="F963" t="s">
        <v>606</v>
      </c>
      <c r="G963" t="s">
        <v>598</v>
      </c>
      <c r="H963" t="s">
        <v>616</v>
      </c>
      <c r="I963" s="33">
        <v>44900</v>
      </c>
    </row>
    <row r="964" spans="1:9">
      <c r="A964">
        <v>2017</v>
      </c>
      <c r="B964" t="s">
        <v>46</v>
      </c>
      <c r="C964">
        <v>4</v>
      </c>
      <c r="D964" t="s">
        <v>1120</v>
      </c>
      <c r="E964" t="s">
        <v>1373</v>
      </c>
      <c r="F964" t="s">
        <v>606</v>
      </c>
      <c r="G964" t="s">
        <v>598</v>
      </c>
      <c r="H964" t="s">
        <v>616</v>
      </c>
      <c r="I964" s="33">
        <v>244286</v>
      </c>
    </row>
    <row r="965" spans="1:9">
      <c r="A965">
        <v>2017</v>
      </c>
      <c r="B965" t="s">
        <v>46</v>
      </c>
      <c r="C965">
        <v>5</v>
      </c>
      <c r="D965" t="s">
        <v>1126</v>
      </c>
      <c r="E965" t="s">
        <v>453</v>
      </c>
      <c r="F965" t="s">
        <v>606</v>
      </c>
      <c r="G965" t="s">
        <v>598</v>
      </c>
      <c r="H965" t="s">
        <v>603</v>
      </c>
      <c r="I965" s="33">
        <v>775700</v>
      </c>
    </row>
    <row r="966" spans="1:9">
      <c r="A966">
        <v>2017</v>
      </c>
      <c r="B966" t="s">
        <v>46</v>
      </c>
      <c r="C966">
        <v>6</v>
      </c>
      <c r="D966" t="s">
        <v>1126</v>
      </c>
      <c r="E966" t="s">
        <v>1374</v>
      </c>
      <c r="I966" s="33">
        <v>110752</v>
      </c>
    </row>
    <row r="967" spans="1:9">
      <c r="A967">
        <v>2017</v>
      </c>
      <c r="B967" t="s">
        <v>46</v>
      </c>
      <c r="C967">
        <v>7</v>
      </c>
      <c r="D967" t="s">
        <v>1126</v>
      </c>
      <c r="E967" t="s">
        <v>1238</v>
      </c>
      <c r="F967" t="s">
        <v>606</v>
      </c>
      <c r="G967" t="s">
        <v>598</v>
      </c>
      <c r="H967" t="s">
        <v>616</v>
      </c>
      <c r="I967" s="33">
        <v>2749490</v>
      </c>
    </row>
    <row r="968" spans="1:9">
      <c r="A968">
        <v>2017</v>
      </c>
      <c r="B968" t="s">
        <v>46</v>
      </c>
      <c r="C968">
        <v>8</v>
      </c>
      <c r="D968" t="s">
        <v>1126</v>
      </c>
      <c r="E968" t="s">
        <v>1375</v>
      </c>
      <c r="F968" t="s">
        <v>606</v>
      </c>
      <c r="G968" t="s">
        <v>631</v>
      </c>
      <c r="H968" t="s">
        <v>612</v>
      </c>
      <c r="I968" s="33">
        <v>1926435</v>
      </c>
    </row>
    <row r="969" spans="1:9">
      <c r="A969">
        <v>2017</v>
      </c>
      <c r="B969" t="s">
        <v>46</v>
      </c>
      <c r="C969">
        <v>9</v>
      </c>
      <c r="D969" t="s">
        <v>1126</v>
      </c>
      <c r="E969" t="s">
        <v>1376</v>
      </c>
      <c r="I969" s="33">
        <v>4562</v>
      </c>
    </row>
    <row r="970" spans="1:9">
      <c r="A970">
        <v>2017</v>
      </c>
      <c r="B970" t="s">
        <v>46</v>
      </c>
      <c r="C970">
        <v>10</v>
      </c>
      <c r="D970" t="s">
        <v>1097</v>
      </c>
      <c r="E970" t="s">
        <v>58</v>
      </c>
      <c r="F970" t="s">
        <v>606</v>
      </c>
      <c r="G970" t="s">
        <v>598</v>
      </c>
      <c r="H970" t="s">
        <v>616</v>
      </c>
      <c r="I970" s="33">
        <v>4013033</v>
      </c>
    </row>
    <row r="971" spans="1:9">
      <c r="A971">
        <v>2017</v>
      </c>
      <c r="B971" t="s">
        <v>46</v>
      </c>
      <c r="C971">
        <v>11</v>
      </c>
      <c r="D971" t="s">
        <v>1126</v>
      </c>
      <c r="E971" t="s">
        <v>1378</v>
      </c>
      <c r="F971" t="s">
        <v>606</v>
      </c>
      <c r="G971" t="s">
        <v>631</v>
      </c>
      <c r="H971" t="s">
        <v>612</v>
      </c>
      <c r="I971" s="33">
        <v>31505</v>
      </c>
    </row>
    <row r="972" spans="1:9">
      <c r="A972">
        <v>2017</v>
      </c>
      <c r="B972" t="s">
        <v>46</v>
      </c>
      <c r="C972">
        <v>12</v>
      </c>
      <c r="D972" t="s">
        <v>1126</v>
      </c>
      <c r="E972" t="s">
        <v>558</v>
      </c>
      <c r="I972" s="33">
        <v>0</v>
      </c>
    </row>
    <row r="973" spans="1:9">
      <c r="A973">
        <v>2017</v>
      </c>
      <c r="B973" t="s">
        <v>47</v>
      </c>
      <c r="C973">
        <v>1</v>
      </c>
      <c r="D973" t="s">
        <v>1380</v>
      </c>
      <c r="E973" t="s">
        <v>59</v>
      </c>
      <c r="F973" t="s">
        <v>606</v>
      </c>
      <c r="G973" t="s">
        <v>598</v>
      </c>
      <c r="H973" t="s">
        <v>616</v>
      </c>
      <c r="I973" s="33">
        <v>160531</v>
      </c>
    </row>
    <row r="974" spans="1:9">
      <c r="A974">
        <v>2017</v>
      </c>
      <c r="B974" t="s">
        <v>47</v>
      </c>
      <c r="C974">
        <v>2</v>
      </c>
      <c r="D974" t="s">
        <v>1348</v>
      </c>
      <c r="E974" t="s">
        <v>1349</v>
      </c>
      <c r="F974" t="s">
        <v>602</v>
      </c>
      <c r="G974" t="s">
        <v>598</v>
      </c>
      <c r="H974" t="s">
        <v>616</v>
      </c>
      <c r="I974" s="33">
        <v>57155</v>
      </c>
    </row>
    <row r="975" spans="1:9">
      <c r="A975">
        <v>2017</v>
      </c>
      <c r="B975" t="s">
        <v>47</v>
      </c>
      <c r="C975">
        <v>3</v>
      </c>
      <c r="D975" t="s">
        <v>1111</v>
      </c>
      <c r="E975" t="s">
        <v>1381</v>
      </c>
      <c r="F975" t="s">
        <v>606</v>
      </c>
      <c r="G975" t="s">
        <v>598</v>
      </c>
      <c r="H975" t="s">
        <v>616</v>
      </c>
      <c r="I975" s="33">
        <v>0</v>
      </c>
    </row>
    <row r="976" spans="1:9">
      <c r="A976">
        <v>2017</v>
      </c>
      <c r="B976" t="s">
        <v>47</v>
      </c>
      <c r="C976">
        <v>4</v>
      </c>
      <c r="D976" t="s">
        <v>1126</v>
      </c>
      <c r="E976" t="s">
        <v>1382</v>
      </c>
      <c r="F976" t="s">
        <v>597</v>
      </c>
      <c r="G976" t="s">
        <v>598</v>
      </c>
      <c r="H976" t="s">
        <v>599</v>
      </c>
      <c r="I976" s="33">
        <v>6322</v>
      </c>
    </row>
    <row r="977" spans="1:9">
      <c r="A977">
        <v>2017</v>
      </c>
      <c r="B977" t="s">
        <v>47</v>
      </c>
      <c r="C977">
        <v>5</v>
      </c>
      <c r="D977" t="s">
        <v>1383</v>
      </c>
      <c r="E977" t="s">
        <v>1384</v>
      </c>
      <c r="F977" t="s">
        <v>597</v>
      </c>
      <c r="G977" t="s">
        <v>598</v>
      </c>
      <c r="H977" t="s">
        <v>599</v>
      </c>
      <c r="I977" s="33">
        <v>0</v>
      </c>
    </row>
  </sheetData>
  <autoFilter ref="A1:I977" xr:uid="{00000000-0009-0000-0000-000005000000}"/>
  <conditionalFormatting sqref="E2:E259">
    <cfRule type="duplicateValues" dxfId="12" priority="40"/>
  </conditionalFormatting>
  <conditionalFormatting sqref="E2:E977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FF00"/>
  </sheetPr>
  <dimension ref="A1:AH1014"/>
  <sheetViews>
    <sheetView zoomScale="90" zoomScaleNormal="90" workbookViewId="0">
      <pane xSplit="7" ySplit="2" topLeftCell="K541" activePane="bottomRight" state="frozen"/>
      <selection pane="topRight" activeCell="H1" sqref="H1"/>
      <selection pane="bottomLeft" activeCell="B3" sqref="B3"/>
      <selection pane="bottomRight" activeCell="H541" sqref="H541"/>
    </sheetView>
  </sheetViews>
  <sheetFormatPr defaultColWidth="9" defaultRowHeight="14.6" outlineLevelCol="1"/>
  <cols>
    <col min="1" max="1" width="6.15234375" style="3" hidden="1" customWidth="1" outlineLevel="1"/>
    <col min="2" max="2" width="8.53515625" style="4" customWidth="1" collapsed="1"/>
    <col min="3" max="3" width="10.84375" style="4" customWidth="1"/>
    <col min="4" max="4" width="7.23046875" style="3" customWidth="1"/>
    <col min="5" max="5" width="12.69140625" style="3" customWidth="1"/>
    <col min="6" max="6" width="13.53515625" style="3" customWidth="1"/>
    <col min="7" max="7" width="29.3828125" style="5" customWidth="1"/>
    <col min="8" max="8" width="34" style="6" customWidth="1"/>
    <col min="9" max="9" width="16.3828125" style="5" customWidth="1"/>
    <col min="10" max="10" width="13.53515625" style="7" customWidth="1"/>
    <col min="11" max="11" width="15" style="7" customWidth="1"/>
    <col min="12" max="12" width="19.53515625" style="7" hidden="1" customWidth="1" outlineLevel="1"/>
    <col min="13" max="13" width="13.23046875" style="8" customWidth="1" collapsed="1"/>
    <col min="14" max="14" width="12.3828125" style="7" customWidth="1"/>
    <col min="15" max="15" width="20.3828125" style="7" hidden="1" customWidth="1" outlineLevel="1"/>
    <col min="16" max="16" width="13.3828125" style="7" customWidth="1" collapsed="1"/>
    <col min="17" max="17" width="12.23046875" style="7" customWidth="1"/>
    <col min="18" max="18" width="24" style="9" customWidth="1"/>
    <col min="19" max="19" width="24.69140625" style="9" hidden="1" customWidth="1" outlineLevel="1"/>
    <col min="20" max="20" width="20.3828125" style="9" hidden="1" customWidth="1" outlineLevel="1"/>
    <col min="21" max="21" width="14.53515625" style="9" hidden="1" customWidth="1" outlineLevel="1"/>
    <col min="22" max="22" width="25.23046875" style="3" customWidth="1" collapsed="1"/>
    <col min="23" max="23" width="30.84375" style="5" hidden="1" customWidth="1" outlineLevel="1"/>
    <col min="24" max="24" width="22.23046875" style="10" hidden="1" customWidth="1" outlineLevel="1"/>
    <col min="25" max="25" width="17.53515625" style="10" hidden="1" customWidth="1" outlineLevel="1"/>
    <col min="26" max="26" width="19.53515625" style="10" hidden="1" customWidth="1" outlineLevel="1"/>
    <col min="27" max="27" width="17.23046875" style="10" bestFit="1" customWidth="1" collapsed="1"/>
    <col min="28" max="28" width="14.3828125" style="10" hidden="1" customWidth="1" outlineLevel="1"/>
    <col min="29" max="29" width="28.69140625" style="10" customWidth="1" collapsed="1"/>
    <col min="30" max="30" width="15.53515625" style="9" customWidth="1"/>
    <col min="31" max="32" width="9" style="9"/>
    <col min="33" max="34" width="9" customWidth="1"/>
    <col min="35" max="16384" width="9" style="9"/>
  </cols>
  <sheetData>
    <row r="1" spans="1:34" s="74" customFormat="1" ht="45.65" customHeight="1">
      <c r="A1" s="67"/>
      <c r="B1" s="68" t="s">
        <v>1451</v>
      </c>
      <c r="C1" s="68" t="s">
        <v>1452</v>
      </c>
      <c r="D1" s="67"/>
      <c r="E1" s="69" t="s">
        <v>1453</v>
      </c>
      <c r="F1" s="76" t="s">
        <v>1454</v>
      </c>
      <c r="G1" s="70" t="s">
        <v>1453</v>
      </c>
      <c r="H1" s="69" t="s">
        <v>1453</v>
      </c>
      <c r="I1" s="71" t="s">
        <v>1453</v>
      </c>
      <c r="J1" s="72"/>
      <c r="K1" s="72"/>
      <c r="L1" s="72"/>
      <c r="M1" s="73" t="s">
        <v>1453</v>
      </c>
      <c r="N1" s="72" t="s">
        <v>1453</v>
      </c>
      <c r="O1" s="72"/>
      <c r="P1" s="72" t="s">
        <v>1453</v>
      </c>
      <c r="Q1" s="72" t="s">
        <v>1453</v>
      </c>
      <c r="R1" s="74" t="s">
        <v>1453</v>
      </c>
      <c r="S1" s="74" t="s">
        <v>1453</v>
      </c>
      <c r="T1" s="74" t="s">
        <v>1453</v>
      </c>
      <c r="U1" s="74" t="s">
        <v>1453</v>
      </c>
      <c r="V1" s="75" t="s">
        <v>1455</v>
      </c>
      <c r="W1" s="76" t="s">
        <v>1454</v>
      </c>
      <c r="X1" s="76" t="s">
        <v>1454</v>
      </c>
      <c r="Y1" s="76" t="s">
        <v>1454</v>
      </c>
      <c r="Z1" s="76" t="s">
        <v>1454</v>
      </c>
      <c r="AA1" s="76" t="s">
        <v>1454</v>
      </c>
      <c r="AB1" s="77"/>
      <c r="AC1" s="76" t="s">
        <v>1454</v>
      </c>
      <c r="AD1" s="75" t="s">
        <v>1455</v>
      </c>
    </row>
    <row r="2" spans="1:34" ht="51.75" customHeight="1">
      <c r="A2" s="11" t="s">
        <v>1456</v>
      </c>
      <c r="B2" s="11" t="s">
        <v>0</v>
      </c>
      <c r="C2" s="11" t="s">
        <v>1457</v>
      </c>
      <c r="D2" s="11" t="s">
        <v>1458</v>
      </c>
      <c r="E2" s="12" t="s">
        <v>573</v>
      </c>
      <c r="F2" s="12" t="s">
        <v>1459</v>
      </c>
      <c r="G2" s="40" t="s">
        <v>1460</v>
      </c>
      <c r="H2" s="12" t="s">
        <v>586</v>
      </c>
      <c r="I2" s="12" t="s">
        <v>123</v>
      </c>
      <c r="J2" s="13" t="s">
        <v>1461</v>
      </c>
      <c r="K2" s="13" t="s">
        <v>1462</v>
      </c>
      <c r="L2" s="38" t="s">
        <v>1463</v>
      </c>
      <c r="M2" s="43" t="s">
        <v>587</v>
      </c>
      <c r="N2" s="43" t="s">
        <v>588</v>
      </c>
      <c r="O2" s="40" t="s">
        <v>1464</v>
      </c>
      <c r="P2" s="40" t="s">
        <v>589</v>
      </c>
      <c r="Q2" s="40" t="s">
        <v>590</v>
      </c>
      <c r="R2" s="12" t="s">
        <v>591</v>
      </c>
      <c r="S2" s="14" t="s">
        <v>592</v>
      </c>
      <c r="T2" s="14" t="s">
        <v>593</v>
      </c>
      <c r="U2" s="14" t="s">
        <v>1385</v>
      </c>
      <c r="V2" s="14" t="s">
        <v>1465</v>
      </c>
      <c r="W2" s="15" t="s">
        <v>1466</v>
      </c>
      <c r="X2" s="44" t="s">
        <v>1467</v>
      </c>
      <c r="Y2" s="44" t="s">
        <v>1468</v>
      </c>
      <c r="Z2" s="44" t="s">
        <v>1469</v>
      </c>
      <c r="AA2" s="44" t="s">
        <v>1470</v>
      </c>
      <c r="AB2" s="15" t="s">
        <v>1471</v>
      </c>
      <c r="AC2" s="15" t="s">
        <v>1472</v>
      </c>
      <c r="AD2" s="11" t="s">
        <v>1473</v>
      </c>
      <c r="AE2" s="15" t="s">
        <v>1474</v>
      </c>
      <c r="AF2" s="79" t="s">
        <v>1475</v>
      </c>
      <c r="AG2" s="9"/>
      <c r="AH2" s="9"/>
    </row>
    <row r="3" spans="1:34" hidden="1">
      <c r="A3" s="3" t="s">
        <v>1476</v>
      </c>
      <c r="B3" s="4">
        <v>2019</v>
      </c>
      <c r="C3" s="4" t="s">
        <v>44</v>
      </c>
      <c r="D3" s="3">
        <v>1</v>
      </c>
      <c r="E3" s="3" t="s">
        <v>594</v>
      </c>
      <c r="G3" s="5" t="s">
        <v>595</v>
      </c>
      <c r="H3" s="5" t="s">
        <v>596</v>
      </c>
      <c r="I3" s="5" t="s">
        <v>191</v>
      </c>
      <c r="J3" s="7">
        <v>0</v>
      </c>
      <c r="M3" s="8">
        <v>0</v>
      </c>
      <c r="N3" s="7">
        <v>5896</v>
      </c>
      <c r="P3" s="7">
        <v>11596</v>
      </c>
      <c r="Q3" s="7">
        <v>11596</v>
      </c>
      <c r="R3" s="9" t="str">
        <f>VLOOKUP($G3,Others!$E$2:$I$217,2,FALSE)</f>
        <v>Based on Real Life Events</v>
      </c>
      <c r="S3" s="9" t="str">
        <f>VLOOKUP($G3,Others!$E$2:$I$217,3,FALSE)</f>
        <v>Live Action</v>
      </c>
      <c r="T3" s="9" t="str">
        <f>VLOOKUP($G3,Others!$E$2:$I$217,4,FALSE)</f>
        <v>Factual</v>
      </c>
      <c r="U3" s="9" t="str">
        <f>IFERROR(VLOOKUP($G3,Ratings!$E$13:$I$55,5,FALSE),"None")</f>
        <v>Not Rated</v>
      </c>
      <c r="V3" s="3" t="s">
        <v>595</v>
      </c>
      <c r="W3" s="5" t="s">
        <v>595</v>
      </c>
      <c r="X3" s="5" t="s">
        <v>1477</v>
      </c>
      <c r="Y3" s="5"/>
      <c r="Z3" s="5"/>
      <c r="AA3" s="5" t="s">
        <v>1478</v>
      </c>
      <c r="AB3" s="5"/>
      <c r="AC3" s="5"/>
      <c r="AD3" s="4"/>
      <c r="AG3" s="9"/>
      <c r="AH3" s="9"/>
    </row>
    <row r="4" spans="1:34">
      <c r="A4" s="3" t="s">
        <v>1476</v>
      </c>
      <c r="B4" s="4">
        <v>2019</v>
      </c>
      <c r="C4" s="4" t="s">
        <v>44</v>
      </c>
      <c r="D4" s="3">
        <f>D3+1</f>
        <v>2</v>
      </c>
      <c r="E4" s="55" t="s">
        <v>600</v>
      </c>
      <c r="F4" s="3" t="s">
        <v>600</v>
      </c>
      <c r="G4" s="5" t="s">
        <v>390</v>
      </c>
      <c r="H4" s="5" t="s">
        <v>601</v>
      </c>
      <c r="I4" s="5" t="s">
        <v>129</v>
      </c>
      <c r="J4" s="7">
        <v>1600000</v>
      </c>
      <c r="K4" s="57"/>
      <c r="M4" s="8">
        <v>17</v>
      </c>
      <c r="N4" s="7">
        <v>50583</v>
      </c>
      <c r="P4" s="7">
        <v>22268448</v>
      </c>
      <c r="Q4" s="7">
        <v>22369964</v>
      </c>
      <c r="R4" s="9" t="str">
        <f>VLOOKUP($G4,Others!$E$2:$I$217,2,FALSE)</f>
        <v>Based on Fiction Book/Short Story</v>
      </c>
      <c r="S4" s="5" t="str">
        <f>VLOOKUP($G4,Others!$E$2:$I$217,3,FALSE)</f>
        <v>Live Action</v>
      </c>
      <c r="T4" s="10" t="str">
        <f>VLOOKUP($G4,Others!$E$2:$I$217,4,FALSE)</f>
        <v>Fantasy</v>
      </c>
      <c r="U4" s="10" t="str">
        <f>IFERROR(VLOOKUP($G4,Ratings!$E$13:$I$55,5,FALSE),"None")</f>
        <v>Not Rated</v>
      </c>
      <c r="V4" s="6" t="s">
        <v>1479</v>
      </c>
      <c r="W4" s="5" t="s">
        <v>1480</v>
      </c>
      <c r="X4" s="5" t="s">
        <v>1481</v>
      </c>
      <c r="Y4" s="5"/>
      <c r="Z4" s="5"/>
      <c r="AA4" s="5" t="s">
        <v>1482</v>
      </c>
      <c r="AB4" s="5"/>
      <c r="AC4" s="39" t="s">
        <v>1483</v>
      </c>
      <c r="AD4" s="56">
        <v>5.6</v>
      </c>
      <c r="AG4" s="9"/>
      <c r="AH4" s="9"/>
    </row>
    <row r="5" spans="1:34" s="1" customFormat="1">
      <c r="A5" s="3" t="s">
        <v>1476</v>
      </c>
      <c r="B5" s="4">
        <v>2019</v>
      </c>
      <c r="C5" s="4" t="s">
        <v>44</v>
      </c>
      <c r="D5" s="3">
        <f t="shared" ref="D5:D68" si="0">D4+1</f>
        <v>3</v>
      </c>
      <c r="E5" s="55" t="s">
        <v>604</v>
      </c>
      <c r="F5" s="3" t="s">
        <v>604</v>
      </c>
      <c r="G5" s="5" t="s">
        <v>128</v>
      </c>
      <c r="H5" s="5" t="s">
        <v>605</v>
      </c>
      <c r="I5" s="5" t="s">
        <v>129</v>
      </c>
      <c r="J5" s="7">
        <v>50000000</v>
      </c>
      <c r="K5" s="7">
        <v>3000000</v>
      </c>
      <c r="L5" s="7">
        <v>253000000</v>
      </c>
      <c r="M5" s="8">
        <v>129</v>
      </c>
      <c r="N5" s="7">
        <v>1685287</v>
      </c>
      <c r="O5" s="7">
        <v>694626865</v>
      </c>
      <c r="P5" s="7">
        <v>683059335</v>
      </c>
      <c r="Q5" s="7">
        <v>688934822</v>
      </c>
      <c r="R5" s="5" t="str">
        <f>VLOOKUP($G5,Others!$E$2:$I$217,2,FALSE)</f>
        <v>Original Screenplay</v>
      </c>
      <c r="S5" s="5" t="str">
        <f>VLOOKUP($G5,Others!$E$2:$I$217,3,FALSE)</f>
        <v>Live Action</v>
      </c>
      <c r="T5" s="5" t="str">
        <f>VLOOKUP($G5,Others!$E$2:$I$217,4,FALSE)</f>
        <v>Science Fiction</v>
      </c>
      <c r="U5" s="5" t="str">
        <f>IFERROR(VLOOKUP($G5,Ratings!$E$13:$I$55,5,FALSE),"None")</f>
        <v>Not Rated</v>
      </c>
      <c r="V5" s="5" t="s">
        <v>1484</v>
      </c>
      <c r="W5" s="5" t="s">
        <v>1485</v>
      </c>
      <c r="X5" s="5" t="s">
        <v>1486</v>
      </c>
      <c r="Y5" s="5"/>
      <c r="Z5" s="5"/>
      <c r="AA5" s="5" t="s">
        <v>1487</v>
      </c>
      <c r="AB5" s="5"/>
      <c r="AC5" s="5" t="s">
        <v>1488</v>
      </c>
      <c r="AD5" s="9">
        <v>9.1999999999999993</v>
      </c>
      <c r="AE5" s="1" t="s">
        <v>1489</v>
      </c>
    </row>
    <row r="6" spans="1:34">
      <c r="A6" s="3" t="s">
        <v>1476</v>
      </c>
      <c r="B6" s="4">
        <v>2019</v>
      </c>
      <c r="C6" s="4" t="s">
        <v>44</v>
      </c>
      <c r="D6" s="3">
        <f t="shared" si="0"/>
        <v>4</v>
      </c>
      <c r="E6" s="55" t="s">
        <v>608</v>
      </c>
      <c r="F6" s="3" t="s">
        <v>608</v>
      </c>
      <c r="G6" s="5" t="s">
        <v>173</v>
      </c>
      <c r="H6" s="5" t="s">
        <v>609</v>
      </c>
      <c r="I6" s="5" t="s">
        <v>127</v>
      </c>
      <c r="J6" s="7">
        <v>7462686</v>
      </c>
      <c r="K6" s="57" t="s">
        <v>1411</v>
      </c>
      <c r="L6" s="7">
        <v>6417910</v>
      </c>
      <c r="M6" s="8">
        <v>67</v>
      </c>
      <c r="N6" s="7">
        <v>2733367</v>
      </c>
      <c r="O6" s="7">
        <v>18507462</v>
      </c>
      <c r="P6" s="7">
        <v>18521816</v>
      </c>
      <c r="Q6" s="7">
        <v>18653041</v>
      </c>
      <c r="R6" s="5" t="str">
        <f>VLOOKUP($G6,Others!$E$2:$I$217,2,FALSE)</f>
        <v>Based on TV</v>
      </c>
      <c r="S6" s="5" t="str">
        <f>VLOOKUP($G6,Others!$E$2:$I$217,3,FALSE)</f>
        <v>Animation/Live Action</v>
      </c>
      <c r="T6" s="5" t="str">
        <f>VLOOKUP($G6,Others!$E$2:$I$217,4,FALSE)</f>
        <v>Kids Fiction</v>
      </c>
      <c r="U6" s="5" t="str">
        <f>IFERROR(VLOOKUP($G6,Ratings!$E$13:$I$55,5,FALSE),"None")</f>
        <v>G</v>
      </c>
      <c r="V6" s="5" t="s">
        <v>1490</v>
      </c>
      <c r="W6" s="5" t="s">
        <v>1491</v>
      </c>
      <c r="X6" s="5" t="s">
        <v>1492</v>
      </c>
      <c r="Y6" s="5"/>
      <c r="Z6" s="5"/>
      <c r="AA6" s="5" t="s">
        <v>1493</v>
      </c>
      <c r="AB6" s="5"/>
      <c r="AC6" s="5" t="s">
        <v>1494</v>
      </c>
      <c r="AD6" s="9">
        <v>6</v>
      </c>
      <c r="AE6" s="1" t="s">
        <v>1489</v>
      </c>
      <c r="AG6" s="9"/>
      <c r="AH6" s="9"/>
    </row>
    <row r="7" spans="1:34">
      <c r="A7" s="3" t="s">
        <v>1476</v>
      </c>
      <c r="B7" s="4">
        <v>2019</v>
      </c>
      <c r="C7" s="4" t="s">
        <v>44</v>
      </c>
      <c r="D7" s="3">
        <f t="shared" si="0"/>
        <v>5</v>
      </c>
      <c r="E7" s="55" t="s">
        <v>613</v>
      </c>
      <c r="F7" s="3" t="s">
        <v>613</v>
      </c>
      <c r="G7" s="5" t="s">
        <v>614</v>
      </c>
      <c r="H7" s="5" t="s">
        <v>1407</v>
      </c>
      <c r="I7" s="5" t="s">
        <v>127</v>
      </c>
      <c r="J7" s="7">
        <v>25800000</v>
      </c>
      <c r="K7" s="57"/>
      <c r="M7" s="8">
        <v>60570</v>
      </c>
      <c r="N7" s="7">
        <v>3880000</v>
      </c>
      <c r="P7" s="7">
        <v>4957041</v>
      </c>
      <c r="Q7" s="7">
        <v>4957041</v>
      </c>
      <c r="R7" s="39" t="s">
        <v>606</v>
      </c>
      <c r="S7" s="5" t="str">
        <f>VLOOKUP($G7,Others!$E$2:$I$217,3,FALSE)</f>
        <v>Live Action</v>
      </c>
      <c r="T7" s="5" t="str">
        <f>VLOOKUP($G7,Others!$E$2:$I$217,4,FALSE)</f>
        <v>Factual</v>
      </c>
      <c r="U7" s="5" t="str">
        <f>IFERROR(VLOOKUP($G7,Ratings!$E$13:$I$55,5,FALSE),"None")</f>
        <v>None</v>
      </c>
      <c r="V7" s="5" t="s">
        <v>1495</v>
      </c>
      <c r="W7" s="5" t="s">
        <v>1496</v>
      </c>
      <c r="X7" s="5" t="s">
        <v>1497</v>
      </c>
      <c r="Y7" s="5"/>
      <c r="Z7" s="5"/>
      <c r="AA7" s="5" t="s">
        <v>1498</v>
      </c>
      <c r="AB7" s="5"/>
      <c r="AC7" s="39" t="s">
        <v>1499</v>
      </c>
      <c r="AD7" s="47">
        <v>4.4000000000000004</v>
      </c>
      <c r="AG7" s="9"/>
      <c r="AH7" s="9"/>
    </row>
    <row r="8" spans="1:34">
      <c r="A8" s="3" t="s">
        <v>1476</v>
      </c>
      <c r="B8" s="4">
        <v>2019</v>
      </c>
      <c r="C8" s="4" t="s">
        <v>44</v>
      </c>
      <c r="D8" s="3">
        <f t="shared" si="0"/>
        <v>6</v>
      </c>
      <c r="E8" s="55" t="s">
        <v>615</v>
      </c>
      <c r="F8" s="3" t="s">
        <v>615</v>
      </c>
      <c r="G8" s="5" t="s">
        <v>539</v>
      </c>
      <c r="H8" s="5" t="s">
        <v>1500</v>
      </c>
      <c r="I8" s="5" t="s">
        <v>131</v>
      </c>
      <c r="J8" s="7">
        <v>134000</v>
      </c>
      <c r="K8" s="57"/>
      <c r="M8" s="41" t="s">
        <v>1501</v>
      </c>
      <c r="N8" s="7">
        <v>45000</v>
      </c>
      <c r="P8" s="7">
        <v>250000</v>
      </c>
      <c r="Q8" s="7">
        <v>250000</v>
      </c>
      <c r="R8" s="5" t="str">
        <f>VLOOKUP($G8,Others!$E$2:$I$217,2,FALSE)</f>
        <v>Original Screenplay</v>
      </c>
      <c r="S8" s="5" t="str">
        <f>VLOOKUP($G8,Others!$E$2:$I$217,3,FALSE)</f>
        <v>Live Action</v>
      </c>
      <c r="T8" s="5" t="str">
        <f>VLOOKUP($G8,Others!$E$2:$I$217,4,FALSE)</f>
        <v>Contemporary Fiction</v>
      </c>
      <c r="U8" s="5" t="str">
        <f>IFERROR(VLOOKUP($G8,Ratings!$E$13:$I$55,5,FALSE),"None")</f>
        <v>None</v>
      </c>
      <c r="V8" s="5" t="s">
        <v>1502</v>
      </c>
      <c r="W8" s="5" t="s">
        <v>1503</v>
      </c>
      <c r="X8" s="5" t="s">
        <v>1504</v>
      </c>
      <c r="Y8" s="5"/>
      <c r="Z8" s="5"/>
      <c r="AA8" s="5" t="s">
        <v>1505</v>
      </c>
      <c r="AB8" s="5"/>
      <c r="AC8" s="5" t="s">
        <v>1506</v>
      </c>
      <c r="AD8" s="47">
        <v>7.9</v>
      </c>
      <c r="AG8" s="9"/>
      <c r="AH8" s="9"/>
    </row>
    <row r="9" spans="1:34">
      <c r="A9" s="3" t="s">
        <v>1476</v>
      </c>
      <c r="B9" s="4">
        <v>2019</v>
      </c>
      <c r="C9" s="4" t="s">
        <v>44</v>
      </c>
      <c r="D9" s="3">
        <f t="shared" si="0"/>
        <v>7</v>
      </c>
      <c r="E9" s="55" t="s">
        <v>617</v>
      </c>
      <c r="F9" s="3" t="s">
        <v>617</v>
      </c>
      <c r="G9" s="5" t="s">
        <v>399</v>
      </c>
      <c r="H9" s="5" t="s">
        <v>618</v>
      </c>
      <c r="I9" s="5" t="s">
        <v>131</v>
      </c>
      <c r="J9" s="7">
        <v>12000000</v>
      </c>
      <c r="K9" s="57"/>
      <c r="M9" s="8">
        <v>47</v>
      </c>
      <c r="N9" s="7">
        <v>2000000</v>
      </c>
      <c r="P9" s="7">
        <v>11552069</v>
      </c>
      <c r="Q9" s="7">
        <v>11966647</v>
      </c>
      <c r="R9" s="5" t="str">
        <f>VLOOKUP($G9,Others!$E$2:$I$217,2,FALSE)</f>
        <v>Original Screenplay</v>
      </c>
      <c r="S9" s="5" t="str">
        <f>VLOOKUP($G9,Others!$E$2:$I$217,3,FALSE)</f>
        <v>Live Action</v>
      </c>
      <c r="T9" s="5" t="str">
        <f>VLOOKUP($G9,Others!$E$2:$I$217,4,FALSE)</f>
        <v>Contemporary Fiction</v>
      </c>
      <c r="U9" s="5" t="str">
        <f>IFERROR(VLOOKUP($G9,Ratings!$E$13:$I$55,5,FALSE),"None")</f>
        <v>Not Rated</v>
      </c>
      <c r="V9" s="5" t="s">
        <v>1507</v>
      </c>
      <c r="W9" s="5" t="s">
        <v>1508</v>
      </c>
      <c r="X9" s="5" t="s">
        <v>1509</v>
      </c>
      <c r="Y9" s="5"/>
      <c r="Z9" s="5"/>
      <c r="AA9" s="5" t="s">
        <v>1510</v>
      </c>
      <c r="AB9" s="5"/>
      <c r="AC9" s="39" t="s">
        <v>1511</v>
      </c>
      <c r="AD9" s="47">
        <v>7.6</v>
      </c>
      <c r="AG9" s="9"/>
      <c r="AH9" s="9"/>
    </row>
    <row r="10" spans="1:34">
      <c r="A10" s="3" t="s">
        <v>1476</v>
      </c>
      <c r="B10" s="4">
        <v>2019</v>
      </c>
      <c r="C10" s="4" t="s">
        <v>44</v>
      </c>
      <c r="D10" s="3">
        <f t="shared" si="0"/>
        <v>8</v>
      </c>
      <c r="E10" s="55" t="s">
        <v>619</v>
      </c>
      <c r="F10" s="3" t="s">
        <v>619</v>
      </c>
      <c r="G10" s="5" t="s">
        <v>620</v>
      </c>
      <c r="H10" s="5" t="s">
        <v>601</v>
      </c>
      <c r="I10" s="5" t="s">
        <v>154</v>
      </c>
      <c r="J10" s="7">
        <v>12000000</v>
      </c>
      <c r="K10" s="57"/>
      <c r="M10" s="8">
        <v>12</v>
      </c>
      <c r="N10" s="7">
        <v>168740</v>
      </c>
      <c r="P10" s="7">
        <v>269611</v>
      </c>
      <c r="Q10" s="7">
        <v>345900</v>
      </c>
      <c r="R10" s="5" t="str">
        <f>VLOOKUP($G10,Others!$E$2:$I$217,2,FALSE)</f>
        <v>Original Screenplay</v>
      </c>
      <c r="S10" s="5" t="str">
        <f>VLOOKUP($G10,Others!$E$2:$I$217,3,FALSE)</f>
        <v>Live Action</v>
      </c>
      <c r="T10" s="5" t="str">
        <f>VLOOKUP($G10,Others!$E$2:$I$217,4,FALSE)</f>
        <v>Contemporary Fiction</v>
      </c>
      <c r="U10" s="5" t="str">
        <f>IFERROR(VLOOKUP($G10,Ratings!$E$13:$I$55,5,FALSE),"None")</f>
        <v>R</v>
      </c>
      <c r="V10" s="5" t="s">
        <v>1512</v>
      </c>
      <c r="W10" s="5" t="s">
        <v>620</v>
      </c>
      <c r="X10" s="5" t="s">
        <v>1513</v>
      </c>
      <c r="Y10" s="5"/>
      <c r="Z10" s="5"/>
      <c r="AA10" s="5" t="s">
        <v>1514</v>
      </c>
      <c r="AB10" s="5"/>
      <c r="AC10" s="39" t="s">
        <v>1515</v>
      </c>
      <c r="AD10" s="59">
        <v>8</v>
      </c>
      <c r="AG10" s="9"/>
      <c r="AH10" s="9"/>
    </row>
    <row r="11" spans="1:34">
      <c r="A11" s="3" t="s">
        <v>1476</v>
      </c>
      <c r="B11" s="4">
        <v>2019</v>
      </c>
      <c r="C11" s="4" t="s">
        <v>44</v>
      </c>
      <c r="D11" s="3">
        <f t="shared" si="0"/>
        <v>9</v>
      </c>
      <c r="E11" s="55" t="s">
        <v>621</v>
      </c>
      <c r="F11" s="3" t="s">
        <v>621</v>
      </c>
      <c r="G11" s="5" t="s">
        <v>343</v>
      </c>
      <c r="H11" s="5" t="s">
        <v>622</v>
      </c>
      <c r="I11" s="5" t="s">
        <v>131</v>
      </c>
      <c r="J11" s="7">
        <v>1200000</v>
      </c>
      <c r="K11" s="57"/>
      <c r="M11" s="8">
        <v>3</v>
      </c>
      <c r="N11" s="7">
        <v>3207</v>
      </c>
      <c r="P11" s="7">
        <v>0</v>
      </c>
      <c r="Q11" s="7">
        <v>10364</v>
      </c>
      <c r="R11" s="5" t="str">
        <f>VLOOKUP($G11,Others!$E$2:$I$217,2,FALSE)</f>
        <v>Original Screenplay</v>
      </c>
      <c r="S11" s="5" t="str">
        <f>VLOOKUP($G11,Others!$E$2:$I$217,3,FALSE)</f>
        <v>Live Action</v>
      </c>
      <c r="T11" s="5" t="str">
        <f>VLOOKUP($G11,Others!$E$2:$I$217,4,FALSE)</f>
        <v>Contemporary Fiction</v>
      </c>
      <c r="U11" s="5" t="str">
        <f>IFERROR(VLOOKUP($G11,Ratings!$E$13:$I$55,5,FALSE),"None")</f>
        <v>Not Rated</v>
      </c>
      <c r="V11" s="5" t="s">
        <v>1516</v>
      </c>
      <c r="W11" s="5" t="s">
        <v>1517</v>
      </c>
      <c r="X11" s="5" t="s">
        <v>1518</v>
      </c>
      <c r="Y11" s="5"/>
      <c r="Z11" s="5"/>
      <c r="AA11" s="5" t="s">
        <v>1519</v>
      </c>
      <c r="AB11" s="5"/>
      <c r="AC11" s="39" t="s">
        <v>1520</v>
      </c>
      <c r="AD11" s="60" t="s">
        <v>1521</v>
      </c>
      <c r="AG11" s="9"/>
      <c r="AH11" s="9"/>
    </row>
    <row r="12" spans="1:34" ht="15">
      <c r="A12" s="3" t="s">
        <v>1476</v>
      </c>
      <c r="B12" s="4">
        <v>2019</v>
      </c>
      <c r="C12" s="4" t="s">
        <v>44</v>
      </c>
      <c r="D12" s="3">
        <f t="shared" si="0"/>
        <v>10</v>
      </c>
      <c r="E12" s="55" t="s">
        <v>623</v>
      </c>
      <c r="F12" s="3" t="s">
        <v>623</v>
      </c>
      <c r="G12" s="5" t="s">
        <v>392</v>
      </c>
      <c r="H12" s="5" t="s">
        <v>601</v>
      </c>
      <c r="I12" s="5" t="s">
        <v>129</v>
      </c>
      <c r="J12" s="7">
        <v>28000000</v>
      </c>
      <c r="K12" s="57"/>
      <c r="M12" s="8">
        <v>61</v>
      </c>
      <c r="N12" s="7">
        <v>92663</v>
      </c>
      <c r="P12" s="7">
        <v>19572493</v>
      </c>
      <c r="Q12" s="7">
        <v>19781947</v>
      </c>
      <c r="R12" s="5" t="str">
        <f>VLOOKUP($G12,Others!$E$2:$I$217,2,FALSE)</f>
        <v>Original Screenplay</v>
      </c>
      <c r="S12" s="5" t="str">
        <f>VLOOKUP($G12,Others!$E$2:$I$217,3,FALSE)</f>
        <v>Live Action</v>
      </c>
      <c r="T12" s="5">
        <f>VLOOKUP($G12,Others!$E$2:$I$217,4,FALSE)</f>
        <v>0</v>
      </c>
      <c r="U12" s="5" t="str">
        <f>IFERROR(VLOOKUP($G12,Ratings!$E$13:$I$55,5,FALSE),"None")</f>
        <v>Not Rated</v>
      </c>
      <c r="V12" s="5" t="s">
        <v>1522</v>
      </c>
      <c r="W12" s="5" t="s">
        <v>1523</v>
      </c>
      <c r="X12" s="5" t="s">
        <v>1524</v>
      </c>
      <c r="Y12" s="5"/>
      <c r="Z12" s="5"/>
      <c r="AA12" s="5" t="s">
        <v>1525</v>
      </c>
      <c r="AB12" s="5"/>
      <c r="AC12" s="39" t="s">
        <v>1483</v>
      </c>
      <c r="AD12" s="63">
        <v>9</v>
      </c>
      <c r="AG12" s="9"/>
      <c r="AH12" s="9"/>
    </row>
    <row r="13" spans="1:34">
      <c r="A13" s="3" t="s">
        <v>1476</v>
      </c>
      <c r="B13" s="4">
        <v>2019</v>
      </c>
      <c r="C13" s="4" t="s">
        <v>44</v>
      </c>
      <c r="D13" s="3">
        <f t="shared" si="0"/>
        <v>11</v>
      </c>
      <c r="E13" s="55" t="s">
        <v>623</v>
      </c>
      <c r="F13" s="3" t="s">
        <v>623</v>
      </c>
      <c r="G13" s="5" t="s">
        <v>382</v>
      </c>
      <c r="H13" s="5" t="s">
        <v>624</v>
      </c>
      <c r="I13" s="5" t="s">
        <v>131</v>
      </c>
      <c r="J13" s="7">
        <v>7500000</v>
      </c>
      <c r="K13" s="57"/>
      <c r="M13" s="8">
        <v>24</v>
      </c>
      <c r="N13" s="7">
        <v>26746</v>
      </c>
      <c r="P13" s="7">
        <v>41619365</v>
      </c>
      <c r="Q13" s="7">
        <v>42140730</v>
      </c>
      <c r="R13" s="5" t="str">
        <f>VLOOKUP($G13,Others!$E$2:$I$217,2,FALSE)</f>
        <v>Original Screenplay</v>
      </c>
      <c r="S13" s="5" t="str">
        <f>VLOOKUP($G13,Others!$E$2:$I$217,3,FALSE)</f>
        <v>Live Action</v>
      </c>
      <c r="T13" s="5" t="str">
        <f>VLOOKUP($G13,Others!$E$2:$I$217,4,FALSE)</f>
        <v>Contemporary Fiction</v>
      </c>
      <c r="U13" s="5" t="str">
        <f>IFERROR(VLOOKUP($G13,Ratings!$E$13:$I$55,5,FALSE),"None")</f>
        <v>Not Rated</v>
      </c>
      <c r="V13" s="5" t="s">
        <v>1526</v>
      </c>
      <c r="W13" s="5" t="s">
        <v>1527</v>
      </c>
      <c r="X13" s="5" t="s">
        <v>1528</v>
      </c>
      <c r="Y13" s="5" t="s">
        <v>1529</v>
      </c>
      <c r="Z13" s="5" t="s">
        <v>1530</v>
      </c>
      <c r="AA13" s="5" t="s">
        <v>1531</v>
      </c>
      <c r="AB13" s="5"/>
      <c r="AC13" s="39" t="s">
        <v>1532</v>
      </c>
      <c r="AD13" s="47">
        <v>2.6</v>
      </c>
      <c r="AG13" s="9"/>
      <c r="AH13" s="9"/>
    </row>
    <row r="14" spans="1:34">
      <c r="A14" s="3" t="s">
        <v>1476</v>
      </c>
      <c r="B14" s="4">
        <v>2019</v>
      </c>
      <c r="C14" s="4" t="s">
        <v>44</v>
      </c>
      <c r="D14" s="3">
        <f t="shared" si="0"/>
        <v>12</v>
      </c>
      <c r="E14" s="55" t="s">
        <v>625</v>
      </c>
      <c r="F14" s="3" t="s">
        <v>1533</v>
      </c>
      <c r="G14" s="5" t="s">
        <v>209</v>
      </c>
      <c r="H14" s="5" t="s">
        <v>601</v>
      </c>
      <c r="I14" s="5" t="s">
        <v>1403</v>
      </c>
      <c r="J14" s="7">
        <f>100000000/6.7</f>
        <v>14925373.134328358</v>
      </c>
      <c r="K14" s="57" t="s">
        <v>1411</v>
      </c>
      <c r="L14" s="7">
        <f>0.1*100000000/6.7</f>
        <v>1492537.3134328357</v>
      </c>
      <c r="M14" s="8">
        <v>19</v>
      </c>
      <c r="N14" s="7">
        <v>36590</v>
      </c>
      <c r="O14" s="7">
        <f>0.28*100000000/6.7</f>
        <v>4179104.4776119408</v>
      </c>
      <c r="P14" s="7">
        <v>4066011</v>
      </c>
      <c r="Q14" s="7">
        <v>4140502</v>
      </c>
      <c r="R14" s="5" t="str">
        <f>VLOOKUP($G14,Others!$E$2:$I$217,2,FALSE)</f>
        <v>Original Screenplay</v>
      </c>
      <c r="S14" s="5" t="str">
        <f>VLOOKUP($G14,Others!$E$2:$I$217,3,FALSE)</f>
        <v>Live Action</v>
      </c>
      <c r="T14" s="5" t="str">
        <f>VLOOKUP($G14,Others!$E$2:$I$217,4,FALSE)</f>
        <v>Contemporary Fiction</v>
      </c>
      <c r="U14" s="5" t="str">
        <f>IFERROR(VLOOKUP($G14,Ratings!$E$13:$I$55,5,FALSE),"None")</f>
        <v>Not Rated</v>
      </c>
      <c r="V14" s="5" t="s">
        <v>1534</v>
      </c>
      <c r="W14" s="5" t="s">
        <v>1535</v>
      </c>
      <c r="X14" s="5" t="s">
        <v>1536</v>
      </c>
      <c r="Y14" s="5"/>
      <c r="Z14" s="5"/>
      <c r="AA14" s="5" t="s">
        <v>1537</v>
      </c>
      <c r="AB14" s="5"/>
      <c r="AC14" s="5" t="s">
        <v>1538</v>
      </c>
      <c r="AD14" s="9">
        <v>8.4</v>
      </c>
      <c r="AE14" s="1" t="s">
        <v>1489</v>
      </c>
      <c r="AG14" s="9"/>
      <c r="AH14" s="9"/>
    </row>
    <row r="15" spans="1:34" ht="15">
      <c r="A15" s="3" t="s">
        <v>1476</v>
      </c>
      <c r="B15" s="4">
        <v>2019</v>
      </c>
      <c r="C15" s="4" t="s">
        <v>44</v>
      </c>
      <c r="D15" s="3">
        <f t="shared" si="0"/>
        <v>13</v>
      </c>
      <c r="E15" s="55" t="s">
        <v>625</v>
      </c>
      <c r="F15" s="3" t="s">
        <v>625</v>
      </c>
      <c r="G15" s="5" t="s">
        <v>172</v>
      </c>
      <c r="H15" s="5" t="s">
        <v>626</v>
      </c>
      <c r="I15" s="5" t="s">
        <v>131</v>
      </c>
      <c r="J15" s="7">
        <v>4500000</v>
      </c>
      <c r="K15" s="57" t="s">
        <v>1411</v>
      </c>
      <c r="L15" s="7">
        <v>6119403</v>
      </c>
      <c r="M15" s="8">
        <v>33178</v>
      </c>
      <c r="N15" s="7">
        <v>4267156</v>
      </c>
      <c r="O15" s="7">
        <v>18059701</v>
      </c>
      <c r="P15" s="7">
        <v>18914072</v>
      </c>
      <c r="Q15" s="7">
        <v>19005956</v>
      </c>
      <c r="R15" s="5" t="str">
        <f>VLOOKUP($G15,Others!$E$2:$I$217,2,FALSE)</f>
        <v>Original Screenplay</v>
      </c>
      <c r="S15" s="5" t="str">
        <f>VLOOKUP($G15,Others!$E$2:$I$217,3,FALSE)</f>
        <v>Live Action</v>
      </c>
      <c r="T15" s="5" t="str">
        <f>VLOOKUP($G15,Others!$E$2:$I$217,4,FALSE)</f>
        <v>Contemporary Fiction</v>
      </c>
      <c r="U15" s="5" t="str">
        <f>IFERROR(VLOOKUP($G15,Ratings!$E$13:$I$55,5,FALSE),"None")</f>
        <v>Not Rated</v>
      </c>
      <c r="V15" s="5" t="s">
        <v>1539</v>
      </c>
      <c r="W15" s="5" t="s">
        <v>1540</v>
      </c>
      <c r="X15" s="5" t="s">
        <v>1541</v>
      </c>
      <c r="Y15" s="5"/>
      <c r="Z15" s="5"/>
      <c r="AA15" s="5" t="s">
        <v>1542</v>
      </c>
      <c r="AB15" s="5"/>
      <c r="AC15" s="5" t="s">
        <v>1543</v>
      </c>
      <c r="AD15" s="9">
        <v>5.0999999999999996</v>
      </c>
      <c r="AE15" s="1" t="s">
        <v>1489</v>
      </c>
      <c r="AG15" s="9"/>
      <c r="AH15" s="9"/>
    </row>
    <row r="16" spans="1:34">
      <c r="A16" s="3" t="s">
        <v>1476</v>
      </c>
      <c r="B16" s="4">
        <v>2019</v>
      </c>
      <c r="C16" s="4" t="s">
        <v>44</v>
      </c>
      <c r="D16" s="3">
        <f t="shared" si="0"/>
        <v>14</v>
      </c>
      <c r="E16" s="55" t="s">
        <v>625</v>
      </c>
      <c r="F16" s="3" t="s">
        <v>625</v>
      </c>
      <c r="G16" s="5" t="s">
        <v>371</v>
      </c>
      <c r="H16" s="5" t="s">
        <v>601</v>
      </c>
      <c r="I16" s="5" t="s">
        <v>129</v>
      </c>
      <c r="J16" s="7">
        <v>44500000</v>
      </c>
      <c r="K16" s="57"/>
      <c r="M16" s="8">
        <v>53</v>
      </c>
      <c r="N16" s="7">
        <v>9650987</v>
      </c>
      <c r="P16" s="7">
        <v>90941185</v>
      </c>
      <c r="Q16" s="7">
        <v>91462581</v>
      </c>
      <c r="R16" s="5" t="str">
        <f>VLOOKUP($G16,Others!$E$2:$I$217,2,FALSE)</f>
        <v>Original Screenplay</v>
      </c>
      <c r="S16" s="5" t="str">
        <f>VLOOKUP($G16,Others!$E$2:$I$217,3,FALSE)</f>
        <v>Live Action</v>
      </c>
      <c r="T16" s="5" t="str">
        <f>VLOOKUP($G16,Others!$E$2:$I$217,4,FALSE)</f>
        <v>Fantasy</v>
      </c>
      <c r="U16" s="5" t="str">
        <f>IFERROR(VLOOKUP($G16,Ratings!$E$13:$I$55,5,FALSE),"None")</f>
        <v>Not Rated</v>
      </c>
      <c r="V16" s="5" t="s">
        <v>1544</v>
      </c>
      <c r="W16" s="5" t="s">
        <v>1545</v>
      </c>
      <c r="X16" s="5" t="s">
        <v>1546</v>
      </c>
      <c r="Y16" s="5"/>
      <c r="Z16" s="5"/>
      <c r="AA16" s="5" t="s">
        <v>1547</v>
      </c>
      <c r="AB16" s="5"/>
      <c r="AC16" s="39" t="s">
        <v>1548</v>
      </c>
      <c r="AD16" s="47">
        <v>8.1</v>
      </c>
      <c r="AG16" s="9"/>
      <c r="AH16" s="9"/>
    </row>
    <row r="17" spans="1:34" hidden="1">
      <c r="A17" s="3" t="s">
        <v>1476</v>
      </c>
      <c r="B17" s="4">
        <v>2019</v>
      </c>
      <c r="C17" s="4" t="s">
        <v>44</v>
      </c>
      <c r="D17" s="3">
        <f t="shared" si="0"/>
        <v>15</v>
      </c>
      <c r="E17" s="3" t="s">
        <v>627</v>
      </c>
      <c r="G17" s="5" t="s">
        <v>562</v>
      </c>
      <c r="H17" s="5"/>
      <c r="I17" s="5" t="s">
        <v>129</v>
      </c>
      <c r="J17" s="7">
        <v>2280000</v>
      </c>
      <c r="M17" s="8">
        <v>0</v>
      </c>
      <c r="N17" s="7">
        <v>4457000</v>
      </c>
      <c r="P17" s="7">
        <v>0</v>
      </c>
      <c r="Q17" s="7">
        <v>0</v>
      </c>
      <c r="R17" s="5">
        <f>VLOOKUP($G17,Others!$E$2:$I$217,2,FALSE)</f>
        <v>0</v>
      </c>
      <c r="S17" s="5" t="str">
        <f>VLOOKUP($G17,Others!$E$2:$I$217,3,FALSE)</f>
        <v>Live Action</v>
      </c>
      <c r="T17" s="5">
        <f>VLOOKUP($G17,Others!$E$2:$I$217,4,FALSE)</f>
        <v>0</v>
      </c>
      <c r="U17" s="5" t="str">
        <f>IFERROR(VLOOKUP($G17,Ratings!$E$13:$I$55,5,FALSE),"None")</f>
        <v>Not Rated</v>
      </c>
      <c r="V17" s="5" t="s">
        <v>1549</v>
      </c>
      <c r="W17" s="5" t="s">
        <v>1550</v>
      </c>
      <c r="X17" s="5" t="s">
        <v>1551</v>
      </c>
      <c r="Y17" s="5"/>
      <c r="Z17" s="5"/>
      <c r="AA17" s="5" t="s">
        <v>1552</v>
      </c>
      <c r="AB17" s="5"/>
      <c r="AC17" s="5"/>
      <c r="AG17" s="9"/>
      <c r="AH17" s="9"/>
    </row>
    <row r="18" spans="1:34">
      <c r="A18" s="3" t="s">
        <v>1476</v>
      </c>
      <c r="B18" s="4">
        <v>2019</v>
      </c>
      <c r="C18" s="4" t="s">
        <v>44</v>
      </c>
      <c r="D18" s="3">
        <f t="shared" si="0"/>
        <v>16</v>
      </c>
      <c r="E18" s="55" t="s">
        <v>628</v>
      </c>
      <c r="F18" s="3" t="s">
        <v>628</v>
      </c>
      <c r="G18" s="5" t="s">
        <v>351</v>
      </c>
      <c r="H18" s="39" t="s">
        <v>870</v>
      </c>
      <c r="I18" s="5" t="s">
        <v>129</v>
      </c>
      <c r="J18" s="7">
        <v>35000000</v>
      </c>
      <c r="K18" s="57"/>
      <c r="M18" s="41" t="s">
        <v>1501</v>
      </c>
      <c r="N18" s="7">
        <v>10925253</v>
      </c>
      <c r="P18" s="7">
        <v>54000000</v>
      </c>
      <c r="Q18" s="7">
        <v>90100000</v>
      </c>
      <c r="R18" s="5" t="str">
        <f>VLOOKUP($G18,Others!$E$2:$I$217,2,FALSE)</f>
        <v>Original Screenplay</v>
      </c>
      <c r="S18" s="5" t="str">
        <f>VLOOKUP($G18,Others!$E$2:$I$217,3,FALSE)</f>
        <v>Live Action</v>
      </c>
      <c r="T18" s="5" t="str">
        <f>VLOOKUP($G18,Others!$E$2:$I$217,4,FALSE)</f>
        <v>Science Fiction</v>
      </c>
      <c r="U18" s="5" t="str">
        <f>IFERROR(VLOOKUP($G18,Ratings!$E$13:$I$55,5,FALSE),"None")</f>
        <v>Not Rated</v>
      </c>
      <c r="V18" s="39" t="s">
        <v>1553</v>
      </c>
      <c r="W18" s="39" t="s">
        <v>351</v>
      </c>
      <c r="X18" s="80" t="s">
        <v>1554</v>
      </c>
      <c r="Y18" s="80" t="s">
        <v>1555</v>
      </c>
      <c r="Z18" s="80" t="s">
        <v>1556</v>
      </c>
      <c r="AA18" s="39" t="s">
        <v>1557</v>
      </c>
      <c r="AB18" s="5"/>
      <c r="AC18" s="39" t="s">
        <v>1558</v>
      </c>
      <c r="AD18" s="47">
        <v>6.5</v>
      </c>
      <c r="AG18" s="9"/>
      <c r="AH18" s="9"/>
    </row>
    <row r="19" spans="1:34" hidden="1">
      <c r="A19" s="3" t="s">
        <v>1476</v>
      </c>
      <c r="B19" s="4">
        <v>2019</v>
      </c>
      <c r="C19" s="4" t="s">
        <v>44</v>
      </c>
      <c r="D19" s="3">
        <f t="shared" si="0"/>
        <v>17</v>
      </c>
      <c r="E19" s="3" t="s">
        <v>629</v>
      </c>
      <c r="G19" s="5" t="s">
        <v>630</v>
      </c>
      <c r="H19" s="5"/>
      <c r="I19" s="5" t="s">
        <v>127</v>
      </c>
      <c r="J19" s="7">
        <v>0</v>
      </c>
      <c r="M19" s="8">
        <v>0</v>
      </c>
      <c r="N19" s="7">
        <v>0</v>
      </c>
      <c r="P19" s="7">
        <v>1278207</v>
      </c>
      <c r="Q19" s="7">
        <v>1278207</v>
      </c>
      <c r="R19" s="5" t="str">
        <f>VLOOKUP($G19,Others!$E$2:$I$217,2,FALSE)</f>
        <v>Original Screenplay</v>
      </c>
      <c r="S19" s="5" t="str">
        <f>VLOOKUP($G19,Others!$E$2:$I$217,3,FALSE)</f>
        <v>Digital Animation</v>
      </c>
      <c r="T19" s="5" t="str">
        <f>VLOOKUP($G19,Others!$E$2:$I$217,4,FALSE)</f>
        <v>Kids Fiction</v>
      </c>
      <c r="U19" s="5" t="str">
        <f>IFERROR(VLOOKUP($G19,Ratings!$E$13:$I$55,5,FALSE),"None")</f>
        <v>Not Rated</v>
      </c>
      <c r="V19" s="5"/>
      <c r="X19" s="10" t="s">
        <v>1554</v>
      </c>
      <c r="Z19" s="10" t="s">
        <v>1556</v>
      </c>
      <c r="AA19" s="5"/>
      <c r="AB19" s="5"/>
      <c r="AC19" s="5"/>
      <c r="AG19" s="9"/>
      <c r="AH19" s="9"/>
    </row>
    <row r="20" spans="1:34" ht="15">
      <c r="A20" s="3" t="s">
        <v>1476</v>
      </c>
      <c r="B20" s="4">
        <v>2019</v>
      </c>
      <c r="C20" s="4" t="s">
        <v>44</v>
      </c>
      <c r="D20" s="3">
        <f t="shared" si="0"/>
        <v>18</v>
      </c>
      <c r="E20" s="55" t="s">
        <v>632</v>
      </c>
      <c r="F20" s="3" t="s">
        <v>1559</v>
      </c>
      <c r="G20" s="5" t="s">
        <v>633</v>
      </c>
      <c r="H20" s="5" t="s">
        <v>634</v>
      </c>
      <c r="I20" s="5" t="s">
        <v>127</v>
      </c>
      <c r="J20" s="7">
        <f>50000000/6.7</f>
        <v>7462686.5671641789</v>
      </c>
      <c r="K20" s="7">
        <f>30000000/6.7</f>
        <v>4477611.940298507</v>
      </c>
      <c r="L20" s="7">
        <f>1.84*100000000/6.7</f>
        <v>27462686.567164179</v>
      </c>
      <c r="M20" s="41">
        <v>17372</v>
      </c>
      <c r="N20" s="7">
        <v>59300000</v>
      </c>
      <c r="O20" s="7">
        <f>4.87*100000000/6.7</f>
        <v>72686567.164179102</v>
      </c>
      <c r="P20" s="7">
        <v>77072065</v>
      </c>
      <c r="Q20" s="7">
        <v>77072065</v>
      </c>
      <c r="R20" s="5" t="str">
        <f>VLOOKUP($G20,Others!$E$2:$I$217,2,FALSE)</f>
        <v>Original Screenplay</v>
      </c>
      <c r="S20" s="5" t="str">
        <f>VLOOKUP($G20,Others!$E$2:$I$217,3,FALSE)</f>
        <v>Digital Animation</v>
      </c>
      <c r="T20" s="5" t="str">
        <f>VLOOKUP($G20,Others!$E$2:$I$217,4,FALSE)</f>
        <v>Kids Fiction</v>
      </c>
      <c r="U20" s="5" t="str">
        <f>IFERROR(VLOOKUP($G20,Ratings!$E$13:$I$55,5,FALSE),"None")</f>
        <v>G</v>
      </c>
      <c r="V20" s="45" t="s">
        <v>1560</v>
      </c>
      <c r="W20" s="5" t="s">
        <v>633</v>
      </c>
      <c r="X20" s="5" t="s">
        <v>1561</v>
      </c>
      <c r="Y20" s="5" t="s">
        <v>1562</v>
      </c>
      <c r="AA20" s="5" t="s">
        <v>1563</v>
      </c>
      <c r="AB20" s="5"/>
      <c r="AC20" s="5" t="s">
        <v>1564</v>
      </c>
      <c r="AD20" s="9">
        <v>9.1</v>
      </c>
      <c r="AE20" s="9" t="s">
        <v>1489</v>
      </c>
      <c r="AG20" s="9"/>
      <c r="AH20" s="9"/>
    </row>
    <row r="21" spans="1:34" hidden="1">
      <c r="A21" s="3" t="s">
        <v>1476</v>
      </c>
      <c r="B21" s="4">
        <v>2019</v>
      </c>
      <c r="C21" s="4" t="s">
        <v>44</v>
      </c>
      <c r="D21" s="3">
        <f t="shared" si="0"/>
        <v>19</v>
      </c>
      <c r="E21" s="3" t="s">
        <v>638</v>
      </c>
      <c r="G21" s="5" t="s">
        <v>354</v>
      </c>
      <c r="H21" s="5"/>
      <c r="I21" s="5" t="s">
        <v>129</v>
      </c>
      <c r="J21" s="7">
        <v>0</v>
      </c>
      <c r="M21" s="8">
        <v>0</v>
      </c>
      <c r="N21" s="7">
        <v>0</v>
      </c>
      <c r="P21" s="7">
        <v>0</v>
      </c>
      <c r="Q21" s="7">
        <v>0</v>
      </c>
      <c r="R21" s="5">
        <f>VLOOKUP($G21,Others!$E$2:$I$217,2,FALSE)</f>
        <v>0</v>
      </c>
      <c r="S21" s="5" t="str">
        <f>VLOOKUP($G21,Others!$E$2:$I$217,3,FALSE)</f>
        <v>Live Action</v>
      </c>
      <c r="T21" s="5">
        <f>VLOOKUP($G21,Others!$E$2:$I$217,4,FALSE)</f>
        <v>0</v>
      </c>
      <c r="U21" s="5" t="str">
        <f>IFERROR(VLOOKUP($G21,Ratings!$E$13:$I$55,5,FALSE),"None")</f>
        <v>Not Rated</v>
      </c>
      <c r="V21" s="5"/>
      <c r="AA21" s="5"/>
      <c r="AB21" s="5"/>
      <c r="AG21" s="9"/>
      <c r="AH21" s="9"/>
    </row>
    <row r="22" spans="1:34">
      <c r="A22" s="3" t="s">
        <v>1476</v>
      </c>
      <c r="B22" s="4">
        <v>2019</v>
      </c>
      <c r="C22" s="4" t="s">
        <v>44</v>
      </c>
      <c r="D22" s="3">
        <f t="shared" si="0"/>
        <v>20</v>
      </c>
      <c r="E22" s="55" t="s">
        <v>639</v>
      </c>
      <c r="F22" s="3" t="s">
        <v>639</v>
      </c>
      <c r="G22" s="5" t="s">
        <v>142</v>
      </c>
      <c r="H22" s="5" t="s">
        <v>626</v>
      </c>
      <c r="I22" s="5" t="s">
        <v>131</v>
      </c>
      <c r="J22" s="7">
        <v>12000000</v>
      </c>
      <c r="K22" s="57"/>
      <c r="M22" s="41">
        <v>121643</v>
      </c>
      <c r="N22" s="42">
        <v>5560000</v>
      </c>
      <c r="P22" s="7">
        <v>127897924</v>
      </c>
      <c r="Q22" s="7">
        <v>127897924</v>
      </c>
      <c r="R22" s="5" t="str">
        <f>VLOOKUP($G22,Others!$E$2:$I$217,2,FALSE)</f>
        <v>Original Screenplay</v>
      </c>
      <c r="S22" s="5" t="str">
        <f>VLOOKUP($G22,Others!$E$2:$I$217,3,FALSE)</f>
        <v>Live Action</v>
      </c>
      <c r="T22" s="5" t="str">
        <f>VLOOKUP($G22,Others!$E$2:$I$217,4,FALSE)</f>
        <v>Fantasy</v>
      </c>
      <c r="U22" s="5" t="str">
        <f>IFERROR(VLOOKUP($G22,Ratings!$E$13:$I$55,5,FALSE),"None")</f>
        <v>Not Rated</v>
      </c>
      <c r="V22" s="39" t="s">
        <v>1565</v>
      </c>
      <c r="W22" s="39" t="s">
        <v>1566</v>
      </c>
      <c r="X22" s="80" t="s">
        <v>1546</v>
      </c>
      <c r="Y22" s="80" t="s">
        <v>1567</v>
      </c>
      <c r="Z22" s="80" t="s">
        <v>1568</v>
      </c>
      <c r="AA22" s="80" t="s">
        <v>1546</v>
      </c>
      <c r="AB22" s="39" t="s">
        <v>1569</v>
      </c>
      <c r="AC22" s="50" t="s">
        <v>1570</v>
      </c>
      <c r="AD22" s="47">
        <v>9.4</v>
      </c>
      <c r="AG22" s="9"/>
      <c r="AH22" s="9"/>
    </row>
    <row r="23" spans="1:34">
      <c r="A23" s="3" t="s">
        <v>1476</v>
      </c>
      <c r="B23" s="4">
        <v>2019</v>
      </c>
      <c r="C23" s="4" t="s">
        <v>44</v>
      </c>
      <c r="D23" s="3">
        <f t="shared" si="0"/>
        <v>21</v>
      </c>
      <c r="E23" s="55" t="s">
        <v>640</v>
      </c>
      <c r="F23" s="3" t="s">
        <v>640</v>
      </c>
      <c r="G23" s="5" t="s">
        <v>138</v>
      </c>
      <c r="H23" s="5" t="s">
        <v>641</v>
      </c>
      <c r="I23" s="5" t="s">
        <v>131</v>
      </c>
      <c r="J23" s="7">
        <v>56400000</v>
      </c>
      <c r="K23" s="57"/>
      <c r="M23" s="8">
        <v>150</v>
      </c>
      <c r="N23" s="7">
        <v>98500000</v>
      </c>
      <c r="P23" s="7">
        <v>244889313</v>
      </c>
      <c r="Q23" s="7">
        <v>245179530</v>
      </c>
      <c r="R23" s="54" t="str">
        <f>VLOOKUP($G23,Others!$E$2:$I$217,2,FALSE)</f>
        <v>Based on Real Life Events</v>
      </c>
      <c r="S23" s="5" t="str">
        <f>VLOOKUP($G23,Others!$E$2:$I$217,3,FALSE)</f>
        <v>Live Action</v>
      </c>
      <c r="T23" s="5" t="str">
        <f>VLOOKUP($G23,Others!$E$2:$I$217,4,FALSE)</f>
        <v>Dramatization</v>
      </c>
      <c r="U23" s="5" t="str">
        <f>IFERROR(VLOOKUP($G23,Ratings!$E$13:$I$55,5,FALSE),"None")</f>
        <v>PG-13</v>
      </c>
      <c r="V23" s="39" t="s">
        <v>1571</v>
      </c>
      <c r="W23" s="39" t="s">
        <v>1572</v>
      </c>
      <c r="X23" s="80" t="s">
        <v>1573</v>
      </c>
      <c r="Y23" s="80" t="s">
        <v>1574</v>
      </c>
      <c r="Z23" s="80" t="s">
        <v>1575</v>
      </c>
      <c r="AA23" s="39" t="s">
        <v>1576</v>
      </c>
      <c r="AB23" s="5"/>
      <c r="AC23" s="50" t="s">
        <v>1577</v>
      </c>
      <c r="AD23" s="47">
        <v>9.4</v>
      </c>
      <c r="AG23" s="9"/>
      <c r="AH23" s="9"/>
    </row>
    <row r="24" spans="1:34">
      <c r="A24" s="3" t="s">
        <v>1476</v>
      </c>
      <c r="B24" s="4">
        <v>2019</v>
      </c>
      <c r="C24" s="4" t="s">
        <v>44</v>
      </c>
      <c r="D24" s="3">
        <f t="shared" si="0"/>
        <v>22</v>
      </c>
      <c r="E24" s="55" t="s">
        <v>640</v>
      </c>
      <c r="F24" s="3" t="s">
        <v>640</v>
      </c>
      <c r="G24" s="5" t="s">
        <v>1578</v>
      </c>
      <c r="H24" s="5" t="s">
        <v>626</v>
      </c>
      <c r="I24" s="5" t="s">
        <v>131</v>
      </c>
      <c r="J24" s="7">
        <v>10900000</v>
      </c>
      <c r="K24" s="57"/>
      <c r="M24" s="8">
        <v>2</v>
      </c>
      <c r="N24" s="7">
        <v>296516000</v>
      </c>
      <c r="P24" s="7">
        <v>451176640</v>
      </c>
      <c r="Q24" s="7">
        <v>451183392</v>
      </c>
      <c r="R24" s="5" t="str">
        <f>VLOOKUP($G24,Others!$E$2:$I$217,2,FALSE)</f>
        <v>Original Screenplay</v>
      </c>
      <c r="S24" s="5" t="str">
        <f>VLOOKUP($G24,Others!$E$2:$I$217,3,FALSE)</f>
        <v>Live Action</v>
      </c>
      <c r="T24" s="5" t="str">
        <f>VLOOKUP($G24,Others!$E$2:$I$217,4,FALSE)</f>
        <v>Contemporary Fiction</v>
      </c>
      <c r="U24" s="5" t="str">
        <f>IFERROR(VLOOKUP($G24,Ratings!$E$13:$I$55,5,FALSE),"None")</f>
        <v>None</v>
      </c>
      <c r="V24" s="5" t="s">
        <v>1579</v>
      </c>
      <c r="W24" s="39" t="s">
        <v>1580</v>
      </c>
      <c r="X24" s="50" t="s">
        <v>1581</v>
      </c>
      <c r="Y24" s="50" t="s">
        <v>1582</v>
      </c>
      <c r="Z24" s="50" t="s">
        <v>1583</v>
      </c>
      <c r="AA24" s="39" t="s">
        <v>1584</v>
      </c>
      <c r="AB24" s="5"/>
      <c r="AC24" s="50" t="s">
        <v>1585</v>
      </c>
      <c r="AD24" s="47">
        <v>9.6</v>
      </c>
      <c r="AG24" s="9"/>
      <c r="AH24" s="9"/>
    </row>
    <row r="25" spans="1:34" hidden="1">
      <c r="A25" s="3" t="s">
        <v>1476</v>
      </c>
      <c r="B25" s="4">
        <v>2019</v>
      </c>
      <c r="C25" s="4" t="s">
        <v>44</v>
      </c>
      <c r="D25" s="3">
        <f t="shared" si="0"/>
        <v>23</v>
      </c>
      <c r="E25" s="3" t="s">
        <v>642</v>
      </c>
      <c r="G25" s="5" t="s">
        <v>355</v>
      </c>
      <c r="H25" s="5"/>
      <c r="I25" s="5" t="s">
        <v>129</v>
      </c>
      <c r="J25" s="7">
        <v>35000</v>
      </c>
      <c r="M25" s="8">
        <v>0</v>
      </c>
      <c r="N25" s="7">
        <v>0</v>
      </c>
      <c r="P25" s="7">
        <v>0</v>
      </c>
      <c r="Q25" s="7">
        <v>0</v>
      </c>
      <c r="R25" s="5" t="str">
        <f>VLOOKUP($G25,Others!$E$2:$I$217,2,FALSE)</f>
        <v>Original Screenplay</v>
      </c>
      <c r="S25" s="5" t="str">
        <f>VLOOKUP($G25,Others!$E$2:$I$217,3,FALSE)</f>
        <v>Live Action</v>
      </c>
      <c r="T25" s="5" t="str">
        <f>VLOOKUP($G25,Others!$E$2:$I$217,4,FALSE)</f>
        <v>Science Fiction</v>
      </c>
      <c r="U25" s="5" t="str">
        <f>IFERROR(VLOOKUP($G25,Ratings!$E$13:$I$55,5,FALSE),"None")</f>
        <v>Not Rated</v>
      </c>
      <c r="V25" s="5"/>
      <c r="AA25" s="5"/>
      <c r="AB25" s="5"/>
      <c r="AG25" s="9"/>
      <c r="AH25" s="9"/>
    </row>
    <row r="26" spans="1:34" hidden="1">
      <c r="A26" s="3" t="s">
        <v>1476</v>
      </c>
      <c r="B26" s="4">
        <v>2019</v>
      </c>
      <c r="C26" s="4" t="s">
        <v>44</v>
      </c>
      <c r="D26" s="3">
        <f t="shared" si="0"/>
        <v>24</v>
      </c>
      <c r="E26" s="3" t="s">
        <v>643</v>
      </c>
      <c r="G26" s="5" t="s">
        <v>644</v>
      </c>
      <c r="H26" s="5" t="s">
        <v>601</v>
      </c>
      <c r="I26" s="5" t="s">
        <v>129</v>
      </c>
      <c r="J26" s="7">
        <v>0</v>
      </c>
      <c r="M26" s="8">
        <v>17</v>
      </c>
      <c r="N26" s="7">
        <v>27773856</v>
      </c>
      <c r="P26" s="7">
        <v>98147657</v>
      </c>
      <c r="Q26" s="7">
        <v>98444408</v>
      </c>
      <c r="R26" s="5">
        <f>VLOOKUP($G26,Others!$E$2:$I$217,2,FALSE)</f>
        <v>0</v>
      </c>
      <c r="S26" s="5" t="str">
        <f>VLOOKUP($G26,Others!$E$2:$I$217,3,FALSE)</f>
        <v>Live Action</v>
      </c>
      <c r="T26" s="5">
        <f>VLOOKUP($G26,Others!$E$2:$I$217,4,FALSE)</f>
        <v>0</v>
      </c>
      <c r="U26" s="5" t="str">
        <f>IFERROR(VLOOKUP($G26,Ratings!$E$13:$I$55,5,FALSE),"None")</f>
        <v>Not Rated</v>
      </c>
      <c r="V26" s="5"/>
      <c r="AA26" s="5"/>
      <c r="AB26" s="5"/>
      <c r="AG26" s="9"/>
      <c r="AH26" s="9"/>
    </row>
    <row r="27" spans="1:34">
      <c r="A27" s="3" t="s">
        <v>1476</v>
      </c>
      <c r="B27" s="4">
        <v>2019</v>
      </c>
      <c r="C27" s="4" t="s">
        <v>44</v>
      </c>
      <c r="D27" s="3">
        <f t="shared" si="0"/>
        <v>25</v>
      </c>
      <c r="E27" s="3" t="s">
        <v>645</v>
      </c>
      <c r="F27" s="22" t="s">
        <v>1586</v>
      </c>
      <c r="G27" s="5" t="s">
        <v>445</v>
      </c>
      <c r="H27" s="39" t="s">
        <v>1501</v>
      </c>
      <c r="I27" s="5" t="s">
        <v>131</v>
      </c>
      <c r="J27" s="7">
        <v>1000000</v>
      </c>
      <c r="K27" s="57"/>
      <c r="M27" s="41">
        <v>25926</v>
      </c>
      <c r="N27" s="7">
        <v>780400</v>
      </c>
      <c r="P27" s="7">
        <v>1079373</v>
      </c>
      <c r="Q27" s="7">
        <v>1079373</v>
      </c>
      <c r="R27" s="39" t="s">
        <v>606</v>
      </c>
      <c r="S27" s="5" t="str">
        <f>VLOOKUP($G27,Others!$E$2:$I$217,3,FALSE)</f>
        <v>Live Action</v>
      </c>
      <c r="T27" s="5">
        <f>VLOOKUP($G27,Others!$E$2:$I$217,4,FALSE)</f>
        <v>0</v>
      </c>
      <c r="U27" s="5" t="str">
        <f>IFERROR(VLOOKUP($G27,Ratings!$E$13:$I$55,5,FALSE),"None")</f>
        <v>Not Rated</v>
      </c>
      <c r="V27" s="39" t="s">
        <v>1587</v>
      </c>
      <c r="W27" s="39" t="s">
        <v>1588</v>
      </c>
      <c r="X27" s="50" t="s">
        <v>1589</v>
      </c>
      <c r="Y27" s="50" t="s">
        <v>1590</v>
      </c>
      <c r="AA27" s="39" t="s">
        <v>1591</v>
      </c>
      <c r="AB27" s="5"/>
      <c r="AC27" s="80" t="s">
        <v>1501</v>
      </c>
      <c r="AD27" s="47">
        <v>7.8</v>
      </c>
      <c r="AG27" s="9"/>
      <c r="AH27" s="9"/>
    </row>
    <row r="28" spans="1:34" ht="15">
      <c r="A28" s="3" t="s">
        <v>1476</v>
      </c>
      <c r="B28" s="4">
        <v>2019</v>
      </c>
      <c r="C28" s="4" t="s">
        <v>44</v>
      </c>
      <c r="D28" s="3">
        <f t="shared" si="0"/>
        <v>26</v>
      </c>
      <c r="E28" s="55" t="s">
        <v>646</v>
      </c>
      <c r="F28" s="3" t="s">
        <v>646</v>
      </c>
      <c r="G28" s="5" t="s">
        <v>6</v>
      </c>
      <c r="H28" s="5" t="s">
        <v>601</v>
      </c>
      <c r="I28" s="5" t="s">
        <v>127</v>
      </c>
      <c r="J28" s="7">
        <v>20000000</v>
      </c>
      <c r="K28" s="57"/>
      <c r="M28" s="8">
        <v>135</v>
      </c>
      <c r="N28" s="7">
        <v>1164810</v>
      </c>
      <c r="P28" s="7">
        <v>738818536</v>
      </c>
      <c r="Q28" s="7">
        <v>742514069</v>
      </c>
      <c r="R28" s="5" t="str">
        <f>VLOOKUP($G28,Others!$E$2:$I$217,2,FALSE)</f>
        <v>Original Screenplay</v>
      </c>
      <c r="S28" s="5" t="str">
        <f>VLOOKUP($G28,Others!$E$2:$I$217,3,FALSE)</f>
        <v>Digital Animation</v>
      </c>
      <c r="T28" s="5" t="str">
        <f>VLOOKUP($G28,Others!$E$2:$I$217,4,FALSE)</f>
        <v>Fantasy</v>
      </c>
      <c r="U28" s="5" t="str">
        <f>IFERROR(VLOOKUP($G28,Ratings!$E$13:$I$55,5,FALSE),"None")</f>
        <v>Not Rated</v>
      </c>
      <c r="V28" s="5" t="s">
        <v>1592</v>
      </c>
      <c r="W28" s="39" t="s">
        <v>1593</v>
      </c>
      <c r="X28" s="39" t="s">
        <v>1594</v>
      </c>
      <c r="Y28" s="39" t="s">
        <v>1561</v>
      </c>
      <c r="Z28" s="39" t="s">
        <v>1595</v>
      </c>
      <c r="AA28" s="39" t="s">
        <v>1596</v>
      </c>
      <c r="AB28" s="5"/>
      <c r="AC28" s="50" t="s">
        <v>1597</v>
      </c>
      <c r="AD28" s="47">
        <v>9.6</v>
      </c>
      <c r="AG28" s="9"/>
      <c r="AH28" s="9"/>
    </row>
    <row r="29" spans="1:34">
      <c r="A29" s="3" t="s">
        <v>1476</v>
      </c>
      <c r="B29" s="4">
        <v>2019</v>
      </c>
      <c r="C29" s="4" t="s">
        <v>44</v>
      </c>
      <c r="D29" s="3">
        <f t="shared" si="0"/>
        <v>27</v>
      </c>
      <c r="E29" s="55" t="s">
        <v>647</v>
      </c>
      <c r="F29" s="3" t="s">
        <v>647</v>
      </c>
      <c r="G29" s="5" t="s">
        <v>174</v>
      </c>
      <c r="H29" s="39" t="s">
        <v>1598</v>
      </c>
      <c r="I29" s="5" t="s">
        <v>131</v>
      </c>
      <c r="J29" s="7">
        <v>44500000</v>
      </c>
      <c r="K29" s="57"/>
      <c r="M29" s="41">
        <v>130842</v>
      </c>
      <c r="N29" s="7">
        <v>15095649</v>
      </c>
      <c r="P29" s="7">
        <v>16923672</v>
      </c>
      <c r="Q29" s="7">
        <v>16923672</v>
      </c>
      <c r="R29" s="5" t="str">
        <f>VLOOKUP($G29,Others!$E$2:$I$217,2,FALSE)</f>
        <v>Original Screenplay</v>
      </c>
      <c r="S29" s="5" t="str">
        <f>VLOOKUP($G29,Others!$E$2:$I$217,3,FALSE)</f>
        <v>Multiple Production Methods</v>
      </c>
      <c r="T29" s="5" t="str">
        <f>VLOOKUP($G29,Others!$E$2:$I$217,4,FALSE)</f>
        <v>Science Fiction</v>
      </c>
      <c r="U29" s="5" t="str">
        <f>IFERROR(VLOOKUP($G29,Ratings!$E$13:$I$55,5,FALSE),"None")</f>
        <v>Not Rated</v>
      </c>
      <c r="V29" s="39" t="s">
        <v>1599</v>
      </c>
      <c r="W29" s="39" t="s">
        <v>1600</v>
      </c>
      <c r="X29" s="80" t="s">
        <v>1601</v>
      </c>
      <c r="Y29" s="80" t="s">
        <v>1602</v>
      </c>
      <c r="Z29" s="80" t="s">
        <v>1603</v>
      </c>
      <c r="AA29" s="39" t="s">
        <v>1604</v>
      </c>
      <c r="AB29" s="5"/>
      <c r="AC29" s="50" t="s">
        <v>1605</v>
      </c>
      <c r="AD29" s="47">
        <v>5.8</v>
      </c>
      <c r="AG29" s="9"/>
      <c r="AH29" s="9"/>
    </row>
    <row r="30" spans="1:34">
      <c r="A30" s="3" t="s">
        <v>1476</v>
      </c>
      <c r="B30" s="4">
        <v>2019</v>
      </c>
      <c r="C30" s="4" t="s">
        <v>44</v>
      </c>
      <c r="D30" s="3">
        <f t="shared" si="0"/>
        <v>28</v>
      </c>
      <c r="E30" s="55" t="s">
        <v>647</v>
      </c>
      <c r="F30" s="3" t="s">
        <v>647</v>
      </c>
      <c r="G30" s="5" t="s">
        <v>648</v>
      </c>
      <c r="H30" s="5" t="s">
        <v>626</v>
      </c>
      <c r="I30" s="5" t="s">
        <v>131</v>
      </c>
      <c r="J30" s="7">
        <v>4500000</v>
      </c>
      <c r="K30" s="57"/>
      <c r="M30" s="8">
        <v>13</v>
      </c>
      <c r="N30" s="7">
        <v>182300</v>
      </c>
      <c r="P30" s="7">
        <v>1222532</v>
      </c>
      <c r="Q30" s="7">
        <v>1265949</v>
      </c>
      <c r="R30" s="5" t="str">
        <f>VLOOKUP($G30,Others!$E$2:$I$217,2,FALSE)</f>
        <v>Original Screenplay</v>
      </c>
      <c r="S30" s="5" t="str">
        <f>VLOOKUP($G30,Others!$E$2:$I$217,3,FALSE)</f>
        <v>Live Action</v>
      </c>
      <c r="T30" s="5" t="str">
        <f>VLOOKUP($G30,Others!$E$2:$I$217,4,FALSE)</f>
        <v>Contemporary Fiction</v>
      </c>
      <c r="U30" s="5" t="str">
        <f>IFERROR(VLOOKUP($G30,Ratings!$E$13:$I$55,5,FALSE),"None")</f>
        <v>Not Rated</v>
      </c>
      <c r="V30" s="39" t="s">
        <v>1606</v>
      </c>
      <c r="W30" s="39" t="s">
        <v>1607</v>
      </c>
      <c r="X30" s="50" t="s">
        <v>1608</v>
      </c>
      <c r="Y30" s="80" t="s">
        <v>1609</v>
      </c>
      <c r="Z30" s="80" t="s">
        <v>1610</v>
      </c>
      <c r="AA30" s="39" t="s">
        <v>1611</v>
      </c>
      <c r="AB30" s="5"/>
      <c r="AC30" s="50" t="s">
        <v>1612</v>
      </c>
      <c r="AD30" s="47">
        <v>8.6</v>
      </c>
      <c r="AG30" s="9"/>
      <c r="AH30" s="9"/>
    </row>
    <row r="31" spans="1:34">
      <c r="A31" s="3" t="s">
        <v>1476</v>
      </c>
      <c r="B31" s="4">
        <v>2019</v>
      </c>
      <c r="C31" s="4" t="s">
        <v>44</v>
      </c>
      <c r="D31" s="3">
        <f t="shared" si="0"/>
        <v>29</v>
      </c>
      <c r="E31" s="55" t="s">
        <v>649</v>
      </c>
      <c r="F31" s="22" t="s">
        <v>1050</v>
      </c>
      <c r="G31" s="5" t="s">
        <v>432</v>
      </c>
      <c r="H31" s="39" t="s">
        <v>1613</v>
      </c>
      <c r="I31" s="5" t="s">
        <v>129</v>
      </c>
      <c r="J31" s="7">
        <v>22000000</v>
      </c>
      <c r="K31" s="57"/>
      <c r="M31" s="41">
        <v>40704</v>
      </c>
      <c r="N31" s="7">
        <v>1804810</v>
      </c>
      <c r="P31" s="7">
        <v>2577213</v>
      </c>
      <c r="Q31" s="7">
        <v>2577213</v>
      </c>
      <c r="R31" s="39" t="s">
        <v>606</v>
      </c>
      <c r="S31" s="5" t="str">
        <f>VLOOKUP($G31,Others!$E$2:$I$217,3,FALSE)</f>
        <v>Live Action</v>
      </c>
      <c r="T31" s="5" t="str">
        <f>VLOOKUP($G31,Others!$E$2:$I$217,4,FALSE)</f>
        <v>Contemporary Fiction</v>
      </c>
      <c r="U31" s="5" t="str">
        <f>IFERROR(VLOOKUP($G31,Ratings!$E$13:$I$55,5,FALSE),"None")</f>
        <v>Not Rated</v>
      </c>
      <c r="V31" s="39" t="s">
        <v>1614</v>
      </c>
      <c r="W31" s="39" t="s">
        <v>1615</v>
      </c>
      <c r="X31" s="80" t="s">
        <v>1616</v>
      </c>
      <c r="Y31" s="80" t="s">
        <v>1617</v>
      </c>
      <c r="AA31" s="39" t="s">
        <v>1618</v>
      </c>
      <c r="AB31" s="5"/>
      <c r="AC31" s="50" t="s">
        <v>1619</v>
      </c>
      <c r="AD31" s="59">
        <v>7</v>
      </c>
      <c r="AG31" s="9"/>
      <c r="AH31" s="9"/>
    </row>
    <row r="32" spans="1:34">
      <c r="A32" s="3" t="s">
        <v>1476</v>
      </c>
      <c r="B32" s="4">
        <v>2019</v>
      </c>
      <c r="C32" s="4" t="s">
        <v>44</v>
      </c>
      <c r="D32" s="3">
        <f t="shared" si="0"/>
        <v>30</v>
      </c>
      <c r="E32" s="55" t="s">
        <v>650</v>
      </c>
      <c r="F32" s="3" t="s">
        <v>650</v>
      </c>
      <c r="G32" s="5" t="s">
        <v>216</v>
      </c>
      <c r="H32" s="5" t="s">
        <v>601</v>
      </c>
      <c r="I32" s="5" t="s">
        <v>131</v>
      </c>
      <c r="J32" s="7">
        <v>2200000</v>
      </c>
      <c r="K32" s="57"/>
      <c r="M32" s="8">
        <v>13</v>
      </c>
      <c r="N32" s="7">
        <v>2633997</v>
      </c>
      <c r="P32" s="7">
        <v>3440000</v>
      </c>
      <c r="Q32" s="7">
        <v>3458555</v>
      </c>
      <c r="R32" s="5" t="str">
        <f>VLOOKUP($G32,Others!$E$2:$I$217,2,FALSE)</f>
        <v>Original Screenplay</v>
      </c>
      <c r="S32" s="5" t="str">
        <f>VLOOKUP($G32,Others!$E$2:$I$217,3,FALSE)</f>
        <v>Live Action</v>
      </c>
      <c r="T32" s="5" t="str">
        <f>VLOOKUP($G32,Others!$E$2:$I$217,4,FALSE)</f>
        <v>Contemporary Fiction</v>
      </c>
      <c r="U32" s="5" t="str">
        <f>IFERROR(VLOOKUP($G32,Ratings!$E$13:$I$55,5,FALSE),"None")</f>
        <v>Not Rated</v>
      </c>
      <c r="V32" s="39" t="s">
        <v>1620</v>
      </c>
      <c r="W32" s="39" t="s">
        <v>1621</v>
      </c>
      <c r="X32" s="50" t="s">
        <v>1622</v>
      </c>
      <c r="Y32" s="50" t="s">
        <v>1623</v>
      </c>
      <c r="Z32" s="80" t="s">
        <v>1624</v>
      </c>
      <c r="AA32" s="39" t="s">
        <v>1622</v>
      </c>
      <c r="AB32" s="5"/>
      <c r="AC32" s="80" t="s">
        <v>1501</v>
      </c>
      <c r="AD32" s="47">
        <v>7.5</v>
      </c>
      <c r="AG32" s="9"/>
      <c r="AH32" s="9"/>
    </row>
    <row r="33" spans="1:34">
      <c r="A33" s="3" t="s">
        <v>1476</v>
      </c>
      <c r="B33" s="4">
        <v>2019</v>
      </c>
      <c r="C33" s="4" t="s">
        <v>44</v>
      </c>
      <c r="D33" s="3">
        <f t="shared" si="0"/>
        <v>31</v>
      </c>
      <c r="E33" s="55" t="s">
        <v>651</v>
      </c>
      <c r="F33" s="3" t="s">
        <v>651</v>
      </c>
      <c r="G33" s="5" t="s">
        <v>652</v>
      </c>
      <c r="H33" s="5" t="s">
        <v>653</v>
      </c>
      <c r="I33" s="5" t="s">
        <v>127</v>
      </c>
      <c r="J33" s="7">
        <v>75000000</v>
      </c>
      <c r="K33" s="57"/>
      <c r="M33" s="8">
        <v>4248</v>
      </c>
      <c r="N33" s="7">
        <v>20612100</v>
      </c>
      <c r="P33" s="7">
        <v>127170053</v>
      </c>
      <c r="Q33" s="7">
        <v>187886443</v>
      </c>
      <c r="R33" s="5" t="str">
        <f>VLOOKUP($G33,Others!$E$2:$I$217,2,FALSE)</f>
        <v>Original Screenplay</v>
      </c>
      <c r="S33" s="5" t="str">
        <f>VLOOKUP($G33,Others!$E$2:$I$217,3,FALSE)</f>
        <v>Digital Animation</v>
      </c>
      <c r="T33" s="5" t="str">
        <f>VLOOKUP($G33,Others!$E$2:$I$217,4,FALSE)</f>
        <v>Kids Fiction</v>
      </c>
      <c r="U33" s="5" t="str">
        <f>IFERROR(VLOOKUP($G33,Ratings!$E$13:$I$55,5,FALSE),"None")</f>
        <v>PG</v>
      </c>
      <c r="V33" s="39" t="s">
        <v>1625</v>
      </c>
      <c r="W33" s="39" t="s">
        <v>652</v>
      </c>
      <c r="X33" s="50" t="s">
        <v>1626</v>
      </c>
      <c r="Y33" s="50" t="s">
        <v>1627</v>
      </c>
      <c r="AA33" s="39" t="s">
        <v>1628</v>
      </c>
      <c r="AB33" s="5"/>
      <c r="AC33" s="50" t="s">
        <v>1629</v>
      </c>
      <c r="AD33" s="47">
        <v>9.3000000000000007</v>
      </c>
      <c r="AG33" s="9"/>
      <c r="AH33" s="9"/>
    </row>
    <row r="34" spans="1:34">
      <c r="A34" s="3" t="s">
        <v>1476</v>
      </c>
      <c r="B34" s="4">
        <v>2019</v>
      </c>
      <c r="C34" s="4" t="s">
        <v>44</v>
      </c>
      <c r="D34" s="3">
        <f t="shared" si="0"/>
        <v>32</v>
      </c>
      <c r="E34" s="55" t="s">
        <v>654</v>
      </c>
      <c r="F34" s="3" t="s">
        <v>654</v>
      </c>
      <c r="G34" s="5" t="s">
        <v>141</v>
      </c>
      <c r="H34" s="5" t="s">
        <v>601</v>
      </c>
      <c r="I34" s="5" t="s">
        <v>127</v>
      </c>
      <c r="J34" s="7">
        <v>89000000</v>
      </c>
      <c r="K34" s="57"/>
      <c r="M34" s="8">
        <v>102</v>
      </c>
      <c r="N34" s="7">
        <v>31120924</v>
      </c>
      <c r="P34" s="7">
        <v>163172247</v>
      </c>
      <c r="Q34" s="7">
        <v>163659404</v>
      </c>
      <c r="R34" s="5" t="str">
        <f>VLOOKUP($G34,Others!$E$2:$I$217,2,FALSE)</f>
        <v>Based on Real Life Events</v>
      </c>
      <c r="S34" s="5" t="str">
        <f>VLOOKUP($G34,Others!$E$2:$I$217,3,FALSE)</f>
        <v>Live Action</v>
      </c>
      <c r="T34" s="5" t="str">
        <f>VLOOKUP($G34,Others!$E$2:$I$217,4,FALSE)</f>
        <v>Dramatization</v>
      </c>
      <c r="U34" s="5" t="str">
        <f>IFERROR(VLOOKUP($G34,Ratings!$E$13:$I$55,5,FALSE),"None")</f>
        <v>Not Rated</v>
      </c>
      <c r="V34" s="39" t="s">
        <v>1630</v>
      </c>
      <c r="W34" s="39" t="s">
        <v>1631</v>
      </c>
      <c r="X34" s="80" t="s">
        <v>1632</v>
      </c>
      <c r="Y34" s="80" t="s">
        <v>1633</v>
      </c>
      <c r="Z34" s="80" t="s">
        <v>1634</v>
      </c>
      <c r="AA34" s="39" t="s">
        <v>1635</v>
      </c>
      <c r="AB34" s="5"/>
      <c r="AC34" s="50" t="s">
        <v>1636</v>
      </c>
      <c r="AD34" s="47">
        <v>9.4</v>
      </c>
      <c r="AG34" s="9"/>
      <c r="AH34" s="9"/>
    </row>
    <row r="35" spans="1:34">
      <c r="A35" s="3" t="s">
        <v>1476</v>
      </c>
      <c r="B35" s="4">
        <v>2019</v>
      </c>
      <c r="C35" s="4" t="s">
        <v>44</v>
      </c>
      <c r="D35" s="3">
        <f t="shared" si="0"/>
        <v>33</v>
      </c>
      <c r="E35" s="55" t="s">
        <v>657</v>
      </c>
      <c r="F35" s="3" t="s">
        <v>657</v>
      </c>
      <c r="G35" s="5" t="s">
        <v>130</v>
      </c>
      <c r="H35" s="5" t="s">
        <v>605</v>
      </c>
      <c r="I35" s="5" t="s">
        <v>131</v>
      </c>
      <c r="J35" s="7">
        <v>18000000</v>
      </c>
      <c r="K35" s="57"/>
      <c r="M35" s="8">
        <v>83</v>
      </c>
      <c r="N35" s="7">
        <v>101146119</v>
      </c>
      <c r="P35" s="7">
        <v>463094610</v>
      </c>
      <c r="Q35" s="7">
        <v>465418019</v>
      </c>
      <c r="R35" s="5" t="str">
        <f>VLOOKUP($G35,Others!$E$2:$I$217,2,FALSE)</f>
        <v>Based on Real Life Events</v>
      </c>
      <c r="S35" s="5" t="str">
        <f>VLOOKUP($G35,Others!$E$2:$I$217,3,FALSE)</f>
        <v>Live Action</v>
      </c>
      <c r="T35" s="5" t="str">
        <f>VLOOKUP($G35,Others!$E$2:$I$217,4,FALSE)</f>
        <v>Historical Fiction</v>
      </c>
      <c r="U35" s="5" t="str">
        <f>IFERROR(VLOOKUP($G35,Ratings!$E$13:$I$55,5,FALSE),"None")</f>
        <v>Not Rated</v>
      </c>
      <c r="V35" s="39" t="s">
        <v>1637</v>
      </c>
      <c r="W35" s="39" t="s">
        <v>1638</v>
      </c>
      <c r="X35" s="80" t="s">
        <v>1639</v>
      </c>
      <c r="Y35" s="50" t="s">
        <v>1640</v>
      </c>
      <c r="Z35" s="80" t="s">
        <v>1641</v>
      </c>
      <c r="AA35" s="39" t="s">
        <v>1642</v>
      </c>
      <c r="AB35" s="5"/>
      <c r="AC35" s="50" t="s">
        <v>1494</v>
      </c>
      <c r="AD35" s="47">
        <v>9.6999999999999993</v>
      </c>
      <c r="AG35" s="9"/>
      <c r="AH35" s="9"/>
    </row>
    <row r="36" spans="1:34">
      <c r="A36" s="3" t="s">
        <v>1476</v>
      </c>
      <c r="B36" s="4">
        <v>2019</v>
      </c>
      <c r="C36" s="4" t="s">
        <v>44</v>
      </c>
      <c r="D36" s="3">
        <f t="shared" si="0"/>
        <v>34</v>
      </c>
      <c r="E36" s="55" t="s">
        <v>659</v>
      </c>
      <c r="F36" s="3" t="s">
        <v>659</v>
      </c>
      <c r="G36" s="5" t="s">
        <v>402</v>
      </c>
      <c r="H36" s="39" t="s">
        <v>1643</v>
      </c>
      <c r="I36" s="5" t="s">
        <v>129</v>
      </c>
      <c r="J36" s="7">
        <v>27000000</v>
      </c>
      <c r="K36" s="57"/>
      <c r="M36" s="41">
        <v>62631</v>
      </c>
      <c r="N36" s="7">
        <v>7563904</v>
      </c>
      <c r="P36" s="7">
        <v>11573104</v>
      </c>
      <c r="Q36" s="7">
        <v>11573104</v>
      </c>
      <c r="R36" s="5" t="str">
        <f>VLOOKUP($G36,Others!$E$2:$I$217,2,FALSE)</f>
        <v>Original Screenplay</v>
      </c>
      <c r="S36" s="5" t="str">
        <f>VLOOKUP($G36,Others!$E$2:$I$217,3,FALSE)</f>
        <v>Live Action</v>
      </c>
      <c r="T36" s="5" t="str">
        <f>VLOOKUP($G36,Others!$E$2:$I$217,4,FALSE)</f>
        <v>Fantasy</v>
      </c>
      <c r="U36" s="5" t="str">
        <f>IFERROR(VLOOKUP($G36,Ratings!$E$13:$I$55,5,FALSE),"None")</f>
        <v>None</v>
      </c>
      <c r="V36" s="39" t="s">
        <v>1644</v>
      </c>
      <c r="W36" s="39" t="s">
        <v>1645</v>
      </c>
      <c r="X36" s="80" t="s">
        <v>1646</v>
      </c>
      <c r="Y36" s="80" t="s">
        <v>1647</v>
      </c>
      <c r="Z36" s="50" t="s">
        <v>1648</v>
      </c>
      <c r="AA36" s="39" t="s">
        <v>1649</v>
      </c>
      <c r="AB36" s="5"/>
      <c r="AC36" s="50" t="s">
        <v>1577</v>
      </c>
      <c r="AD36" s="47">
        <v>7.5</v>
      </c>
      <c r="AG36" s="9"/>
      <c r="AH36" s="9"/>
    </row>
    <row r="37" spans="1:34">
      <c r="A37" s="3" t="s">
        <v>1476</v>
      </c>
      <c r="B37" s="4">
        <v>2019</v>
      </c>
      <c r="C37" s="4" t="s">
        <v>44</v>
      </c>
      <c r="D37" s="3">
        <f t="shared" si="0"/>
        <v>35</v>
      </c>
      <c r="E37" s="55" t="s">
        <v>660</v>
      </c>
      <c r="F37" s="3" t="s">
        <v>660</v>
      </c>
      <c r="G37" s="5" t="s">
        <v>132</v>
      </c>
      <c r="H37" s="5" t="s">
        <v>601</v>
      </c>
      <c r="I37" s="5" t="s">
        <v>131</v>
      </c>
      <c r="J37" s="7">
        <v>60000000</v>
      </c>
      <c r="K37" s="57"/>
      <c r="M37" s="8">
        <v>47</v>
      </c>
      <c r="N37" s="7">
        <v>102353091</v>
      </c>
      <c r="P37" s="7">
        <v>416947720</v>
      </c>
      <c r="Q37" s="7">
        <v>417654292</v>
      </c>
      <c r="R37" s="5" t="str">
        <f>VLOOKUP($G37,Others!$E$2:$I$217,2,FALSE)</f>
        <v>Based on Real Life Events</v>
      </c>
      <c r="S37" s="5" t="str">
        <f>VLOOKUP($G37,Others!$E$2:$I$217,3,FALSE)</f>
        <v>Live Action</v>
      </c>
      <c r="T37" s="5" t="str">
        <f>VLOOKUP($G37,Others!$E$2:$I$217,4,FALSE)</f>
        <v>Factual</v>
      </c>
      <c r="U37" s="5" t="str">
        <f>IFERROR(VLOOKUP($G37,Ratings!$E$13:$I$55,5,FALSE),"None")</f>
        <v>Not Rated</v>
      </c>
      <c r="V37" s="39" t="s">
        <v>1650</v>
      </c>
      <c r="W37" s="39" t="s">
        <v>1651</v>
      </c>
      <c r="X37" s="50" t="s">
        <v>1652</v>
      </c>
      <c r="Y37" s="80" t="s">
        <v>1641</v>
      </c>
      <c r="Z37" s="80" t="s">
        <v>1574</v>
      </c>
      <c r="AA37" s="39" t="s">
        <v>1649</v>
      </c>
      <c r="AB37" s="5"/>
      <c r="AC37" s="50" t="s">
        <v>1577</v>
      </c>
      <c r="AD37" s="47">
        <v>9.4</v>
      </c>
      <c r="AG37" s="9"/>
      <c r="AH37" s="9"/>
    </row>
    <row r="38" spans="1:34" s="1" customFormat="1">
      <c r="A38" s="3" t="s">
        <v>1476</v>
      </c>
      <c r="B38" s="4">
        <v>2019</v>
      </c>
      <c r="C38" s="4" t="s">
        <v>44</v>
      </c>
      <c r="D38" s="3">
        <f t="shared" si="0"/>
        <v>36</v>
      </c>
      <c r="E38" s="55" t="s">
        <v>661</v>
      </c>
      <c r="F38" s="3" t="s">
        <v>1653</v>
      </c>
      <c r="G38" s="5" t="s">
        <v>57</v>
      </c>
      <c r="H38" s="5" t="s">
        <v>1408</v>
      </c>
      <c r="I38" s="5" t="s">
        <v>131</v>
      </c>
      <c r="J38" s="7">
        <v>44776119</v>
      </c>
      <c r="K38" s="7">
        <v>8955223</v>
      </c>
      <c r="L38" s="7">
        <v>28208955</v>
      </c>
      <c r="M38" s="8">
        <v>70359</v>
      </c>
      <c r="N38" s="7">
        <v>39959722</v>
      </c>
      <c r="O38" s="7">
        <v>74477611</v>
      </c>
      <c r="P38" s="7">
        <v>97033612</v>
      </c>
      <c r="Q38" s="7">
        <v>97033612</v>
      </c>
      <c r="R38" s="5" t="str">
        <f>VLOOKUP($G38,Others!$E$2:$I$217,2,FALSE)</f>
        <v>Based on Fiction Book/Short Story</v>
      </c>
      <c r="S38" s="5" t="str">
        <f>VLOOKUP($G38,Others!$E$2:$I$217,3,FALSE)</f>
        <v>Live Action</v>
      </c>
      <c r="T38" s="5" t="str">
        <f>VLOOKUP($G38,Others!$E$2:$I$217,4,FALSE)</f>
        <v>Fantasy</v>
      </c>
      <c r="U38" s="5" t="str">
        <f>IFERROR(VLOOKUP($G38,Ratings!$E$13:$I$55,5,FALSE),"None")</f>
        <v>Not Rated</v>
      </c>
      <c r="V38" s="5" t="s">
        <v>1654</v>
      </c>
      <c r="W38" s="5" t="s">
        <v>1655</v>
      </c>
      <c r="X38" s="5" t="s">
        <v>1656</v>
      </c>
      <c r="Y38" s="5" t="s">
        <v>1657</v>
      </c>
      <c r="Z38" s="5"/>
      <c r="AA38" s="5" t="s">
        <v>1642</v>
      </c>
      <c r="AB38" s="5"/>
      <c r="AC38" s="5" t="s">
        <v>1658</v>
      </c>
      <c r="AD38" s="9">
        <v>7.5</v>
      </c>
      <c r="AE38" s="1" t="s">
        <v>1489</v>
      </c>
    </row>
    <row r="39" spans="1:34">
      <c r="A39" s="3" t="s">
        <v>1476</v>
      </c>
      <c r="B39" s="4">
        <v>2019</v>
      </c>
      <c r="C39" s="4" t="s">
        <v>44</v>
      </c>
      <c r="D39" s="3">
        <f t="shared" si="0"/>
        <v>37</v>
      </c>
      <c r="E39" s="55" t="s">
        <v>662</v>
      </c>
      <c r="F39" s="3" t="s">
        <v>662</v>
      </c>
      <c r="G39" s="5" t="s">
        <v>663</v>
      </c>
      <c r="H39" s="5" t="s">
        <v>664</v>
      </c>
      <c r="I39" s="5" t="s">
        <v>127</v>
      </c>
      <c r="J39" s="7">
        <v>50000000</v>
      </c>
      <c r="K39" s="57"/>
      <c r="M39" s="8">
        <v>2844</v>
      </c>
      <c r="N39" s="7">
        <v>2901335</v>
      </c>
      <c r="P39" s="7">
        <v>3890797</v>
      </c>
      <c r="Q39" s="7">
        <v>9692046</v>
      </c>
      <c r="R39" s="5" t="str">
        <f>VLOOKUP($G39,Others!$E$2:$I$217,2,FALSE)</f>
        <v>Original Screenplay</v>
      </c>
      <c r="S39" s="5" t="str">
        <f>VLOOKUP($G39,Others!$E$2:$I$217,3,FALSE)</f>
        <v>Digital Animation</v>
      </c>
      <c r="T39" s="5" t="str">
        <f>VLOOKUP($G39,Others!$E$2:$I$217,4,FALSE)</f>
        <v>Kids Fiction</v>
      </c>
      <c r="U39" s="5" t="str">
        <f>IFERROR(VLOOKUP($G39,Ratings!$E$13:$I$55,5,FALSE),"None")</f>
        <v>PG</v>
      </c>
      <c r="V39" s="39" t="s">
        <v>1659</v>
      </c>
      <c r="W39" s="39" t="s">
        <v>663</v>
      </c>
      <c r="X39" s="39" t="s">
        <v>1660</v>
      </c>
      <c r="Y39" s="39" t="s">
        <v>1661</v>
      </c>
      <c r="Z39" s="39" t="s">
        <v>1662</v>
      </c>
      <c r="AA39" s="39" t="s">
        <v>1663</v>
      </c>
      <c r="AB39" s="5"/>
      <c r="AC39" s="39" t="s">
        <v>1664</v>
      </c>
      <c r="AD39" s="60" t="s">
        <v>1665</v>
      </c>
      <c r="AG39" s="9"/>
      <c r="AH39" s="9"/>
    </row>
    <row r="40" spans="1:34">
      <c r="A40" s="3" t="s">
        <v>1476</v>
      </c>
      <c r="B40" s="4">
        <v>2019</v>
      </c>
      <c r="C40" s="4" t="s">
        <v>44</v>
      </c>
      <c r="D40" s="3">
        <f t="shared" si="0"/>
        <v>38</v>
      </c>
      <c r="E40" s="55" t="s">
        <v>665</v>
      </c>
      <c r="F40" s="3" t="s">
        <v>665</v>
      </c>
      <c r="G40" s="5" t="s">
        <v>401</v>
      </c>
      <c r="H40" s="39" t="s">
        <v>1666</v>
      </c>
      <c r="I40" s="5" t="s">
        <v>127</v>
      </c>
      <c r="J40" s="7">
        <v>20000000</v>
      </c>
      <c r="K40" s="57"/>
      <c r="M40" s="41">
        <v>13085</v>
      </c>
      <c r="N40" s="7">
        <v>2687165</v>
      </c>
      <c r="P40" s="7">
        <v>11687938</v>
      </c>
      <c r="Q40" s="7">
        <v>11687938</v>
      </c>
      <c r="R40" s="5" t="str">
        <f>VLOOKUP($G40,Others!$E$2:$I$217,2,FALSE)</f>
        <v>Based on Folk Tale/Legend/Fairytale</v>
      </c>
      <c r="S40" s="5" t="str">
        <f>VLOOKUP($G40,Others!$E$2:$I$217,3,FALSE)</f>
        <v>Digital Animation</v>
      </c>
      <c r="T40" s="5" t="str">
        <f>VLOOKUP($G40,Others!$E$2:$I$217,4,FALSE)</f>
        <v>Fantasy</v>
      </c>
      <c r="U40" s="5" t="str">
        <f>IFERROR(VLOOKUP($G40,Ratings!$E$13:$I$55,5,FALSE),"None")</f>
        <v>PG</v>
      </c>
      <c r="V40" s="39" t="s">
        <v>1667</v>
      </c>
      <c r="W40" s="39" t="s">
        <v>1667</v>
      </c>
      <c r="X40" s="39" t="s">
        <v>1668</v>
      </c>
      <c r="Y40" s="5"/>
      <c r="Z40" s="5"/>
      <c r="AA40" s="39" t="s">
        <v>1669</v>
      </c>
      <c r="AB40" s="5"/>
      <c r="AC40" s="39" t="s">
        <v>1666</v>
      </c>
      <c r="AD40" s="47">
        <v>8.8000000000000007</v>
      </c>
      <c r="AG40" s="9"/>
      <c r="AH40" s="9"/>
    </row>
    <row r="41" spans="1:34">
      <c r="A41" s="3" t="s">
        <v>1476</v>
      </c>
      <c r="B41" s="4">
        <v>2019</v>
      </c>
      <c r="C41" s="4" t="s">
        <v>44</v>
      </c>
      <c r="D41" s="3">
        <f t="shared" si="0"/>
        <v>39</v>
      </c>
      <c r="E41" s="55" t="s">
        <v>667</v>
      </c>
      <c r="F41" s="3" t="s">
        <v>667</v>
      </c>
      <c r="G41" s="5" t="s">
        <v>162</v>
      </c>
      <c r="H41" s="5" t="s">
        <v>605</v>
      </c>
      <c r="I41" s="5" t="s">
        <v>131</v>
      </c>
      <c r="J41" s="7">
        <v>1120000</v>
      </c>
      <c r="K41" s="57"/>
      <c r="M41" s="8">
        <v>29</v>
      </c>
      <c r="N41" s="7">
        <v>9838348</v>
      </c>
      <c r="P41" s="7">
        <v>31098062</v>
      </c>
      <c r="Q41" s="7">
        <v>31188607</v>
      </c>
      <c r="R41" s="5" t="str">
        <f>VLOOKUP($G41,Others!$E$2:$I$217,2,FALSE)</f>
        <v>Original Screenplay</v>
      </c>
      <c r="S41" s="5" t="str">
        <f>VLOOKUP($G41,Others!$E$2:$I$217,3,FALSE)</f>
        <v>Live Action</v>
      </c>
      <c r="T41" s="5" t="str">
        <f>VLOOKUP($G41,Others!$E$2:$I$217,4,FALSE)</f>
        <v>Contemporary Fiction</v>
      </c>
      <c r="U41" s="5" t="str">
        <f>IFERROR(VLOOKUP($G41,Ratings!$E$13:$I$55,5,FALSE),"None")</f>
        <v>Not Rated</v>
      </c>
      <c r="V41" s="39" t="s">
        <v>1670</v>
      </c>
      <c r="W41" s="39" t="s">
        <v>1671</v>
      </c>
      <c r="X41" s="39" t="s">
        <v>1672</v>
      </c>
      <c r="Y41" s="39" t="s">
        <v>1673</v>
      </c>
      <c r="Z41" s="39" t="s">
        <v>1674</v>
      </c>
      <c r="AA41" s="39" t="s">
        <v>1675</v>
      </c>
      <c r="AB41" s="5"/>
      <c r="AC41" s="39" t="s">
        <v>1676</v>
      </c>
      <c r="AD41" s="47">
        <v>8.8000000000000007</v>
      </c>
      <c r="AG41" s="9"/>
      <c r="AH41" s="9"/>
    </row>
    <row r="42" spans="1:34">
      <c r="A42" s="3" t="s">
        <v>1476</v>
      </c>
      <c r="B42" s="4">
        <v>2019</v>
      </c>
      <c r="C42" s="4" t="s">
        <v>44</v>
      </c>
      <c r="D42" s="3">
        <f t="shared" si="0"/>
        <v>40</v>
      </c>
      <c r="E42" s="55" t="s">
        <v>667</v>
      </c>
      <c r="F42" s="3" t="s">
        <v>667</v>
      </c>
      <c r="G42" s="5" t="s">
        <v>139</v>
      </c>
      <c r="H42" s="5" t="s">
        <v>601</v>
      </c>
      <c r="I42" s="5" t="s">
        <v>131</v>
      </c>
      <c r="J42" s="7">
        <v>18000000</v>
      </c>
      <c r="K42" s="57"/>
      <c r="M42" s="8">
        <v>88</v>
      </c>
      <c r="N42" s="7">
        <v>82199097</v>
      </c>
      <c r="P42" s="7">
        <v>228079374</v>
      </c>
      <c r="Q42" s="7">
        <v>230001031</v>
      </c>
      <c r="R42" s="5" t="str">
        <f>VLOOKUP($G42,Others!$E$2:$I$217,2,FALSE)</f>
        <v>Based on Fiction Book/Short Story</v>
      </c>
      <c r="S42" s="5" t="str">
        <f>VLOOKUP($G42,Others!$E$2:$I$217,3,FALSE)</f>
        <v>Live Action</v>
      </c>
      <c r="T42" s="5" t="str">
        <f>VLOOKUP($G42,Others!$E$2:$I$217,4,FALSE)</f>
        <v>Contemporary Fiction</v>
      </c>
      <c r="U42" s="5" t="str">
        <f>IFERROR(VLOOKUP($G42,Ratings!$E$13:$I$55,5,FALSE),"None")</f>
        <v>Not Rated</v>
      </c>
      <c r="V42" s="39" t="s">
        <v>1677</v>
      </c>
      <c r="W42" s="39" t="s">
        <v>1678</v>
      </c>
      <c r="X42" s="39" t="s">
        <v>1679</v>
      </c>
      <c r="Y42" s="39" t="s">
        <v>1680</v>
      </c>
      <c r="Z42" s="39" t="s">
        <v>1681</v>
      </c>
      <c r="AA42" s="39" t="s">
        <v>1682</v>
      </c>
      <c r="AB42" s="5"/>
      <c r="AC42" s="39" t="s">
        <v>1683</v>
      </c>
      <c r="AD42" s="47">
        <v>9.4</v>
      </c>
      <c r="AG42" s="9"/>
      <c r="AH42" s="9"/>
    </row>
    <row r="43" spans="1:34" hidden="1">
      <c r="A43" s="3" t="s">
        <v>1684</v>
      </c>
      <c r="B43" s="4">
        <v>2019</v>
      </c>
      <c r="C43" s="4" t="s">
        <v>44</v>
      </c>
      <c r="D43" s="3">
        <f t="shared" si="0"/>
        <v>41</v>
      </c>
      <c r="E43" s="3" t="s">
        <v>668</v>
      </c>
      <c r="G43" s="5" t="s">
        <v>159</v>
      </c>
      <c r="H43" s="5" t="s">
        <v>626</v>
      </c>
      <c r="I43" s="5" t="s">
        <v>131</v>
      </c>
      <c r="J43" s="7">
        <v>0</v>
      </c>
      <c r="M43" s="8">
        <v>0</v>
      </c>
      <c r="N43" s="7">
        <v>0</v>
      </c>
      <c r="P43" s="7">
        <v>32227811</v>
      </c>
      <c r="Q43" s="7">
        <v>32227811</v>
      </c>
      <c r="R43" s="5" t="str">
        <f>VLOOKUP($G43,Others!$E$2:$I$217,2,FALSE)</f>
        <v>Original Screenplay</v>
      </c>
      <c r="S43" s="5" t="str">
        <f>VLOOKUP($G43,Others!$E$2:$I$217,3,FALSE)</f>
        <v>Live Action</v>
      </c>
      <c r="T43" s="5" t="str">
        <f>VLOOKUP($G43,Others!$E$2:$I$217,4,FALSE)</f>
        <v>Contemporary Fiction</v>
      </c>
      <c r="U43" s="5" t="str">
        <f>IFERROR(VLOOKUP($G43,Ratings!$E$13:$I$55,5,FALSE),"None")</f>
        <v>Not Rated</v>
      </c>
      <c r="V43" s="5"/>
      <c r="X43" s="5"/>
      <c r="Y43" s="5"/>
      <c r="Z43" s="5"/>
      <c r="AA43" s="5"/>
      <c r="AB43" s="5"/>
      <c r="AC43" s="5"/>
      <c r="AG43" s="9"/>
      <c r="AH43" s="9"/>
    </row>
    <row r="44" spans="1:34">
      <c r="A44" s="3" t="s">
        <v>1684</v>
      </c>
      <c r="B44" s="4">
        <v>2019</v>
      </c>
      <c r="C44" s="4" t="s">
        <v>44</v>
      </c>
      <c r="D44" s="3">
        <f t="shared" si="0"/>
        <v>42</v>
      </c>
      <c r="E44" s="55" t="s">
        <v>668</v>
      </c>
      <c r="F44" s="3" t="s">
        <v>668</v>
      </c>
      <c r="G44" s="5" t="s">
        <v>150</v>
      </c>
      <c r="H44" s="5" t="s">
        <v>669</v>
      </c>
      <c r="I44" s="5" t="s">
        <v>131</v>
      </c>
      <c r="J44" s="7">
        <v>14000000</v>
      </c>
      <c r="K44" s="57" t="s">
        <v>1411</v>
      </c>
      <c r="L44" s="7">
        <v>23134328</v>
      </c>
      <c r="M44" s="8">
        <v>51754</v>
      </c>
      <c r="N44" s="7">
        <v>5860000</v>
      </c>
      <c r="O44" s="7">
        <v>66865672</v>
      </c>
      <c r="P44" s="7">
        <v>68330000</v>
      </c>
      <c r="Q44" s="7">
        <v>68364730</v>
      </c>
      <c r="R44" s="5" t="str">
        <f>VLOOKUP($G44,Others!$E$2:$I$217,2,FALSE)</f>
        <v>Original Screenplay</v>
      </c>
      <c r="S44" s="5" t="str">
        <f>VLOOKUP($G44,Others!$E$2:$I$217,3,FALSE)</f>
        <v>Digital Animation</v>
      </c>
      <c r="T44" s="5" t="str">
        <f>VLOOKUP($G44,Others!$E$2:$I$217,4,FALSE)</f>
        <v>Fantasy</v>
      </c>
      <c r="U44" s="5" t="str">
        <f>IFERROR(VLOOKUP($G44,Ratings!$E$13:$I$55,5,FALSE),"None")</f>
        <v>Not Rated</v>
      </c>
      <c r="V44" s="5" t="s">
        <v>1685</v>
      </c>
      <c r="W44" s="5" t="s">
        <v>1686</v>
      </c>
      <c r="X44" s="5" t="s">
        <v>1687</v>
      </c>
      <c r="Y44" s="5" t="s">
        <v>1688</v>
      </c>
      <c r="Z44" s="5"/>
      <c r="AA44" s="5" t="s">
        <v>1689</v>
      </c>
      <c r="AB44" s="5"/>
      <c r="AC44" s="5" t="s">
        <v>812</v>
      </c>
      <c r="AD44" s="9">
        <v>9.3000000000000007</v>
      </c>
      <c r="AE44" s="1" t="s">
        <v>1489</v>
      </c>
      <c r="AG44" s="9"/>
      <c r="AH44" s="9"/>
    </row>
    <row r="45" spans="1:34" hidden="1">
      <c r="A45" s="3" t="s">
        <v>1684</v>
      </c>
      <c r="B45" s="4">
        <v>2019</v>
      </c>
      <c r="C45" s="4" t="s">
        <v>44</v>
      </c>
      <c r="D45" s="3">
        <f t="shared" si="0"/>
        <v>43</v>
      </c>
      <c r="E45" s="3" t="s">
        <v>673</v>
      </c>
      <c r="G45" s="5" t="s">
        <v>674</v>
      </c>
      <c r="H45" s="5" t="s">
        <v>622</v>
      </c>
      <c r="I45" s="5" t="s">
        <v>191</v>
      </c>
      <c r="J45" s="7">
        <v>0</v>
      </c>
      <c r="M45" s="8">
        <v>2</v>
      </c>
      <c r="N45" s="7">
        <v>546</v>
      </c>
      <c r="P45" s="7">
        <v>0</v>
      </c>
      <c r="Q45" s="7">
        <v>4140</v>
      </c>
      <c r="R45" s="5" t="str">
        <f>VLOOKUP($G45,Others!$E$2:$I$217,2,FALSE)</f>
        <v>Based on Real Life Events</v>
      </c>
      <c r="S45" s="5" t="str">
        <f>VLOOKUP($G45,Others!$E$2:$I$217,3,FALSE)</f>
        <v>Live Action</v>
      </c>
      <c r="T45" s="5" t="str">
        <f>VLOOKUP($G45,Others!$E$2:$I$217,4,FALSE)</f>
        <v>Factual</v>
      </c>
      <c r="U45" s="5" t="str">
        <f>IFERROR(VLOOKUP($G45,Ratings!$E$13:$I$55,5,FALSE),"None")</f>
        <v>Not Rated</v>
      </c>
      <c r="V45" s="5"/>
      <c r="X45" s="5"/>
      <c r="Y45" s="5"/>
      <c r="Z45" s="5"/>
      <c r="AA45" s="5"/>
      <c r="AB45" s="5"/>
      <c r="AC45" s="5"/>
      <c r="AG45" s="9"/>
      <c r="AH45" s="9"/>
    </row>
    <row r="46" spans="1:34">
      <c r="A46" s="3" t="s">
        <v>1684</v>
      </c>
      <c r="B46" s="4">
        <v>2019</v>
      </c>
      <c r="C46" s="4" t="s">
        <v>44</v>
      </c>
      <c r="D46" s="3">
        <f t="shared" si="0"/>
        <v>44</v>
      </c>
      <c r="E46" s="55" t="s">
        <v>675</v>
      </c>
      <c r="F46" s="3" t="s">
        <v>675</v>
      </c>
      <c r="G46" s="5" t="s">
        <v>167</v>
      </c>
      <c r="H46" s="5" t="s">
        <v>626</v>
      </c>
      <c r="I46" s="5" t="s">
        <v>131</v>
      </c>
      <c r="J46" s="7">
        <v>100000000</v>
      </c>
      <c r="K46" s="57"/>
      <c r="M46" s="41">
        <v>75831</v>
      </c>
      <c r="N46" s="42">
        <v>9490000</v>
      </c>
      <c r="P46" s="7">
        <v>23417137</v>
      </c>
      <c r="Q46" s="7">
        <v>23417137</v>
      </c>
      <c r="R46" s="5" t="str">
        <f>VLOOKUP($G46,Others!$E$2:$I$217,2,FALSE)</f>
        <v>Original Screenplay</v>
      </c>
      <c r="S46" s="5" t="str">
        <f>VLOOKUP($G46,Others!$E$2:$I$217,3,FALSE)</f>
        <v>Live Action</v>
      </c>
      <c r="T46" s="5" t="str">
        <f>VLOOKUP($G46,Others!$E$2:$I$217,4,FALSE)</f>
        <v>Contemporary Fiction</v>
      </c>
      <c r="U46" s="5" t="str">
        <f>IFERROR(VLOOKUP($G46,Ratings!$E$13:$I$55,5,FALSE),"None")</f>
        <v>Not Rated</v>
      </c>
      <c r="V46" s="39" t="s">
        <v>1690</v>
      </c>
      <c r="W46" s="39" t="s">
        <v>1691</v>
      </c>
      <c r="X46" s="39" t="s">
        <v>1692</v>
      </c>
      <c r="Y46" s="39" t="s">
        <v>1693</v>
      </c>
      <c r="Z46" s="39" t="s">
        <v>1694</v>
      </c>
      <c r="AA46" s="39" t="s">
        <v>1695</v>
      </c>
      <c r="AB46" s="5"/>
      <c r="AC46" s="39" t="s">
        <v>1494</v>
      </c>
      <c r="AD46" s="47">
        <v>8.5</v>
      </c>
      <c r="AG46" s="9"/>
      <c r="AH46" s="9"/>
    </row>
    <row r="47" spans="1:34" ht="14.7" customHeight="1">
      <c r="A47" s="3" t="s">
        <v>1684</v>
      </c>
      <c r="B47" s="4">
        <v>2019</v>
      </c>
      <c r="C47" s="4" t="s">
        <v>44</v>
      </c>
      <c r="D47" s="3">
        <f t="shared" si="0"/>
        <v>45</v>
      </c>
      <c r="E47" s="3" t="s">
        <v>676</v>
      </c>
      <c r="F47" s="3" t="s">
        <v>1696</v>
      </c>
      <c r="G47" s="5" t="s">
        <v>192</v>
      </c>
      <c r="H47" s="5" t="s">
        <v>1409</v>
      </c>
      <c r="I47" s="5" t="s">
        <v>193</v>
      </c>
      <c r="J47" s="7">
        <f>0.06*100000000/6.7</f>
        <v>895522.38805970142</v>
      </c>
      <c r="K47" s="57" t="s">
        <v>1411</v>
      </c>
      <c r="L47" s="7">
        <f>0.12*100000000/6.7</f>
        <v>1791044.7761194028</v>
      </c>
      <c r="M47" s="8">
        <v>13036</v>
      </c>
      <c r="N47" s="7">
        <v>1170000</v>
      </c>
      <c r="O47" s="7">
        <f>0.37*100000000/6.7</f>
        <v>5522388.0597014921</v>
      </c>
      <c r="P47" s="7">
        <v>7489619</v>
      </c>
      <c r="Q47" s="7">
        <v>7489619</v>
      </c>
      <c r="R47" s="5" t="str">
        <f>VLOOKUP($G47,Others!$E$2:$I$217,2,FALSE)</f>
        <v>Original Screenplay</v>
      </c>
      <c r="S47" s="5" t="str">
        <f>VLOOKUP($G47,Others!$E$2:$I$217,3,FALSE)</f>
        <v>Live Action</v>
      </c>
      <c r="T47" s="5" t="str">
        <f>VLOOKUP($G47,Others!$E$2:$I$217,4,FALSE)</f>
        <v>Contemporary Fiction</v>
      </c>
      <c r="U47" s="5" t="str">
        <f>IFERROR(VLOOKUP($G47,Ratings!$E$13:$I$55,5,FALSE),"None")</f>
        <v>None</v>
      </c>
      <c r="V47" s="5" t="s">
        <v>1697</v>
      </c>
      <c r="W47" s="5" t="s">
        <v>1698</v>
      </c>
      <c r="X47" s="5" t="s">
        <v>1699</v>
      </c>
      <c r="Y47" s="5" t="s">
        <v>1693</v>
      </c>
      <c r="Z47" s="5" t="s">
        <v>1694</v>
      </c>
      <c r="AA47" s="5" t="s">
        <v>1700</v>
      </c>
      <c r="AB47" s="5"/>
      <c r="AC47" s="5" t="s">
        <v>1701</v>
      </c>
      <c r="AD47" s="9">
        <v>7.9</v>
      </c>
      <c r="AE47" s="1" t="s">
        <v>1489</v>
      </c>
      <c r="AG47" s="9"/>
      <c r="AH47" s="9"/>
    </row>
    <row r="48" spans="1:34" hidden="1">
      <c r="A48" s="3" t="s">
        <v>1684</v>
      </c>
      <c r="B48" s="4">
        <v>2019</v>
      </c>
      <c r="C48" s="4" t="s">
        <v>44</v>
      </c>
      <c r="D48" s="3">
        <f t="shared" si="0"/>
        <v>46</v>
      </c>
      <c r="E48" s="3" t="s">
        <v>676</v>
      </c>
      <c r="G48" s="5" t="s">
        <v>677</v>
      </c>
      <c r="H48" s="5"/>
      <c r="I48" s="5" t="s">
        <v>129</v>
      </c>
      <c r="J48" s="7">
        <v>0</v>
      </c>
      <c r="M48" s="8">
        <v>0</v>
      </c>
      <c r="N48" s="7">
        <v>0</v>
      </c>
      <c r="P48" s="7">
        <v>290000</v>
      </c>
      <c r="Q48" s="7">
        <v>290000</v>
      </c>
      <c r="R48" s="5">
        <f>VLOOKUP($G48,Others!$E$2:$I$217,2,FALSE)</f>
        <v>0</v>
      </c>
      <c r="S48" s="5" t="str">
        <f>VLOOKUP($G48,Others!$E$2:$I$217,3,FALSE)</f>
        <v>Digital Animation</v>
      </c>
      <c r="T48" s="5" t="str">
        <f>VLOOKUP($G48,Others!$E$2:$I$217,4,FALSE)</f>
        <v>Science Fiction</v>
      </c>
      <c r="U48" s="5" t="str">
        <f>IFERROR(VLOOKUP($G48,Ratings!$E$13:$I$55,5,FALSE),"None")</f>
        <v>None</v>
      </c>
      <c r="V48" s="5"/>
      <c r="X48" s="5"/>
      <c r="Y48" s="5"/>
      <c r="Z48" s="5"/>
      <c r="AA48" s="5"/>
      <c r="AB48" s="5"/>
      <c r="AC48" s="5"/>
      <c r="AG48" s="9"/>
      <c r="AH48" s="9"/>
    </row>
    <row r="49" spans="1:34" hidden="1">
      <c r="A49" s="3" t="s">
        <v>1684</v>
      </c>
      <c r="B49" s="4">
        <v>2019</v>
      </c>
      <c r="C49" s="4" t="s">
        <v>44</v>
      </c>
      <c r="D49" s="3">
        <f t="shared" si="0"/>
        <v>47</v>
      </c>
      <c r="E49" s="3" t="s">
        <v>676</v>
      </c>
      <c r="G49" s="5" t="s">
        <v>224</v>
      </c>
      <c r="H49" s="5"/>
      <c r="I49" s="5" t="s">
        <v>131</v>
      </c>
      <c r="J49" s="7">
        <v>0</v>
      </c>
      <c r="M49" s="8">
        <v>0</v>
      </c>
      <c r="N49" s="7">
        <v>0</v>
      </c>
      <c r="P49" s="7">
        <v>2899674</v>
      </c>
      <c r="Q49" s="7">
        <v>2899674</v>
      </c>
      <c r="R49" s="5" t="str">
        <f>VLOOKUP($G49,Others!$E$2:$I$217,2,FALSE)</f>
        <v>Based on Real Life Events</v>
      </c>
      <c r="S49" s="5" t="str">
        <f>VLOOKUP($G49,Others!$E$2:$I$217,3,FALSE)</f>
        <v>Live Action</v>
      </c>
      <c r="T49" s="5" t="str">
        <f>VLOOKUP($G49,Others!$E$2:$I$217,4,FALSE)</f>
        <v>Historical Fiction</v>
      </c>
      <c r="U49" s="5" t="str">
        <f>IFERROR(VLOOKUP($G49,Ratings!$E$13:$I$55,5,FALSE),"None")</f>
        <v>None</v>
      </c>
      <c r="V49" s="5"/>
      <c r="X49" s="5"/>
      <c r="Y49" s="5"/>
      <c r="AA49" s="5"/>
      <c r="AB49" s="5"/>
      <c r="AC49" s="5"/>
      <c r="AG49" s="9"/>
      <c r="AH49" s="9"/>
    </row>
    <row r="50" spans="1:34" hidden="1">
      <c r="A50" s="3" t="s">
        <v>1684</v>
      </c>
      <c r="B50" s="4">
        <v>2019</v>
      </c>
      <c r="C50" s="4" t="s">
        <v>44</v>
      </c>
      <c r="D50" s="3">
        <f t="shared" si="0"/>
        <v>48</v>
      </c>
      <c r="E50" s="3" t="s">
        <v>676</v>
      </c>
      <c r="G50" s="5" t="s">
        <v>678</v>
      </c>
      <c r="H50" s="5"/>
      <c r="I50" s="5" t="s">
        <v>129</v>
      </c>
      <c r="J50" s="7">
        <v>0</v>
      </c>
      <c r="M50" s="8">
        <v>0</v>
      </c>
      <c r="N50" s="7">
        <v>0</v>
      </c>
      <c r="P50" s="7">
        <v>80000</v>
      </c>
      <c r="Q50" s="7">
        <v>80000</v>
      </c>
      <c r="R50" s="5" t="str">
        <f>VLOOKUP($G50,Others!$E$2:$I$217,2,FALSE)</f>
        <v>Original Screenplay</v>
      </c>
      <c r="S50" s="5" t="str">
        <f>VLOOKUP($G50,Others!$E$2:$I$217,3,FALSE)</f>
        <v>Live Action</v>
      </c>
      <c r="T50" s="5" t="str">
        <f>VLOOKUP($G50,Others!$E$2:$I$217,4,FALSE)</f>
        <v>Historical Fiction</v>
      </c>
      <c r="U50" s="5" t="str">
        <f>IFERROR(VLOOKUP($G50,Ratings!$E$13:$I$55,5,FALSE),"None")</f>
        <v>None</v>
      </c>
      <c r="V50" s="5"/>
      <c r="X50" s="5"/>
      <c r="Y50" s="5"/>
      <c r="AA50" s="5"/>
      <c r="AB50" s="5"/>
      <c r="AC50" s="5"/>
      <c r="AG50" s="9"/>
      <c r="AH50" s="9"/>
    </row>
    <row r="51" spans="1:34" hidden="1">
      <c r="A51" s="3" t="s">
        <v>1684</v>
      </c>
      <c r="B51" s="4">
        <v>2019</v>
      </c>
      <c r="C51" s="4" t="s">
        <v>44</v>
      </c>
      <c r="D51" s="3">
        <f t="shared" si="0"/>
        <v>49</v>
      </c>
      <c r="E51" s="3" t="s">
        <v>676</v>
      </c>
      <c r="G51" s="5" t="s">
        <v>679</v>
      </c>
      <c r="H51" s="5"/>
      <c r="I51" s="5" t="s">
        <v>131</v>
      </c>
      <c r="J51" s="7">
        <v>0</v>
      </c>
      <c r="M51" s="8">
        <v>0</v>
      </c>
      <c r="N51" s="7">
        <v>0</v>
      </c>
      <c r="P51" s="7">
        <v>34178</v>
      </c>
      <c r="Q51" s="7">
        <v>34178</v>
      </c>
      <c r="R51" s="5">
        <f>VLOOKUP($G51,Others!$E$2:$I$217,2,FALSE)</f>
        <v>0</v>
      </c>
      <c r="S51" s="5">
        <f>VLOOKUP($G51,Others!$E$2:$I$217,3,FALSE)</f>
        <v>0</v>
      </c>
      <c r="T51" s="5">
        <f>VLOOKUP($G51,Others!$E$2:$I$217,4,FALSE)</f>
        <v>0</v>
      </c>
      <c r="U51" s="5" t="str">
        <f>IFERROR(VLOOKUP($G51,Ratings!$E$13:$I$55,5,FALSE),"None")</f>
        <v>None</v>
      </c>
      <c r="V51" s="5"/>
      <c r="X51" s="5"/>
      <c r="Y51" s="5"/>
      <c r="AA51" s="5"/>
      <c r="AB51" s="5"/>
      <c r="AC51" s="5"/>
      <c r="AG51" s="9"/>
      <c r="AH51" s="9"/>
    </row>
    <row r="52" spans="1:34" hidden="1">
      <c r="A52" s="3" t="s">
        <v>1684</v>
      </c>
      <c r="B52" s="4">
        <v>2019</v>
      </c>
      <c r="C52" s="4" t="s">
        <v>44</v>
      </c>
      <c r="D52" s="3">
        <f t="shared" si="0"/>
        <v>50</v>
      </c>
      <c r="E52" s="3" t="s">
        <v>676</v>
      </c>
      <c r="G52" s="5" t="s">
        <v>340</v>
      </c>
      <c r="H52" s="5"/>
      <c r="I52" s="5" t="s">
        <v>131</v>
      </c>
      <c r="J52" s="7">
        <v>0</v>
      </c>
      <c r="M52" s="8">
        <v>0</v>
      </c>
      <c r="N52" s="7">
        <v>0</v>
      </c>
      <c r="P52" s="7">
        <v>11112</v>
      </c>
      <c r="Q52" s="7">
        <v>11112</v>
      </c>
      <c r="R52" s="5">
        <f>VLOOKUP($G52,Others!$E$2:$I$217,2,FALSE)</f>
        <v>0</v>
      </c>
      <c r="S52" s="5" t="str">
        <f>VLOOKUP($G52,Others!$E$2:$I$217,3,FALSE)</f>
        <v>Live Action</v>
      </c>
      <c r="T52" s="5">
        <f>VLOOKUP($G52,Others!$E$2:$I$217,4,FALSE)</f>
        <v>0</v>
      </c>
      <c r="U52" s="5" t="str">
        <f>IFERROR(VLOOKUP($G52,Ratings!$E$13:$I$55,5,FALSE),"None")</f>
        <v>None</v>
      </c>
      <c r="V52" s="5"/>
      <c r="X52" s="5"/>
      <c r="Y52" s="5"/>
      <c r="AA52" s="5"/>
      <c r="AB52" s="5"/>
      <c r="AC52" s="5"/>
      <c r="AG52" s="9"/>
      <c r="AH52" s="9"/>
    </row>
    <row r="53" spans="1:34" hidden="1">
      <c r="A53" s="3" t="s">
        <v>1684</v>
      </c>
      <c r="B53" s="4">
        <v>2019</v>
      </c>
      <c r="C53" s="4" t="s">
        <v>44</v>
      </c>
      <c r="D53" s="3">
        <f t="shared" si="0"/>
        <v>51</v>
      </c>
      <c r="E53" s="3" t="s">
        <v>676</v>
      </c>
      <c r="G53" s="5" t="s">
        <v>233</v>
      </c>
      <c r="H53" s="5"/>
      <c r="I53" s="5" t="s">
        <v>193</v>
      </c>
      <c r="J53" s="7">
        <v>0</v>
      </c>
      <c r="M53" s="8">
        <v>0</v>
      </c>
      <c r="N53" s="7">
        <v>0</v>
      </c>
      <c r="P53" s="7">
        <v>2340262</v>
      </c>
      <c r="Q53" s="7">
        <v>2340262</v>
      </c>
      <c r="R53" s="5" t="str">
        <f>VLOOKUP($G53,Others!$E$2:$I$217,2,FALSE)</f>
        <v>Original Screenplay</v>
      </c>
      <c r="S53" s="5" t="str">
        <f>VLOOKUP($G53,Others!$E$2:$I$217,3,FALSE)</f>
        <v>Hand Animation</v>
      </c>
      <c r="T53" s="5" t="str">
        <f>VLOOKUP($G53,Others!$E$2:$I$217,4,FALSE)</f>
        <v>Contemporary Fiction</v>
      </c>
      <c r="U53" s="5" t="str">
        <f>IFERROR(VLOOKUP($G53,Ratings!$E$13:$I$55,5,FALSE),"None")</f>
        <v>None</v>
      </c>
      <c r="V53" s="5"/>
      <c r="X53" s="5"/>
      <c r="Y53" s="5"/>
      <c r="AA53" s="5"/>
      <c r="AB53" s="5"/>
      <c r="AC53" s="5"/>
      <c r="AG53" s="9"/>
      <c r="AH53" s="9"/>
    </row>
    <row r="54" spans="1:34" hidden="1">
      <c r="A54" s="3" t="s">
        <v>1684</v>
      </c>
      <c r="B54" s="4">
        <v>2019</v>
      </c>
      <c r="C54" s="4" t="s">
        <v>44</v>
      </c>
      <c r="D54" s="3">
        <f t="shared" si="0"/>
        <v>52</v>
      </c>
      <c r="E54" s="3" t="s">
        <v>676</v>
      </c>
      <c r="G54" s="5" t="s">
        <v>681</v>
      </c>
      <c r="H54" s="5"/>
      <c r="I54" s="5" t="s">
        <v>127</v>
      </c>
      <c r="J54" s="7">
        <v>0</v>
      </c>
      <c r="M54" s="8">
        <v>0</v>
      </c>
      <c r="N54" s="7">
        <v>0</v>
      </c>
      <c r="P54" s="7">
        <v>148667</v>
      </c>
      <c r="Q54" s="7">
        <v>148667</v>
      </c>
      <c r="R54" s="5">
        <f>VLOOKUP($G54,Others!$E$2:$I$217,2,FALSE)</f>
        <v>0</v>
      </c>
      <c r="S54" s="5" t="str">
        <f>VLOOKUP($G54,Others!$E$2:$I$217,3,FALSE)</f>
        <v>Digital Animation</v>
      </c>
      <c r="T54" s="5">
        <f>VLOOKUP($G54,Others!$E$2:$I$217,4,FALSE)</f>
        <v>0</v>
      </c>
      <c r="U54" s="5" t="str">
        <f>IFERROR(VLOOKUP($G54,Ratings!$E$13:$I$55,5,FALSE),"None")</f>
        <v>None</v>
      </c>
      <c r="V54" s="5"/>
      <c r="X54" s="5"/>
      <c r="Y54" s="5"/>
      <c r="AA54" s="5"/>
      <c r="AB54" s="5"/>
      <c r="AC54" s="5"/>
      <c r="AG54" s="9"/>
      <c r="AH54" s="9"/>
    </row>
    <row r="55" spans="1:34" hidden="1">
      <c r="A55" s="3" t="s">
        <v>1684</v>
      </c>
      <c r="B55" s="4">
        <v>2019</v>
      </c>
      <c r="C55" s="4" t="s">
        <v>44</v>
      </c>
      <c r="D55" s="3">
        <f t="shared" si="0"/>
        <v>53</v>
      </c>
      <c r="E55" s="3" t="s">
        <v>676</v>
      </c>
      <c r="G55" s="5" t="s">
        <v>197</v>
      </c>
      <c r="H55" s="5"/>
      <c r="I55" s="5" t="s">
        <v>154</v>
      </c>
      <c r="J55" s="7">
        <v>0</v>
      </c>
      <c r="M55" s="8">
        <v>0</v>
      </c>
      <c r="N55" s="7">
        <v>0</v>
      </c>
      <c r="P55" s="7">
        <v>7090000</v>
      </c>
      <c r="Q55" s="7">
        <v>7090000</v>
      </c>
      <c r="R55" s="5" t="str">
        <f>VLOOKUP($G55,Others!$E$2:$I$217,2,FALSE)</f>
        <v>Original Screenplay</v>
      </c>
      <c r="S55" s="5" t="str">
        <f>VLOOKUP($G55,Others!$E$2:$I$217,3,FALSE)</f>
        <v>Live Action</v>
      </c>
      <c r="T55" s="5" t="str">
        <f>VLOOKUP($G55,Others!$E$2:$I$217,4,FALSE)</f>
        <v>Contemporary Fiction</v>
      </c>
      <c r="U55" s="5" t="str">
        <f>IFERROR(VLOOKUP($G55,Ratings!$E$13:$I$55,5,FALSE),"None")</f>
        <v>None</v>
      </c>
      <c r="V55" s="5"/>
      <c r="X55" s="5"/>
      <c r="Y55" s="5"/>
      <c r="AA55" s="5"/>
      <c r="AB55" s="5"/>
      <c r="AC55" s="5"/>
      <c r="AG55" s="9"/>
      <c r="AH55" s="9"/>
    </row>
    <row r="56" spans="1:34" hidden="1">
      <c r="A56" s="3" t="s">
        <v>1684</v>
      </c>
      <c r="B56" s="4">
        <v>2019</v>
      </c>
      <c r="C56" s="4" t="s">
        <v>44</v>
      </c>
      <c r="D56" s="3">
        <f t="shared" si="0"/>
        <v>54</v>
      </c>
      <c r="E56" s="3" t="s">
        <v>676</v>
      </c>
      <c r="G56" s="5" t="s">
        <v>226</v>
      </c>
      <c r="I56" s="5" t="s">
        <v>131</v>
      </c>
      <c r="M56" s="8">
        <v>0</v>
      </c>
      <c r="N56" s="7">
        <v>0</v>
      </c>
      <c r="P56" s="7">
        <v>2718620</v>
      </c>
      <c r="Q56" s="7">
        <v>2718620</v>
      </c>
      <c r="R56" s="5" t="str">
        <f>VLOOKUP($G56,Others!$E$2:$I$217,2,FALSE)</f>
        <v>Original Screenplay</v>
      </c>
      <c r="S56" s="5" t="str">
        <f>VLOOKUP($G56,Others!$E$2:$I$217,3,FALSE)</f>
        <v>Live Action</v>
      </c>
      <c r="T56" s="5" t="str">
        <f>VLOOKUP($G56,Others!$E$2:$I$217,4,FALSE)</f>
        <v>Contemporary Fiction</v>
      </c>
      <c r="U56" s="5" t="str">
        <f>IFERROR(VLOOKUP($G56,Ratings!$E$13:$I$55,5,FALSE),"None")</f>
        <v>None</v>
      </c>
      <c r="V56" s="5"/>
      <c r="X56" s="5"/>
      <c r="Y56" s="5"/>
      <c r="AA56" s="5"/>
      <c r="AB56" s="5"/>
      <c r="AC56" s="5"/>
      <c r="AG56" s="9"/>
      <c r="AH56" s="9"/>
    </row>
    <row r="57" spans="1:34" hidden="1">
      <c r="A57" s="3" t="s">
        <v>1684</v>
      </c>
      <c r="B57" s="4">
        <v>2019</v>
      </c>
      <c r="C57" s="4" t="s">
        <v>44</v>
      </c>
      <c r="D57" s="3">
        <f t="shared" si="0"/>
        <v>55</v>
      </c>
      <c r="E57" s="3" t="s">
        <v>676</v>
      </c>
      <c r="G57" s="5" t="s">
        <v>322</v>
      </c>
      <c r="H57" s="5"/>
      <c r="I57" s="5" t="s">
        <v>131</v>
      </c>
      <c r="J57" s="7">
        <v>0</v>
      </c>
      <c r="M57" s="8">
        <v>0</v>
      </c>
      <c r="N57" s="7">
        <v>0</v>
      </c>
      <c r="P57" s="7">
        <v>40780</v>
      </c>
      <c r="Q57" s="7">
        <v>40780</v>
      </c>
      <c r="R57" s="5">
        <f>VLOOKUP($G57,Others!$E$2:$I$217,2,FALSE)</f>
        <v>0</v>
      </c>
      <c r="S57" s="5">
        <f>VLOOKUP($G57,Others!$E$2:$I$217,3,FALSE)</f>
        <v>0</v>
      </c>
      <c r="T57" s="5">
        <f>VLOOKUP($G57,Others!$E$2:$I$217,4,FALSE)</f>
        <v>0</v>
      </c>
      <c r="U57" s="5" t="str">
        <f>IFERROR(VLOOKUP($G57,Ratings!$E$13:$I$55,5,FALSE),"None")</f>
        <v>None</v>
      </c>
      <c r="V57" s="5"/>
      <c r="X57" s="5"/>
      <c r="Y57" s="5"/>
      <c r="AA57" s="5"/>
      <c r="AB57" s="5"/>
      <c r="AC57" s="5"/>
      <c r="AG57" s="9"/>
      <c r="AH57" s="9"/>
    </row>
    <row r="58" spans="1:34">
      <c r="A58" s="3" t="s">
        <v>1684</v>
      </c>
      <c r="B58" s="4">
        <v>2019</v>
      </c>
      <c r="C58" s="4" t="s">
        <v>44</v>
      </c>
      <c r="D58" s="3">
        <f t="shared" si="0"/>
        <v>56</v>
      </c>
      <c r="E58" s="55" t="s">
        <v>676</v>
      </c>
      <c r="F58" s="56" t="s">
        <v>675</v>
      </c>
      <c r="G58" s="5" t="s">
        <v>140</v>
      </c>
      <c r="H58" s="39" t="s">
        <v>1501</v>
      </c>
      <c r="I58" s="5" t="s">
        <v>131</v>
      </c>
      <c r="J58" s="7">
        <v>250000000</v>
      </c>
      <c r="K58" s="57"/>
      <c r="M58" s="41">
        <v>108128</v>
      </c>
      <c r="N58" s="41" t="s">
        <v>1501</v>
      </c>
      <c r="P58" s="7">
        <v>198756793</v>
      </c>
      <c r="Q58" s="7">
        <v>198756793</v>
      </c>
      <c r="R58" s="5" t="str">
        <f>VLOOKUP($G58,Others!$E$2:$I$217,2,FALSE)</f>
        <v>Original Screenplay</v>
      </c>
      <c r="S58" s="5" t="str">
        <f>VLOOKUP($G58,Others!$E$2:$I$217,3,FALSE)</f>
        <v>Live Action</v>
      </c>
      <c r="T58" s="5" t="str">
        <f>VLOOKUP($G58,Others!$E$2:$I$217,4,FALSE)</f>
        <v>Contemporary Fiction</v>
      </c>
      <c r="U58" s="5" t="str">
        <f>IFERROR(VLOOKUP($G58,Ratings!$E$13:$I$55,5,FALSE),"None")</f>
        <v>None</v>
      </c>
      <c r="V58" s="5" t="s">
        <v>1702</v>
      </c>
      <c r="W58" s="5" t="s">
        <v>1703</v>
      </c>
      <c r="X58" s="39" t="s">
        <v>1704</v>
      </c>
      <c r="Y58" s="39" t="s">
        <v>1575</v>
      </c>
      <c r="Z58" s="80" t="s">
        <v>1705</v>
      </c>
      <c r="AA58" s="39" t="s">
        <v>1706</v>
      </c>
      <c r="AB58" s="5"/>
      <c r="AC58" s="39" t="s">
        <v>1707</v>
      </c>
      <c r="AD58" s="47">
        <v>9.4</v>
      </c>
      <c r="AG58" s="9"/>
      <c r="AH58" s="9"/>
    </row>
    <row r="59" spans="1:34">
      <c r="A59" s="3" t="s">
        <v>1684</v>
      </c>
      <c r="B59" s="4">
        <v>2019</v>
      </c>
      <c r="C59" s="4" t="s">
        <v>44</v>
      </c>
      <c r="D59" s="3">
        <f t="shared" si="0"/>
        <v>57</v>
      </c>
      <c r="E59" s="55" t="s">
        <v>676</v>
      </c>
      <c r="F59" s="22" t="s">
        <v>1708</v>
      </c>
      <c r="G59" s="5" t="s">
        <v>187</v>
      </c>
      <c r="H59" s="39" t="s">
        <v>1501</v>
      </c>
      <c r="I59" s="5" t="s">
        <v>127</v>
      </c>
      <c r="J59" s="7">
        <v>350000000</v>
      </c>
      <c r="K59" s="57"/>
      <c r="M59" s="41">
        <v>26219</v>
      </c>
      <c r="N59" s="42">
        <v>2130000</v>
      </c>
      <c r="P59" s="7">
        <v>8307698</v>
      </c>
      <c r="Q59" s="7">
        <v>8307698</v>
      </c>
      <c r="R59" s="5" t="str">
        <f>VLOOKUP($G59,Others!$E$2:$I$217,2,FALSE)</f>
        <v>Based on Folk Tale/Legend/Fairytale</v>
      </c>
      <c r="S59" s="5" t="str">
        <f>VLOOKUP($G59,Others!$E$2:$I$217,3,FALSE)</f>
        <v>Live Action</v>
      </c>
      <c r="T59" s="5" t="str">
        <f>VLOOKUP($G59,Others!$E$2:$I$217,4,FALSE)</f>
        <v>Fantasy</v>
      </c>
      <c r="U59" s="5" t="str">
        <f>IFERROR(VLOOKUP($G59,Ratings!$E$13:$I$55,5,FALSE),"None")</f>
        <v>None</v>
      </c>
      <c r="V59" s="58" t="s">
        <v>1411</v>
      </c>
      <c r="W59" s="5" t="s">
        <v>1709</v>
      </c>
      <c r="X59" s="5"/>
      <c r="Y59" s="5"/>
      <c r="AA59" s="58" t="s">
        <v>1501</v>
      </c>
      <c r="AB59" s="5"/>
      <c r="AC59" s="58" t="s">
        <v>1501</v>
      </c>
      <c r="AD59" s="9" t="s">
        <v>1411</v>
      </c>
      <c r="AG59" s="9"/>
      <c r="AH59" s="9"/>
    </row>
    <row r="60" spans="1:34">
      <c r="A60" s="3" t="s">
        <v>1684</v>
      </c>
      <c r="B60" s="4">
        <v>2019</v>
      </c>
      <c r="C60" s="4" t="s">
        <v>44</v>
      </c>
      <c r="D60" s="3">
        <f t="shared" si="0"/>
        <v>58</v>
      </c>
      <c r="E60" s="55" t="s">
        <v>676</v>
      </c>
      <c r="F60" s="56" t="s">
        <v>673</v>
      </c>
      <c r="G60" s="5" t="s">
        <v>179</v>
      </c>
      <c r="H60" s="39" t="s">
        <v>1710</v>
      </c>
      <c r="I60" s="5" t="s">
        <v>131</v>
      </c>
      <c r="J60" s="7">
        <v>300000000</v>
      </c>
      <c r="K60" s="57"/>
      <c r="M60" s="41">
        <v>105653</v>
      </c>
      <c r="N60" s="42">
        <v>8540000</v>
      </c>
      <c r="P60" s="7">
        <v>10102949</v>
      </c>
      <c r="Q60" s="7">
        <v>10102949</v>
      </c>
      <c r="R60" s="5" t="str">
        <f>VLOOKUP($G60,Others!$E$2:$I$217,2,FALSE)</f>
        <v>Original Screenplay</v>
      </c>
      <c r="S60" s="5" t="str">
        <f>VLOOKUP($G60,Others!$E$2:$I$217,3,FALSE)</f>
        <v>Live Action</v>
      </c>
      <c r="T60" s="5" t="str">
        <f>VLOOKUP($G60,Others!$E$2:$I$217,4,FALSE)</f>
        <v>Fantasy</v>
      </c>
      <c r="U60" s="5" t="str">
        <f>IFERROR(VLOOKUP($G60,Ratings!$E$13:$I$55,5,FALSE),"None")</f>
        <v>None</v>
      </c>
      <c r="V60" s="39" t="s">
        <v>1711</v>
      </c>
      <c r="W60" s="39" t="s">
        <v>1712</v>
      </c>
      <c r="X60" s="39" t="s">
        <v>1639</v>
      </c>
      <c r="Y60" s="39" t="s">
        <v>1713</v>
      </c>
      <c r="AA60" s="39" t="s">
        <v>1714</v>
      </c>
      <c r="AB60" s="5"/>
      <c r="AC60" s="39" t="s">
        <v>1710</v>
      </c>
      <c r="AD60" s="47">
        <v>7.8</v>
      </c>
      <c r="AG60" s="9"/>
      <c r="AH60" s="9"/>
    </row>
    <row r="61" spans="1:34" hidden="1">
      <c r="A61" s="3" t="s">
        <v>1684</v>
      </c>
      <c r="B61" s="4">
        <v>2019</v>
      </c>
      <c r="C61" s="4" t="s">
        <v>44</v>
      </c>
      <c r="D61" s="3">
        <f t="shared" si="0"/>
        <v>59</v>
      </c>
      <c r="E61" s="3" t="s">
        <v>676</v>
      </c>
      <c r="G61" s="5" t="s">
        <v>682</v>
      </c>
      <c r="H61" s="5"/>
      <c r="I61" s="5" t="s">
        <v>191</v>
      </c>
      <c r="J61" s="7">
        <v>0</v>
      </c>
      <c r="M61" s="8">
        <v>0</v>
      </c>
      <c r="N61" s="7">
        <v>0</v>
      </c>
      <c r="P61" s="7">
        <v>713623</v>
      </c>
      <c r="Q61" s="7">
        <v>713623</v>
      </c>
      <c r="R61" s="5" t="str">
        <f>VLOOKUP($G61,Others!$E$2:$I$217,2,FALSE)</f>
        <v>Based on Real Life Events</v>
      </c>
      <c r="S61" s="5" t="str">
        <f>VLOOKUP($G61,Others!$E$2:$I$217,3,FALSE)</f>
        <v>Live Action</v>
      </c>
      <c r="T61" s="5" t="str">
        <f>VLOOKUP($G61,Others!$E$2:$I$217,4,FALSE)</f>
        <v>Factual</v>
      </c>
      <c r="U61" s="5" t="str">
        <f>IFERROR(VLOOKUP($G61,Ratings!$E$13:$I$55,5,FALSE),"None")</f>
        <v>None</v>
      </c>
      <c r="V61" s="5"/>
      <c r="X61" s="5"/>
      <c r="Y61" s="5"/>
      <c r="AA61" s="5"/>
      <c r="AB61" s="5"/>
      <c r="AC61" s="5"/>
      <c r="AG61" s="9"/>
      <c r="AH61" s="9"/>
    </row>
    <row r="62" spans="1:34" hidden="1">
      <c r="A62" s="3" t="s">
        <v>1684</v>
      </c>
      <c r="B62" s="4">
        <v>2019</v>
      </c>
      <c r="C62" s="4" t="s">
        <v>44</v>
      </c>
      <c r="D62" s="3">
        <f t="shared" si="0"/>
        <v>60</v>
      </c>
      <c r="E62" s="3" t="s">
        <v>676</v>
      </c>
      <c r="G62" s="5" t="s">
        <v>683</v>
      </c>
      <c r="H62" s="5"/>
      <c r="I62" s="5" t="s">
        <v>129</v>
      </c>
      <c r="J62" s="7">
        <v>0</v>
      </c>
      <c r="M62" s="8">
        <v>0</v>
      </c>
      <c r="N62" s="7">
        <v>0</v>
      </c>
      <c r="P62" s="7">
        <v>0</v>
      </c>
      <c r="Q62" s="7">
        <v>0</v>
      </c>
      <c r="R62" s="5">
        <f>VLOOKUP($G62,Others!$E$2:$I$217,2,FALSE)</f>
        <v>0</v>
      </c>
      <c r="S62" s="5" t="str">
        <f>VLOOKUP($G62,Others!$E$2:$I$217,3,FALSE)</f>
        <v>Live Action</v>
      </c>
      <c r="T62" s="5" t="str">
        <f>VLOOKUP($G62,Others!$E$2:$I$217,4,FALSE)</f>
        <v>Science Fiction</v>
      </c>
      <c r="U62" s="5" t="str">
        <f>IFERROR(VLOOKUP($G62,Ratings!$E$13:$I$55,5,FALSE),"None")</f>
        <v>None</v>
      </c>
      <c r="V62" s="5"/>
      <c r="X62" s="5"/>
      <c r="Y62" s="5"/>
      <c r="AA62" s="5"/>
      <c r="AB62" s="5"/>
      <c r="AC62" s="5"/>
      <c r="AG62" s="9"/>
      <c r="AH62" s="9"/>
    </row>
    <row r="63" spans="1:34" hidden="1">
      <c r="A63" s="3" t="s">
        <v>1684</v>
      </c>
      <c r="B63" s="4">
        <v>2019</v>
      </c>
      <c r="C63" s="4" t="s">
        <v>44</v>
      </c>
      <c r="D63" s="3">
        <f t="shared" si="0"/>
        <v>61</v>
      </c>
      <c r="E63" s="3" t="s">
        <v>676</v>
      </c>
      <c r="G63" s="5" t="s">
        <v>318</v>
      </c>
      <c r="H63" s="5"/>
      <c r="I63" s="5" t="s">
        <v>193</v>
      </c>
      <c r="J63" s="7">
        <v>0</v>
      </c>
      <c r="M63" s="8">
        <v>0</v>
      </c>
      <c r="N63" s="7">
        <v>0</v>
      </c>
      <c r="P63" s="7">
        <v>58408</v>
      </c>
      <c r="Q63" s="7">
        <v>58408</v>
      </c>
      <c r="R63" s="5" t="str">
        <f>VLOOKUP($G63,Others!$E$2:$I$217,2,FALSE)</f>
        <v>Original Screenplay</v>
      </c>
      <c r="S63" s="5" t="str">
        <f>VLOOKUP($G63,Others!$E$2:$I$217,3,FALSE)</f>
        <v>Live Action</v>
      </c>
      <c r="T63" s="5" t="str">
        <f>VLOOKUP($G63,Others!$E$2:$I$217,4,FALSE)</f>
        <v>Contemporary Fiction</v>
      </c>
      <c r="U63" s="5" t="str">
        <f>IFERROR(VLOOKUP($G63,Ratings!$E$13:$I$55,5,FALSE),"None")</f>
        <v>None</v>
      </c>
      <c r="V63" s="5"/>
      <c r="X63" s="5"/>
      <c r="Y63" s="5"/>
      <c r="AA63" s="5"/>
      <c r="AB63" s="5"/>
      <c r="AC63" s="5"/>
      <c r="AG63" s="9"/>
      <c r="AH63" s="9"/>
    </row>
    <row r="64" spans="1:34" hidden="1">
      <c r="A64" s="3" t="s">
        <v>1684</v>
      </c>
      <c r="B64" s="4">
        <v>2019</v>
      </c>
      <c r="C64" s="4" t="s">
        <v>44</v>
      </c>
      <c r="D64" s="3">
        <f t="shared" si="0"/>
        <v>62</v>
      </c>
      <c r="E64" s="3" t="s">
        <v>676</v>
      </c>
      <c r="G64" s="5" t="s">
        <v>283</v>
      </c>
      <c r="H64" s="5"/>
      <c r="I64" s="5" t="s">
        <v>131</v>
      </c>
      <c r="J64" s="7">
        <v>0</v>
      </c>
      <c r="M64" s="8">
        <v>0</v>
      </c>
      <c r="N64" s="7">
        <v>0</v>
      </c>
      <c r="P64" s="7">
        <v>300000</v>
      </c>
      <c r="Q64" s="7">
        <v>300000</v>
      </c>
      <c r="R64" s="5" t="str">
        <f>VLOOKUP($G64,Others!$E$2:$I$217,2,FALSE)</f>
        <v>Original Screenplay</v>
      </c>
      <c r="S64" s="5" t="str">
        <f>VLOOKUP($G64,Others!$E$2:$I$217,3,FALSE)</f>
        <v>Live Action</v>
      </c>
      <c r="T64" s="5" t="str">
        <f>VLOOKUP($G64,Others!$E$2:$I$217,4,FALSE)</f>
        <v>Contemporary Fiction</v>
      </c>
      <c r="U64" s="5" t="str">
        <f>IFERROR(VLOOKUP($G64,Ratings!$E$13:$I$55,5,FALSE),"None")</f>
        <v>None</v>
      </c>
      <c r="V64" s="5"/>
      <c r="X64" s="5"/>
      <c r="Y64" s="5"/>
      <c r="AA64" s="5"/>
      <c r="AB64" s="5"/>
      <c r="AC64" s="5"/>
      <c r="AG64" s="9"/>
      <c r="AH64" s="9"/>
    </row>
    <row r="65" spans="1:34" hidden="1">
      <c r="A65" s="3" t="s">
        <v>1684</v>
      </c>
      <c r="B65" s="4">
        <v>2019</v>
      </c>
      <c r="C65" s="4" t="s">
        <v>44</v>
      </c>
      <c r="D65" s="3">
        <f t="shared" si="0"/>
        <v>63</v>
      </c>
      <c r="E65" s="3" t="s">
        <v>676</v>
      </c>
      <c r="G65" s="5" t="s">
        <v>152</v>
      </c>
      <c r="H65" s="5"/>
      <c r="I65" s="5" t="s">
        <v>129</v>
      </c>
      <c r="J65" s="7">
        <v>0</v>
      </c>
      <c r="M65" s="8">
        <v>0</v>
      </c>
      <c r="N65" s="7">
        <v>0</v>
      </c>
      <c r="P65" s="7">
        <v>56911144</v>
      </c>
      <c r="Q65" s="7">
        <v>56911144</v>
      </c>
      <c r="R65" s="5" t="str">
        <f>VLOOKUP($G65,Others!$E$2:$I$217,2,FALSE)</f>
        <v>Original Screenplay</v>
      </c>
      <c r="S65" s="5" t="str">
        <f>VLOOKUP($G65,Others!$E$2:$I$217,3,FALSE)</f>
        <v>Live Action</v>
      </c>
      <c r="T65" s="5" t="str">
        <f>VLOOKUP($G65,Others!$E$2:$I$217,4,FALSE)</f>
        <v>Fantasy</v>
      </c>
      <c r="U65" s="5" t="str">
        <f>IFERROR(VLOOKUP($G65,Ratings!$E$13:$I$55,5,FALSE),"None")</f>
        <v>None</v>
      </c>
      <c r="V65" s="5"/>
      <c r="X65" s="5"/>
      <c r="Y65" s="5"/>
      <c r="AA65" s="5"/>
      <c r="AB65" s="5"/>
      <c r="AC65" s="5"/>
      <c r="AG65" s="9"/>
      <c r="AH65" s="9"/>
    </row>
    <row r="66" spans="1:34" hidden="1">
      <c r="A66" s="3" t="s">
        <v>1684</v>
      </c>
      <c r="B66" s="4">
        <v>2019</v>
      </c>
      <c r="C66" s="4" t="s">
        <v>44</v>
      </c>
      <c r="D66" s="3">
        <f t="shared" si="0"/>
        <v>64</v>
      </c>
      <c r="E66" s="3" t="s">
        <v>676</v>
      </c>
      <c r="G66" s="5" t="s">
        <v>684</v>
      </c>
      <c r="H66" s="5"/>
      <c r="I66" s="5" t="s">
        <v>191</v>
      </c>
      <c r="J66" s="7">
        <v>0</v>
      </c>
      <c r="M66" s="8">
        <v>0</v>
      </c>
      <c r="N66" s="7">
        <v>0</v>
      </c>
      <c r="P66" s="7">
        <v>730000</v>
      </c>
      <c r="Q66" s="7">
        <v>730000</v>
      </c>
      <c r="R66" s="5" t="str">
        <f>VLOOKUP($G66,Others!$E$2:$I$217,2,FALSE)</f>
        <v>Based on Real Life Events</v>
      </c>
      <c r="S66" s="5" t="str">
        <f>VLOOKUP($G66,Others!$E$2:$I$217,3,FALSE)</f>
        <v>Live Action</v>
      </c>
      <c r="T66" s="5" t="str">
        <f>VLOOKUP($G66,Others!$E$2:$I$217,4,FALSE)</f>
        <v>Factual</v>
      </c>
      <c r="U66" s="5" t="str">
        <f>IFERROR(VLOOKUP($G66,Ratings!$E$13:$I$55,5,FALSE),"None")</f>
        <v>None</v>
      </c>
      <c r="V66" s="5"/>
      <c r="X66" s="5"/>
      <c r="Y66" s="5"/>
      <c r="AA66" s="5"/>
      <c r="AB66" s="5"/>
      <c r="AC66" s="5"/>
      <c r="AG66" s="9"/>
      <c r="AH66" s="9"/>
    </row>
    <row r="67" spans="1:34" hidden="1">
      <c r="A67" s="3" t="s">
        <v>1684</v>
      </c>
      <c r="B67" s="4">
        <v>2019</v>
      </c>
      <c r="C67" s="4" t="s">
        <v>44</v>
      </c>
      <c r="D67" s="3">
        <f t="shared" si="0"/>
        <v>65</v>
      </c>
      <c r="E67" s="3" t="s">
        <v>676</v>
      </c>
      <c r="G67" s="5" t="s">
        <v>685</v>
      </c>
      <c r="H67" s="5"/>
      <c r="I67" s="5" t="s">
        <v>131</v>
      </c>
      <c r="J67" s="7">
        <v>0</v>
      </c>
      <c r="M67" s="8">
        <v>0</v>
      </c>
      <c r="N67" s="7">
        <v>0</v>
      </c>
      <c r="P67" s="7">
        <v>28169</v>
      </c>
      <c r="Q67" s="7">
        <v>28169</v>
      </c>
      <c r="R67" s="5">
        <f>VLOOKUP($G67,Others!$E$2:$I$217,2,FALSE)</f>
        <v>0</v>
      </c>
      <c r="S67" s="5">
        <f>VLOOKUP($G67,Others!$E$2:$I$217,3,FALSE)</f>
        <v>0</v>
      </c>
      <c r="T67" s="5">
        <f>VLOOKUP($G67,Others!$E$2:$I$217,4,FALSE)</f>
        <v>0</v>
      </c>
      <c r="U67" s="5" t="str">
        <f>IFERROR(VLOOKUP($G67,Ratings!$E$13:$I$55,5,FALSE),"None")</f>
        <v>None</v>
      </c>
      <c r="V67" s="5"/>
      <c r="X67" s="5"/>
      <c r="Y67" s="5"/>
      <c r="AA67" s="5"/>
      <c r="AB67" s="5"/>
      <c r="AC67" s="5"/>
      <c r="AG67" s="9"/>
      <c r="AH67" s="9"/>
    </row>
    <row r="68" spans="1:34">
      <c r="A68" s="3" t="s">
        <v>1684</v>
      </c>
      <c r="B68" s="4">
        <v>2019</v>
      </c>
      <c r="C68" s="4" t="s">
        <v>44</v>
      </c>
      <c r="D68" s="3">
        <f t="shared" si="0"/>
        <v>66</v>
      </c>
      <c r="E68" s="55" t="s">
        <v>676</v>
      </c>
      <c r="F68" s="3" t="s">
        <v>1715</v>
      </c>
      <c r="G68" s="5" t="s">
        <v>231</v>
      </c>
      <c r="H68" s="5" t="s">
        <v>1410</v>
      </c>
      <c r="I68" s="5" t="s">
        <v>131</v>
      </c>
      <c r="J68" s="7">
        <f>0.4*100000000/6.7</f>
        <v>5970149.253731343</v>
      </c>
      <c r="K68" s="57" t="s">
        <v>1411</v>
      </c>
      <c r="L68" s="7">
        <f>0.06*100000000/6.7</f>
        <v>895522.38805970142</v>
      </c>
      <c r="M68" s="41" t="s">
        <v>1501</v>
      </c>
      <c r="N68" s="7">
        <v>1929242</v>
      </c>
      <c r="O68" s="7">
        <f>0.17*100000000/6.7</f>
        <v>2537313.4328358206</v>
      </c>
      <c r="P68" s="7">
        <v>2504008</v>
      </c>
      <c r="Q68" s="7">
        <v>2504008</v>
      </c>
      <c r="R68" s="5" t="str">
        <f>VLOOKUP($G68,Others!$E$2:$I$217,2,FALSE)</f>
        <v>Original Screenplay</v>
      </c>
      <c r="S68" s="5" t="str">
        <f>VLOOKUP($G68,Others!$E$2:$I$217,3,FALSE)</f>
        <v>Live Action</v>
      </c>
      <c r="T68" s="5" t="str">
        <f>VLOOKUP($G68,Others!$E$2:$I$217,4,FALSE)</f>
        <v>Contemporary Fiction</v>
      </c>
      <c r="U68" s="5" t="str">
        <f>IFERROR(VLOOKUP($G68,Ratings!$E$13:$I$55,5,FALSE),"None")</f>
        <v>None</v>
      </c>
      <c r="V68" s="5" t="s">
        <v>1716</v>
      </c>
      <c r="W68" s="5" t="s">
        <v>1717</v>
      </c>
      <c r="X68" s="5" t="s">
        <v>1718</v>
      </c>
      <c r="Y68" s="5" t="s">
        <v>1719</v>
      </c>
      <c r="Z68" s="5"/>
      <c r="AA68" s="5" t="s">
        <v>1720</v>
      </c>
      <c r="AB68" s="5"/>
      <c r="AC68" s="5" t="s">
        <v>1721</v>
      </c>
      <c r="AD68" s="9">
        <v>6.8</v>
      </c>
      <c r="AE68" s="1" t="s">
        <v>1489</v>
      </c>
      <c r="AG68" s="9"/>
      <c r="AH68" s="9"/>
    </row>
    <row r="69" spans="1:34">
      <c r="A69" s="3" t="s">
        <v>1684</v>
      </c>
      <c r="B69" s="4">
        <v>2019</v>
      </c>
      <c r="C69" s="4" t="s">
        <v>44</v>
      </c>
      <c r="D69" s="3">
        <f t="shared" ref="D69:D132" si="1">D68+1</f>
        <v>67</v>
      </c>
      <c r="E69" s="55" t="s">
        <v>676</v>
      </c>
      <c r="F69" s="56" t="s">
        <v>769</v>
      </c>
      <c r="G69" s="5" t="s">
        <v>151</v>
      </c>
      <c r="H69" s="39" t="s">
        <v>605</v>
      </c>
      <c r="I69" s="5" t="s">
        <v>131</v>
      </c>
      <c r="J69" s="7">
        <v>7000000</v>
      </c>
      <c r="K69" s="57" t="s">
        <v>1411</v>
      </c>
      <c r="L69" s="7">
        <v>20895522</v>
      </c>
      <c r="M69" s="8">
        <v>75043</v>
      </c>
      <c r="N69" s="7">
        <v>21695510</v>
      </c>
      <c r="O69" s="7">
        <v>61044776</v>
      </c>
      <c r="P69" s="7">
        <v>60006412</v>
      </c>
      <c r="Q69" s="7">
        <v>60006412</v>
      </c>
      <c r="R69" s="5" t="str">
        <f>VLOOKUP($G69,Others!$E$2:$I$217,2,FALSE)</f>
        <v>Original Screenplay</v>
      </c>
      <c r="S69" s="5" t="str">
        <f>VLOOKUP($G69,Others!$E$2:$I$217,3,FALSE)</f>
        <v>Live Action</v>
      </c>
      <c r="T69" s="5" t="str">
        <f>VLOOKUP($G69,Others!$E$2:$I$217,4,FALSE)</f>
        <v>Contemporary Fiction</v>
      </c>
      <c r="U69" s="5" t="str">
        <f>IFERROR(VLOOKUP($G69,Ratings!$E$13:$I$55,5,FALSE),"None")</f>
        <v>None</v>
      </c>
      <c r="V69" s="5" t="s">
        <v>1722</v>
      </c>
      <c r="W69" s="5" t="s">
        <v>1723</v>
      </c>
      <c r="X69" s="5" t="s">
        <v>1724</v>
      </c>
      <c r="Y69" s="5" t="s">
        <v>1725</v>
      </c>
      <c r="Z69" s="5"/>
      <c r="AA69" s="5" t="s">
        <v>1726</v>
      </c>
      <c r="AB69" s="5"/>
      <c r="AC69" s="5" t="s">
        <v>1417</v>
      </c>
      <c r="AD69" s="9">
        <v>8.6999999999999993</v>
      </c>
      <c r="AE69" s="1" t="s">
        <v>1489</v>
      </c>
      <c r="AG69" s="9"/>
      <c r="AH69" s="9"/>
    </row>
    <row r="70" spans="1:34" hidden="1">
      <c r="A70" s="3" t="s">
        <v>1684</v>
      </c>
      <c r="B70" s="4">
        <v>2019</v>
      </c>
      <c r="C70" s="4" t="s">
        <v>44</v>
      </c>
      <c r="D70" s="3">
        <f t="shared" si="1"/>
        <v>68</v>
      </c>
      <c r="E70" s="3" t="s">
        <v>676</v>
      </c>
      <c r="G70" s="5" t="s">
        <v>686</v>
      </c>
      <c r="H70" s="5"/>
      <c r="I70" s="5" t="s">
        <v>253</v>
      </c>
      <c r="J70" s="7">
        <v>0</v>
      </c>
      <c r="M70" s="8">
        <v>0</v>
      </c>
      <c r="N70" s="7">
        <v>0</v>
      </c>
      <c r="P70" s="7">
        <v>212548</v>
      </c>
      <c r="Q70" s="7">
        <v>212548</v>
      </c>
      <c r="R70" s="5" t="str">
        <f>VLOOKUP($G70,Others!$E$2:$I$217,2,FALSE)</f>
        <v>Original Screenplay</v>
      </c>
      <c r="S70" s="5" t="str">
        <f>VLOOKUP($G70,Others!$E$2:$I$217,3,FALSE)</f>
        <v>Live Action</v>
      </c>
      <c r="T70" s="5" t="str">
        <f>VLOOKUP($G70,Others!$E$2:$I$217,4,FALSE)</f>
        <v>Contemporary Fiction</v>
      </c>
      <c r="U70" s="5" t="str">
        <f>IFERROR(VLOOKUP($G70,Ratings!$E$13:$I$55,5,FALSE),"None")</f>
        <v>None</v>
      </c>
      <c r="V70" s="5"/>
      <c r="X70" s="5"/>
      <c r="Y70" s="5"/>
      <c r="Z70" s="5"/>
      <c r="AA70" s="5"/>
      <c r="AB70" s="5"/>
      <c r="AC70" s="5"/>
      <c r="AG70" s="9"/>
      <c r="AH70" s="9"/>
    </row>
    <row r="71" spans="1:34" hidden="1">
      <c r="A71" s="3" t="s">
        <v>1684</v>
      </c>
      <c r="B71" s="4">
        <v>2019</v>
      </c>
      <c r="C71" s="4" t="s">
        <v>44</v>
      </c>
      <c r="D71" s="3">
        <f t="shared" si="1"/>
        <v>69</v>
      </c>
      <c r="E71" s="3" t="s">
        <v>676</v>
      </c>
      <c r="G71" s="5" t="s">
        <v>328</v>
      </c>
      <c r="H71" s="5"/>
      <c r="I71" s="5" t="s">
        <v>131</v>
      </c>
      <c r="J71" s="7">
        <v>0</v>
      </c>
      <c r="M71" s="8">
        <v>0</v>
      </c>
      <c r="N71" s="7">
        <v>0</v>
      </c>
      <c r="P71" s="7">
        <v>22917</v>
      </c>
      <c r="Q71" s="7">
        <v>22917</v>
      </c>
      <c r="R71" s="5">
        <f>VLOOKUP($G71,Others!$E$2:$I$217,2,FALSE)</f>
        <v>0</v>
      </c>
      <c r="S71" s="5">
        <f>VLOOKUP($G71,Others!$E$2:$I$217,3,FALSE)</f>
        <v>0</v>
      </c>
      <c r="T71" s="5">
        <f>VLOOKUP($G71,Others!$E$2:$I$217,4,FALSE)</f>
        <v>0</v>
      </c>
      <c r="U71" s="5" t="str">
        <f>IFERROR(VLOOKUP($G71,Ratings!$E$13:$I$55,5,FALSE),"None")</f>
        <v>None</v>
      </c>
      <c r="V71" s="5"/>
      <c r="X71" s="5"/>
      <c r="Y71" s="5"/>
      <c r="Z71" s="5"/>
      <c r="AA71" s="5"/>
      <c r="AB71" s="5"/>
      <c r="AC71" s="5"/>
      <c r="AG71" s="9"/>
      <c r="AH71" s="9"/>
    </row>
    <row r="72" spans="1:34" hidden="1">
      <c r="A72" s="3" t="s">
        <v>1684</v>
      </c>
      <c r="B72" s="4">
        <v>2019</v>
      </c>
      <c r="C72" s="4" t="s">
        <v>44</v>
      </c>
      <c r="D72" s="3">
        <f t="shared" si="1"/>
        <v>70</v>
      </c>
      <c r="E72" s="3" t="s">
        <v>676</v>
      </c>
      <c r="G72" s="5" t="s">
        <v>687</v>
      </c>
      <c r="H72" s="5"/>
      <c r="I72" s="5" t="s">
        <v>131</v>
      </c>
      <c r="J72" s="7">
        <v>0</v>
      </c>
      <c r="M72" s="8">
        <v>0</v>
      </c>
      <c r="N72" s="7">
        <v>0</v>
      </c>
      <c r="P72" s="7">
        <v>149173</v>
      </c>
      <c r="Q72" s="7">
        <v>149173</v>
      </c>
      <c r="R72" s="5">
        <f>VLOOKUP($G72,Others!$E$2:$I$217,2,FALSE)</f>
        <v>0</v>
      </c>
      <c r="S72" s="5" t="str">
        <f>VLOOKUP($G72,Others!$E$2:$I$217,3,FALSE)</f>
        <v>Live Action</v>
      </c>
      <c r="T72" s="5">
        <f>VLOOKUP($G72,Others!$E$2:$I$217,4,FALSE)</f>
        <v>0</v>
      </c>
      <c r="U72" s="5" t="str">
        <f>IFERROR(VLOOKUP($G72,Ratings!$E$13:$I$55,5,FALSE),"None")</f>
        <v>None</v>
      </c>
      <c r="V72" s="5"/>
      <c r="X72" s="5"/>
      <c r="Y72" s="5"/>
      <c r="Z72" s="5"/>
      <c r="AA72" s="5"/>
      <c r="AB72" s="5"/>
      <c r="AC72" s="5"/>
      <c r="AG72" s="9"/>
      <c r="AH72" s="9"/>
    </row>
    <row r="73" spans="1:34" hidden="1">
      <c r="A73" s="3" t="s">
        <v>1684</v>
      </c>
      <c r="B73" s="4">
        <v>2019</v>
      </c>
      <c r="C73" s="4" t="s">
        <v>44</v>
      </c>
      <c r="D73" s="3">
        <f t="shared" si="1"/>
        <v>71</v>
      </c>
      <c r="E73" s="3" t="s">
        <v>676</v>
      </c>
      <c r="G73" s="5" t="s">
        <v>688</v>
      </c>
      <c r="H73" s="5"/>
      <c r="I73" s="5" t="s">
        <v>1402</v>
      </c>
      <c r="J73" s="7">
        <v>0</v>
      </c>
      <c r="M73" s="8">
        <v>0</v>
      </c>
      <c r="N73" s="7">
        <v>0</v>
      </c>
      <c r="P73" s="7">
        <v>710813</v>
      </c>
      <c r="Q73" s="7">
        <v>710813</v>
      </c>
      <c r="R73" s="5">
        <f>VLOOKUP($G73,Others!$E$2:$I$217,2,FALSE)</f>
        <v>0</v>
      </c>
      <c r="S73" s="5" t="str">
        <f>VLOOKUP($G73,Others!$E$2:$I$217,3,FALSE)</f>
        <v>Digital Animation</v>
      </c>
      <c r="T73" s="5">
        <f>VLOOKUP($G73,Others!$E$2:$I$217,4,FALSE)</f>
        <v>0</v>
      </c>
      <c r="U73" s="5" t="s">
        <v>1392</v>
      </c>
      <c r="V73" s="5" t="s">
        <v>1727</v>
      </c>
      <c r="W73" s="5" t="s">
        <v>688</v>
      </c>
      <c r="X73" s="5"/>
      <c r="Y73" s="5"/>
      <c r="Z73" s="5"/>
      <c r="AA73" s="5" t="s">
        <v>1728</v>
      </c>
      <c r="AB73" s="5"/>
      <c r="AC73" s="5"/>
      <c r="AG73" s="9"/>
      <c r="AH73" s="9"/>
    </row>
    <row r="74" spans="1:34" hidden="1">
      <c r="A74" s="3" t="s">
        <v>1684</v>
      </c>
      <c r="B74" s="4">
        <v>2019</v>
      </c>
      <c r="C74" s="4" t="s">
        <v>44</v>
      </c>
      <c r="D74" s="3">
        <f t="shared" si="1"/>
        <v>72</v>
      </c>
      <c r="E74" s="3" t="s">
        <v>676</v>
      </c>
      <c r="G74" s="5" t="s">
        <v>689</v>
      </c>
      <c r="H74" s="5"/>
      <c r="I74" s="5" t="s">
        <v>148</v>
      </c>
      <c r="J74" s="7">
        <v>0</v>
      </c>
      <c r="M74" s="8">
        <v>0</v>
      </c>
      <c r="N74" s="7">
        <v>0</v>
      </c>
      <c r="P74" s="7">
        <v>14454</v>
      </c>
      <c r="Q74" s="7">
        <v>14454</v>
      </c>
      <c r="R74" s="5">
        <f>VLOOKUP($G74,Others!$E$2:$I$217,2,FALSE)</f>
        <v>0</v>
      </c>
      <c r="S74" s="5" t="str">
        <f>VLOOKUP($G74,Others!$E$2:$I$217,3,FALSE)</f>
        <v>Live Action</v>
      </c>
      <c r="T74" s="5">
        <f>VLOOKUP($G74,Others!$E$2:$I$217,4,FALSE)</f>
        <v>0</v>
      </c>
      <c r="U74" s="5" t="str">
        <f>IFERROR(VLOOKUP($G74,Ratings!$E$13:$I$55,5,FALSE),"None")</f>
        <v>None</v>
      </c>
      <c r="V74" s="5"/>
      <c r="X74" s="5"/>
      <c r="Y74" s="5"/>
      <c r="Z74" s="5"/>
      <c r="AA74" s="5"/>
      <c r="AB74" s="5"/>
      <c r="AC74" s="5"/>
      <c r="AG74" s="9"/>
      <c r="AH74" s="9"/>
    </row>
    <row r="75" spans="1:34" hidden="1">
      <c r="A75" s="3" t="s">
        <v>1684</v>
      </c>
      <c r="B75" s="4">
        <v>2019</v>
      </c>
      <c r="C75" s="4" t="s">
        <v>44</v>
      </c>
      <c r="D75" s="3">
        <f t="shared" si="1"/>
        <v>73</v>
      </c>
      <c r="E75" s="3" t="s">
        <v>676</v>
      </c>
      <c r="G75" s="5" t="s">
        <v>690</v>
      </c>
      <c r="H75" s="5"/>
      <c r="I75" s="5" t="s">
        <v>131</v>
      </c>
      <c r="J75" s="7">
        <v>0</v>
      </c>
      <c r="M75" s="8">
        <v>0</v>
      </c>
      <c r="N75" s="7">
        <v>0</v>
      </c>
      <c r="P75" s="7">
        <v>2217</v>
      </c>
      <c r="Q75" s="7">
        <v>2217</v>
      </c>
      <c r="R75" s="5">
        <f>VLOOKUP($G75,Others!$E$2:$I$217,2,FALSE)</f>
        <v>0</v>
      </c>
      <c r="S75" s="5">
        <f>VLOOKUP($G75,Others!$E$2:$I$217,3,FALSE)</f>
        <v>0</v>
      </c>
      <c r="T75" s="5">
        <f>VLOOKUP($G75,Others!$E$2:$I$217,4,FALSE)</f>
        <v>0</v>
      </c>
      <c r="U75" s="5" t="str">
        <f>IFERROR(VLOOKUP($G75,Ratings!$E$13:$I$55,5,FALSE),"None")</f>
        <v>None</v>
      </c>
      <c r="V75" s="5"/>
      <c r="X75" s="5"/>
      <c r="Y75" s="5"/>
      <c r="Z75" s="5"/>
      <c r="AA75" s="5"/>
      <c r="AB75" s="5"/>
      <c r="AC75" s="5"/>
      <c r="AG75" s="9"/>
      <c r="AH75" s="9"/>
    </row>
    <row r="76" spans="1:34">
      <c r="A76" s="3" t="s">
        <v>1684</v>
      </c>
      <c r="B76" s="4">
        <v>2019</v>
      </c>
      <c r="C76" s="4" t="s">
        <v>44</v>
      </c>
      <c r="D76" s="3">
        <f t="shared" si="1"/>
        <v>74</v>
      </c>
      <c r="E76" s="55" t="s">
        <v>676</v>
      </c>
      <c r="F76" s="3" t="s">
        <v>807</v>
      </c>
      <c r="G76" s="5" t="s">
        <v>227</v>
      </c>
      <c r="H76" s="5" t="s">
        <v>1412</v>
      </c>
      <c r="I76" s="5" t="s">
        <v>148</v>
      </c>
      <c r="J76" s="7">
        <f>0.2*100000000/6.7</f>
        <v>2985074.6268656715</v>
      </c>
      <c r="K76" s="57" t="s">
        <v>1411</v>
      </c>
      <c r="L76" s="7">
        <f>0.05*100000000/6.7</f>
        <v>746268.65671641787</v>
      </c>
      <c r="M76" s="8">
        <v>43445</v>
      </c>
      <c r="N76" s="7">
        <v>1604943</v>
      </c>
      <c r="O76" s="7">
        <f>0.15*100000000/6.7</f>
        <v>2238805.9701492535</v>
      </c>
      <c r="P76" s="7">
        <v>2709986</v>
      </c>
      <c r="Q76" s="7">
        <v>2709986</v>
      </c>
      <c r="R76" s="5" t="str">
        <f>VLOOKUP($G76,Others!$E$2:$I$217,2,FALSE)</f>
        <v>Original Screenplay</v>
      </c>
      <c r="S76" s="5" t="str">
        <f>VLOOKUP($G76,Others!$E$2:$I$217,3,FALSE)</f>
        <v>Live Action</v>
      </c>
      <c r="T76" s="5" t="str">
        <f>VLOOKUP($G76,Others!$E$2:$I$217,4,FALSE)</f>
        <v>Contemporary Fiction</v>
      </c>
      <c r="U76" s="5" t="str">
        <f>IFERROR(VLOOKUP($G76,Ratings!$E$13:$I$55,5,FALSE),"None")</f>
        <v>None</v>
      </c>
      <c r="V76" s="5" t="s">
        <v>1729</v>
      </c>
      <c r="W76" s="5" t="s">
        <v>1730</v>
      </c>
      <c r="X76" s="5" t="s">
        <v>1731</v>
      </c>
      <c r="Y76" s="5" t="s">
        <v>1732</v>
      </c>
      <c r="Z76" s="5" t="s">
        <v>1733</v>
      </c>
      <c r="AA76" s="5" t="s">
        <v>1734</v>
      </c>
      <c r="AB76" s="5" t="s">
        <v>1735</v>
      </c>
      <c r="AC76" s="5" t="s">
        <v>1412</v>
      </c>
      <c r="AD76" s="9">
        <v>7.5</v>
      </c>
      <c r="AE76" s="1" t="s">
        <v>1489</v>
      </c>
      <c r="AG76" s="9"/>
      <c r="AH76" s="9"/>
    </row>
    <row r="77" spans="1:34" hidden="1">
      <c r="A77" s="3" t="s">
        <v>1684</v>
      </c>
      <c r="B77" s="4">
        <v>2019</v>
      </c>
      <c r="C77" s="4" t="s">
        <v>44</v>
      </c>
      <c r="D77" s="3">
        <f t="shared" si="1"/>
        <v>75</v>
      </c>
      <c r="E77" s="3" t="s">
        <v>676</v>
      </c>
      <c r="G77" s="5" t="s">
        <v>691</v>
      </c>
      <c r="H77" s="5"/>
      <c r="I77" s="5" t="s">
        <v>131</v>
      </c>
      <c r="J77" s="7">
        <v>0</v>
      </c>
      <c r="M77" s="8">
        <v>0</v>
      </c>
      <c r="N77" s="7">
        <v>0</v>
      </c>
      <c r="P77" s="7">
        <v>73692536</v>
      </c>
      <c r="Q77" s="7">
        <v>73692536</v>
      </c>
      <c r="R77" s="5" t="str">
        <f>VLOOKUP($G77,Others!$E$2:$I$217,2,FALSE)</f>
        <v>Original Screenplay</v>
      </c>
      <c r="S77" s="5" t="str">
        <f>VLOOKUP($G77,Others!$E$2:$I$217,3,FALSE)</f>
        <v>Live Action</v>
      </c>
      <c r="T77" s="5" t="str">
        <f>VLOOKUP($G77,Others!$E$2:$I$217,4,FALSE)</f>
        <v>Factual</v>
      </c>
      <c r="U77" s="5" t="str">
        <f>IFERROR(VLOOKUP($G77,Ratings!$E$13:$I$55,5,FALSE),"None")</f>
        <v>None</v>
      </c>
      <c r="V77" s="5"/>
      <c r="X77" s="5"/>
      <c r="Y77" s="5"/>
      <c r="Z77" s="5"/>
      <c r="AA77" s="5"/>
      <c r="AB77" s="5"/>
      <c r="AC77" s="5"/>
      <c r="AG77" s="9"/>
      <c r="AH77" s="9"/>
    </row>
    <row r="78" spans="1:34" hidden="1">
      <c r="A78" s="3" t="s">
        <v>1684</v>
      </c>
      <c r="B78" s="4">
        <v>2019</v>
      </c>
      <c r="C78" s="4" t="s">
        <v>44</v>
      </c>
      <c r="D78" s="3">
        <f t="shared" si="1"/>
        <v>76</v>
      </c>
      <c r="E78" s="3" t="s">
        <v>676</v>
      </c>
      <c r="G78" s="5" t="s">
        <v>279</v>
      </c>
      <c r="H78" s="5"/>
      <c r="I78" s="5" t="s">
        <v>154</v>
      </c>
      <c r="J78" s="7">
        <v>0</v>
      </c>
      <c r="M78" s="8">
        <v>0</v>
      </c>
      <c r="N78" s="7">
        <v>0</v>
      </c>
      <c r="P78" s="7">
        <v>414112</v>
      </c>
      <c r="Q78" s="7">
        <v>414112</v>
      </c>
      <c r="R78" s="5">
        <f>VLOOKUP($G78,Others!$E$2:$I$217,2,FALSE)</f>
        <v>0</v>
      </c>
      <c r="S78" s="5">
        <f>VLOOKUP($G78,Others!$E$2:$I$217,3,FALSE)</f>
        <v>0</v>
      </c>
      <c r="T78" s="5">
        <f>VLOOKUP($G78,Others!$E$2:$I$217,4,FALSE)</f>
        <v>0</v>
      </c>
      <c r="U78" s="5" t="str">
        <f>IFERROR(VLOOKUP($G78,Ratings!$E$13:$I$55,5,FALSE),"None")</f>
        <v>None</v>
      </c>
      <c r="V78" s="5"/>
      <c r="X78" s="5"/>
      <c r="Y78" s="5"/>
      <c r="Z78" s="5"/>
      <c r="AA78" s="5"/>
      <c r="AB78" s="5"/>
      <c r="AC78" s="5"/>
      <c r="AG78" s="9"/>
      <c r="AH78" s="9"/>
    </row>
    <row r="79" spans="1:34" hidden="1">
      <c r="A79" s="3" t="s">
        <v>1684</v>
      </c>
      <c r="B79" s="4">
        <v>2019</v>
      </c>
      <c r="C79" s="4" t="s">
        <v>44</v>
      </c>
      <c r="D79" s="3">
        <f t="shared" si="1"/>
        <v>77</v>
      </c>
      <c r="E79" s="3" t="s">
        <v>676</v>
      </c>
      <c r="G79" s="5" t="s">
        <v>692</v>
      </c>
      <c r="H79" s="5"/>
      <c r="I79" s="5" t="s">
        <v>191</v>
      </c>
      <c r="J79" s="7">
        <v>0</v>
      </c>
      <c r="M79" s="8">
        <v>0</v>
      </c>
      <c r="N79" s="7">
        <v>0</v>
      </c>
      <c r="P79" s="7">
        <v>25618</v>
      </c>
      <c r="Q79" s="7">
        <v>25618</v>
      </c>
      <c r="R79" s="5" t="str">
        <f>VLOOKUP($G79,Others!$E$2:$I$217,2,FALSE)</f>
        <v>Based on Real Life Events</v>
      </c>
      <c r="S79" s="5" t="str">
        <f>VLOOKUP($G79,Others!$E$2:$I$217,3,FALSE)</f>
        <v>Live Action</v>
      </c>
      <c r="T79" s="5" t="str">
        <f>VLOOKUP($G79,Others!$E$2:$I$217,4,FALSE)</f>
        <v>Factual</v>
      </c>
      <c r="U79" s="5" t="str">
        <f>IFERROR(VLOOKUP($G79,Ratings!$E$13:$I$55,5,FALSE),"None")</f>
        <v>None</v>
      </c>
      <c r="V79" s="5"/>
      <c r="X79" s="5"/>
      <c r="Y79" s="5"/>
      <c r="Z79" s="5"/>
      <c r="AA79" s="5"/>
      <c r="AB79" s="5"/>
      <c r="AC79" s="5"/>
      <c r="AG79" s="9"/>
      <c r="AH79" s="9"/>
    </row>
    <row r="80" spans="1:34" hidden="1">
      <c r="A80" s="3" t="s">
        <v>1684</v>
      </c>
      <c r="B80" s="4">
        <v>2019</v>
      </c>
      <c r="C80" s="4" t="s">
        <v>44</v>
      </c>
      <c r="D80" s="3">
        <f t="shared" si="1"/>
        <v>78</v>
      </c>
      <c r="E80" s="3" t="s">
        <v>676</v>
      </c>
      <c r="G80" s="5" t="s">
        <v>693</v>
      </c>
      <c r="H80" s="5"/>
      <c r="I80" s="5" t="s">
        <v>131</v>
      </c>
      <c r="J80" s="7">
        <v>0</v>
      </c>
      <c r="M80" s="8">
        <v>0</v>
      </c>
      <c r="N80" s="7">
        <v>0</v>
      </c>
      <c r="P80" s="7">
        <v>100000</v>
      </c>
      <c r="Q80" s="7">
        <v>100000</v>
      </c>
      <c r="R80" s="5">
        <f>VLOOKUP($G80,Others!$E$2:$I$217,2,FALSE)</f>
        <v>0</v>
      </c>
      <c r="S80" s="5">
        <f>VLOOKUP($G80,Others!$E$2:$I$217,3,FALSE)</f>
        <v>0</v>
      </c>
      <c r="T80" s="5">
        <f>VLOOKUP($G80,Others!$E$2:$I$217,4,FALSE)</f>
        <v>0</v>
      </c>
      <c r="U80" s="5" t="str">
        <f>IFERROR(VLOOKUP($G80,Ratings!$E$13:$I$55,5,FALSE),"None")</f>
        <v>None</v>
      </c>
      <c r="V80" s="5"/>
      <c r="X80" s="5"/>
      <c r="Y80" s="5"/>
      <c r="Z80" s="5"/>
      <c r="AA80" s="5"/>
      <c r="AB80" s="5"/>
      <c r="AC80" s="5"/>
      <c r="AG80" s="9"/>
      <c r="AH80" s="9"/>
    </row>
    <row r="81" spans="1:34" hidden="1">
      <c r="A81" s="3" t="s">
        <v>1684</v>
      </c>
      <c r="B81" s="4">
        <v>2019</v>
      </c>
      <c r="C81" s="4" t="s">
        <v>44</v>
      </c>
      <c r="D81" s="3">
        <f t="shared" si="1"/>
        <v>79</v>
      </c>
      <c r="E81" s="3" t="s">
        <v>676</v>
      </c>
      <c r="G81" s="5" t="s">
        <v>309</v>
      </c>
      <c r="H81" s="5"/>
      <c r="I81" s="5" t="s">
        <v>127</v>
      </c>
      <c r="J81" s="7">
        <v>0</v>
      </c>
      <c r="M81" s="8">
        <v>0</v>
      </c>
      <c r="N81" s="7">
        <v>0</v>
      </c>
      <c r="P81" s="7">
        <v>100000</v>
      </c>
      <c r="Q81" s="7">
        <v>100000</v>
      </c>
      <c r="R81" s="5">
        <f>VLOOKUP($G81,Others!$E$2:$I$217,2,FALSE)</f>
        <v>0</v>
      </c>
      <c r="S81" s="5" t="str">
        <f>VLOOKUP($G81,Others!$E$2:$I$217,3,FALSE)</f>
        <v>Digital Animation</v>
      </c>
      <c r="T81" s="5">
        <f>VLOOKUP($G81,Others!$E$2:$I$217,4,FALSE)</f>
        <v>0</v>
      </c>
      <c r="U81" s="5" t="str">
        <f>IFERROR(VLOOKUP($G81,Ratings!$E$13:$I$55,5,FALSE),"None")</f>
        <v>None</v>
      </c>
      <c r="V81" s="5"/>
      <c r="X81" s="5"/>
      <c r="Y81" s="5"/>
      <c r="Z81" s="5"/>
      <c r="AA81" s="5"/>
      <c r="AB81" s="5"/>
      <c r="AC81" s="5"/>
      <c r="AG81" s="9"/>
      <c r="AH81" s="9"/>
    </row>
    <row r="82" spans="1:34" hidden="1">
      <c r="A82" s="3" t="s">
        <v>1684</v>
      </c>
      <c r="B82" s="4">
        <v>2019</v>
      </c>
      <c r="C82" s="4" t="s">
        <v>44</v>
      </c>
      <c r="D82" s="3">
        <f t="shared" si="1"/>
        <v>80</v>
      </c>
      <c r="E82" s="3" t="s">
        <v>676</v>
      </c>
      <c r="G82" s="5" t="s">
        <v>243</v>
      </c>
      <c r="H82" s="5"/>
      <c r="J82" s="7">
        <v>0</v>
      </c>
      <c r="M82" s="8">
        <v>0</v>
      </c>
      <c r="N82" s="7">
        <v>0</v>
      </c>
      <c r="P82" s="7">
        <v>1470000</v>
      </c>
      <c r="Q82" s="7">
        <v>1470000</v>
      </c>
      <c r="R82" s="5">
        <f>VLOOKUP($G82,Others!$E$2:$I$217,2,FALSE)</f>
        <v>0</v>
      </c>
      <c r="S82" s="5" t="str">
        <f>VLOOKUP($G82,Others!$E$2:$I$217,3,FALSE)</f>
        <v>Live Action</v>
      </c>
      <c r="T82" s="5" t="str">
        <f>VLOOKUP($G82,Others!$E$2:$I$217,4,FALSE)</f>
        <v>Contemporary Fiction</v>
      </c>
      <c r="U82" s="5" t="str">
        <f>IFERROR(VLOOKUP($G82,Ratings!$E$13:$I$55,5,FALSE),"None")</f>
        <v>None</v>
      </c>
      <c r="V82" s="5"/>
      <c r="X82" s="5"/>
      <c r="Y82" s="5"/>
      <c r="Z82" s="5"/>
      <c r="AA82" s="5" t="s">
        <v>1736</v>
      </c>
      <c r="AB82" s="5"/>
      <c r="AC82" s="5"/>
      <c r="AG82" s="9"/>
      <c r="AH82" s="9"/>
    </row>
    <row r="83" spans="1:34" hidden="1">
      <c r="A83" s="3" t="s">
        <v>1737</v>
      </c>
      <c r="B83" s="4">
        <v>2019</v>
      </c>
      <c r="C83" s="4" t="s">
        <v>44</v>
      </c>
      <c r="D83" s="3">
        <f t="shared" si="1"/>
        <v>81</v>
      </c>
      <c r="E83" s="3" t="s">
        <v>676</v>
      </c>
      <c r="G83" s="5" t="s">
        <v>198</v>
      </c>
      <c r="H83" s="5"/>
      <c r="I83" s="5" t="s">
        <v>131</v>
      </c>
      <c r="J83" s="7">
        <v>0</v>
      </c>
      <c r="M83" s="8">
        <v>0</v>
      </c>
      <c r="N83" s="7">
        <v>0</v>
      </c>
      <c r="P83" s="7">
        <v>6836934</v>
      </c>
      <c r="Q83" s="7">
        <v>6836934</v>
      </c>
      <c r="R83" s="5" t="str">
        <f>VLOOKUP($G83,Others!$E$2:$I$217,2,FALSE)</f>
        <v>Based on Real Life Events</v>
      </c>
      <c r="S83" s="5" t="str">
        <f>VLOOKUP($G83,Others!$E$2:$I$217,3,FALSE)</f>
        <v>Live Action</v>
      </c>
      <c r="T83" s="5" t="str">
        <f>VLOOKUP($G83,Others!$E$2:$I$217,4,FALSE)</f>
        <v>Historical Fiction</v>
      </c>
      <c r="U83" s="5" t="str">
        <f>IFERROR(VLOOKUP($G83,Ratings!$E$13:$I$55,5,FALSE),"None")</f>
        <v>None</v>
      </c>
      <c r="V83" s="5"/>
      <c r="X83" s="5"/>
      <c r="Y83" s="5"/>
      <c r="Z83" s="5"/>
      <c r="AA83" s="5"/>
      <c r="AB83" s="5"/>
      <c r="AC83" s="5"/>
      <c r="AG83" s="9"/>
      <c r="AH83" s="9"/>
    </row>
    <row r="84" spans="1:34" hidden="1">
      <c r="A84" s="3" t="s">
        <v>1737</v>
      </c>
      <c r="B84" s="4">
        <v>2019</v>
      </c>
      <c r="C84" s="4" t="s">
        <v>44</v>
      </c>
      <c r="D84" s="3">
        <f t="shared" si="1"/>
        <v>82</v>
      </c>
      <c r="E84" s="3" t="s">
        <v>676</v>
      </c>
      <c r="G84" s="5" t="s">
        <v>267</v>
      </c>
      <c r="H84" s="5"/>
      <c r="I84" s="5" t="s">
        <v>193</v>
      </c>
      <c r="J84" s="7">
        <v>0</v>
      </c>
      <c r="M84" s="8">
        <v>0</v>
      </c>
      <c r="N84" s="7">
        <v>0</v>
      </c>
      <c r="P84" s="7">
        <v>605757</v>
      </c>
      <c r="Q84" s="7">
        <v>605757</v>
      </c>
      <c r="R84" s="5" t="str">
        <f>VLOOKUP($G84,Others!$E$2:$I$217,2,FALSE)</f>
        <v>Original Screenplay</v>
      </c>
      <c r="S84" s="5" t="str">
        <f>VLOOKUP($G84,Others!$E$2:$I$217,3,FALSE)</f>
        <v>Live Action</v>
      </c>
      <c r="T84" s="5" t="str">
        <f>VLOOKUP($G84,Others!$E$2:$I$217,4,FALSE)</f>
        <v>Contemporary Fiction</v>
      </c>
      <c r="U84" s="5" t="str">
        <f>IFERROR(VLOOKUP($G84,Ratings!$E$13:$I$55,5,FALSE),"None")</f>
        <v>None</v>
      </c>
      <c r="V84" s="5"/>
      <c r="X84" s="5"/>
      <c r="Y84" s="5"/>
      <c r="Z84" s="5"/>
      <c r="AA84" s="5"/>
      <c r="AB84" s="5"/>
      <c r="AC84" s="5"/>
      <c r="AG84" s="9"/>
      <c r="AH84" s="9"/>
    </row>
    <row r="85" spans="1:34" hidden="1">
      <c r="A85" s="3" t="s">
        <v>1737</v>
      </c>
      <c r="B85" s="4">
        <v>2019</v>
      </c>
      <c r="C85" s="4" t="s">
        <v>44</v>
      </c>
      <c r="D85" s="3">
        <f t="shared" si="1"/>
        <v>83</v>
      </c>
      <c r="E85" s="3" t="s">
        <v>676</v>
      </c>
      <c r="G85" s="5" t="s">
        <v>319</v>
      </c>
      <c r="H85" s="5"/>
      <c r="I85" s="5" t="s">
        <v>131</v>
      </c>
      <c r="J85" s="7">
        <v>0</v>
      </c>
      <c r="M85" s="8">
        <v>0</v>
      </c>
      <c r="N85" s="7">
        <v>0</v>
      </c>
      <c r="P85" s="7">
        <v>51799</v>
      </c>
      <c r="Q85" s="7">
        <v>51799</v>
      </c>
      <c r="R85" s="5">
        <f>VLOOKUP($G85,Others!$E$2:$I$217,2,FALSE)</f>
        <v>0</v>
      </c>
      <c r="S85" s="5" t="str">
        <f>VLOOKUP($G85,Others!$E$2:$I$217,3,FALSE)</f>
        <v>Live Action</v>
      </c>
      <c r="T85" s="5">
        <f>VLOOKUP($G85,Others!$E$2:$I$217,4,FALSE)</f>
        <v>0</v>
      </c>
      <c r="U85" s="5" t="str">
        <f>IFERROR(VLOOKUP($G85,Ratings!$E$13:$I$55,5,FALSE),"None")</f>
        <v>None</v>
      </c>
      <c r="V85" s="5"/>
      <c r="X85" s="5"/>
      <c r="Y85" s="5"/>
      <c r="Z85" s="5"/>
      <c r="AA85" s="5"/>
      <c r="AB85" s="5"/>
      <c r="AC85" s="5"/>
      <c r="AG85" s="9"/>
      <c r="AH85" s="9"/>
    </row>
    <row r="86" spans="1:34" hidden="1">
      <c r="A86" s="3" t="s">
        <v>1737</v>
      </c>
      <c r="B86" s="4">
        <v>2019</v>
      </c>
      <c r="C86" s="4" t="s">
        <v>44</v>
      </c>
      <c r="D86" s="3">
        <f t="shared" si="1"/>
        <v>84</v>
      </c>
      <c r="E86" s="3" t="s">
        <v>676</v>
      </c>
      <c r="G86" s="5" t="s">
        <v>272</v>
      </c>
      <c r="H86" s="5"/>
      <c r="I86" s="5" t="s">
        <v>136</v>
      </c>
      <c r="J86" s="7">
        <v>0</v>
      </c>
      <c r="M86" s="8">
        <v>0</v>
      </c>
      <c r="N86" s="7">
        <v>0</v>
      </c>
      <c r="P86" s="7">
        <v>480000</v>
      </c>
      <c r="Q86" s="7">
        <v>480000</v>
      </c>
      <c r="R86" s="5" t="str">
        <f>VLOOKUP($G86,Others!$E$2:$I$217,2,FALSE)</f>
        <v>Original Screenplay</v>
      </c>
      <c r="S86" s="5" t="str">
        <f>VLOOKUP($G86,Others!$E$2:$I$217,3,FALSE)</f>
        <v>Live Action</v>
      </c>
      <c r="T86" s="5" t="str">
        <f>VLOOKUP($G86,Others!$E$2:$I$217,4,FALSE)</f>
        <v>Contemporary Fiction</v>
      </c>
      <c r="U86" s="5" t="str">
        <f>IFERROR(VLOOKUP($G86,Ratings!$E$13:$I$55,5,FALSE),"None")</f>
        <v>None</v>
      </c>
      <c r="V86" s="5"/>
      <c r="X86" s="5"/>
      <c r="Y86" s="5"/>
      <c r="AA86" s="5"/>
      <c r="AB86" s="5"/>
      <c r="AC86" s="5"/>
      <c r="AG86" s="9"/>
      <c r="AH86" s="9"/>
    </row>
    <row r="87" spans="1:34" hidden="1">
      <c r="A87" s="3" t="s">
        <v>1737</v>
      </c>
      <c r="B87" s="4">
        <v>2019</v>
      </c>
      <c r="C87" s="4" t="s">
        <v>44</v>
      </c>
      <c r="D87" s="3">
        <f t="shared" si="1"/>
        <v>85</v>
      </c>
      <c r="E87" s="3" t="s">
        <v>676</v>
      </c>
      <c r="G87" s="5" t="s">
        <v>276</v>
      </c>
      <c r="H87" s="5"/>
      <c r="I87" s="5" t="s">
        <v>127</v>
      </c>
      <c r="J87" s="7">
        <v>0</v>
      </c>
      <c r="M87" s="8">
        <v>0</v>
      </c>
      <c r="N87" s="7">
        <v>0</v>
      </c>
      <c r="P87" s="7">
        <v>460000</v>
      </c>
      <c r="Q87" s="7">
        <v>460000</v>
      </c>
      <c r="R87" s="5" t="str">
        <f>VLOOKUP($G87,Others!$E$2:$I$217,2,FALSE)</f>
        <v>Original Screenplay</v>
      </c>
      <c r="S87" s="5" t="str">
        <f>VLOOKUP($G87,Others!$E$2:$I$217,3,FALSE)</f>
        <v>Digital Animation</v>
      </c>
      <c r="T87" s="5" t="str">
        <f>VLOOKUP($G87,Others!$E$2:$I$217,4,FALSE)</f>
        <v>Fantasy</v>
      </c>
      <c r="U87" s="5" t="str">
        <f>IFERROR(VLOOKUP($G87,Ratings!$E$13:$I$55,5,FALSE),"None")</f>
        <v>None</v>
      </c>
      <c r="V87" s="5"/>
      <c r="X87" s="5"/>
      <c r="Y87" s="5"/>
      <c r="AA87" s="5"/>
      <c r="AB87" s="5"/>
      <c r="AC87" s="5"/>
      <c r="AG87" s="9"/>
      <c r="AH87" s="9"/>
    </row>
    <row r="88" spans="1:34" hidden="1">
      <c r="A88" s="3" t="s">
        <v>1737</v>
      </c>
      <c r="B88" s="4">
        <v>2019</v>
      </c>
      <c r="C88" s="4" t="s">
        <v>44</v>
      </c>
      <c r="D88" s="3">
        <f t="shared" si="1"/>
        <v>86</v>
      </c>
      <c r="E88" s="3" t="s">
        <v>676</v>
      </c>
      <c r="G88" s="5" t="s">
        <v>694</v>
      </c>
      <c r="H88" s="5"/>
      <c r="I88" s="5" t="s">
        <v>131</v>
      </c>
      <c r="J88" s="7">
        <v>0</v>
      </c>
      <c r="M88" s="8">
        <v>0</v>
      </c>
      <c r="N88" s="7">
        <v>0</v>
      </c>
      <c r="P88" s="7">
        <v>346330</v>
      </c>
      <c r="Q88" s="7">
        <v>346330</v>
      </c>
      <c r="R88" s="5">
        <f>VLOOKUP($G88,Others!$E$2:$I$217,2,FALSE)</f>
        <v>0</v>
      </c>
      <c r="S88" s="5">
        <f>VLOOKUP($G88,Others!$E$2:$I$217,3,FALSE)</f>
        <v>0</v>
      </c>
      <c r="T88" s="5">
        <f>VLOOKUP($G88,Others!$E$2:$I$217,4,FALSE)</f>
        <v>0</v>
      </c>
      <c r="U88" s="5" t="str">
        <f>IFERROR(VLOOKUP($G88,Ratings!$E$13:$I$55,5,FALSE),"None")</f>
        <v>None</v>
      </c>
      <c r="V88" s="5"/>
      <c r="X88" s="5"/>
      <c r="Y88" s="5"/>
      <c r="AA88" s="5"/>
      <c r="AB88" s="5"/>
      <c r="AC88" s="5"/>
      <c r="AG88" s="9"/>
      <c r="AH88" s="9"/>
    </row>
    <row r="89" spans="1:34">
      <c r="A89" s="3" t="s">
        <v>1737</v>
      </c>
      <c r="B89" s="4">
        <v>2019</v>
      </c>
      <c r="C89" s="4" t="s">
        <v>44</v>
      </c>
      <c r="D89" s="3">
        <f t="shared" si="1"/>
        <v>87</v>
      </c>
      <c r="E89" s="55" t="s">
        <v>676</v>
      </c>
      <c r="F89" s="3" t="s">
        <v>621</v>
      </c>
      <c r="G89" s="5" t="s">
        <v>219</v>
      </c>
      <c r="H89" s="5" t="s">
        <v>1413</v>
      </c>
      <c r="I89" s="5" t="s">
        <v>127</v>
      </c>
      <c r="J89" s="7">
        <f>0.2*100000000/6.7</f>
        <v>2985074.6268656715</v>
      </c>
      <c r="K89" s="57" t="s">
        <v>1411</v>
      </c>
      <c r="L89" s="7">
        <f>0.06*100000000/6.7</f>
        <v>895522.38805970142</v>
      </c>
      <c r="M89" s="8">
        <v>12490</v>
      </c>
      <c r="N89" s="7">
        <v>1020000</v>
      </c>
      <c r="O89" s="7">
        <f>0.19*100000000/6.7</f>
        <v>2835820.8955223882</v>
      </c>
      <c r="P89" s="7">
        <v>3190549</v>
      </c>
      <c r="Q89" s="7">
        <v>3190549</v>
      </c>
      <c r="R89" s="5" t="str">
        <f>VLOOKUP($G89,Others!$E$2:$I$217,2,FALSE)</f>
        <v>Based on Folk Tale/Legend/Fairytale</v>
      </c>
      <c r="S89" s="5" t="str">
        <f>VLOOKUP($G89,Others!$E$2:$I$217,3,FALSE)</f>
        <v>Digital Animation</v>
      </c>
      <c r="T89" s="5" t="str">
        <f>VLOOKUP($G89,Others!$E$2:$I$217,4,FALSE)</f>
        <v>Fantasy</v>
      </c>
      <c r="U89" s="5" t="str">
        <f>IFERROR(VLOOKUP($G89,Ratings!$E$13:$I$55,5,FALSE),"None")</f>
        <v>None</v>
      </c>
      <c r="V89" s="5" t="s">
        <v>1738</v>
      </c>
      <c r="W89" s="5" t="s">
        <v>1739</v>
      </c>
      <c r="X89" s="39" t="s">
        <v>1411</v>
      </c>
      <c r="Y89" s="5"/>
      <c r="Z89" s="5"/>
      <c r="AA89" s="5" t="s">
        <v>1740</v>
      </c>
      <c r="AB89" s="5"/>
      <c r="AC89" s="5" t="s">
        <v>1741</v>
      </c>
      <c r="AD89" s="9">
        <v>7.4</v>
      </c>
      <c r="AE89" s="1" t="s">
        <v>1489</v>
      </c>
      <c r="AG89" s="9"/>
      <c r="AH89" s="9"/>
    </row>
    <row r="90" spans="1:34" hidden="1">
      <c r="A90" s="3" t="s">
        <v>1737</v>
      </c>
      <c r="B90" s="4">
        <v>2019</v>
      </c>
      <c r="C90" s="4" t="s">
        <v>44</v>
      </c>
      <c r="D90" s="3">
        <f t="shared" si="1"/>
        <v>88</v>
      </c>
      <c r="E90" s="3" t="s">
        <v>676</v>
      </c>
      <c r="G90" s="5" t="s">
        <v>258</v>
      </c>
      <c r="H90" s="5"/>
      <c r="I90" s="5" t="s">
        <v>127</v>
      </c>
      <c r="J90" s="7">
        <v>0</v>
      </c>
      <c r="M90" s="8">
        <v>0</v>
      </c>
      <c r="N90" s="7">
        <v>0</v>
      </c>
      <c r="P90" s="7">
        <v>763475</v>
      </c>
      <c r="Q90" s="7">
        <v>763475</v>
      </c>
      <c r="R90" s="5" t="str">
        <f>VLOOKUP($G90,Others!$E$2:$I$217,2,FALSE)</f>
        <v>Original Screenplay</v>
      </c>
      <c r="S90" s="5" t="str">
        <f>VLOOKUP($G90,Others!$E$2:$I$217,3,FALSE)</f>
        <v>Digital Animation</v>
      </c>
      <c r="T90" s="5" t="str">
        <f>VLOOKUP($G90,Others!$E$2:$I$217,4,FALSE)</f>
        <v>Contemporary Fiction</v>
      </c>
      <c r="U90" s="5" t="str">
        <f>IFERROR(VLOOKUP($G90,Ratings!$E$13:$I$55,5,FALSE),"None")</f>
        <v>None</v>
      </c>
      <c r="V90" s="5"/>
      <c r="X90" s="5"/>
      <c r="Y90" s="5"/>
      <c r="Z90" s="5"/>
      <c r="AA90" s="5"/>
      <c r="AB90" s="5"/>
      <c r="AC90" s="5"/>
      <c r="AG90" s="9"/>
      <c r="AH90" s="9"/>
    </row>
    <row r="91" spans="1:34" hidden="1">
      <c r="A91" s="3" t="s">
        <v>1737</v>
      </c>
      <c r="B91" s="4">
        <v>2019</v>
      </c>
      <c r="C91" s="4" t="s">
        <v>44</v>
      </c>
      <c r="D91" s="3">
        <f t="shared" si="1"/>
        <v>89</v>
      </c>
      <c r="E91" s="3" t="s">
        <v>676</v>
      </c>
      <c r="G91" s="5" t="s">
        <v>695</v>
      </c>
      <c r="H91" s="5"/>
      <c r="I91" s="5" t="s">
        <v>131</v>
      </c>
      <c r="J91" s="7">
        <v>0</v>
      </c>
      <c r="M91" s="8">
        <v>0</v>
      </c>
      <c r="N91" s="7">
        <v>0</v>
      </c>
      <c r="P91" s="7">
        <v>21587</v>
      </c>
      <c r="Q91" s="7">
        <v>21587</v>
      </c>
      <c r="R91" s="5" t="str">
        <f>VLOOKUP($G91,Others!$E$2:$I$217,2,FALSE)</f>
        <v>Original Screenplay</v>
      </c>
      <c r="S91" s="5" t="str">
        <f>VLOOKUP($G91,Others!$E$2:$I$217,3,FALSE)</f>
        <v>Live Action</v>
      </c>
      <c r="T91" s="5" t="str">
        <f>VLOOKUP($G91,Others!$E$2:$I$217,4,FALSE)</f>
        <v>Contemporary Fiction</v>
      </c>
      <c r="U91" s="5" t="str">
        <f>IFERROR(VLOOKUP($G91,Ratings!$E$13:$I$55,5,FALSE),"None")</f>
        <v>None</v>
      </c>
      <c r="V91" s="5"/>
      <c r="X91" s="5"/>
      <c r="Y91" s="5"/>
      <c r="Z91" s="5"/>
      <c r="AA91" s="5"/>
      <c r="AB91" s="5"/>
      <c r="AC91" s="5"/>
      <c r="AG91" s="9"/>
      <c r="AH91" s="9"/>
    </row>
    <row r="92" spans="1:34" hidden="1">
      <c r="A92" s="3" t="s">
        <v>1737</v>
      </c>
      <c r="B92" s="4">
        <v>2019</v>
      </c>
      <c r="C92" s="4" t="s">
        <v>44</v>
      </c>
      <c r="D92" s="3">
        <f t="shared" si="1"/>
        <v>90</v>
      </c>
      <c r="E92" s="3" t="s">
        <v>676</v>
      </c>
      <c r="G92" s="5" t="s">
        <v>299</v>
      </c>
      <c r="H92" s="5"/>
      <c r="I92" s="5" t="s">
        <v>193</v>
      </c>
      <c r="J92" s="7">
        <v>0</v>
      </c>
      <c r="M92" s="8">
        <v>0</v>
      </c>
      <c r="N92" s="7">
        <v>0</v>
      </c>
      <c r="P92" s="7">
        <v>132584</v>
      </c>
      <c r="Q92" s="7">
        <v>132584</v>
      </c>
      <c r="R92" s="5">
        <f>VLOOKUP($G92,Others!$E$2:$I$217,2,FALSE)</f>
        <v>0</v>
      </c>
      <c r="S92" s="5" t="str">
        <f>VLOOKUP($G92,Others!$E$2:$I$217,3,FALSE)</f>
        <v>Live Action</v>
      </c>
      <c r="T92" s="5">
        <f>VLOOKUP($G92,Others!$E$2:$I$217,4,FALSE)</f>
        <v>0</v>
      </c>
      <c r="U92" s="5" t="str">
        <f>IFERROR(VLOOKUP($G92,Ratings!$E$13:$I$55,5,FALSE),"None")</f>
        <v>None</v>
      </c>
      <c r="V92" s="5"/>
      <c r="X92" s="5"/>
      <c r="Y92" s="5"/>
      <c r="Z92" s="5"/>
      <c r="AA92" s="5"/>
      <c r="AB92" s="5"/>
      <c r="AC92" s="5"/>
      <c r="AG92" s="9"/>
      <c r="AH92" s="9"/>
    </row>
    <row r="93" spans="1:34" hidden="1">
      <c r="A93" s="3" t="s">
        <v>1737</v>
      </c>
      <c r="B93" s="4">
        <v>2019</v>
      </c>
      <c r="C93" s="4" t="s">
        <v>44</v>
      </c>
      <c r="D93" s="3">
        <f t="shared" si="1"/>
        <v>91</v>
      </c>
      <c r="E93" s="3" t="s">
        <v>676</v>
      </c>
      <c r="G93" s="5" t="s">
        <v>696</v>
      </c>
      <c r="H93" s="5"/>
      <c r="I93" s="5" t="s">
        <v>136</v>
      </c>
      <c r="J93" s="7">
        <v>0</v>
      </c>
      <c r="M93" s="8">
        <v>0</v>
      </c>
      <c r="N93" s="7">
        <v>0</v>
      </c>
      <c r="P93" s="7">
        <v>8228985</v>
      </c>
      <c r="Q93" s="7">
        <v>8228985</v>
      </c>
      <c r="R93" s="5" t="str">
        <f>VLOOKUP($G93,Others!$E$2:$I$217,2,FALSE)</f>
        <v>Based on Fiction Book/Short Story</v>
      </c>
      <c r="S93" s="5" t="str">
        <f>VLOOKUP($G93,Others!$E$2:$I$217,3,FALSE)</f>
        <v>Digital Animation</v>
      </c>
      <c r="T93" s="5" t="str">
        <f>VLOOKUP($G93,Others!$E$2:$I$217,4,FALSE)</f>
        <v>Contemporary Fiction</v>
      </c>
      <c r="U93" s="5" t="str">
        <f>IFERROR(VLOOKUP($G93,Ratings!$E$13:$I$55,5,FALSE),"None")</f>
        <v>None</v>
      </c>
      <c r="V93" s="5"/>
      <c r="X93" s="5"/>
      <c r="Y93" s="5"/>
      <c r="Z93" s="5"/>
      <c r="AA93" s="5"/>
      <c r="AB93" s="5"/>
      <c r="AC93" s="5"/>
      <c r="AG93" s="9"/>
      <c r="AH93" s="9"/>
    </row>
    <row r="94" spans="1:34" hidden="1">
      <c r="A94" s="3" t="s">
        <v>1737</v>
      </c>
      <c r="B94" s="4">
        <v>2019</v>
      </c>
      <c r="C94" s="4" t="s">
        <v>44</v>
      </c>
      <c r="D94" s="3">
        <f t="shared" si="1"/>
        <v>92</v>
      </c>
      <c r="E94" s="3" t="s">
        <v>676</v>
      </c>
      <c r="G94" s="5" t="s">
        <v>697</v>
      </c>
      <c r="H94" s="5"/>
      <c r="I94" s="5" t="s">
        <v>131</v>
      </c>
      <c r="J94" s="7">
        <v>0</v>
      </c>
      <c r="M94" s="8">
        <v>0</v>
      </c>
      <c r="N94" s="7">
        <v>0</v>
      </c>
      <c r="P94" s="7">
        <v>86463</v>
      </c>
      <c r="Q94" s="7">
        <v>86463</v>
      </c>
      <c r="R94" s="5">
        <f>VLOOKUP($G94,Others!$E$2:$I$217,2,FALSE)</f>
        <v>0</v>
      </c>
      <c r="S94" s="5" t="str">
        <f>VLOOKUP($G94,Others!$E$2:$I$217,3,FALSE)</f>
        <v>Live Action</v>
      </c>
      <c r="T94" s="5" t="str">
        <f>VLOOKUP($G94,Others!$E$2:$I$217,4,FALSE)</f>
        <v>Historical Fiction</v>
      </c>
      <c r="U94" s="5" t="str">
        <f>IFERROR(VLOOKUP($G94,Ratings!$E$13:$I$55,5,FALSE),"None")</f>
        <v>None</v>
      </c>
      <c r="V94" s="5"/>
      <c r="X94" s="5"/>
      <c r="Y94" s="5"/>
      <c r="Z94" s="5"/>
      <c r="AA94" s="5"/>
      <c r="AB94" s="5"/>
      <c r="AC94" s="5"/>
      <c r="AG94" s="9"/>
      <c r="AH94" s="9"/>
    </row>
    <row r="95" spans="1:34">
      <c r="A95" s="3" t="s">
        <v>1737</v>
      </c>
      <c r="B95" s="4">
        <v>2019</v>
      </c>
      <c r="C95" s="4" t="s">
        <v>44</v>
      </c>
      <c r="D95" s="3">
        <f t="shared" si="1"/>
        <v>93</v>
      </c>
      <c r="E95" s="55" t="s">
        <v>676</v>
      </c>
      <c r="F95" s="3" t="s">
        <v>676</v>
      </c>
      <c r="G95" s="5" t="s">
        <v>212</v>
      </c>
      <c r="H95" s="5" t="s">
        <v>1414</v>
      </c>
      <c r="I95" s="5" t="s">
        <v>127</v>
      </c>
      <c r="J95" s="7">
        <f>0.1*100000000/6.7</f>
        <v>1492537.3134328357</v>
      </c>
      <c r="K95" s="57" t="s">
        <v>1411</v>
      </c>
      <c r="L95" s="7">
        <f>0.08*100000000/6.7</f>
        <v>1194029.8507462686</v>
      </c>
      <c r="M95" s="8">
        <v>31708</v>
      </c>
      <c r="N95" s="7">
        <v>2640832</v>
      </c>
      <c r="O95" s="7">
        <f>0.24*100000000/6.7</f>
        <v>3582089.5522388057</v>
      </c>
      <c r="P95" s="7">
        <v>3939436</v>
      </c>
      <c r="Q95" s="7">
        <v>3939436</v>
      </c>
      <c r="R95" s="5" t="str">
        <f>VLOOKUP($G95,Others!$E$2:$I$217,2,FALSE)</f>
        <v>Original Screenplay</v>
      </c>
      <c r="S95" s="5" t="str">
        <f>VLOOKUP($G95,Others!$E$2:$I$217,3,FALSE)</f>
        <v>Digital Animation</v>
      </c>
      <c r="T95" s="5" t="str">
        <f>VLOOKUP($G95,Others!$E$2:$I$217,4,FALSE)</f>
        <v>Kids Fiction</v>
      </c>
      <c r="U95" s="5" t="str">
        <f>IFERROR(VLOOKUP($G95,Ratings!$E$13:$I$55,5,FALSE),"None")</f>
        <v>None</v>
      </c>
      <c r="V95" s="5" t="s">
        <v>1742</v>
      </c>
      <c r="W95" s="5" t="s">
        <v>1743</v>
      </c>
      <c r="X95" s="6" t="s">
        <v>1411</v>
      </c>
      <c r="Y95" s="5"/>
      <c r="Z95" s="5"/>
      <c r="AA95" s="5" t="s">
        <v>1744</v>
      </c>
      <c r="AB95" s="5" t="s">
        <v>1745</v>
      </c>
      <c r="AC95" s="5" t="s">
        <v>1746</v>
      </c>
      <c r="AD95" s="9">
        <v>8.6999999999999993</v>
      </c>
      <c r="AE95" s="1" t="s">
        <v>1489</v>
      </c>
      <c r="AG95" s="9"/>
      <c r="AH95" s="9"/>
    </row>
    <row r="96" spans="1:34" hidden="1">
      <c r="A96" s="3" t="s">
        <v>1737</v>
      </c>
      <c r="B96" s="4">
        <v>2019</v>
      </c>
      <c r="C96" s="4" t="s">
        <v>44</v>
      </c>
      <c r="D96" s="3">
        <f t="shared" si="1"/>
        <v>94</v>
      </c>
      <c r="E96" s="3" t="s">
        <v>676</v>
      </c>
      <c r="G96" s="5" t="s">
        <v>698</v>
      </c>
      <c r="H96" s="5"/>
      <c r="I96" s="5" t="s">
        <v>127</v>
      </c>
      <c r="J96" s="7">
        <v>0</v>
      </c>
      <c r="M96" s="8">
        <v>0</v>
      </c>
      <c r="N96" s="7">
        <v>0</v>
      </c>
      <c r="P96" s="7">
        <v>451199</v>
      </c>
      <c r="Q96" s="7">
        <v>451199</v>
      </c>
      <c r="R96" s="5" t="str">
        <f>VLOOKUP($G96,Others!$E$2:$I$217,2,FALSE)</f>
        <v>Original Screenplay</v>
      </c>
      <c r="S96" s="5" t="str">
        <f>VLOOKUP($G96,Others!$E$2:$I$217,3,FALSE)</f>
        <v>Digital Animation</v>
      </c>
      <c r="T96" s="5" t="str">
        <f>VLOOKUP($G96,Others!$E$2:$I$217,4,FALSE)</f>
        <v>Fantasy</v>
      </c>
      <c r="U96" s="5" t="str">
        <f>IFERROR(VLOOKUP($G96,Ratings!$E$13:$I$55,5,FALSE),"None")</f>
        <v>None</v>
      </c>
      <c r="V96" s="5"/>
      <c r="X96" s="5"/>
      <c r="Y96" s="5"/>
      <c r="Z96" s="5"/>
      <c r="AA96" s="5"/>
      <c r="AB96" s="5"/>
      <c r="AC96" s="5"/>
      <c r="AD96" s="4"/>
      <c r="AG96" s="9"/>
      <c r="AH96" s="9"/>
    </row>
    <row r="97" spans="1:34" hidden="1">
      <c r="A97" s="3" t="s">
        <v>1737</v>
      </c>
      <c r="B97" s="4">
        <v>2019</v>
      </c>
      <c r="C97" s="4" t="s">
        <v>44</v>
      </c>
      <c r="D97" s="3">
        <f t="shared" si="1"/>
        <v>95</v>
      </c>
      <c r="E97" s="3" t="s">
        <v>676</v>
      </c>
      <c r="G97" s="5" t="s">
        <v>286</v>
      </c>
      <c r="H97" s="5"/>
      <c r="I97" s="5" t="s">
        <v>131</v>
      </c>
      <c r="J97" s="7">
        <v>0</v>
      </c>
      <c r="M97" s="8">
        <v>0</v>
      </c>
      <c r="N97" s="7">
        <v>0</v>
      </c>
      <c r="P97" s="7">
        <v>275315</v>
      </c>
      <c r="Q97" s="7">
        <v>275315</v>
      </c>
      <c r="R97" s="5">
        <f>VLOOKUP($G97,Others!$E$2:$I$217,2,FALSE)</f>
        <v>0</v>
      </c>
      <c r="S97" s="5" t="str">
        <f>VLOOKUP($G97,Others!$E$2:$I$217,3,FALSE)</f>
        <v>Live Action</v>
      </c>
      <c r="T97" s="5">
        <f>VLOOKUP($G97,Others!$E$2:$I$217,4,FALSE)</f>
        <v>0</v>
      </c>
      <c r="U97" s="5" t="str">
        <f>IFERROR(VLOOKUP($G97,Ratings!$E$13:$I$55,5,FALSE),"None")</f>
        <v>None</v>
      </c>
      <c r="V97" s="5"/>
      <c r="X97" s="5"/>
      <c r="Y97" s="5"/>
      <c r="Z97" s="5"/>
      <c r="AA97" s="5"/>
      <c r="AB97" s="5"/>
      <c r="AC97" s="5"/>
      <c r="AD97" s="4"/>
      <c r="AG97" s="9"/>
      <c r="AH97" s="9"/>
    </row>
    <row r="98" spans="1:34" hidden="1">
      <c r="A98" s="3" t="s">
        <v>1737</v>
      </c>
      <c r="B98" s="4">
        <v>2019</v>
      </c>
      <c r="C98" s="4" t="s">
        <v>44</v>
      </c>
      <c r="D98" s="3">
        <f t="shared" si="1"/>
        <v>96</v>
      </c>
      <c r="E98" s="3" t="s">
        <v>676</v>
      </c>
      <c r="G98" s="5" t="s">
        <v>699</v>
      </c>
      <c r="H98" s="5"/>
      <c r="I98" s="5" t="s">
        <v>131</v>
      </c>
      <c r="J98" s="7">
        <v>0</v>
      </c>
      <c r="M98" s="8">
        <v>0</v>
      </c>
      <c r="N98" s="7">
        <v>0</v>
      </c>
      <c r="P98" s="7">
        <v>106126192</v>
      </c>
      <c r="Q98" s="7">
        <v>106126192</v>
      </c>
      <c r="R98" s="5" t="str">
        <f>VLOOKUP($G98,Others!$E$2:$I$217,2,FALSE)</f>
        <v>Original Screenplay</v>
      </c>
      <c r="S98" s="5" t="str">
        <f>VLOOKUP($G98,Others!$E$2:$I$217,3,FALSE)</f>
        <v>Live Action</v>
      </c>
      <c r="T98" s="5" t="str">
        <f>VLOOKUP($G98,Others!$E$2:$I$217,4,FALSE)</f>
        <v>Contemporary Fiction</v>
      </c>
      <c r="U98" s="5" t="str">
        <f>IFERROR(VLOOKUP($G98,Ratings!$E$13:$I$55,5,FALSE),"None")</f>
        <v>None</v>
      </c>
      <c r="V98" s="5"/>
      <c r="X98" s="5"/>
      <c r="Y98" s="5"/>
      <c r="Z98" s="5"/>
      <c r="AA98" s="5"/>
      <c r="AB98" s="5"/>
      <c r="AC98" s="5"/>
      <c r="AD98" s="4"/>
      <c r="AG98" s="9"/>
      <c r="AH98" s="9"/>
    </row>
    <row r="99" spans="1:34" hidden="1">
      <c r="A99" s="3" t="s">
        <v>1737</v>
      </c>
      <c r="B99" s="4">
        <v>2019</v>
      </c>
      <c r="C99" s="4" t="s">
        <v>44</v>
      </c>
      <c r="D99" s="3">
        <f t="shared" si="1"/>
        <v>97</v>
      </c>
      <c r="E99" s="3" t="s">
        <v>676</v>
      </c>
      <c r="G99" s="5" t="s">
        <v>700</v>
      </c>
      <c r="H99" s="5"/>
      <c r="I99" s="5" t="s">
        <v>131</v>
      </c>
      <c r="J99" s="7">
        <v>0</v>
      </c>
      <c r="M99" s="8">
        <v>0</v>
      </c>
      <c r="N99" s="7">
        <v>0</v>
      </c>
      <c r="P99" s="7">
        <v>43952</v>
      </c>
      <c r="Q99" s="7">
        <v>43952</v>
      </c>
      <c r="R99" s="5">
        <f>VLOOKUP($G99,Others!$E$2:$I$217,2,FALSE)</f>
        <v>0</v>
      </c>
      <c r="S99" s="5">
        <f>VLOOKUP($G99,Others!$E$2:$I$217,3,FALSE)</f>
        <v>0</v>
      </c>
      <c r="T99" s="5">
        <f>VLOOKUP($G99,Others!$E$2:$I$217,4,FALSE)</f>
        <v>0</v>
      </c>
      <c r="U99" s="5" t="str">
        <f>IFERROR(VLOOKUP($G99,Ratings!$E$13:$I$55,5,FALSE),"None")</f>
        <v>None</v>
      </c>
      <c r="V99" s="5"/>
      <c r="X99" s="5"/>
      <c r="Y99" s="5"/>
      <c r="Z99" s="5"/>
      <c r="AA99" s="5"/>
      <c r="AB99" s="5"/>
      <c r="AC99" s="5"/>
      <c r="AD99" s="4"/>
      <c r="AG99" s="9"/>
      <c r="AH99" s="9"/>
    </row>
    <row r="100" spans="1:34" hidden="1">
      <c r="A100" s="3" t="s">
        <v>1737</v>
      </c>
      <c r="B100" s="4">
        <v>2019</v>
      </c>
      <c r="C100" s="4" t="s">
        <v>44</v>
      </c>
      <c r="D100" s="3">
        <f t="shared" si="1"/>
        <v>98</v>
      </c>
      <c r="E100" s="3" t="s">
        <v>676</v>
      </c>
      <c r="G100" s="5" t="s">
        <v>331</v>
      </c>
      <c r="H100" s="5"/>
      <c r="I100" s="5" t="s">
        <v>148</v>
      </c>
      <c r="J100" s="7">
        <v>0</v>
      </c>
      <c r="M100" s="8">
        <v>0</v>
      </c>
      <c r="N100" s="7">
        <v>0</v>
      </c>
      <c r="P100" s="7">
        <v>18466</v>
      </c>
      <c r="Q100" s="7">
        <v>18466</v>
      </c>
      <c r="R100" s="5">
        <f>VLOOKUP($G100,Others!$E$2:$I$217,2,FALSE)</f>
        <v>0</v>
      </c>
      <c r="S100" s="5" t="str">
        <f>VLOOKUP($G100,Others!$E$2:$I$217,3,FALSE)</f>
        <v>Live Action</v>
      </c>
      <c r="T100" s="5">
        <f>VLOOKUP($G100,Others!$E$2:$I$217,4,FALSE)</f>
        <v>0</v>
      </c>
      <c r="U100" s="5" t="str">
        <f>IFERROR(VLOOKUP($G100,Ratings!$E$13:$I$55,5,FALSE),"None")</f>
        <v>None</v>
      </c>
      <c r="V100" s="5"/>
      <c r="X100" s="5"/>
      <c r="Y100" s="5"/>
      <c r="Z100" s="5"/>
      <c r="AA100" s="5"/>
      <c r="AB100" s="5"/>
      <c r="AC100" s="5"/>
      <c r="AD100" s="4"/>
      <c r="AG100" s="9"/>
      <c r="AH100" s="9"/>
    </row>
    <row r="101" spans="1:34" hidden="1">
      <c r="A101" s="3" t="s">
        <v>1737</v>
      </c>
      <c r="B101" s="4">
        <v>2019</v>
      </c>
      <c r="C101" s="4" t="s">
        <v>44</v>
      </c>
      <c r="D101" s="3">
        <f t="shared" si="1"/>
        <v>99</v>
      </c>
      <c r="E101" s="3" t="s">
        <v>676</v>
      </c>
      <c r="G101" s="5" t="s">
        <v>701</v>
      </c>
      <c r="H101" s="5"/>
      <c r="I101" s="5" t="s">
        <v>253</v>
      </c>
      <c r="J101" s="7">
        <v>0</v>
      </c>
      <c r="M101" s="8">
        <v>0</v>
      </c>
      <c r="N101" s="7">
        <v>0</v>
      </c>
      <c r="P101" s="7">
        <v>3990000</v>
      </c>
      <c r="Q101" s="7">
        <v>3990000</v>
      </c>
      <c r="R101" s="5" t="str">
        <f>VLOOKUP($G101,Others!$E$2:$I$217,2,FALSE)</f>
        <v>Compilation</v>
      </c>
      <c r="S101" s="5" t="str">
        <f>VLOOKUP($G101,Others!$E$2:$I$217,3,FALSE)</f>
        <v>Multiple Production Methods</v>
      </c>
      <c r="T101" s="5" t="str">
        <f>VLOOKUP($G101,Others!$E$2:$I$217,4,FALSE)</f>
        <v>Multiple Creative Types</v>
      </c>
      <c r="U101" s="5" t="str">
        <f>IFERROR(VLOOKUP($G101,Ratings!$E$13:$I$55,5,FALSE),"None")</f>
        <v>None</v>
      </c>
      <c r="V101" s="5"/>
      <c r="X101" s="5"/>
      <c r="Y101" s="5"/>
      <c r="AA101" s="5"/>
      <c r="AB101" s="5"/>
      <c r="AC101" s="5"/>
      <c r="AG101" s="9"/>
      <c r="AH101" s="9"/>
    </row>
    <row r="102" spans="1:34" hidden="1">
      <c r="A102" s="3" t="s">
        <v>1737</v>
      </c>
      <c r="B102" s="4">
        <v>2019</v>
      </c>
      <c r="C102" s="4" t="s">
        <v>44</v>
      </c>
      <c r="D102" s="3">
        <f t="shared" si="1"/>
        <v>100</v>
      </c>
      <c r="E102" s="3" t="s">
        <v>676</v>
      </c>
      <c r="G102" s="5" t="s">
        <v>237</v>
      </c>
      <c r="H102" s="5"/>
      <c r="I102" s="5" t="s">
        <v>131</v>
      </c>
      <c r="J102" s="7">
        <v>0</v>
      </c>
      <c r="M102" s="8">
        <v>0</v>
      </c>
      <c r="N102" s="7">
        <v>0</v>
      </c>
      <c r="P102" s="7">
        <v>1729565</v>
      </c>
      <c r="Q102" s="7">
        <v>1729565</v>
      </c>
      <c r="R102" s="5" t="str">
        <f>VLOOKUP($G102,Others!$E$2:$I$217,2,FALSE)</f>
        <v>Original Screenplay</v>
      </c>
      <c r="S102" s="5" t="str">
        <f>VLOOKUP($G102,Others!$E$2:$I$217,3,FALSE)</f>
        <v>Live Action</v>
      </c>
      <c r="T102" s="5" t="str">
        <f>VLOOKUP($G102,Others!$E$2:$I$217,4,FALSE)</f>
        <v>Historical Fiction</v>
      </c>
      <c r="U102" s="5" t="str">
        <f>IFERROR(VLOOKUP($G102,Ratings!$E$13:$I$55,5,FALSE),"None")</f>
        <v>None</v>
      </c>
      <c r="V102" s="5"/>
      <c r="X102" s="5"/>
      <c r="Y102" s="5"/>
      <c r="AA102" s="5"/>
      <c r="AB102" s="5"/>
      <c r="AC102" s="5"/>
      <c r="AG102" s="9"/>
      <c r="AH102" s="9"/>
    </row>
    <row r="103" spans="1:34" hidden="1">
      <c r="A103" s="3" t="s">
        <v>1737</v>
      </c>
      <c r="B103" s="4">
        <v>2019</v>
      </c>
      <c r="C103" s="4" t="s">
        <v>44</v>
      </c>
      <c r="D103" s="3">
        <f t="shared" si="1"/>
        <v>101</v>
      </c>
      <c r="E103" s="3" t="s">
        <v>676</v>
      </c>
      <c r="G103" s="5" t="s">
        <v>205</v>
      </c>
      <c r="H103" s="5"/>
      <c r="I103" s="5" t="s">
        <v>127</v>
      </c>
      <c r="J103" s="7">
        <v>0</v>
      </c>
      <c r="M103" s="8">
        <v>0</v>
      </c>
      <c r="N103" s="7">
        <v>0</v>
      </c>
      <c r="P103" s="7">
        <v>4803109</v>
      </c>
      <c r="Q103" s="7">
        <v>4803109</v>
      </c>
      <c r="R103" s="5" t="str">
        <f>VLOOKUP($G103,Others!$E$2:$I$217,2,FALSE)</f>
        <v>Original Screenplay</v>
      </c>
      <c r="S103" s="5" t="str">
        <f>VLOOKUP($G103,Others!$E$2:$I$217,3,FALSE)</f>
        <v>Digital Animation</v>
      </c>
      <c r="T103" s="5" t="str">
        <f>VLOOKUP($G103,Others!$E$2:$I$217,4,FALSE)</f>
        <v>Kids Fiction</v>
      </c>
      <c r="U103" s="5" t="str">
        <f>IFERROR(VLOOKUP($G103,Ratings!$E$13:$I$55,5,FALSE),"None")</f>
        <v>None</v>
      </c>
      <c r="V103" s="5"/>
      <c r="X103" s="5"/>
      <c r="Y103" s="5"/>
      <c r="AA103" s="5"/>
      <c r="AB103" s="5"/>
      <c r="AC103" s="5"/>
      <c r="AG103" s="9"/>
      <c r="AH103" s="9"/>
    </row>
    <row r="104" spans="1:34" hidden="1">
      <c r="A104" s="3" t="s">
        <v>1737</v>
      </c>
      <c r="B104" s="4">
        <v>2019</v>
      </c>
      <c r="C104" s="4" t="s">
        <v>44</v>
      </c>
      <c r="D104" s="3">
        <f t="shared" si="1"/>
        <v>102</v>
      </c>
      <c r="E104" s="3" t="s">
        <v>676</v>
      </c>
      <c r="G104" s="5" t="s">
        <v>705</v>
      </c>
      <c r="H104" s="5"/>
      <c r="I104" s="5" t="s">
        <v>129</v>
      </c>
      <c r="J104" s="7">
        <v>0</v>
      </c>
      <c r="M104" s="8">
        <v>0</v>
      </c>
      <c r="N104" s="7">
        <v>0</v>
      </c>
      <c r="P104" s="7">
        <v>0</v>
      </c>
      <c r="Q104" s="7">
        <v>0</v>
      </c>
      <c r="R104" s="5" t="str">
        <f>VLOOKUP($G104,Others!$E$2:$I$217,2,FALSE)</f>
        <v>Based on Real Life Events</v>
      </c>
      <c r="S104" s="5" t="str">
        <f>VLOOKUP($G104,Others!$E$2:$I$217,3,FALSE)</f>
        <v>Live Action</v>
      </c>
      <c r="T104" s="5" t="str">
        <f>VLOOKUP($G104,Others!$E$2:$I$217,4,FALSE)</f>
        <v>Historical Fiction</v>
      </c>
      <c r="U104" s="5" t="str">
        <f>IFERROR(VLOOKUP($G104,Ratings!$E$13:$I$55,5,FALSE),"None")</f>
        <v>None</v>
      </c>
      <c r="V104" s="5"/>
      <c r="X104" s="5"/>
      <c r="Y104" s="5"/>
      <c r="AA104" s="5"/>
      <c r="AB104" s="5"/>
      <c r="AC104" s="5"/>
      <c r="AG104" s="9"/>
      <c r="AH104" s="9"/>
    </row>
    <row r="105" spans="1:34" hidden="1">
      <c r="A105" s="3" t="s">
        <v>1737</v>
      </c>
      <c r="B105" s="4">
        <v>2019</v>
      </c>
      <c r="C105" s="4" t="s">
        <v>44</v>
      </c>
      <c r="D105" s="3">
        <f t="shared" si="1"/>
        <v>103</v>
      </c>
      <c r="E105" s="3" t="s">
        <v>676</v>
      </c>
      <c r="G105" s="5" t="s">
        <v>185</v>
      </c>
      <c r="H105" s="5"/>
      <c r="I105" s="5" t="s">
        <v>136</v>
      </c>
      <c r="J105" s="7">
        <v>0</v>
      </c>
      <c r="M105" s="8">
        <v>0</v>
      </c>
      <c r="N105" s="7">
        <v>0</v>
      </c>
      <c r="P105" s="7">
        <v>9023944</v>
      </c>
      <c r="Q105" s="7">
        <v>9023944</v>
      </c>
      <c r="R105" s="5">
        <f>VLOOKUP($G105,Others!$E$2:$I$217,2,FALSE)</f>
        <v>0</v>
      </c>
      <c r="S105" s="5" t="str">
        <f>VLOOKUP($G105,Others!$E$2:$I$217,3,FALSE)</f>
        <v>Animation/Live Action</v>
      </c>
      <c r="T105" s="5" t="str">
        <f>VLOOKUP($G105,Others!$E$2:$I$217,4,FALSE)</f>
        <v>Fantasy</v>
      </c>
      <c r="U105" s="5" t="str">
        <f>IFERROR(VLOOKUP($G105,Ratings!$E$13:$I$55,5,FALSE),"None")</f>
        <v>None</v>
      </c>
      <c r="V105" s="5"/>
      <c r="X105" s="5"/>
      <c r="Y105" s="5"/>
      <c r="AA105" s="5"/>
      <c r="AB105" s="5"/>
      <c r="AC105" s="5"/>
      <c r="AG105" s="9"/>
      <c r="AH105" s="9"/>
    </row>
    <row r="106" spans="1:34" hidden="1">
      <c r="A106" s="3" t="s">
        <v>1737</v>
      </c>
      <c r="B106" s="4">
        <v>2019</v>
      </c>
      <c r="C106" s="4" t="s">
        <v>44</v>
      </c>
      <c r="D106" s="3">
        <f t="shared" si="1"/>
        <v>104</v>
      </c>
      <c r="E106" s="3" t="s">
        <v>676</v>
      </c>
      <c r="G106" s="5" t="s">
        <v>316</v>
      </c>
      <c r="H106" s="5"/>
      <c r="I106" s="5" t="s">
        <v>148</v>
      </c>
      <c r="J106" s="7">
        <v>0</v>
      </c>
      <c r="M106" s="8">
        <v>0</v>
      </c>
      <c r="N106" s="7">
        <v>0</v>
      </c>
      <c r="P106" s="7">
        <v>66561</v>
      </c>
      <c r="Q106" s="7">
        <v>66561</v>
      </c>
      <c r="R106" s="5">
        <f>VLOOKUP($G106,Others!$E$2:$I$217,2,FALSE)</f>
        <v>0</v>
      </c>
      <c r="S106" s="5" t="str">
        <f>VLOOKUP($G106,Others!$E$2:$I$217,3,FALSE)</f>
        <v>Live Action</v>
      </c>
      <c r="T106" s="5">
        <f>VLOOKUP($G106,Others!$E$2:$I$217,4,FALSE)</f>
        <v>0</v>
      </c>
      <c r="U106" s="5" t="str">
        <f>IFERROR(VLOOKUP($G106,Ratings!$E$13:$I$55,5,FALSE),"None")</f>
        <v>None</v>
      </c>
      <c r="V106" s="5"/>
      <c r="X106" s="5"/>
      <c r="Y106" s="5"/>
      <c r="AA106" s="5"/>
      <c r="AB106" s="5"/>
      <c r="AC106" s="5"/>
      <c r="AG106" s="9"/>
      <c r="AH106" s="9"/>
    </row>
    <row r="107" spans="1:34" hidden="1">
      <c r="A107" s="3" t="s">
        <v>1737</v>
      </c>
      <c r="B107" s="4">
        <v>2019</v>
      </c>
      <c r="C107" s="4" t="s">
        <v>44</v>
      </c>
      <c r="D107" s="3">
        <f t="shared" si="1"/>
        <v>105</v>
      </c>
      <c r="E107" s="3" t="s">
        <v>676</v>
      </c>
      <c r="G107" s="5" t="s">
        <v>221</v>
      </c>
      <c r="H107" s="5"/>
      <c r="I107" s="5" t="s">
        <v>154</v>
      </c>
      <c r="J107" s="7">
        <v>0</v>
      </c>
      <c r="M107" s="8">
        <v>0</v>
      </c>
      <c r="N107" s="7">
        <v>0</v>
      </c>
      <c r="P107" s="7">
        <v>2940000</v>
      </c>
      <c r="Q107" s="7">
        <v>2940000</v>
      </c>
      <c r="R107" s="5" t="str">
        <f>VLOOKUP($G107,Others!$E$2:$I$217,2,FALSE)</f>
        <v>Original Screenplay</v>
      </c>
      <c r="S107" s="5" t="str">
        <f>VLOOKUP($G107,Others!$E$2:$I$217,3,FALSE)</f>
        <v>Live Action</v>
      </c>
      <c r="T107" s="5" t="str">
        <f>VLOOKUP($G107,Others!$E$2:$I$217,4,FALSE)</f>
        <v>Contemporary Fiction</v>
      </c>
      <c r="U107" s="5" t="str">
        <f>IFERROR(VLOOKUP($G107,Ratings!$E$13:$I$55,5,FALSE),"None")</f>
        <v>None</v>
      </c>
      <c r="V107" s="5"/>
      <c r="X107" s="5"/>
      <c r="Y107" s="5"/>
      <c r="AA107" s="5"/>
      <c r="AB107" s="5"/>
      <c r="AC107" s="5"/>
      <c r="AG107" s="9"/>
      <c r="AH107" s="9"/>
    </row>
    <row r="108" spans="1:34" hidden="1">
      <c r="A108" s="3" t="s">
        <v>1737</v>
      </c>
      <c r="B108" s="4">
        <v>2019</v>
      </c>
      <c r="C108" s="4" t="s">
        <v>44</v>
      </c>
      <c r="D108" s="3">
        <f t="shared" si="1"/>
        <v>106</v>
      </c>
      <c r="E108" s="3" t="s">
        <v>676</v>
      </c>
      <c r="G108" s="5" t="s">
        <v>204</v>
      </c>
      <c r="H108" s="5"/>
      <c r="I108" s="5" t="s">
        <v>136</v>
      </c>
      <c r="J108" s="7">
        <v>0</v>
      </c>
      <c r="M108" s="8">
        <v>0</v>
      </c>
      <c r="N108" s="7">
        <v>0</v>
      </c>
      <c r="P108" s="7">
        <v>5544781</v>
      </c>
      <c r="Q108" s="7">
        <v>5544781</v>
      </c>
      <c r="R108" s="5">
        <f>VLOOKUP($G108,Others!$E$2:$I$217,2,FALSE)</f>
        <v>0</v>
      </c>
      <c r="S108" s="5" t="str">
        <f>VLOOKUP($G108,Others!$E$2:$I$217,3,FALSE)</f>
        <v>Live Action</v>
      </c>
      <c r="T108" s="5" t="str">
        <f>VLOOKUP($G108,Others!$E$2:$I$217,4,FALSE)</f>
        <v>Contemporary Fiction</v>
      </c>
      <c r="U108" s="5" t="str">
        <f>IFERROR(VLOOKUP($G108,Ratings!$E$13:$I$55,5,FALSE),"None")</f>
        <v>None</v>
      </c>
      <c r="V108" s="5"/>
      <c r="X108" s="5"/>
      <c r="Y108" s="5"/>
      <c r="AA108" s="5"/>
      <c r="AB108" s="5"/>
      <c r="AC108" s="5"/>
      <c r="AG108" s="9"/>
      <c r="AH108" s="9"/>
    </row>
    <row r="109" spans="1:34" hidden="1">
      <c r="A109" s="3" t="s">
        <v>1737</v>
      </c>
      <c r="B109" s="4">
        <v>2019</v>
      </c>
      <c r="C109" s="4" t="s">
        <v>44</v>
      </c>
      <c r="D109" s="3">
        <f t="shared" si="1"/>
        <v>107</v>
      </c>
      <c r="E109" s="3" t="s">
        <v>676</v>
      </c>
      <c r="G109" s="5" t="s">
        <v>706</v>
      </c>
      <c r="H109" s="5"/>
      <c r="I109" s="5" t="s">
        <v>131</v>
      </c>
      <c r="J109" s="7">
        <v>0</v>
      </c>
      <c r="M109" s="8">
        <v>0</v>
      </c>
      <c r="N109" s="7">
        <v>0</v>
      </c>
      <c r="P109" s="7">
        <v>18788</v>
      </c>
      <c r="Q109" s="7">
        <v>18788</v>
      </c>
      <c r="R109" s="5">
        <f>VLOOKUP($G109,Others!$E$2:$I$217,2,FALSE)</f>
        <v>0</v>
      </c>
      <c r="S109" s="5">
        <f>VLOOKUP($G109,Others!$E$2:$I$217,3,FALSE)</f>
        <v>0</v>
      </c>
      <c r="T109" s="5">
        <f>VLOOKUP($G109,Others!$E$2:$I$217,4,FALSE)</f>
        <v>0</v>
      </c>
      <c r="U109" s="5" t="str">
        <f>IFERROR(VLOOKUP($G109,Ratings!$E$13:$I$55,5,FALSE),"None")</f>
        <v>None</v>
      </c>
      <c r="V109" s="5"/>
      <c r="X109" s="5"/>
      <c r="Y109" s="5"/>
      <c r="AA109" s="5"/>
      <c r="AB109" s="5"/>
      <c r="AC109" s="5"/>
      <c r="AG109" s="9"/>
      <c r="AH109" s="9"/>
    </row>
    <row r="110" spans="1:34" hidden="1">
      <c r="A110" s="3" t="s">
        <v>1737</v>
      </c>
      <c r="B110" s="4">
        <v>2019</v>
      </c>
      <c r="C110" s="4" t="s">
        <v>44</v>
      </c>
      <c r="D110" s="3">
        <f t="shared" si="1"/>
        <v>108</v>
      </c>
      <c r="E110" s="3" t="s">
        <v>676</v>
      </c>
      <c r="G110" s="5" t="s">
        <v>202</v>
      </c>
      <c r="H110" s="5"/>
      <c r="I110" s="5" t="s">
        <v>131</v>
      </c>
      <c r="J110" s="7">
        <v>0</v>
      </c>
      <c r="M110" s="8">
        <v>0</v>
      </c>
      <c r="N110" s="7">
        <v>0</v>
      </c>
      <c r="P110" s="7">
        <v>5932063</v>
      </c>
      <c r="Q110" s="7">
        <v>5932063</v>
      </c>
      <c r="R110" s="5" t="str">
        <f>VLOOKUP($G110,Others!$E$2:$I$217,2,FALSE)</f>
        <v>Original Screenplay</v>
      </c>
      <c r="S110" s="5" t="str">
        <f>VLOOKUP($G110,Others!$E$2:$I$217,3,FALSE)</f>
        <v>Live Action</v>
      </c>
      <c r="T110" s="5" t="str">
        <f>VLOOKUP($G110,Others!$E$2:$I$217,4,FALSE)</f>
        <v>Contemporary Fiction</v>
      </c>
      <c r="U110" s="5" t="str">
        <f>IFERROR(VLOOKUP($G110,Ratings!$E$13:$I$55,5,FALSE),"None")</f>
        <v>None</v>
      </c>
      <c r="V110" s="5"/>
      <c r="X110" s="5"/>
      <c r="Y110" s="5"/>
      <c r="AA110" s="5"/>
      <c r="AB110" s="5"/>
      <c r="AC110" s="5"/>
      <c r="AG110" s="9"/>
      <c r="AH110" s="9"/>
    </row>
    <row r="111" spans="1:34" hidden="1">
      <c r="A111" s="3" t="s">
        <v>1737</v>
      </c>
      <c r="B111" s="4">
        <v>2019</v>
      </c>
      <c r="C111" s="4" t="s">
        <v>44</v>
      </c>
      <c r="D111" s="3">
        <f t="shared" si="1"/>
        <v>109</v>
      </c>
      <c r="E111" s="3" t="s">
        <v>676</v>
      </c>
      <c r="G111" s="5" t="s">
        <v>158</v>
      </c>
      <c r="H111" s="5"/>
      <c r="I111" s="5" t="s">
        <v>131</v>
      </c>
      <c r="J111" s="7">
        <v>0</v>
      </c>
      <c r="M111" s="8">
        <v>0</v>
      </c>
      <c r="N111" s="7">
        <v>0</v>
      </c>
      <c r="P111" s="7">
        <v>36090000</v>
      </c>
      <c r="Q111" s="7">
        <v>36090000</v>
      </c>
      <c r="R111" s="5" t="str">
        <f>VLOOKUP($G111,Others!$E$2:$I$217,2,FALSE)</f>
        <v>Based on Real Life Events</v>
      </c>
      <c r="S111" s="5" t="str">
        <f>VLOOKUP($G111,Others!$E$2:$I$217,3,FALSE)</f>
        <v>Live Action</v>
      </c>
      <c r="T111" s="5" t="str">
        <f>VLOOKUP($G111,Others!$E$2:$I$217,4,FALSE)</f>
        <v>Dramatization</v>
      </c>
      <c r="U111" s="5" t="str">
        <f>IFERROR(VLOOKUP($G111,Ratings!$E$13:$I$55,5,FALSE),"None")</f>
        <v>None</v>
      </c>
      <c r="V111" s="5"/>
      <c r="X111" s="5"/>
      <c r="Y111" s="5"/>
      <c r="AA111" s="5"/>
      <c r="AB111" s="5"/>
      <c r="AC111" s="5"/>
      <c r="AG111" s="9"/>
      <c r="AH111" s="9"/>
    </row>
    <row r="112" spans="1:34" hidden="1">
      <c r="A112" s="3" t="s">
        <v>1737</v>
      </c>
      <c r="B112" s="4">
        <v>2019</v>
      </c>
      <c r="C112" s="4" t="s">
        <v>44</v>
      </c>
      <c r="D112" s="3">
        <f t="shared" si="1"/>
        <v>110</v>
      </c>
      <c r="E112" s="3" t="s">
        <v>676</v>
      </c>
      <c r="G112" s="5" t="s">
        <v>266</v>
      </c>
      <c r="H112" s="5"/>
      <c r="I112" s="5" t="s">
        <v>127</v>
      </c>
      <c r="J112" s="7">
        <v>0</v>
      </c>
      <c r="M112" s="8">
        <v>0</v>
      </c>
      <c r="N112" s="7">
        <v>0</v>
      </c>
      <c r="P112" s="7">
        <v>624013</v>
      </c>
      <c r="Q112" s="7">
        <v>624013</v>
      </c>
      <c r="R112" s="5" t="str">
        <f>VLOOKUP($G112,Others!$E$2:$I$217,2,FALSE)</f>
        <v>Original Screenplay</v>
      </c>
      <c r="S112" s="5" t="str">
        <f>VLOOKUP($G112,Others!$E$2:$I$217,3,FALSE)</f>
        <v>Digital Animation</v>
      </c>
      <c r="T112" s="5" t="str">
        <f>VLOOKUP($G112,Others!$E$2:$I$217,4,FALSE)</f>
        <v>Kids Fiction</v>
      </c>
      <c r="U112" s="5" t="str">
        <f>IFERROR(VLOOKUP($G112,Ratings!$E$13:$I$55,5,FALSE),"None")</f>
        <v>None</v>
      </c>
      <c r="V112" s="5"/>
      <c r="X112" s="5"/>
      <c r="Y112" s="5"/>
      <c r="AA112" s="5"/>
      <c r="AB112" s="5"/>
      <c r="AC112" s="5"/>
      <c r="AG112" s="9"/>
      <c r="AH112" s="9"/>
    </row>
    <row r="113" spans="1:34" hidden="1">
      <c r="A113" s="3" t="s">
        <v>1737</v>
      </c>
      <c r="B113" s="4">
        <v>2019</v>
      </c>
      <c r="C113" s="4" t="s">
        <v>44</v>
      </c>
      <c r="D113" s="3">
        <f t="shared" si="1"/>
        <v>111</v>
      </c>
      <c r="E113" s="3" t="s">
        <v>676</v>
      </c>
      <c r="G113" s="5" t="s">
        <v>287</v>
      </c>
      <c r="H113" s="5"/>
      <c r="I113" s="5" t="s">
        <v>148</v>
      </c>
      <c r="J113" s="7">
        <v>0</v>
      </c>
      <c r="M113" s="8">
        <v>0</v>
      </c>
      <c r="N113" s="7">
        <v>0</v>
      </c>
      <c r="P113" s="7">
        <v>254185</v>
      </c>
      <c r="Q113" s="7">
        <v>254185</v>
      </c>
      <c r="R113" s="5">
        <f>VLOOKUP($G113,Others!$E$2:$I$217,2,FALSE)</f>
        <v>0</v>
      </c>
      <c r="S113" s="5" t="str">
        <f>VLOOKUP($G113,Others!$E$2:$I$217,3,FALSE)</f>
        <v>Live Action</v>
      </c>
      <c r="T113" s="5">
        <f>VLOOKUP($G113,Others!$E$2:$I$217,4,FALSE)</f>
        <v>0</v>
      </c>
      <c r="U113" s="5" t="str">
        <f>IFERROR(VLOOKUP($G113,Ratings!$E$13:$I$55,5,FALSE),"None")</f>
        <v>None</v>
      </c>
      <c r="V113" s="5"/>
      <c r="X113" s="5"/>
      <c r="Y113" s="5"/>
      <c r="AA113" s="5"/>
      <c r="AB113" s="5"/>
      <c r="AC113" s="5"/>
      <c r="AG113" s="9"/>
      <c r="AH113" s="9"/>
    </row>
    <row r="114" spans="1:34" hidden="1">
      <c r="A114" s="3" t="s">
        <v>1737</v>
      </c>
      <c r="B114" s="4">
        <v>2019</v>
      </c>
      <c r="C114" s="4" t="s">
        <v>44</v>
      </c>
      <c r="D114" s="3">
        <f t="shared" si="1"/>
        <v>112</v>
      </c>
      <c r="E114" s="3" t="s">
        <v>676</v>
      </c>
      <c r="G114" s="5" t="s">
        <v>312</v>
      </c>
      <c r="H114" s="5"/>
      <c r="I114" s="5" t="s">
        <v>131</v>
      </c>
      <c r="J114" s="7">
        <v>0</v>
      </c>
      <c r="M114" s="8">
        <v>0</v>
      </c>
      <c r="N114" s="7">
        <v>0</v>
      </c>
      <c r="P114" s="7">
        <v>86919</v>
      </c>
      <c r="Q114" s="7">
        <v>86919</v>
      </c>
      <c r="R114" s="5">
        <f>VLOOKUP($G114,Others!$E$2:$I$217,2,FALSE)</f>
        <v>0</v>
      </c>
      <c r="S114" s="5" t="str">
        <f>VLOOKUP($G114,Others!$E$2:$I$217,3,FALSE)</f>
        <v>Live Action</v>
      </c>
      <c r="T114" s="5">
        <f>VLOOKUP($G114,Others!$E$2:$I$217,4,FALSE)</f>
        <v>0</v>
      </c>
      <c r="U114" s="5" t="str">
        <f>IFERROR(VLOOKUP($G114,Ratings!$E$13:$I$55,5,FALSE),"None")</f>
        <v>None</v>
      </c>
      <c r="V114" s="5"/>
      <c r="X114" s="5"/>
      <c r="Y114" s="5"/>
      <c r="AA114" s="5"/>
      <c r="AB114" s="5"/>
      <c r="AC114" s="5"/>
      <c r="AG114" s="9"/>
      <c r="AH114" s="9"/>
    </row>
    <row r="115" spans="1:34" hidden="1">
      <c r="A115" s="3" t="s">
        <v>1737</v>
      </c>
      <c r="B115" s="4">
        <v>2019</v>
      </c>
      <c r="C115" s="4" t="s">
        <v>44</v>
      </c>
      <c r="D115" s="3">
        <f t="shared" si="1"/>
        <v>113</v>
      </c>
      <c r="E115" s="3" t="s">
        <v>676</v>
      </c>
      <c r="G115" s="5" t="s">
        <v>708</v>
      </c>
      <c r="H115" s="5"/>
      <c r="I115" s="5" t="s">
        <v>127</v>
      </c>
      <c r="J115" s="7">
        <v>0</v>
      </c>
      <c r="M115" s="8">
        <v>0</v>
      </c>
      <c r="N115" s="7">
        <v>0</v>
      </c>
      <c r="P115" s="7">
        <v>144823</v>
      </c>
      <c r="Q115" s="7">
        <v>144823</v>
      </c>
      <c r="R115" s="5" t="str">
        <f>VLOOKUP($G115,Others!$E$2:$I$217,2,FALSE)</f>
        <v>Original Screenplay</v>
      </c>
      <c r="S115" s="5" t="str">
        <f>VLOOKUP($G115,Others!$E$2:$I$217,3,FALSE)</f>
        <v>Digital Animation</v>
      </c>
      <c r="T115" s="5" t="str">
        <f>VLOOKUP($G115,Others!$E$2:$I$217,4,FALSE)</f>
        <v>Kids Fiction</v>
      </c>
      <c r="U115" s="5" t="str">
        <f>IFERROR(VLOOKUP($G115,Ratings!$E$13:$I$55,5,FALSE),"None")</f>
        <v>None</v>
      </c>
      <c r="V115" s="5"/>
      <c r="X115" s="5"/>
      <c r="Y115" s="5"/>
      <c r="AA115" s="5"/>
      <c r="AB115" s="5"/>
      <c r="AC115" s="5"/>
      <c r="AG115" s="9"/>
      <c r="AH115" s="9"/>
    </row>
    <row r="116" spans="1:34" hidden="1">
      <c r="A116" s="3" t="s">
        <v>1737</v>
      </c>
      <c r="B116" s="4">
        <v>2019</v>
      </c>
      <c r="C116" s="4" t="s">
        <v>44</v>
      </c>
      <c r="D116" s="3">
        <f t="shared" si="1"/>
        <v>114</v>
      </c>
      <c r="E116" s="3" t="s">
        <v>676</v>
      </c>
      <c r="G116" s="5" t="s">
        <v>709</v>
      </c>
      <c r="H116" s="5"/>
      <c r="I116" s="5" t="s">
        <v>191</v>
      </c>
      <c r="J116" s="7">
        <v>0</v>
      </c>
      <c r="M116" s="8">
        <v>0</v>
      </c>
      <c r="N116" s="7">
        <v>0</v>
      </c>
      <c r="P116" s="7">
        <v>0</v>
      </c>
      <c r="Q116" s="7">
        <v>0</v>
      </c>
      <c r="R116" s="5" t="str">
        <f>VLOOKUP($G116,Others!$E$2:$I$217,2,FALSE)</f>
        <v>Based on Real Life Events</v>
      </c>
      <c r="S116" s="5" t="str">
        <f>VLOOKUP($G116,Others!$E$2:$I$217,3,FALSE)</f>
        <v>Live Action</v>
      </c>
      <c r="T116" s="5" t="str">
        <f>VLOOKUP($G116,Others!$E$2:$I$217,4,FALSE)</f>
        <v>Factual</v>
      </c>
      <c r="U116" s="5" t="str">
        <f>IFERROR(VLOOKUP($G116,Ratings!$E$13:$I$55,5,FALSE),"None")</f>
        <v>None</v>
      </c>
      <c r="V116" s="5"/>
      <c r="X116" s="5"/>
      <c r="Y116" s="5"/>
      <c r="AA116" s="5"/>
      <c r="AB116" s="5"/>
      <c r="AC116" s="5"/>
      <c r="AG116" s="9"/>
      <c r="AH116" s="9"/>
    </row>
    <row r="117" spans="1:34" hidden="1">
      <c r="A117" s="3" t="s">
        <v>1737</v>
      </c>
      <c r="B117" s="4">
        <v>2019</v>
      </c>
      <c r="C117" s="4" t="s">
        <v>44</v>
      </c>
      <c r="D117" s="3">
        <f t="shared" si="1"/>
        <v>115</v>
      </c>
      <c r="E117" s="3" t="s">
        <v>676</v>
      </c>
      <c r="G117" s="5" t="s">
        <v>255</v>
      </c>
      <c r="H117" s="5"/>
      <c r="I117" s="5" t="s">
        <v>131</v>
      </c>
      <c r="J117" s="7">
        <v>0</v>
      </c>
      <c r="M117" s="8">
        <v>0</v>
      </c>
      <c r="N117" s="7">
        <v>0</v>
      </c>
      <c r="P117" s="7">
        <v>833839</v>
      </c>
      <c r="Q117" s="7">
        <v>833839</v>
      </c>
      <c r="R117" s="5" t="str">
        <f>VLOOKUP($G117,Others!$E$2:$I$217,2,FALSE)</f>
        <v>Based on Real Life Events</v>
      </c>
      <c r="S117" s="5" t="str">
        <f>VLOOKUP($G117,Others!$E$2:$I$217,3,FALSE)</f>
        <v>Live Action</v>
      </c>
      <c r="T117" s="5" t="str">
        <f>VLOOKUP($G117,Others!$E$2:$I$217,4,FALSE)</f>
        <v>Historical Fiction</v>
      </c>
      <c r="U117" s="5" t="str">
        <f>IFERROR(VLOOKUP($G117,Ratings!$E$13:$I$55,5,FALSE),"None")</f>
        <v>None</v>
      </c>
      <c r="V117" s="5"/>
      <c r="X117" s="5"/>
      <c r="Y117" s="5"/>
      <c r="AA117" s="5"/>
      <c r="AB117" s="5"/>
      <c r="AC117" s="5"/>
      <c r="AG117" s="9"/>
      <c r="AH117" s="9"/>
    </row>
    <row r="118" spans="1:34" hidden="1">
      <c r="A118" s="3" t="s">
        <v>1737</v>
      </c>
      <c r="B118" s="4">
        <v>2019</v>
      </c>
      <c r="C118" s="4" t="s">
        <v>44</v>
      </c>
      <c r="D118" s="3">
        <f t="shared" si="1"/>
        <v>116</v>
      </c>
      <c r="E118" s="3" t="s">
        <v>676</v>
      </c>
      <c r="G118" s="5" t="s">
        <v>290</v>
      </c>
      <c r="H118" s="5"/>
      <c r="I118" s="5" t="s">
        <v>131</v>
      </c>
      <c r="J118" s="7">
        <v>0</v>
      </c>
      <c r="M118" s="8">
        <v>0</v>
      </c>
      <c r="N118" s="7">
        <v>0</v>
      </c>
      <c r="P118" s="7">
        <v>213084</v>
      </c>
      <c r="Q118" s="7">
        <v>213084</v>
      </c>
      <c r="R118" s="5">
        <f>VLOOKUP($G118,Others!$E$2:$I$217,2,FALSE)</f>
        <v>0</v>
      </c>
      <c r="S118" s="5" t="str">
        <f>VLOOKUP($G118,Others!$E$2:$I$217,3,FALSE)</f>
        <v>Live Action</v>
      </c>
      <c r="T118" s="5">
        <f>VLOOKUP($G118,Others!$E$2:$I$217,4,FALSE)</f>
        <v>0</v>
      </c>
      <c r="U118" s="5" t="str">
        <f>IFERROR(VLOOKUP($G118,Ratings!$E$13:$I$55,5,FALSE),"None")</f>
        <v>None</v>
      </c>
      <c r="V118" s="5"/>
      <c r="X118" s="5"/>
      <c r="Y118" s="5"/>
      <c r="AA118" s="5"/>
      <c r="AB118" s="5"/>
      <c r="AC118" s="5"/>
      <c r="AG118" s="9"/>
      <c r="AH118" s="9"/>
    </row>
    <row r="119" spans="1:34" hidden="1">
      <c r="A119" s="3" t="s">
        <v>1737</v>
      </c>
      <c r="B119" s="4">
        <v>2019</v>
      </c>
      <c r="C119" s="4" t="s">
        <v>44</v>
      </c>
      <c r="D119" s="3">
        <f t="shared" si="1"/>
        <v>117</v>
      </c>
      <c r="E119" s="3" t="s">
        <v>676</v>
      </c>
      <c r="G119" s="5" t="s">
        <v>289</v>
      </c>
      <c r="H119" s="5"/>
      <c r="I119" s="5" t="s">
        <v>154</v>
      </c>
      <c r="J119" s="7">
        <v>0</v>
      </c>
      <c r="M119" s="8">
        <v>0</v>
      </c>
      <c r="N119" s="7">
        <v>0</v>
      </c>
      <c r="P119" s="7">
        <v>221774</v>
      </c>
      <c r="Q119" s="7">
        <v>221774</v>
      </c>
      <c r="R119" s="5">
        <f>VLOOKUP($G119,Others!$E$2:$I$217,2,FALSE)</f>
        <v>0</v>
      </c>
      <c r="S119" s="5" t="str">
        <f>VLOOKUP($G119,Others!$E$2:$I$217,3,FALSE)</f>
        <v>Live Action</v>
      </c>
      <c r="T119" s="5" t="str">
        <f>VLOOKUP($G119,Others!$E$2:$I$217,4,FALSE)</f>
        <v>Contemporary Fiction</v>
      </c>
      <c r="U119" s="5" t="str">
        <f>IFERROR(VLOOKUP($G119,Ratings!$E$13:$I$55,5,FALSE),"None")</f>
        <v>None</v>
      </c>
      <c r="V119" s="5"/>
      <c r="X119" s="5"/>
      <c r="Y119" s="5"/>
      <c r="AA119" s="5"/>
      <c r="AB119" s="5"/>
      <c r="AC119" s="5"/>
      <c r="AG119" s="9"/>
      <c r="AH119" s="9"/>
    </row>
    <row r="120" spans="1:34" hidden="1">
      <c r="A120" s="3" t="s">
        <v>1737</v>
      </c>
      <c r="B120" s="4">
        <v>2019</v>
      </c>
      <c r="C120" s="4" t="s">
        <v>44</v>
      </c>
      <c r="D120" s="3">
        <f t="shared" si="1"/>
        <v>118</v>
      </c>
      <c r="E120" s="3" t="s">
        <v>676</v>
      </c>
      <c r="G120" s="5" t="s">
        <v>710</v>
      </c>
      <c r="H120" s="5"/>
      <c r="I120" s="5" t="s">
        <v>136</v>
      </c>
      <c r="J120" s="7">
        <v>0</v>
      </c>
      <c r="M120" s="8">
        <v>0</v>
      </c>
      <c r="N120" s="7">
        <v>0</v>
      </c>
      <c r="P120" s="7">
        <v>12079</v>
      </c>
      <c r="Q120" s="7">
        <v>12079</v>
      </c>
      <c r="R120" s="5">
        <f>VLOOKUP($G120,Others!$E$2:$I$217,2,FALSE)</f>
        <v>0</v>
      </c>
      <c r="S120" s="5">
        <f>VLOOKUP($G120,Others!$E$2:$I$217,3,FALSE)</f>
        <v>0</v>
      </c>
      <c r="T120" s="5">
        <f>VLOOKUP($G120,Others!$E$2:$I$217,4,FALSE)</f>
        <v>0</v>
      </c>
      <c r="U120" s="5" t="str">
        <f>IFERROR(VLOOKUP($G120,Ratings!$E$13:$I$55,5,FALSE),"None")</f>
        <v>None</v>
      </c>
      <c r="V120" s="5"/>
      <c r="X120" s="5"/>
      <c r="Y120" s="5"/>
      <c r="AA120" s="5"/>
      <c r="AB120" s="5"/>
      <c r="AC120" s="5"/>
      <c r="AG120" s="9"/>
      <c r="AH120" s="9"/>
    </row>
    <row r="121" spans="1:34" hidden="1">
      <c r="A121" s="3" t="s">
        <v>1737</v>
      </c>
      <c r="B121" s="4">
        <v>2019</v>
      </c>
      <c r="C121" s="4" t="s">
        <v>44</v>
      </c>
      <c r="D121" s="3">
        <f t="shared" si="1"/>
        <v>119</v>
      </c>
      <c r="E121" s="3" t="s">
        <v>676</v>
      </c>
      <c r="G121" s="5" t="s">
        <v>213</v>
      </c>
      <c r="H121" s="5"/>
      <c r="I121" s="5" t="s">
        <v>127</v>
      </c>
      <c r="J121" s="7">
        <v>0</v>
      </c>
      <c r="M121" s="8">
        <v>0</v>
      </c>
      <c r="N121" s="7">
        <v>0</v>
      </c>
      <c r="P121" s="7">
        <v>3530000</v>
      </c>
      <c r="Q121" s="7">
        <v>3530000</v>
      </c>
      <c r="R121" s="5" t="str">
        <f>VLOOKUP($G121,Others!$E$2:$I$217,2,FALSE)</f>
        <v>Original Screenplay</v>
      </c>
      <c r="S121" s="5" t="str">
        <f>VLOOKUP($G121,Others!$E$2:$I$217,3,FALSE)</f>
        <v>Digital Animation</v>
      </c>
      <c r="T121" s="5" t="str">
        <f>VLOOKUP($G121,Others!$E$2:$I$217,4,FALSE)</f>
        <v>Kids Fiction</v>
      </c>
      <c r="U121" s="5" t="str">
        <f>IFERROR(VLOOKUP($G121,Ratings!$E$13:$I$55,5,FALSE),"None")</f>
        <v>None</v>
      </c>
      <c r="V121" s="5"/>
      <c r="X121" s="5"/>
      <c r="Y121" s="5"/>
      <c r="AA121" s="5"/>
      <c r="AB121" s="5"/>
      <c r="AC121" s="5"/>
      <c r="AG121" s="9"/>
      <c r="AH121" s="9"/>
    </row>
    <row r="122" spans="1:34" hidden="1">
      <c r="A122" s="3" t="s">
        <v>1737</v>
      </c>
      <c r="B122" s="4">
        <v>2019</v>
      </c>
      <c r="C122" s="4" t="s">
        <v>44</v>
      </c>
      <c r="D122" s="3">
        <f t="shared" si="1"/>
        <v>120</v>
      </c>
      <c r="E122" s="3" t="s">
        <v>676</v>
      </c>
      <c r="G122" s="5" t="s">
        <v>711</v>
      </c>
      <c r="H122" s="5"/>
      <c r="I122" s="5" t="s">
        <v>129</v>
      </c>
      <c r="J122" s="7">
        <v>0</v>
      </c>
      <c r="M122" s="8">
        <v>0</v>
      </c>
      <c r="N122" s="7">
        <v>0</v>
      </c>
      <c r="P122" s="7">
        <v>1192340</v>
      </c>
      <c r="Q122" s="7">
        <v>1192340</v>
      </c>
      <c r="R122" s="5" t="str">
        <f>VLOOKUP($G122,Others!$E$2:$I$217,2,FALSE)</f>
        <v>Original Screenplay</v>
      </c>
      <c r="S122" s="5" t="str">
        <f>VLOOKUP($G122,Others!$E$2:$I$217,3,FALSE)</f>
        <v>Live Action</v>
      </c>
      <c r="T122" s="5" t="str">
        <f>VLOOKUP($G122,Others!$E$2:$I$217,4,FALSE)</f>
        <v>Contemporary Fiction</v>
      </c>
      <c r="U122" s="5" t="str">
        <f>IFERROR(VLOOKUP($G122,Ratings!$E$13:$I$55,5,FALSE),"None")</f>
        <v>R</v>
      </c>
      <c r="V122" s="5"/>
      <c r="X122" s="5"/>
      <c r="Y122" s="5"/>
      <c r="AA122" s="5"/>
      <c r="AB122" s="5"/>
      <c r="AC122" s="5"/>
      <c r="AG122" s="9"/>
      <c r="AH122" s="9"/>
    </row>
    <row r="123" spans="1:34" hidden="1">
      <c r="A123" s="3" t="s">
        <v>1747</v>
      </c>
      <c r="B123" s="4">
        <v>2019</v>
      </c>
      <c r="C123" s="4" t="s">
        <v>44</v>
      </c>
      <c r="D123" s="3">
        <f t="shared" si="1"/>
        <v>121</v>
      </c>
      <c r="E123" s="3" t="s">
        <v>676</v>
      </c>
      <c r="G123" s="5" t="s">
        <v>157</v>
      </c>
      <c r="H123" s="5"/>
      <c r="I123" s="5" t="s">
        <v>131</v>
      </c>
      <c r="J123" s="7">
        <v>0</v>
      </c>
      <c r="M123" s="8">
        <v>99254</v>
      </c>
      <c r="N123" s="7">
        <v>17421706</v>
      </c>
      <c r="P123" s="7">
        <v>39757864</v>
      </c>
      <c r="Q123" s="7">
        <v>39757864</v>
      </c>
      <c r="R123" s="5" t="str">
        <f>VLOOKUP($G123,Others!$E$2:$I$217,2,FALSE)</f>
        <v>Original Screenplay</v>
      </c>
      <c r="S123" s="5" t="str">
        <f>VLOOKUP($G123,Others!$E$2:$I$217,3,FALSE)</f>
        <v>Live Action</v>
      </c>
      <c r="T123" s="5" t="str">
        <f>VLOOKUP($G123,Others!$E$2:$I$217,4,FALSE)</f>
        <v>Contemporary Fiction</v>
      </c>
      <c r="U123" s="5" t="str">
        <f>IFERROR(VLOOKUP($G123,Ratings!$E$13:$I$55,5,FALSE),"None")</f>
        <v>None</v>
      </c>
      <c r="V123" s="5" t="s">
        <v>1748</v>
      </c>
      <c r="X123" s="5"/>
      <c r="Y123" s="5"/>
      <c r="AA123" s="5"/>
      <c r="AB123" s="5"/>
      <c r="AC123" s="5"/>
      <c r="AG123" s="9"/>
      <c r="AH123" s="9"/>
    </row>
    <row r="124" spans="1:34">
      <c r="A124" s="3" t="s">
        <v>1747</v>
      </c>
      <c r="B124" s="4">
        <v>2019</v>
      </c>
      <c r="C124" s="4" t="s">
        <v>44</v>
      </c>
      <c r="D124" s="3">
        <f t="shared" si="1"/>
        <v>122</v>
      </c>
      <c r="E124" s="55" t="s">
        <v>676</v>
      </c>
      <c r="F124" s="22" t="s">
        <v>1749</v>
      </c>
      <c r="G124" s="5" t="s">
        <v>758</v>
      </c>
      <c r="H124" s="39" t="s">
        <v>1613</v>
      </c>
      <c r="I124" s="5" t="s">
        <v>129</v>
      </c>
      <c r="J124" s="7">
        <v>3582089.5522388099</v>
      </c>
      <c r="K124" s="57"/>
      <c r="M124" s="8">
        <v>68060</v>
      </c>
      <c r="N124" s="7">
        <v>16321896</v>
      </c>
      <c r="P124" s="7">
        <v>37092694</v>
      </c>
      <c r="Q124" s="7">
        <v>37092694</v>
      </c>
      <c r="R124" s="39" t="s">
        <v>606</v>
      </c>
      <c r="S124" s="5" t="str">
        <f>VLOOKUP($G124,Others!$E$2:$I$217,3,FALSE)</f>
        <v>Live Action</v>
      </c>
      <c r="T124" s="39" t="s">
        <v>616</v>
      </c>
      <c r="U124" s="5" t="str">
        <f>IFERROR(VLOOKUP($G124,Ratings!$E$13:$I$55,5,FALSE),"None")</f>
        <v>None</v>
      </c>
      <c r="V124" s="5" t="s">
        <v>1750</v>
      </c>
      <c r="W124" s="39" t="s">
        <v>1751</v>
      </c>
      <c r="X124" s="39" t="s">
        <v>1646</v>
      </c>
      <c r="Y124" s="39" t="s">
        <v>1752</v>
      </c>
      <c r="AA124" s="39" t="s">
        <v>1753</v>
      </c>
      <c r="AB124" s="5"/>
      <c r="AC124" s="39" t="s">
        <v>1612</v>
      </c>
      <c r="AD124" s="47">
        <v>8.9</v>
      </c>
      <c r="AG124" s="9"/>
      <c r="AH124" s="9"/>
    </row>
    <row r="125" spans="1:34">
      <c r="A125" s="3" t="s">
        <v>1747</v>
      </c>
      <c r="B125" s="4">
        <v>2019</v>
      </c>
      <c r="C125" s="4" t="s">
        <v>44</v>
      </c>
      <c r="D125" s="3">
        <f t="shared" si="1"/>
        <v>123</v>
      </c>
      <c r="E125" s="55" t="s">
        <v>676</v>
      </c>
      <c r="F125" s="22" t="s">
        <v>1754</v>
      </c>
      <c r="G125" s="5" t="s">
        <v>156</v>
      </c>
      <c r="H125" s="39" t="s">
        <v>1755</v>
      </c>
      <c r="I125" s="5" t="s">
        <v>127</v>
      </c>
      <c r="J125" s="7">
        <v>1492537.3134328399</v>
      </c>
      <c r="K125" s="57"/>
      <c r="M125" s="8">
        <v>98464</v>
      </c>
      <c r="N125" s="7">
        <v>12110000</v>
      </c>
      <c r="P125" s="7">
        <v>44553752</v>
      </c>
      <c r="Q125" s="7">
        <v>44553752</v>
      </c>
      <c r="R125" s="5" t="str">
        <f>VLOOKUP($G125,Others!$E$2:$I$217,2,FALSE)</f>
        <v>Based on Folk Tale/Legend/Fairytale</v>
      </c>
      <c r="S125" s="5" t="str">
        <f>VLOOKUP($G125,Others!$E$2:$I$217,3,FALSE)</f>
        <v>Digital Animation</v>
      </c>
      <c r="T125" s="5" t="str">
        <f>VLOOKUP($G125,Others!$E$2:$I$217,4,FALSE)</f>
        <v>Fantasy</v>
      </c>
      <c r="U125" s="5" t="str">
        <f>IFERROR(VLOOKUP($G125,Ratings!$E$13:$I$55,5,FALSE),"None")</f>
        <v>None</v>
      </c>
      <c r="V125" s="5" t="s">
        <v>1756</v>
      </c>
      <c r="W125" s="39" t="s">
        <v>1757</v>
      </c>
      <c r="X125" s="39" t="s">
        <v>1758</v>
      </c>
      <c r="Y125" s="39" t="s">
        <v>1759</v>
      </c>
      <c r="AA125" s="39" t="s">
        <v>1760</v>
      </c>
      <c r="AB125" s="5"/>
      <c r="AC125" s="39" t="s">
        <v>1761</v>
      </c>
      <c r="AD125" s="47">
        <v>9.3000000000000007</v>
      </c>
      <c r="AG125" s="9"/>
      <c r="AH125" s="9"/>
    </row>
    <row r="126" spans="1:34">
      <c r="A126" s="3" t="s">
        <v>1747</v>
      </c>
      <c r="B126" s="4">
        <v>2019</v>
      </c>
      <c r="C126" s="4" t="s">
        <v>44</v>
      </c>
      <c r="D126" s="3">
        <f t="shared" si="1"/>
        <v>124</v>
      </c>
      <c r="E126" s="55" t="s">
        <v>676</v>
      </c>
      <c r="F126" s="22" t="s">
        <v>1762</v>
      </c>
      <c r="G126" s="5" t="s">
        <v>177</v>
      </c>
      <c r="H126" s="39" t="s">
        <v>1501</v>
      </c>
      <c r="I126" s="5" t="s">
        <v>131</v>
      </c>
      <c r="J126" s="7">
        <v>11940298.507462701</v>
      </c>
      <c r="K126" s="57"/>
      <c r="M126" s="8">
        <v>49408</v>
      </c>
      <c r="N126" s="7">
        <v>8510000</v>
      </c>
      <c r="P126" s="7">
        <v>13994187</v>
      </c>
      <c r="Q126" s="7">
        <v>13994187</v>
      </c>
      <c r="R126" s="39" t="s">
        <v>606</v>
      </c>
      <c r="S126" s="5" t="str">
        <f>VLOOKUP($G126,Others!$E$2:$I$217,3,FALSE)</f>
        <v>Live Action</v>
      </c>
      <c r="T126" s="5" t="str">
        <f>VLOOKUP($G126,Others!$E$2:$I$217,4,FALSE)</f>
        <v>Contemporary Fiction</v>
      </c>
      <c r="U126" s="5" t="str">
        <f>IFERROR(VLOOKUP($G126,Ratings!$E$13:$I$55,5,FALSE),"None")</f>
        <v>None</v>
      </c>
      <c r="V126" s="5" t="s">
        <v>1763</v>
      </c>
      <c r="W126" s="39" t="s">
        <v>1764</v>
      </c>
      <c r="X126" s="39" t="s">
        <v>1765</v>
      </c>
      <c r="Y126" s="39" t="s">
        <v>1766</v>
      </c>
      <c r="Z126" s="80" t="s">
        <v>1767</v>
      </c>
      <c r="AA126" s="39" t="s">
        <v>1768</v>
      </c>
      <c r="AB126" s="39" t="s">
        <v>1769</v>
      </c>
      <c r="AC126" s="39" t="s">
        <v>1501</v>
      </c>
      <c r="AD126" s="47">
        <v>8.3000000000000007</v>
      </c>
      <c r="AG126" s="9"/>
      <c r="AH126" s="9"/>
    </row>
    <row r="127" spans="1:34">
      <c r="A127" s="3" t="s">
        <v>1747</v>
      </c>
      <c r="B127" s="4">
        <v>2019</v>
      </c>
      <c r="C127" s="4" t="s">
        <v>44</v>
      </c>
      <c r="D127" s="3">
        <f t="shared" si="1"/>
        <v>125</v>
      </c>
      <c r="E127" s="55" t="s">
        <v>676</v>
      </c>
      <c r="F127" s="22" t="s">
        <v>1770</v>
      </c>
      <c r="G127" s="5" t="s">
        <v>189</v>
      </c>
      <c r="H127" s="39" t="s">
        <v>1585</v>
      </c>
      <c r="I127" s="5" t="s">
        <v>154</v>
      </c>
      <c r="J127" s="7">
        <v>14925373.134328401</v>
      </c>
      <c r="K127" s="57"/>
      <c r="M127" s="8">
        <v>93636</v>
      </c>
      <c r="N127" s="7">
        <v>6470000</v>
      </c>
      <c r="P127" s="7">
        <v>8230634</v>
      </c>
      <c r="Q127" s="7">
        <v>8230634</v>
      </c>
      <c r="R127" s="5" t="str">
        <f>VLOOKUP($G127,Others!$E$2:$I$217,2,FALSE)</f>
        <v>Original Screenplay</v>
      </c>
      <c r="S127" s="5" t="str">
        <f>VLOOKUP($G127,Others!$E$2:$I$217,3,FALSE)</f>
        <v>Live Action</v>
      </c>
      <c r="T127" s="5" t="str">
        <f>VLOOKUP($G127,Others!$E$2:$I$217,4,FALSE)</f>
        <v>Contemporary Fiction</v>
      </c>
      <c r="U127" s="5" t="str">
        <f>IFERROR(VLOOKUP($G127,Ratings!$E$13:$I$55,5,FALSE),"None")</f>
        <v>None</v>
      </c>
      <c r="V127" s="5" t="s">
        <v>1771</v>
      </c>
      <c r="W127" s="39" t="s">
        <v>1772</v>
      </c>
      <c r="X127" s="39" t="s">
        <v>1773</v>
      </c>
      <c r="Y127" s="39" t="s">
        <v>1774</v>
      </c>
      <c r="Z127" s="80" t="s">
        <v>1775</v>
      </c>
      <c r="AA127" s="39" t="s">
        <v>1776</v>
      </c>
      <c r="AC127" s="39" t="s">
        <v>1585</v>
      </c>
      <c r="AD127" s="47">
        <v>8.6</v>
      </c>
      <c r="AG127" s="9"/>
      <c r="AH127" s="9"/>
    </row>
    <row r="128" spans="1:34">
      <c r="A128" s="3" t="s">
        <v>1747</v>
      </c>
      <c r="B128" s="4">
        <v>2019</v>
      </c>
      <c r="C128" s="4" t="s">
        <v>44</v>
      </c>
      <c r="D128" s="3">
        <f t="shared" si="1"/>
        <v>126</v>
      </c>
      <c r="E128" s="55" t="s">
        <v>676</v>
      </c>
      <c r="F128" s="22" t="s">
        <v>675</v>
      </c>
      <c r="G128" s="5" t="s">
        <v>164</v>
      </c>
      <c r="H128" s="39" t="s">
        <v>1501</v>
      </c>
      <c r="I128" s="5" t="s">
        <v>148</v>
      </c>
      <c r="J128" s="7">
        <v>2985074.6268656701</v>
      </c>
      <c r="K128" s="57"/>
      <c r="M128" s="8">
        <v>54753</v>
      </c>
      <c r="N128" s="7">
        <v>6390000</v>
      </c>
      <c r="P128" s="7">
        <v>27410000</v>
      </c>
      <c r="Q128" s="7">
        <v>27410000</v>
      </c>
      <c r="R128" s="5" t="str">
        <f>VLOOKUP($G128,Others!$E$2:$I$217,2,FALSE)</f>
        <v>Original Screenplay</v>
      </c>
      <c r="S128" s="5" t="str">
        <f>VLOOKUP($G128,Others!$E$2:$I$217,3,FALSE)</f>
        <v>Live Action</v>
      </c>
      <c r="T128" s="5" t="str">
        <f>VLOOKUP($G128,Others!$E$2:$I$217,4,FALSE)</f>
        <v>Contemporary Fiction</v>
      </c>
      <c r="U128" s="5" t="str">
        <f>IFERROR(VLOOKUP($G128,Ratings!$E$13:$I$55,5,FALSE),"None")</f>
        <v>None</v>
      </c>
      <c r="V128" s="5" t="s">
        <v>1777</v>
      </c>
      <c r="W128" s="39" t="s">
        <v>1778</v>
      </c>
      <c r="X128" s="39" t="s">
        <v>1568</v>
      </c>
      <c r="Y128" s="39" t="s">
        <v>1779</v>
      </c>
      <c r="Z128" s="80" t="s">
        <v>1780</v>
      </c>
      <c r="AA128" s="39" t="s">
        <v>1781</v>
      </c>
      <c r="AB128" s="39" t="s">
        <v>1782</v>
      </c>
      <c r="AC128" s="39" t="s">
        <v>1501</v>
      </c>
      <c r="AD128" s="47">
        <v>8.9</v>
      </c>
      <c r="AG128" s="9"/>
      <c r="AH128" s="9"/>
    </row>
    <row r="129" spans="1:34">
      <c r="A129" s="3" t="s">
        <v>1747</v>
      </c>
      <c r="B129" s="4">
        <v>2019</v>
      </c>
      <c r="C129" s="4" t="s">
        <v>44</v>
      </c>
      <c r="D129" s="3">
        <f t="shared" si="1"/>
        <v>127</v>
      </c>
      <c r="E129" s="55" t="s">
        <v>676</v>
      </c>
      <c r="F129" s="22" t="s">
        <v>650</v>
      </c>
      <c r="G129" s="5" t="s">
        <v>175</v>
      </c>
      <c r="H129" s="39" t="s">
        <v>1501</v>
      </c>
      <c r="I129" s="5" t="s">
        <v>131</v>
      </c>
      <c r="J129" s="7">
        <v>2985074.6268656701</v>
      </c>
      <c r="K129" s="57"/>
      <c r="M129" s="8">
        <v>56551</v>
      </c>
      <c r="N129" s="7">
        <v>6240000</v>
      </c>
      <c r="P129" s="7">
        <v>16841504</v>
      </c>
      <c r="Q129" s="7">
        <v>16841504</v>
      </c>
      <c r="R129" s="5" t="str">
        <f>VLOOKUP($G129,Others!$E$2:$I$217,2,FALSE)</f>
        <v>Based on Real Life Events</v>
      </c>
      <c r="S129" s="5" t="str">
        <f>VLOOKUP($G129,Others!$E$2:$I$217,3,FALSE)</f>
        <v>Live Action</v>
      </c>
      <c r="T129" s="5" t="str">
        <f>VLOOKUP($G129,Others!$E$2:$I$217,4,FALSE)</f>
        <v>Historical Fiction</v>
      </c>
      <c r="U129" s="5" t="str">
        <f>IFERROR(VLOOKUP($G129,Ratings!$E$13:$I$55,5,FALSE),"None")</f>
        <v>None</v>
      </c>
      <c r="V129" s="5" t="s">
        <v>1783</v>
      </c>
      <c r="W129" s="39" t="s">
        <v>1784</v>
      </c>
      <c r="X129" s="39" t="s">
        <v>1785</v>
      </c>
      <c r="Y129" s="39" t="s">
        <v>1786</v>
      </c>
      <c r="Z129" s="80" t="s">
        <v>1787</v>
      </c>
      <c r="AA129" s="39" t="s">
        <v>1788</v>
      </c>
      <c r="AB129" s="39" t="s">
        <v>1789</v>
      </c>
      <c r="AC129" s="39" t="s">
        <v>1577</v>
      </c>
      <c r="AD129" s="47">
        <v>9.1</v>
      </c>
      <c r="AG129" s="9"/>
      <c r="AH129" s="9"/>
    </row>
    <row r="130" spans="1:34" hidden="1">
      <c r="A130" s="3" t="s">
        <v>1747</v>
      </c>
      <c r="B130" s="4">
        <v>2019</v>
      </c>
      <c r="C130" s="4" t="s">
        <v>44</v>
      </c>
      <c r="D130" s="3">
        <f t="shared" si="1"/>
        <v>128</v>
      </c>
      <c r="E130" s="3" t="s">
        <v>676</v>
      </c>
      <c r="G130" s="5" t="s">
        <v>200</v>
      </c>
      <c r="H130" s="5"/>
      <c r="I130" s="5" t="s">
        <v>131</v>
      </c>
      <c r="J130" s="7">
        <v>0</v>
      </c>
      <c r="M130" s="8">
        <v>71876</v>
      </c>
      <c r="N130" s="7">
        <v>4340000</v>
      </c>
      <c r="P130" s="7">
        <v>6225444</v>
      </c>
      <c r="Q130" s="7">
        <v>6225444</v>
      </c>
      <c r="R130" s="5" t="str">
        <f>VLOOKUP($G130,Others!$E$2:$I$217,2,FALSE)</f>
        <v>Original Screenplay</v>
      </c>
      <c r="S130" s="5" t="str">
        <f>VLOOKUP($G130,Others!$E$2:$I$217,3,FALSE)</f>
        <v>Live Action</v>
      </c>
      <c r="T130" s="5" t="str">
        <f>VLOOKUP($G130,Others!$E$2:$I$217,4,FALSE)</f>
        <v>Contemporary Fiction</v>
      </c>
      <c r="U130" s="5" t="str">
        <f>IFERROR(VLOOKUP($G130,Ratings!$E$13:$I$55,5,FALSE),"None")</f>
        <v>None</v>
      </c>
      <c r="V130" s="5" t="s">
        <v>1790</v>
      </c>
      <c r="X130" s="5" t="s">
        <v>1791</v>
      </c>
      <c r="Y130" s="5"/>
      <c r="AA130" s="5"/>
      <c r="AB130" s="5"/>
      <c r="AC130" s="5"/>
      <c r="AG130" s="9"/>
      <c r="AH130" s="9"/>
    </row>
    <row r="131" spans="1:34">
      <c r="A131" s="3" t="s">
        <v>1747</v>
      </c>
      <c r="B131" s="4">
        <v>2019</v>
      </c>
      <c r="C131" s="4" t="s">
        <v>44</v>
      </c>
      <c r="D131" s="3">
        <f t="shared" si="1"/>
        <v>129</v>
      </c>
      <c r="E131" s="55" t="s">
        <v>676</v>
      </c>
      <c r="F131" s="22" t="s">
        <v>1792</v>
      </c>
      <c r="G131" s="5" t="s">
        <v>217</v>
      </c>
      <c r="H131" s="39" t="s">
        <v>1793</v>
      </c>
      <c r="I131" s="5" t="s">
        <v>129</v>
      </c>
      <c r="J131" s="7">
        <v>44776119.402985103</v>
      </c>
      <c r="K131" s="57"/>
      <c r="M131" s="8">
        <v>68172</v>
      </c>
      <c r="N131" s="7">
        <v>2958191</v>
      </c>
      <c r="P131" s="7">
        <v>3283238</v>
      </c>
      <c r="Q131" s="7">
        <v>3283238</v>
      </c>
      <c r="R131" s="5" t="str">
        <f>VLOOKUP($G131,Others!$E$2:$I$217,2,FALSE)</f>
        <v>Original Screenplay</v>
      </c>
      <c r="S131" s="5" t="str">
        <f>VLOOKUP($G131,Others!$E$2:$I$217,3,FALSE)</f>
        <v>Live Action</v>
      </c>
      <c r="T131" s="5" t="str">
        <f>VLOOKUP($G131,Others!$E$2:$I$217,4,FALSE)</f>
        <v>Contemporary Fiction</v>
      </c>
      <c r="U131" s="5" t="str">
        <f>IFERROR(VLOOKUP($G131,Ratings!$E$13:$I$55,5,FALSE),"None")</f>
        <v>None</v>
      </c>
      <c r="V131" s="5" t="s">
        <v>1794</v>
      </c>
      <c r="W131" s="39" t="s">
        <v>1795</v>
      </c>
      <c r="X131" s="39" t="s">
        <v>1796</v>
      </c>
      <c r="Y131" s="39" t="s">
        <v>1797</v>
      </c>
      <c r="Z131" s="80" t="s">
        <v>1798</v>
      </c>
      <c r="AA131" s="39" t="s">
        <v>1799</v>
      </c>
      <c r="AB131" s="5"/>
      <c r="AC131" s="39" t="s">
        <v>1800</v>
      </c>
      <c r="AD131" s="47">
        <v>7.4</v>
      </c>
      <c r="AG131" s="9"/>
      <c r="AH131" s="9"/>
    </row>
    <row r="132" spans="1:34" ht="15">
      <c r="A132" s="3" t="s">
        <v>1747</v>
      </c>
      <c r="B132" s="4">
        <v>2019</v>
      </c>
      <c r="C132" s="4" t="s">
        <v>44</v>
      </c>
      <c r="D132" s="3">
        <f t="shared" si="1"/>
        <v>130</v>
      </c>
      <c r="E132" s="55" t="s">
        <v>676</v>
      </c>
      <c r="F132" s="3" t="s">
        <v>632</v>
      </c>
      <c r="G132" s="5" t="s">
        <v>207</v>
      </c>
      <c r="H132" s="5" t="s">
        <v>1415</v>
      </c>
      <c r="I132" s="5" t="s">
        <v>131</v>
      </c>
      <c r="J132" s="7">
        <f>0.5*100000000/6.7</f>
        <v>7462686.5671641789</v>
      </c>
      <c r="K132" s="57" t="s">
        <v>1411</v>
      </c>
      <c r="L132" s="7">
        <f>0.1*100000000/6.7</f>
        <v>1492537.3134328357</v>
      </c>
      <c r="M132" s="8">
        <v>37338</v>
      </c>
      <c r="N132" s="7">
        <v>2950000</v>
      </c>
      <c r="O132" s="7">
        <f>0.3*100000000/6.7</f>
        <v>4477611.940298507</v>
      </c>
      <c r="P132" s="7">
        <v>4303111</v>
      </c>
      <c r="Q132" s="7">
        <v>4303111</v>
      </c>
      <c r="R132" s="5" t="str">
        <f>VLOOKUP($G132,Others!$E$2:$I$217,2,FALSE)</f>
        <v>Original Screenplay</v>
      </c>
      <c r="S132" s="5" t="str">
        <f>VLOOKUP($G132,Others!$E$2:$I$217,3,FALSE)</f>
        <v>Live Action</v>
      </c>
      <c r="T132" s="5" t="str">
        <f>VLOOKUP($G132,Others!$E$2:$I$217,4,FALSE)</f>
        <v>Contemporary Fiction</v>
      </c>
      <c r="U132" s="5" t="str">
        <f>IFERROR(VLOOKUP($G132,Ratings!$E$13:$I$55,5,FALSE),"None")</f>
        <v>None</v>
      </c>
      <c r="V132" s="5" t="s">
        <v>1801</v>
      </c>
      <c r="W132" s="5" t="s">
        <v>1802</v>
      </c>
      <c r="X132" s="5" t="s">
        <v>1803</v>
      </c>
      <c r="Y132" s="5" t="s">
        <v>1804</v>
      </c>
      <c r="Z132" s="5" t="s">
        <v>1805</v>
      </c>
      <c r="AA132" s="5" t="s">
        <v>1806</v>
      </c>
      <c r="AB132" s="5" t="s">
        <v>1807</v>
      </c>
      <c r="AC132" s="5" t="s">
        <v>1808</v>
      </c>
      <c r="AD132" s="9">
        <v>7.5</v>
      </c>
      <c r="AE132" s="1" t="s">
        <v>1489</v>
      </c>
      <c r="AG132" s="9"/>
      <c r="AH132" s="9"/>
    </row>
    <row r="133" spans="1:34" hidden="1">
      <c r="A133" s="3" t="s">
        <v>1747</v>
      </c>
      <c r="B133" s="4">
        <v>2019</v>
      </c>
      <c r="C133" s="4" t="s">
        <v>44</v>
      </c>
      <c r="D133" s="3">
        <f t="shared" ref="D133:D246" si="2">D132+1</f>
        <v>131</v>
      </c>
      <c r="E133" s="3" t="s">
        <v>676</v>
      </c>
      <c r="G133" s="5" t="s">
        <v>215</v>
      </c>
      <c r="H133" s="5"/>
      <c r="I133" s="5" t="s">
        <v>131</v>
      </c>
      <c r="J133" s="7">
        <v>0</v>
      </c>
      <c r="M133" s="8">
        <v>39942</v>
      </c>
      <c r="N133" s="7">
        <v>2630000</v>
      </c>
      <c r="P133" s="7">
        <v>3470000</v>
      </c>
      <c r="Q133" s="7">
        <v>3470000</v>
      </c>
      <c r="R133" s="5" t="str">
        <f>VLOOKUP($G133,Others!$E$2:$I$217,2,FALSE)</f>
        <v>Original Screenplay</v>
      </c>
      <c r="S133" s="5" t="str">
        <f>VLOOKUP($G133,Others!$E$2:$I$217,3,FALSE)</f>
        <v>Live Action</v>
      </c>
      <c r="T133" s="5" t="str">
        <f>VLOOKUP($G133,Others!$E$2:$I$217,4,FALSE)</f>
        <v>Contemporary Fiction</v>
      </c>
      <c r="U133" s="5" t="str">
        <f>IFERROR(VLOOKUP($G133,Ratings!$E$13:$I$55,5,FALSE),"None")</f>
        <v>None</v>
      </c>
      <c r="V133" s="5" t="s">
        <v>1809</v>
      </c>
      <c r="X133" s="5"/>
      <c r="Y133" s="5"/>
      <c r="AA133" s="5"/>
      <c r="AB133" s="5"/>
      <c r="AC133" s="5"/>
      <c r="AG133" s="9"/>
      <c r="AH133" s="9"/>
    </row>
    <row r="134" spans="1:34" hidden="1">
      <c r="A134" s="3" t="s">
        <v>1747</v>
      </c>
      <c r="B134" s="4">
        <v>2019</v>
      </c>
      <c r="C134" s="4" t="s">
        <v>44</v>
      </c>
      <c r="D134" s="3">
        <f t="shared" si="2"/>
        <v>132</v>
      </c>
      <c r="E134" s="3" t="s">
        <v>676</v>
      </c>
      <c r="G134" s="5" t="s">
        <v>236</v>
      </c>
      <c r="H134" s="5"/>
      <c r="I134" s="5" t="s">
        <v>154</v>
      </c>
      <c r="J134" s="7">
        <v>0</v>
      </c>
      <c r="M134" s="8">
        <v>44539</v>
      </c>
      <c r="N134" s="7">
        <v>1510000</v>
      </c>
      <c r="P134" s="7">
        <v>1782513</v>
      </c>
      <c r="Q134" s="7">
        <v>1782513</v>
      </c>
      <c r="R134" s="5" t="str">
        <f>VLOOKUP($G134,Others!$E$2:$I$217,2,FALSE)</f>
        <v>Original Screenplay</v>
      </c>
      <c r="S134" s="5" t="str">
        <f>VLOOKUP($G134,Others!$E$2:$I$217,3,FALSE)</f>
        <v>Live Action</v>
      </c>
      <c r="T134" s="5" t="str">
        <f>VLOOKUP($G134,Others!$E$2:$I$217,4,FALSE)</f>
        <v>Contemporary Fiction</v>
      </c>
      <c r="U134" s="5" t="str">
        <f>IFERROR(VLOOKUP($G134,Ratings!$E$13:$I$55,5,FALSE),"None")</f>
        <v>None</v>
      </c>
      <c r="V134" s="5" t="s">
        <v>1810</v>
      </c>
      <c r="X134" s="5"/>
      <c r="Y134" s="5"/>
      <c r="AA134" s="5"/>
      <c r="AB134" s="5"/>
      <c r="AC134" s="5"/>
      <c r="AG134" s="9"/>
      <c r="AH134" s="9"/>
    </row>
    <row r="135" spans="1:34" hidden="1">
      <c r="A135" s="3" t="s">
        <v>1747</v>
      </c>
      <c r="B135" s="4">
        <v>2019</v>
      </c>
      <c r="C135" s="4" t="s">
        <v>44</v>
      </c>
      <c r="D135" s="3">
        <f t="shared" si="2"/>
        <v>133</v>
      </c>
      <c r="E135" s="3" t="s">
        <v>676</v>
      </c>
      <c r="G135" s="5" t="s">
        <v>251</v>
      </c>
      <c r="H135" s="5"/>
      <c r="I135" s="5" t="s">
        <v>154</v>
      </c>
      <c r="J135" s="7">
        <v>0</v>
      </c>
      <c r="M135" s="8">
        <v>27114</v>
      </c>
      <c r="N135" s="7">
        <v>847037</v>
      </c>
      <c r="P135" s="7">
        <v>1140982</v>
      </c>
      <c r="Q135" s="7">
        <v>1140982</v>
      </c>
      <c r="R135" s="5" t="str">
        <f>VLOOKUP($G135,Others!$E$2:$I$217,2,FALSE)</f>
        <v>Original Screenplay</v>
      </c>
      <c r="S135" s="5" t="str">
        <f>VLOOKUP($G135,Others!$E$2:$I$217,3,FALSE)</f>
        <v>Live Action</v>
      </c>
      <c r="T135" s="5" t="str">
        <f>VLOOKUP($G135,Others!$E$2:$I$217,4,FALSE)</f>
        <v>Contemporary Fiction</v>
      </c>
      <c r="U135" s="5" t="str">
        <f>IFERROR(VLOOKUP($G135,Ratings!$E$13:$I$55,5,FALSE),"None")</f>
        <v>None</v>
      </c>
      <c r="V135" s="5" t="s">
        <v>1811</v>
      </c>
      <c r="X135" s="5"/>
      <c r="Y135" s="5"/>
      <c r="AA135" s="5"/>
      <c r="AB135" s="5"/>
      <c r="AC135" s="5"/>
      <c r="AG135" s="9"/>
      <c r="AH135" s="9"/>
    </row>
    <row r="136" spans="1:34">
      <c r="A136" s="3" t="s">
        <v>1747</v>
      </c>
      <c r="B136" s="4">
        <v>2019</v>
      </c>
      <c r="C136" s="4" t="s">
        <v>44</v>
      </c>
      <c r="D136" s="3">
        <f t="shared" si="2"/>
        <v>134</v>
      </c>
      <c r="E136" s="55" t="s">
        <v>676</v>
      </c>
      <c r="F136" s="22" t="s">
        <v>1812</v>
      </c>
      <c r="G136" s="5" t="s">
        <v>256</v>
      </c>
      <c r="H136" s="39" t="s">
        <v>1813</v>
      </c>
      <c r="I136" s="5" t="s">
        <v>148</v>
      </c>
      <c r="J136" s="7">
        <v>2985074.6268656701</v>
      </c>
      <c r="K136" s="57"/>
      <c r="M136" s="8">
        <v>34638</v>
      </c>
      <c r="N136" s="7">
        <v>760000</v>
      </c>
      <c r="P136" s="7">
        <v>810000</v>
      </c>
      <c r="Q136" s="7">
        <v>810000</v>
      </c>
      <c r="R136" s="5" t="str">
        <f>VLOOKUP($G136,Others!$E$2:$I$217,2,FALSE)</f>
        <v>Original Screenplay</v>
      </c>
      <c r="S136" s="5" t="str">
        <f>VLOOKUP($G136,Others!$E$2:$I$217,3,FALSE)</f>
        <v>Live Action</v>
      </c>
      <c r="T136" s="5" t="str">
        <f>VLOOKUP($G136,Others!$E$2:$I$217,4,FALSE)</f>
        <v>Contemporary Fiction</v>
      </c>
      <c r="U136" s="5" t="str">
        <f>IFERROR(VLOOKUP($G136,Ratings!$E$13:$I$55,5,FALSE),"None")</f>
        <v>None</v>
      </c>
      <c r="V136" s="5" t="s">
        <v>1814</v>
      </c>
      <c r="W136" s="39" t="s">
        <v>1815</v>
      </c>
      <c r="X136" s="39" t="s">
        <v>1797</v>
      </c>
      <c r="Y136" s="39" t="s">
        <v>1816</v>
      </c>
      <c r="Z136" s="80" t="s">
        <v>1817</v>
      </c>
      <c r="AA136" s="39" t="s">
        <v>1818</v>
      </c>
      <c r="AB136" s="5"/>
      <c r="AC136" s="39" t="s">
        <v>1819</v>
      </c>
      <c r="AD136" s="47">
        <v>7.7</v>
      </c>
      <c r="AG136" s="9"/>
      <c r="AH136" s="9"/>
    </row>
    <row r="137" spans="1:34" hidden="1">
      <c r="A137" s="3" t="s">
        <v>1747</v>
      </c>
      <c r="B137" s="4">
        <v>2019</v>
      </c>
      <c r="C137" s="4" t="s">
        <v>44</v>
      </c>
      <c r="D137" s="3">
        <f t="shared" si="2"/>
        <v>135</v>
      </c>
      <c r="E137" s="3" t="s">
        <v>676</v>
      </c>
      <c r="G137" s="5" t="s">
        <v>206</v>
      </c>
      <c r="H137" s="5"/>
      <c r="I137" s="5" t="s">
        <v>131</v>
      </c>
      <c r="J137" s="7">
        <v>0</v>
      </c>
      <c r="M137" s="8">
        <v>10046</v>
      </c>
      <c r="N137" s="7">
        <v>620000</v>
      </c>
      <c r="P137" s="7">
        <v>4408165</v>
      </c>
      <c r="Q137" s="7">
        <v>4408165</v>
      </c>
      <c r="R137" s="5" t="str">
        <f>VLOOKUP($G137,Others!$E$2:$I$217,2,FALSE)</f>
        <v>Based on Real Life Events</v>
      </c>
      <c r="S137" s="5" t="str">
        <f>VLOOKUP($G137,Others!$E$2:$I$217,3,FALSE)</f>
        <v>Live Action</v>
      </c>
      <c r="T137" s="5" t="str">
        <f>VLOOKUP($G137,Others!$E$2:$I$217,4,FALSE)</f>
        <v>Historical Fiction</v>
      </c>
      <c r="U137" s="5" t="str">
        <f>IFERROR(VLOOKUP($G137,Ratings!$E$13:$I$55,5,FALSE),"None")</f>
        <v>None</v>
      </c>
      <c r="V137" s="5" t="s">
        <v>206</v>
      </c>
      <c r="X137" s="5"/>
      <c r="Y137" s="5"/>
      <c r="AA137" s="5"/>
      <c r="AB137" s="5"/>
      <c r="AC137" s="5"/>
      <c r="AG137" s="9"/>
      <c r="AH137" s="9"/>
    </row>
    <row r="138" spans="1:34" hidden="1">
      <c r="A138" s="3" t="s">
        <v>1747</v>
      </c>
      <c r="B138" s="4">
        <v>2019</v>
      </c>
      <c r="C138" s="4" t="s">
        <v>44</v>
      </c>
      <c r="D138" s="3">
        <f t="shared" si="2"/>
        <v>136</v>
      </c>
      <c r="E138" s="3" t="s">
        <v>676</v>
      </c>
      <c r="G138" s="5" t="s">
        <v>748</v>
      </c>
      <c r="H138" s="5"/>
      <c r="I138" s="5" t="s">
        <v>131</v>
      </c>
      <c r="J138" s="7">
        <v>0</v>
      </c>
      <c r="M138" s="8">
        <v>0</v>
      </c>
      <c r="N138" s="7">
        <v>569484</v>
      </c>
      <c r="P138" s="7">
        <v>9120498</v>
      </c>
      <c r="Q138" s="7">
        <v>9120498</v>
      </c>
      <c r="R138" s="5" t="str">
        <f>VLOOKUP($G138,Others!$E$2:$I$217,2,FALSE)</f>
        <v>Original Screenplay</v>
      </c>
      <c r="S138" s="5" t="str">
        <f>VLOOKUP($G138,Others!$E$2:$I$217,3,FALSE)</f>
        <v>Live Action</v>
      </c>
      <c r="T138" s="5" t="str">
        <f>VLOOKUP($G138,Others!$E$2:$I$217,4,FALSE)</f>
        <v>Contemporary Fiction</v>
      </c>
      <c r="U138" s="5" t="str">
        <f>IFERROR(VLOOKUP($G138,Ratings!$E$13:$I$55,5,FALSE),"None")</f>
        <v>None</v>
      </c>
      <c r="V138" s="5" t="s">
        <v>1820</v>
      </c>
      <c r="X138" s="5"/>
      <c r="Y138" s="5"/>
      <c r="AA138" s="5"/>
      <c r="AB138" s="5"/>
      <c r="AC138" s="5"/>
      <c r="AG138" s="9"/>
      <c r="AH138" s="9"/>
    </row>
    <row r="139" spans="1:34">
      <c r="A139" s="3" t="s">
        <v>1747</v>
      </c>
      <c r="B139" s="4">
        <v>2019</v>
      </c>
      <c r="C139" s="4" t="s">
        <v>44</v>
      </c>
      <c r="D139" s="3">
        <f t="shared" si="2"/>
        <v>137</v>
      </c>
      <c r="E139" s="55" t="s">
        <v>676</v>
      </c>
      <c r="F139" s="3" t="s">
        <v>807</v>
      </c>
      <c r="G139" s="5" t="s">
        <v>225</v>
      </c>
      <c r="H139" s="5" t="s">
        <v>1416</v>
      </c>
      <c r="I139" s="5" t="s">
        <v>129</v>
      </c>
      <c r="J139" s="7">
        <f>0.5*100000000/66.7</f>
        <v>749625.18740629684</v>
      </c>
      <c r="K139" s="57" t="s">
        <v>1411</v>
      </c>
      <c r="L139" s="7">
        <f>0.06*100000000/6.7</f>
        <v>895522.38805970142</v>
      </c>
      <c r="M139" s="8">
        <v>10660</v>
      </c>
      <c r="N139" s="7">
        <v>399170</v>
      </c>
      <c r="O139" s="7">
        <f>0.17*100000000/6.7</f>
        <v>2537313.4328358206</v>
      </c>
      <c r="P139" s="7">
        <v>2883905</v>
      </c>
      <c r="Q139" s="7">
        <v>2883905</v>
      </c>
      <c r="R139" s="5" t="str">
        <f>VLOOKUP($G139,Others!$E$2:$I$217,2,FALSE)</f>
        <v>Based on Real Life Events</v>
      </c>
      <c r="S139" s="5" t="str">
        <f>VLOOKUP($G139,Others!$E$2:$I$217,3,FALSE)</f>
        <v>Live Action</v>
      </c>
      <c r="T139" s="5" t="str">
        <f>VLOOKUP($G139,Others!$E$2:$I$217,4,FALSE)</f>
        <v>Historical Fiction</v>
      </c>
      <c r="U139" s="5" t="str">
        <f>IFERROR(VLOOKUP($G139,Ratings!$E$13:$I$55,5,FALSE),"None")</f>
        <v>None</v>
      </c>
      <c r="V139" s="5" t="s">
        <v>1821</v>
      </c>
      <c r="W139" s="5" t="s">
        <v>1822</v>
      </c>
      <c r="X139" s="5" t="s">
        <v>1823</v>
      </c>
      <c r="Y139" s="5" t="s">
        <v>1824</v>
      </c>
      <c r="AA139" s="5" t="s">
        <v>1825</v>
      </c>
      <c r="AB139" s="5"/>
      <c r="AC139" s="5" t="s">
        <v>1826</v>
      </c>
      <c r="AD139" s="9">
        <v>8.4</v>
      </c>
      <c r="AE139" s="1" t="s">
        <v>1489</v>
      </c>
      <c r="AG139" s="9"/>
      <c r="AH139" s="9"/>
    </row>
    <row r="140" spans="1:34" hidden="1">
      <c r="A140" s="3" t="s">
        <v>1747</v>
      </c>
      <c r="B140" s="4">
        <v>2019</v>
      </c>
      <c r="C140" s="4" t="s">
        <v>44</v>
      </c>
      <c r="D140" s="3">
        <f t="shared" si="2"/>
        <v>138</v>
      </c>
      <c r="E140" s="3" t="s">
        <v>676</v>
      </c>
      <c r="G140" s="5" t="s">
        <v>755</v>
      </c>
      <c r="H140" s="5"/>
      <c r="I140" s="5" t="s">
        <v>154</v>
      </c>
      <c r="J140" s="7">
        <v>0</v>
      </c>
      <c r="M140" s="8">
        <v>4</v>
      </c>
      <c r="N140" s="7">
        <v>264770</v>
      </c>
      <c r="P140" s="7">
        <v>540000</v>
      </c>
      <c r="Q140" s="7">
        <v>540000</v>
      </c>
      <c r="R140" s="5" t="str">
        <f>VLOOKUP($G140,Others!$E$2:$I$217,2,FALSE)</f>
        <v>Original Screenplay</v>
      </c>
      <c r="S140" s="5" t="str">
        <f>VLOOKUP($G140,Others!$E$2:$I$217,3,FALSE)</f>
        <v>Live Action</v>
      </c>
      <c r="T140" s="5" t="str">
        <f>VLOOKUP($G140,Others!$E$2:$I$217,4,FALSE)</f>
        <v>Contemporary Fiction</v>
      </c>
      <c r="U140" s="5" t="str">
        <f>IFERROR(VLOOKUP($G140,Ratings!$E$13:$I$55,5,FALSE),"None")</f>
        <v>None</v>
      </c>
      <c r="V140" s="5" t="s">
        <v>1827</v>
      </c>
      <c r="X140" s="5"/>
      <c r="Y140" s="5"/>
      <c r="AA140" s="5"/>
      <c r="AB140" s="5"/>
      <c r="AC140" s="5"/>
      <c r="AG140" s="9"/>
      <c r="AH140" s="9"/>
    </row>
    <row r="141" spans="1:34" hidden="1">
      <c r="A141" s="3" t="s">
        <v>1747</v>
      </c>
      <c r="B141" s="4">
        <v>2019</v>
      </c>
      <c r="C141" s="4" t="s">
        <v>44</v>
      </c>
      <c r="D141" s="3">
        <f t="shared" si="2"/>
        <v>139</v>
      </c>
      <c r="E141" s="3" t="s">
        <v>676</v>
      </c>
      <c r="G141" s="5" t="s">
        <v>751</v>
      </c>
      <c r="H141" s="5"/>
      <c r="I141" s="5" t="s">
        <v>131</v>
      </c>
      <c r="J141" s="7">
        <v>0</v>
      </c>
      <c r="M141" s="8">
        <v>158</v>
      </c>
      <c r="N141" s="7">
        <v>192477</v>
      </c>
      <c r="P141" s="7">
        <v>877336</v>
      </c>
      <c r="Q141" s="7">
        <v>877336</v>
      </c>
      <c r="R141" s="5" t="str">
        <f>VLOOKUP($G141,Others!$E$2:$I$217,2,FALSE)</f>
        <v>Original Screenplay</v>
      </c>
      <c r="S141" s="5" t="str">
        <f>VLOOKUP($G141,Others!$E$2:$I$217,3,FALSE)</f>
        <v>Live Action</v>
      </c>
      <c r="T141" s="5" t="str">
        <f>VLOOKUP($G141,Others!$E$2:$I$217,4,FALSE)</f>
        <v>Contemporary Fiction</v>
      </c>
      <c r="U141" s="5" t="str">
        <f>IFERROR(VLOOKUP($G141,Ratings!$E$13:$I$55,5,FALSE),"None")</f>
        <v>None</v>
      </c>
      <c r="V141" s="5" t="s">
        <v>1828</v>
      </c>
      <c r="X141" s="5"/>
      <c r="Y141" s="5"/>
      <c r="AA141" s="5"/>
      <c r="AB141" s="5"/>
      <c r="AC141" s="5"/>
      <c r="AG141" s="9"/>
      <c r="AH141" s="9"/>
    </row>
    <row r="142" spans="1:34">
      <c r="A142" s="3" t="s">
        <v>1747</v>
      </c>
      <c r="B142" s="4">
        <v>2019</v>
      </c>
      <c r="C142" s="4" t="s">
        <v>44</v>
      </c>
      <c r="D142" s="3">
        <f t="shared" si="2"/>
        <v>140</v>
      </c>
      <c r="E142" s="55" t="s">
        <v>747</v>
      </c>
      <c r="F142" s="3" t="s">
        <v>747</v>
      </c>
      <c r="G142" s="5" t="s">
        <v>186</v>
      </c>
      <c r="H142" s="5" t="s">
        <v>605</v>
      </c>
      <c r="I142" s="5" t="s">
        <v>129</v>
      </c>
      <c r="J142" s="7">
        <v>35820895.522388101</v>
      </c>
      <c r="K142" s="57"/>
      <c r="M142" s="8">
        <v>54139</v>
      </c>
      <c r="N142" s="7">
        <v>150481</v>
      </c>
      <c r="P142" s="7">
        <v>8568978</v>
      </c>
      <c r="Q142" s="7">
        <v>8719459</v>
      </c>
      <c r="R142" s="5" t="str">
        <f>VLOOKUP($G142,Others!$E$2:$I$217,2,FALSE)</f>
        <v>Original Screenplay</v>
      </c>
      <c r="S142" s="5" t="str">
        <f>VLOOKUP($G142,Others!$E$2:$I$217,3,FALSE)</f>
        <v>Live Action</v>
      </c>
      <c r="T142" s="5" t="str">
        <f>VLOOKUP($G142,Others!$E$2:$I$217,4,FALSE)</f>
        <v>Contemporary Fiction</v>
      </c>
      <c r="U142" s="5" t="str">
        <f>IFERROR(VLOOKUP($G142,Ratings!$E$13:$I$55,5,FALSE),"None")</f>
        <v>Not Rated</v>
      </c>
      <c r="V142" s="5" t="s">
        <v>1829</v>
      </c>
      <c r="W142" s="39" t="s">
        <v>1830</v>
      </c>
      <c r="X142" s="39" t="s">
        <v>1831</v>
      </c>
      <c r="Y142" s="39" t="s">
        <v>1528</v>
      </c>
      <c r="Z142" s="80" t="s">
        <v>1832</v>
      </c>
      <c r="AA142" s="39" t="s">
        <v>1833</v>
      </c>
      <c r="AB142" s="5"/>
      <c r="AC142" s="39" t="s">
        <v>1834</v>
      </c>
      <c r="AD142" s="47">
        <v>8.4</v>
      </c>
      <c r="AG142" s="9"/>
      <c r="AH142" s="9"/>
    </row>
    <row r="143" spans="1:34" hidden="1">
      <c r="A143" s="3" t="s">
        <v>1747</v>
      </c>
      <c r="B143" s="4">
        <v>2019</v>
      </c>
      <c r="C143" s="4" t="s">
        <v>44</v>
      </c>
      <c r="D143" s="3">
        <f t="shared" si="2"/>
        <v>141</v>
      </c>
      <c r="E143" s="3" t="s">
        <v>676</v>
      </c>
      <c r="G143" s="5" t="s">
        <v>293</v>
      </c>
      <c r="H143" s="5"/>
      <c r="I143" s="5" t="s">
        <v>154</v>
      </c>
      <c r="J143" s="7">
        <v>0</v>
      </c>
      <c r="M143" s="8">
        <v>0</v>
      </c>
      <c r="N143" s="7">
        <v>145432</v>
      </c>
      <c r="P143" s="7">
        <v>171605</v>
      </c>
      <c r="Q143" s="7">
        <v>171605</v>
      </c>
      <c r="R143" s="5" t="str">
        <f>VLOOKUP($G143,Others!$E$2:$I$217,2,FALSE)</f>
        <v>Original Screenplay</v>
      </c>
      <c r="S143" s="5" t="str">
        <f>VLOOKUP($G143,Others!$E$2:$I$217,3,FALSE)</f>
        <v>Live Action</v>
      </c>
      <c r="T143" s="5" t="str">
        <f>VLOOKUP($G143,Others!$E$2:$I$217,4,FALSE)</f>
        <v>Contemporary Fiction</v>
      </c>
      <c r="U143" s="5" t="str">
        <f>IFERROR(VLOOKUP($G143,Ratings!$E$13:$I$55,5,FALSE),"None")</f>
        <v>None</v>
      </c>
      <c r="V143" s="5" t="s">
        <v>1835</v>
      </c>
      <c r="X143" s="5"/>
      <c r="Y143" s="5"/>
      <c r="AA143" s="5"/>
      <c r="AB143" s="5"/>
      <c r="AC143" s="5"/>
      <c r="AG143" s="9"/>
      <c r="AH143" s="9"/>
    </row>
    <row r="144" spans="1:34" hidden="1">
      <c r="A144" s="3" t="s">
        <v>1747</v>
      </c>
      <c r="B144" s="4">
        <v>2019</v>
      </c>
      <c r="C144" s="4" t="s">
        <v>44</v>
      </c>
      <c r="D144" s="3">
        <f t="shared" si="2"/>
        <v>142</v>
      </c>
      <c r="E144" s="3" t="s">
        <v>676</v>
      </c>
      <c r="G144" s="5" t="s">
        <v>713</v>
      </c>
      <c r="H144" s="5"/>
      <c r="I144" s="5" t="s">
        <v>127</v>
      </c>
      <c r="J144" s="7">
        <v>0</v>
      </c>
      <c r="M144" s="8">
        <v>44742</v>
      </c>
      <c r="N144" s="7">
        <v>131577</v>
      </c>
      <c r="P144" s="7">
        <v>37290000</v>
      </c>
      <c r="Q144" s="7">
        <v>36870000</v>
      </c>
      <c r="R144" s="5" t="str">
        <f>VLOOKUP($G144,Others!$E$2:$I$217,2,FALSE)</f>
        <v>Original Screenplay</v>
      </c>
      <c r="S144" s="5" t="str">
        <f>VLOOKUP($G144,Others!$E$2:$I$217,3,FALSE)</f>
        <v>Live Action</v>
      </c>
      <c r="T144" s="5" t="str">
        <f>VLOOKUP($G144,Others!$E$2:$I$217,4,FALSE)</f>
        <v>Contemporary Fiction</v>
      </c>
      <c r="U144" s="5" t="str">
        <f>IFERROR(VLOOKUP($G144,Ratings!$E$13:$I$55,5,FALSE),"None")</f>
        <v>None</v>
      </c>
      <c r="V144" s="5" t="s">
        <v>1836</v>
      </c>
      <c r="X144" s="5"/>
      <c r="Y144" s="5"/>
      <c r="AA144" s="5"/>
      <c r="AB144" s="5"/>
      <c r="AC144" s="5"/>
      <c r="AG144" s="9"/>
      <c r="AH144" s="9"/>
    </row>
    <row r="145" spans="1:34">
      <c r="A145" s="3" t="s">
        <v>1747</v>
      </c>
      <c r="B145" s="4">
        <v>2019</v>
      </c>
      <c r="C145" s="4" t="s">
        <v>44</v>
      </c>
      <c r="D145" s="3">
        <f t="shared" si="2"/>
        <v>143</v>
      </c>
      <c r="E145" s="55" t="s">
        <v>676</v>
      </c>
      <c r="F145" s="3" t="s">
        <v>1837</v>
      </c>
      <c r="G145" s="5" t="s">
        <v>211</v>
      </c>
      <c r="H145" s="5" t="s">
        <v>1417</v>
      </c>
      <c r="I145" s="5" t="s">
        <v>131</v>
      </c>
      <c r="J145" s="7">
        <f>0.2*100000000/6.7</f>
        <v>2985074.6268656715</v>
      </c>
      <c r="K145" s="57" t="s">
        <v>1411</v>
      </c>
      <c r="L145" s="7">
        <f>0.07*100000000/6.7</f>
        <v>1044776.1194029852</v>
      </c>
      <c r="M145" s="41" t="s">
        <v>1501</v>
      </c>
      <c r="N145" s="7">
        <v>125544</v>
      </c>
      <c r="O145" s="7">
        <f>0.21*100000000/6.7</f>
        <v>3134328.3582089553</v>
      </c>
      <c r="P145" s="7">
        <v>3963494</v>
      </c>
      <c r="Q145" s="7">
        <v>3963494</v>
      </c>
      <c r="R145" s="5" t="str">
        <f>VLOOKUP($G145,Others!$E$2:$I$217,2,FALSE)</f>
        <v>Based on Real Life Events</v>
      </c>
      <c r="S145" s="5" t="str">
        <f>VLOOKUP($G145,Others!$E$2:$I$217,3,FALSE)</f>
        <v>Live Action</v>
      </c>
      <c r="T145" s="5" t="str">
        <f>VLOOKUP($G145,Others!$E$2:$I$217,4,FALSE)</f>
        <v>Dramatization</v>
      </c>
      <c r="U145" s="5" t="str">
        <f>IFERROR(VLOOKUP($G145,Ratings!$E$13:$I$55,5,FALSE),"None")</f>
        <v>None</v>
      </c>
      <c r="V145" s="5" t="s">
        <v>1838</v>
      </c>
      <c r="W145" s="5" t="s">
        <v>1839</v>
      </c>
      <c r="X145" s="5" t="s">
        <v>1840</v>
      </c>
      <c r="Y145" s="5"/>
      <c r="AA145" s="5" t="s">
        <v>1841</v>
      </c>
      <c r="AB145" s="5" t="s">
        <v>1842</v>
      </c>
      <c r="AC145" s="5" t="s">
        <v>1843</v>
      </c>
      <c r="AD145" s="60" t="s">
        <v>1665</v>
      </c>
      <c r="AE145" s="1" t="s">
        <v>1489</v>
      </c>
      <c r="AG145" s="9"/>
      <c r="AH145" s="9"/>
    </row>
    <row r="146" spans="1:34" hidden="1">
      <c r="A146" s="3" t="s">
        <v>1747</v>
      </c>
      <c r="B146" s="4">
        <v>2019</v>
      </c>
      <c r="C146" s="4" t="s">
        <v>44</v>
      </c>
      <c r="D146" s="3">
        <f t="shared" si="2"/>
        <v>144</v>
      </c>
      <c r="E146" s="3" t="s">
        <v>676</v>
      </c>
      <c r="G146" s="5" t="s">
        <v>297</v>
      </c>
      <c r="H146" s="5"/>
      <c r="I146" s="5" t="s">
        <v>131</v>
      </c>
      <c r="J146" s="7">
        <v>0</v>
      </c>
      <c r="M146" s="8">
        <v>0</v>
      </c>
      <c r="N146" s="7">
        <v>117544</v>
      </c>
      <c r="P146" s="7">
        <v>147448</v>
      </c>
      <c r="Q146" s="7">
        <v>147448</v>
      </c>
      <c r="R146" s="5">
        <f>VLOOKUP($G146,Others!$E$2:$I$217,2,FALSE)</f>
        <v>0</v>
      </c>
      <c r="S146" s="5" t="str">
        <f>VLOOKUP($G146,Others!$E$2:$I$217,3,FALSE)</f>
        <v>Live Action</v>
      </c>
      <c r="T146" s="5">
        <f>VLOOKUP($G146,Others!$E$2:$I$217,4,FALSE)</f>
        <v>0</v>
      </c>
      <c r="U146" s="5" t="str">
        <f>IFERROR(VLOOKUP($G146,Ratings!$E$13:$I$55,5,FALSE),"None")</f>
        <v>None</v>
      </c>
      <c r="V146" s="5" t="s">
        <v>1844</v>
      </c>
      <c r="X146" s="5"/>
      <c r="Y146" s="5"/>
      <c r="AA146" s="5"/>
      <c r="AB146" s="5"/>
      <c r="AC146" s="5"/>
      <c r="AG146" s="9"/>
      <c r="AH146" s="9"/>
    </row>
    <row r="147" spans="1:34" hidden="1">
      <c r="A147" s="3" t="s">
        <v>1747</v>
      </c>
      <c r="B147" s="4">
        <v>2019</v>
      </c>
      <c r="C147" s="4" t="s">
        <v>44</v>
      </c>
      <c r="D147" s="3">
        <f t="shared" si="2"/>
        <v>145</v>
      </c>
      <c r="E147" s="3" t="s">
        <v>676</v>
      </c>
      <c r="G147" s="5" t="s">
        <v>754</v>
      </c>
      <c r="H147" s="5"/>
      <c r="I147" s="5" t="s">
        <v>129</v>
      </c>
      <c r="J147" s="7">
        <v>0</v>
      </c>
      <c r="M147" s="8">
        <v>0</v>
      </c>
      <c r="N147" s="7">
        <v>91344</v>
      </c>
      <c r="P147" s="7">
        <v>91344</v>
      </c>
      <c r="Q147" s="7">
        <v>91344</v>
      </c>
      <c r="R147" s="5" t="str">
        <f>VLOOKUP($G147,Others!$E$2:$I$217,2,FALSE)</f>
        <v>Original Screenplay</v>
      </c>
      <c r="S147" s="5" t="str">
        <f>VLOOKUP($G147,Others!$E$2:$I$217,3,FALSE)</f>
        <v>Live Action</v>
      </c>
      <c r="T147" s="5">
        <f>VLOOKUP($G147,Others!$E$2:$I$217,4,FALSE)</f>
        <v>0</v>
      </c>
      <c r="U147" s="5" t="str">
        <f>IFERROR(VLOOKUP($G147,Ratings!$E$13:$I$55,5,FALSE),"None")</f>
        <v>None</v>
      </c>
      <c r="V147" s="5" t="s">
        <v>754</v>
      </c>
      <c r="X147" s="5"/>
      <c r="Y147" s="5"/>
      <c r="AA147" s="5"/>
      <c r="AB147" s="5"/>
      <c r="AC147" s="5"/>
      <c r="AG147" s="9"/>
      <c r="AH147" s="9"/>
    </row>
    <row r="148" spans="1:34" hidden="1">
      <c r="A148" s="3" t="s">
        <v>1747</v>
      </c>
      <c r="B148" s="4">
        <v>2019</v>
      </c>
      <c r="C148" s="4" t="s">
        <v>44</v>
      </c>
      <c r="D148" s="3">
        <f t="shared" si="2"/>
        <v>146</v>
      </c>
      <c r="E148" s="3" t="s">
        <v>676</v>
      </c>
      <c r="G148" s="5" t="s">
        <v>756</v>
      </c>
      <c r="H148" s="5"/>
      <c r="I148" s="5" t="s">
        <v>131</v>
      </c>
      <c r="J148" s="7">
        <v>0</v>
      </c>
      <c r="M148" s="8">
        <v>0</v>
      </c>
      <c r="N148" s="7">
        <v>40568</v>
      </c>
      <c r="P148" s="7">
        <v>124169976</v>
      </c>
      <c r="Q148" s="7">
        <v>124169976</v>
      </c>
      <c r="R148" s="5">
        <f>VLOOKUP($G148,Others!$E$2:$I$217,2,FALSE)</f>
        <v>0</v>
      </c>
      <c r="S148" s="5">
        <f>VLOOKUP($G148,Others!$E$2:$I$217,3,FALSE)</f>
        <v>0</v>
      </c>
      <c r="T148" s="5">
        <f>VLOOKUP($G148,Others!$E$2:$I$217,4,FALSE)</f>
        <v>0</v>
      </c>
      <c r="U148" s="5" t="str">
        <f>IFERROR(VLOOKUP($G148,Ratings!$E$13:$I$55,5,FALSE),"None")</f>
        <v>None</v>
      </c>
      <c r="V148" s="5" t="s">
        <v>756</v>
      </c>
      <c r="X148" s="5"/>
      <c r="Y148" s="5"/>
      <c r="AA148" s="5"/>
      <c r="AB148" s="5"/>
      <c r="AC148" s="5"/>
      <c r="AG148" s="9"/>
      <c r="AH148" s="9"/>
    </row>
    <row r="149" spans="1:34">
      <c r="A149" s="3" t="s">
        <v>1747</v>
      </c>
      <c r="B149" s="4">
        <v>2019</v>
      </c>
      <c r="C149" s="4" t="s">
        <v>44</v>
      </c>
      <c r="D149" s="3">
        <f t="shared" si="2"/>
        <v>147</v>
      </c>
      <c r="E149" s="55" t="s">
        <v>676</v>
      </c>
      <c r="F149" s="46" t="s">
        <v>1845</v>
      </c>
      <c r="G149" s="5" t="s">
        <v>261</v>
      </c>
      <c r="H149" s="39" t="s">
        <v>1501</v>
      </c>
      <c r="I149" s="5" t="s">
        <v>127</v>
      </c>
      <c r="J149" s="7">
        <v>100000000</v>
      </c>
      <c r="K149" s="57"/>
      <c r="M149" s="41" t="s">
        <v>1501</v>
      </c>
      <c r="N149" s="7">
        <v>24397</v>
      </c>
      <c r="P149" s="7">
        <v>713335</v>
      </c>
      <c r="Q149" s="7">
        <v>713335</v>
      </c>
      <c r="R149" s="5" t="str">
        <f>VLOOKUP($G149,Others!$E$2:$I$217,2,FALSE)</f>
        <v>Original Screenplay</v>
      </c>
      <c r="S149" s="5" t="str">
        <f>VLOOKUP($G149,Others!$E$2:$I$217,3,FALSE)</f>
        <v>Digital Animation</v>
      </c>
      <c r="T149" s="5" t="str">
        <f>VLOOKUP($G149,Others!$E$2:$I$217,4,FALSE)</f>
        <v>Kids Fiction</v>
      </c>
      <c r="U149" s="5" t="str">
        <f>IFERROR(VLOOKUP($G149,Ratings!$E$13:$I$55,5,FALSE),"None")</f>
        <v>None</v>
      </c>
      <c r="V149" s="5" t="s">
        <v>1846</v>
      </c>
      <c r="W149" s="39" t="s">
        <v>1847</v>
      </c>
      <c r="X149" s="39" t="s">
        <v>1411</v>
      </c>
      <c r="Y149" s="5"/>
      <c r="AA149" s="39" t="s">
        <v>1848</v>
      </c>
      <c r="AB149" s="5"/>
      <c r="AC149" s="39" t="s">
        <v>1501</v>
      </c>
      <c r="AD149" s="60" t="s">
        <v>1665</v>
      </c>
      <c r="AG149" s="9"/>
      <c r="AH149" s="9"/>
    </row>
    <row r="150" spans="1:34" hidden="1">
      <c r="A150" s="3" t="s">
        <v>1747</v>
      </c>
      <c r="B150" s="4">
        <v>2019</v>
      </c>
      <c r="C150" s="4" t="s">
        <v>44</v>
      </c>
      <c r="D150" s="3">
        <f t="shared" si="2"/>
        <v>148</v>
      </c>
      <c r="E150" s="3" t="s">
        <v>676</v>
      </c>
      <c r="G150" s="5" t="s">
        <v>750</v>
      </c>
      <c r="H150" s="5"/>
      <c r="I150" s="5" t="s">
        <v>131</v>
      </c>
      <c r="J150" s="7">
        <v>0</v>
      </c>
      <c r="M150" s="8">
        <v>0</v>
      </c>
      <c r="N150" s="7">
        <v>18858</v>
      </c>
      <c r="P150" s="7">
        <v>11213147</v>
      </c>
      <c r="Q150" s="7">
        <v>11213147</v>
      </c>
      <c r="R150" s="5">
        <f>VLOOKUP($G150,Others!$E$2:$I$217,2,FALSE)</f>
        <v>0</v>
      </c>
      <c r="S150" s="5">
        <f>VLOOKUP($G150,Others!$E$2:$I$217,3,FALSE)</f>
        <v>0</v>
      </c>
      <c r="T150" s="5">
        <f>VLOOKUP($G150,Others!$E$2:$I$217,4,FALSE)</f>
        <v>0</v>
      </c>
      <c r="U150" s="5" t="str">
        <f>IFERROR(VLOOKUP($G150,Ratings!$E$13:$I$55,5,FALSE),"None")</f>
        <v>None</v>
      </c>
      <c r="V150" s="5" t="s">
        <v>750</v>
      </c>
      <c r="X150" s="5"/>
      <c r="Y150" s="5"/>
      <c r="AA150" s="5"/>
      <c r="AB150" s="5"/>
      <c r="AC150" s="5"/>
      <c r="AG150" s="9"/>
      <c r="AH150" s="9"/>
    </row>
    <row r="151" spans="1:34" hidden="1">
      <c r="A151" s="3" t="s">
        <v>1747</v>
      </c>
      <c r="B151" s="4">
        <v>2019</v>
      </c>
      <c r="C151" s="4" t="s">
        <v>44</v>
      </c>
      <c r="D151" s="3">
        <f t="shared" si="2"/>
        <v>149</v>
      </c>
      <c r="E151" s="3" t="s">
        <v>676</v>
      </c>
      <c r="G151" s="5" t="s">
        <v>753</v>
      </c>
      <c r="H151" s="5"/>
      <c r="I151" s="5" t="s">
        <v>131</v>
      </c>
      <c r="J151" s="7">
        <v>0</v>
      </c>
      <c r="M151" s="8">
        <v>0</v>
      </c>
      <c r="N151" s="7">
        <v>13219</v>
      </c>
      <c r="P151" s="7">
        <v>65633</v>
      </c>
      <c r="Q151" s="7">
        <v>65633</v>
      </c>
      <c r="R151" s="5">
        <f>VLOOKUP($G151,Others!$E$2:$I$217,2,FALSE)</f>
        <v>0</v>
      </c>
      <c r="S151" s="5">
        <f>VLOOKUP($G151,Others!$E$2:$I$217,3,FALSE)</f>
        <v>0</v>
      </c>
      <c r="T151" s="5">
        <f>VLOOKUP($G151,Others!$E$2:$I$217,4,FALSE)</f>
        <v>0</v>
      </c>
      <c r="U151" s="5" t="str">
        <f>IFERROR(VLOOKUP($G151,Ratings!$E$13:$I$55,5,FALSE),"None")</f>
        <v>None</v>
      </c>
      <c r="V151" s="5" t="s">
        <v>753</v>
      </c>
      <c r="X151" s="5"/>
      <c r="Y151" s="5"/>
      <c r="AA151" s="5"/>
      <c r="AB151" s="5"/>
      <c r="AC151" s="5"/>
      <c r="AG151" s="9"/>
      <c r="AH151" s="9"/>
    </row>
    <row r="152" spans="1:34" hidden="1">
      <c r="A152" s="3" t="s">
        <v>1747</v>
      </c>
      <c r="B152" s="4">
        <v>2019</v>
      </c>
      <c r="C152" s="4" t="s">
        <v>44</v>
      </c>
      <c r="D152" s="3">
        <f t="shared" si="2"/>
        <v>150</v>
      </c>
      <c r="E152" s="3" t="s">
        <v>676</v>
      </c>
      <c r="G152" s="5" t="s">
        <v>337</v>
      </c>
      <c r="H152" s="5"/>
      <c r="I152" s="5" t="s">
        <v>131</v>
      </c>
      <c r="J152" s="7">
        <v>0</v>
      </c>
      <c r="M152" s="8">
        <v>0</v>
      </c>
      <c r="N152" s="7">
        <v>12432</v>
      </c>
      <c r="P152" s="7">
        <v>12432</v>
      </c>
      <c r="Q152" s="7">
        <v>12432</v>
      </c>
      <c r="R152" s="5" t="str">
        <f>VLOOKUP($G152,Others!$E$2:$I$217,2,FALSE)</f>
        <v>Original Screenplay</v>
      </c>
      <c r="S152" s="5" t="str">
        <f>VLOOKUP($G152,Others!$E$2:$I$217,3,FALSE)</f>
        <v>Live Action</v>
      </c>
      <c r="T152" s="5">
        <f>VLOOKUP($G152,Others!$E$2:$I$217,4,FALSE)</f>
        <v>0</v>
      </c>
      <c r="U152" s="5" t="str">
        <f>IFERROR(VLOOKUP($G152,Ratings!$E$13:$I$55,5,FALSE),"None")</f>
        <v>None</v>
      </c>
      <c r="V152" s="5" t="s">
        <v>337</v>
      </c>
      <c r="X152" s="5"/>
      <c r="Y152" s="5"/>
      <c r="AA152" s="5"/>
      <c r="AB152" s="5"/>
      <c r="AC152" s="5"/>
      <c r="AG152" s="9"/>
      <c r="AH152" s="9"/>
    </row>
    <row r="153" spans="1:34" hidden="1">
      <c r="A153" s="3" t="s">
        <v>1747</v>
      </c>
      <c r="B153" s="4">
        <v>2019</v>
      </c>
      <c r="C153" s="4" t="s">
        <v>44</v>
      </c>
      <c r="D153" s="3">
        <f t="shared" si="2"/>
        <v>151</v>
      </c>
      <c r="E153" s="3" t="s">
        <v>676</v>
      </c>
      <c r="G153" s="5" t="s">
        <v>749</v>
      </c>
      <c r="H153" s="5"/>
      <c r="I153" s="5" t="s">
        <v>136</v>
      </c>
      <c r="J153" s="7">
        <v>0</v>
      </c>
      <c r="M153" s="8">
        <v>260</v>
      </c>
      <c r="N153" s="7">
        <v>4114</v>
      </c>
      <c r="P153" s="7">
        <v>818921</v>
      </c>
      <c r="Q153" s="7">
        <v>818921</v>
      </c>
      <c r="R153" s="5" t="str">
        <f>VLOOKUP($G153,Others!$E$2:$I$217,2,FALSE)</f>
        <v>Original Screenplay</v>
      </c>
      <c r="S153" s="5" t="str">
        <f>VLOOKUP($G153,Others!$E$2:$I$217,3,FALSE)</f>
        <v>Live Action</v>
      </c>
      <c r="T153" s="5" t="str">
        <f>VLOOKUP($G153,Others!$E$2:$I$217,4,FALSE)</f>
        <v>Contemporary Fiction</v>
      </c>
      <c r="U153" s="5" t="str">
        <f>IFERROR(VLOOKUP($G153,Ratings!$E$13:$I$55,5,FALSE),"None")</f>
        <v>None</v>
      </c>
      <c r="V153" s="5" t="s">
        <v>749</v>
      </c>
      <c r="X153" s="5"/>
      <c r="Y153" s="5"/>
      <c r="AA153" s="5"/>
      <c r="AB153" s="5"/>
      <c r="AC153" s="5"/>
      <c r="AG153" s="9"/>
      <c r="AH153" s="9"/>
    </row>
    <row r="154" spans="1:34" hidden="1">
      <c r="A154" s="3" t="s">
        <v>1747</v>
      </c>
      <c r="B154" s="4">
        <v>2019</v>
      </c>
      <c r="C154" s="4" t="s">
        <v>44</v>
      </c>
      <c r="D154" s="3">
        <f t="shared" si="2"/>
        <v>152</v>
      </c>
      <c r="E154" s="3" t="s">
        <v>676</v>
      </c>
      <c r="G154" s="5" t="s">
        <v>199</v>
      </c>
      <c r="H154" s="5"/>
      <c r="I154" s="5" t="s">
        <v>131</v>
      </c>
      <c r="J154" s="7">
        <v>0</v>
      </c>
      <c r="M154" s="8">
        <v>220</v>
      </c>
      <c r="N154" s="7">
        <v>0</v>
      </c>
      <c r="P154" s="7">
        <v>6780000</v>
      </c>
      <c r="Q154" s="7">
        <v>6780000</v>
      </c>
      <c r="R154" s="5" t="str">
        <f>VLOOKUP($G154,Others!$E$2:$I$217,2,FALSE)</f>
        <v>Original Screenplay</v>
      </c>
      <c r="S154" s="5" t="str">
        <f>VLOOKUP($G154,Others!$E$2:$I$217,3,FALSE)</f>
        <v>Live Action</v>
      </c>
      <c r="T154" s="5" t="str">
        <f>VLOOKUP($G154,Others!$E$2:$I$217,4,FALSE)</f>
        <v>Contemporary Fiction</v>
      </c>
      <c r="U154" s="5" t="str">
        <f>IFERROR(VLOOKUP($G154,Ratings!$E$13:$I$55,5,FALSE),"None")</f>
        <v>None</v>
      </c>
      <c r="V154" s="5" t="s">
        <v>199</v>
      </c>
      <c r="X154" s="5"/>
      <c r="Y154" s="5"/>
      <c r="AA154" s="5"/>
      <c r="AB154" s="5"/>
      <c r="AC154" s="5"/>
      <c r="AG154" s="9"/>
      <c r="AH154" s="9"/>
    </row>
    <row r="155" spans="1:34" hidden="1">
      <c r="A155" s="3" t="s">
        <v>1747</v>
      </c>
      <c r="B155" s="4">
        <v>2019</v>
      </c>
      <c r="C155" s="4" t="s">
        <v>44</v>
      </c>
      <c r="D155" s="3">
        <f t="shared" si="2"/>
        <v>153</v>
      </c>
      <c r="E155" s="3" t="s">
        <v>676</v>
      </c>
      <c r="G155" s="5" t="s">
        <v>222</v>
      </c>
      <c r="H155" s="5"/>
      <c r="I155" s="5" t="s">
        <v>131</v>
      </c>
      <c r="J155" s="7">
        <v>0</v>
      </c>
      <c r="M155" s="8">
        <v>4633</v>
      </c>
      <c r="N155" s="7">
        <v>0</v>
      </c>
      <c r="P155" s="7">
        <v>2940000</v>
      </c>
      <c r="Q155" s="7">
        <v>2940000</v>
      </c>
      <c r="R155" s="5" t="str">
        <f>VLOOKUP($G155,Others!$E$2:$I$217,2,FALSE)</f>
        <v>Original Screenplay</v>
      </c>
      <c r="S155" s="5" t="str">
        <f>VLOOKUP($G155,Others!$E$2:$I$217,3,FALSE)</f>
        <v>Live Action</v>
      </c>
      <c r="T155" s="5" t="str">
        <f>VLOOKUP($G155,Others!$E$2:$I$217,4,FALSE)</f>
        <v>Fantasy</v>
      </c>
      <c r="U155" s="5" t="str">
        <f>IFERROR(VLOOKUP($G155,Ratings!$E$13:$I$55,5,FALSE),"None")</f>
        <v>None</v>
      </c>
      <c r="V155" s="5" t="s">
        <v>1849</v>
      </c>
      <c r="X155" s="5"/>
      <c r="Y155" s="5"/>
      <c r="AA155" s="5"/>
      <c r="AB155" s="5"/>
      <c r="AC155" s="5"/>
      <c r="AG155" s="9"/>
      <c r="AH155" s="9"/>
    </row>
    <row r="156" spans="1:34" hidden="1">
      <c r="A156" s="3" t="s">
        <v>1747</v>
      </c>
      <c r="B156" s="4">
        <v>2019</v>
      </c>
      <c r="C156" s="4" t="s">
        <v>44</v>
      </c>
      <c r="D156" s="3">
        <f t="shared" si="2"/>
        <v>154</v>
      </c>
      <c r="E156" s="3" t="s">
        <v>676</v>
      </c>
      <c r="G156" s="5" t="s">
        <v>249</v>
      </c>
      <c r="H156" s="5"/>
      <c r="I156" s="5" t="s">
        <v>131</v>
      </c>
      <c r="J156" s="7">
        <v>0</v>
      </c>
      <c r="M156" s="8">
        <v>13</v>
      </c>
      <c r="N156" s="7">
        <v>0</v>
      </c>
      <c r="P156" s="7">
        <v>1170000</v>
      </c>
      <c r="Q156" s="7">
        <v>1170000</v>
      </c>
      <c r="R156" s="5" t="str">
        <f>VLOOKUP($G156,Others!$E$2:$I$217,2,FALSE)</f>
        <v>Based on Real Life Events</v>
      </c>
      <c r="S156" s="5" t="str">
        <f>VLOOKUP($G156,Others!$E$2:$I$217,3,FALSE)</f>
        <v>Live Action</v>
      </c>
      <c r="T156" s="5" t="str">
        <f>VLOOKUP($G156,Others!$E$2:$I$217,4,FALSE)</f>
        <v>Historical Fiction</v>
      </c>
      <c r="U156" s="5" t="str">
        <f>IFERROR(VLOOKUP($G156,Ratings!$E$13:$I$55,5,FALSE),"None")</f>
        <v>None</v>
      </c>
      <c r="V156" s="5" t="s">
        <v>1850</v>
      </c>
      <c r="X156" s="5"/>
      <c r="Y156" s="5"/>
      <c r="AA156" s="5"/>
      <c r="AB156" s="5"/>
      <c r="AC156" s="5"/>
      <c r="AG156" s="9"/>
      <c r="AH156" s="9"/>
    </row>
    <row r="157" spans="1:34" hidden="1">
      <c r="A157" s="3" t="s">
        <v>1747</v>
      </c>
      <c r="B157" s="4">
        <v>2019</v>
      </c>
      <c r="C157" s="4" t="s">
        <v>44</v>
      </c>
      <c r="D157" s="3">
        <f t="shared" si="2"/>
        <v>155</v>
      </c>
      <c r="E157" s="3" t="s">
        <v>676</v>
      </c>
      <c r="G157" s="5" t="s">
        <v>254</v>
      </c>
      <c r="H157" s="5"/>
      <c r="I157" s="5" t="s">
        <v>148</v>
      </c>
      <c r="J157" s="7">
        <v>0</v>
      </c>
      <c r="M157" s="8">
        <v>0</v>
      </c>
      <c r="N157" s="7">
        <v>0</v>
      </c>
      <c r="P157" s="7">
        <v>879592</v>
      </c>
      <c r="Q157" s="7">
        <v>879592</v>
      </c>
      <c r="R157" s="5">
        <f>VLOOKUP($G157,Others!$E$2:$I$217,2,FALSE)</f>
        <v>0</v>
      </c>
      <c r="S157" s="5" t="str">
        <f>VLOOKUP($G157,Others!$E$2:$I$217,3,FALSE)</f>
        <v>Digital Animation</v>
      </c>
      <c r="T157" s="5">
        <f>VLOOKUP($G157,Others!$E$2:$I$217,4,FALSE)</f>
        <v>0</v>
      </c>
      <c r="U157" s="5" t="str">
        <f>IFERROR(VLOOKUP($G157,Ratings!$E$13:$I$55,5,FALSE),"None")</f>
        <v>None</v>
      </c>
      <c r="V157" s="5" t="s">
        <v>1851</v>
      </c>
      <c r="X157" s="5"/>
      <c r="Y157" s="5"/>
      <c r="AA157" s="5"/>
      <c r="AB157" s="5"/>
      <c r="AC157" s="5"/>
      <c r="AG157" s="9"/>
      <c r="AH157" s="9"/>
    </row>
    <row r="158" spans="1:34" hidden="1">
      <c r="A158" s="3" t="s">
        <v>1747</v>
      </c>
      <c r="B158" s="4">
        <v>2019</v>
      </c>
      <c r="C158" s="4" t="s">
        <v>44</v>
      </c>
      <c r="D158" s="3">
        <f t="shared" si="2"/>
        <v>156</v>
      </c>
      <c r="E158" s="3" t="s">
        <v>676</v>
      </c>
      <c r="G158" s="5" t="s">
        <v>752</v>
      </c>
      <c r="H158" s="5"/>
      <c r="I158" s="5" t="s">
        <v>131</v>
      </c>
      <c r="J158" s="7">
        <v>0</v>
      </c>
      <c r="M158" s="8">
        <v>0</v>
      </c>
      <c r="N158" s="7">
        <v>0</v>
      </c>
      <c r="P158" s="7">
        <v>200000</v>
      </c>
      <c r="Q158" s="7">
        <v>200000</v>
      </c>
      <c r="R158" s="5">
        <f>VLOOKUP($G158,Others!$E$2:$I$217,2,FALSE)</f>
        <v>0</v>
      </c>
      <c r="S158" s="5" t="str">
        <f>VLOOKUP($G158,Others!$E$2:$I$217,3,FALSE)</f>
        <v>Live Action</v>
      </c>
      <c r="T158" s="5">
        <f>VLOOKUP($G158,Others!$E$2:$I$217,4,FALSE)</f>
        <v>0</v>
      </c>
      <c r="U158" s="5" t="str">
        <f>IFERROR(VLOOKUP($G158,Ratings!$E$13:$I$55,5,FALSE),"None")</f>
        <v>None</v>
      </c>
      <c r="V158" s="5" t="s">
        <v>752</v>
      </c>
      <c r="X158" s="5"/>
      <c r="Y158" s="5"/>
      <c r="AA158" s="5"/>
      <c r="AB158" s="5"/>
      <c r="AC158" s="5"/>
      <c r="AG158" s="9"/>
      <c r="AH158" s="9"/>
    </row>
    <row r="159" spans="1:34" hidden="1">
      <c r="A159" s="3" t="s">
        <v>1747</v>
      </c>
      <c r="B159" s="4">
        <v>2019</v>
      </c>
      <c r="C159" s="4" t="s">
        <v>44</v>
      </c>
      <c r="D159" s="3">
        <f t="shared" si="2"/>
        <v>157</v>
      </c>
      <c r="E159" s="3" t="s">
        <v>676</v>
      </c>
      <c r="G159" s="5" t="s">
        <v>295</v>
      </c>
      <c r="H159" s="5"/>
      <c r="I159" s="5" t="s">
        <v>131</v>
      </c>
      <c r="J159" s="7">
        <v>0</v>
      </c>
      <c r="M159" s="8">
        <v>0</v>
      </c>
      <c r="N159" s="7">
        <v>0</v>
      </c>
      <c r="P159" s="7">
        <v>158737</v>
      </c>
      <c r="Q159" s="7">
        <v>158737</v>
      </c>
      <c r="R159" s="5">
        <f>VLOOKUP($G159,Others!$E$2:$I$217,2,FALSE)</f>
        <v>0</v>
      </c>
      <c r="S159" s="5" t="str">
        <f>VLOOKUP($G159,Others!$E$2:$I$217,3,FALSE)</f>
        <v>Live Action</v>
      </c>
      <c r="T159" s="5">
        <f>VLOOKUP($G159,Others!$E$2:$I$217,4,FALSE)</f>
        <v>0</v>
      </c>
      <c r="U159" s="5" t="str">
        <f>IFERROR(VLOOKUP($G159,Ratings!$E$13:$I$55,5,FALSE),"None")</f>
        <v>None</v>
      </c>
      <c r="V159" s="5" t="s">
        <v>1852</v>
      </c>
      <c r="X159" s="5"/>
      <c r="Y159" s="5"/>
      <c r="AA159" s="5"/>
      <c r="AB159" s="5"/>
      <c r="AC159" s="5"/>
      <c r="AG159" s="9"/>
      <c r="AH159" s="9"/>
    </row>
    <row r="160" spans="1:34" hidden="1">
      <c r="A160" s="3" t="s">
        <v>1747</v>
      </c>
      <c r="B160" s="4">
        <v>2019</v>
      </c>
      <c r="C160" s="4" t="s">
        <v>44</v>
      </c>
      <c r="D160" s="3">
        <f t="shared" si="2"/>
        <v>158</v>
      </c>
      <c r="E160" s="3" t="s">
        <v>676</v>
      </c>
      <c r="G160" s="5" t="s">
        <v>757</v>
      </c>
      <c r="H160" s="5"/>
      <c r="I160" s="5" t="s">
        <v>131</v>
      </c>
      <c r="J160" s="7">
        <v>0</v>
      </c>
      <c r="M160" s="8">
        <v>0</v>
      </c>
      <c r="N160" s="7">
        <v>0</v>
      </c>
      <c r="P160" s="7">
        <v>60000</v>
      </c>
      <c r="Q160" s="7">
        <v>60000</v>
      </c>
      <c r="R160" s="5" t="str">
        <f>VLOOKUP($G160,Others!$E$2:$I$217,2,FALSE)</f>
        <v>Original Screenplay</v>
      </c>
      <c r="S160" s="5" t="str">
        <f>VLOOKUP($G160,Others!$E$2:$I$217,3,FALSE)</f>
        <v>Live Action</v>
      </c>
      <c r="T160" s="5" t="str">
        <f>VLOOKUP($G160,Others!$E$2:$I$217,4,FALSE)</f>
        <v>Contemporary Fiction</v>
      </c>
      <c r="U160" s="5" t="str">
        <f>IFERROR(VLOOKUP($G160,Ratings!$E$13:$I$55,5,FALSE),"None")</f>
        <v>None</v>
      </c>
      <c r="V160" s="5" t="s">
        <v>1853</v>
      </c>
      <c r="X160" s="5"/>
      <c r="Y160" s="5"/>
      <c r="AA160" s="5"/>
      <c r="AB160" s="5"/>
      <c r="AC160" s="5"/>
      <c r="AG160" s="9"/>
      <c r="AH160" s="9"/>
    </row>
    <row r="161" spans="1:34" hidden="1">
      <c r="A161" s="3" t="s">
        <v>1747</v>
      </c>
      <c r="B161" s="4">
        <v>2019</v>
      </c>
      <c r="C161" s="4" t="s">
        <v>44</v>
      </c>
      <c r="D161" s="3">
        <f t="shared" si="2"/>
        <v>159</v>
      </c>
      <c r="E161" s="3" t="s">
        <v>676</v>
      </c>
      <c r="G161" s="5" t="s">
        <v>712</v>
      </c>
      <c r="H161" s="5"/>
      <c r="I161" s="5" t="s">
        <v>161</v>
      </c>
      <c r="J161" s="7">
        <v>0</v>
      </c>
      <c r="M161" s="8">
        <v>0</v>
      </c>
      <c r="N161" s="7">
        <v>0</v>
      </c>
      <c r="P161" s="7">
        <v>15174</v>
      </c>
      <c r="Q161" s="7">
        <v>15174</v>
      </c>
      <c r="R161" s="5">
        <f>VLOOKUP($G161,Others!$E$2:$I$217,2,FALSE)</f>
        <v>0</v>
      </c>
      <c r="S161" s="5">
        <f>VLOOKUP($G161,Others!$E$2:$I$217,3,FALSE)</f>
        <v>0</v>
      </c>
      <c r="T161" s="5">
        <f>VLOOKUP($G161,Others!$E$2:$I$217,4,FALSE)</f>
        <v>0</v>
      </c>
      <c r="U161" s="5" t="str">
        <f>IFERROR(VLOOKUP($G161,Ratings!$E$13:$I$55,5,FALSE),"None")</f>
        <v>None</v>
      </c>
      <c r="V161" s="5" t="s">
        <v>1854</v>
      </c>
      <c r="X161" s="5"/>
      <c r="Y161" s="5"/>
      <c r="AA161" s="5"/>
      <c r="AB161" s="5"/>
      <c r="AC161" s="5"/>
      <c r="AG161" s="9"/>
      <c r="AH161" s="9"/>
    </row>
    <row r="162" spans="1:34" hidden="1">
      <c r="A162" s="3" t="s">
        <v>1747</v>
      </c>
      <c r="B162" s="4">
        <v>2019</v>
      </c>
      <c r="C162" s="4" t="s">
        <v>44</v>
      </c>
      <c r="D162" s="3">
        <f t="shared" si="2"/>
        <v>160</v>
      </c>
      <c r="E162" s="3" t="s">
        <v>676</v>
      </c>
      <c r="G162" s="5" t="s">
        <v>357</v>
      </c>
      <c r="H162" s="5"/>
      <c r="I162" s="5" t="s">
        <v>129</v>
      </c>
      <c r="J162" s="7">
        <v>0</v>
      </c>
      <c r="M162" s="8">
        <v>0</v>
      </c>
      <c r="N162" s="7">
        <v>0</v>
      </c>
      <c r="P162" s="7">
        <v>0</v>
      </c>
      <c r="Q162" s="7">
        <v>0</v>
      </c>
      <c r="R162" s="5" t="str">
        <f>VLOOKUP($G162,Others!$E$2:$I$217,2,FALSE)</f>
        <v>Original Screenplay</v>
      </c>
      <c r="S162" s="5" t="str">
        <f>VLOOKUP($G162,Others!$E$2:$I$217,3,FALSE)</f>
        <v>Live Action</v>
      </c>
      <c r="T162" s="5" t="str">
        <f>VLOOKUP($G162,Others!$E$2:$I$217,4,FALSE)</f>
        <v>Contemporary Fiction</v>
      </c>
      <c r="U162" s="5" t="str">
        <f>IFERROR(VLOOKUP($G162,Ratings!$E$13:$I$55,5,FALSE),"None")</f>
        <v>None</v>
      </c>
      <c r="V162" s="5" t="s">
        <v>1855</v>
      </c>
      <c r="X162" s="5"/>
      <c r="Y162" s="5"/>
      <c r="AA162" s="5"/>
      <c r="AB162" s="5"/>
      <c r="AC162" s="5"/>
      <c r="AG162" s="9"/>
      <c r="AH162" s="9"/>
    </row>
    <row r="163" spans="1:34" hidden="1">
      <c r="A163" s="3" t="s">
        <v>1856</v>
      </c>
      <c r="B163" s="4">
        <v>2019</v>
      </c>
      <c r="C163" s="4" t="s">
        <v>44</v>
      </c>
      <c r="D163" s="3">
        <f t="shared" si="2"/>
        <v>161</v>
      </c>
      <c r="E163" s="3" t="s">
        <v>676</v>
      </c>
      <c r="G163" s="5" t="s">
        <v>759</v>
      </c>
      <c r="H163" s="5"/>
      <c r="I163" s="5" t="s">
        <v>131</v>
      </c>
      <c r="J163" s="7">
        <v>0</v>
      </c>
      <c r="M163" s="8">
        <v>0</v>
      </c>
      <c r="N163" s="7">
        <v>0</v>
      </c>
      <c r="P163" s="7">
        <v>81369</v>
      </c>
      <c r="Q163" s="7">
        <v>81369</v>
      </c>
      <c r="R163" s="5">
        <f>VLOOKUP($G163,Others!$E$2:$I$217,2,FALSE)</f>
        <v>0</v>
      </c>
      <c r="S163" s="5">
        <f>VLOOKUP($G163,Others!$E$2:$I$217,3,FALSE)</f>
        <v>0</v>
      </c>
      <c r="T163" s="5">
        <f>VLOOKUP($G163,Others!$E$2:$I$217,4,FALSE)</f>
        <v>0</v>
      </c>
      <c r="U163" s="5" t="str">
        <f>IFERROR(VLOOKUP($G163,Ratings!$E$13:$I$55,5,FALSE),"None")</f>
        <v>None</v>
      </c>
      <c r="V163" s="5"/>
      <c r="X163" s="5"/>
      <c r="Y163" s="5"/>
      <c r="AA163" s="5"/>
      <c r="AB163" s="5"/>
      <c r="AC163" s="5"/>
      <c r="AG163" s="9"/>
      <c r="AH163" s="9"/>
    </row>
    <row r="164" spans="1:34" hidden="1">
      <c r="A164" s="3" t="s">
        <v>1856</v>
      </c>
      <c r="B164" s="4">
        <v>2019</v>
      </c>
      <c r="C164" s="4" t="s">
        <v>44</v>
      </c>
      <c r="D164" s="3">
        <f t="shared" si="2"/>
        <v>162</v>
      </c>
      <c r="E164" s="3" t="s">
        <v>676</v>
      </c>
      <c r="G164" s="5" t="s">
        <v>281</v>
      </c>
      <c r="H164" s="5"/>
      <c r="I164" s="5" t="s">
        <v>131</v>
      </c>
      <c r="J164" s="7">
        <v>0</v>
      </c>
      <c r="M164" s="8">
        <v>0</v>
      </c>
      <c r="N164" s="7">
        <v>0</v>
      </c>
      <c r="P164" s="7">
        <v>371951</v>
      </c>
      <c r="Q164" s="7">
        <v>371951</v>
      </c>
      <c r="R164" s="5" t="str">
        <f>VLOOKUP($G164,Others!$E$2:$I$217,2,FALSE)</f>
        <v>Original Screenplay</v>
      </c>
      <c r="S164" s="5" t="str">
        <f>VLOOKUP($G164,Others!$E$2:$I$217,3,FALSE)</f>
        <v>Live Action</v>
      </c>
      <c r="T164" s="5" t="str">
        <f>VLOOKUP($G164,Others!$E$2:$I$217,4,FALSE)</f>
        <v>Contemporary Fiction</v>
      </c>
      <c r="U164" s="5" t="str">
        <f>IFERROR(VLOOKUP($G164,Ratings!$E$13:$I$55,5,FALSE),"None")</f>
        <v>None</v>
      </c>
      <c r="V164" s="5"/>
      <c r="X164" s="5"/>
      <c r="Y164" s="5"/>
      <c r="AA164" s="5"/>
      <c r="AB164" s="5"/>
      <c r="AC164" s="5"/>
      <c r="AG164" s="9"/>
      <c r="AH164" s="9"/>
    </row>
    <row r="165" spans="1:34" hidden="1">
      <c r="A165" s="3" t="s">
        <v>1856</v>
      </c>
      <c r="B165" s="4">
        <v>2019</v>
      </c>
      <c r="C165" s="4" t="s">
        <v>44</v>
      </c>
      <c r="D165" s="3">
        <f t="shared" si="2"/>
        <v>163</v>
      </c>
      <c r="E165" s="3" t="s">
        <v>676</v>
      </c>
      <c r="G165" s="5" t="s">
        <v>760</v>
      </c>
      <c r="H165" s="5"/>
      <c r="I165" s="5" t="s">
        <v>191</v>
      </c>
      <c r="J165" s="7">
        <v>0</v>
      </c>
      <c r="M165" s="8">
        <v>0</v>
      </c>
      <c r="N165" s="7">
        <v>0</v>
      </c>
      <c r="P165" s="7">
        <v>1380000</v>
      </c>
      <c r="Q165" s="7">
        <v>1380000</v>
      </c>
      <c r="R165" s="5" t="str">
        <f>VLOOKUP($G165,Others!$E$2:$I$217,2,FALSE)</f>
        <v>Based on Real Life Events</v>
      </c>
      <c r="S165" s="5" t="str">
        <f>VLOOKUP($G165,Others!$E$2:$I$217,3,FALSE)</f>
        <v>Live Action</v>
      </c>
      <c r="T165" s="5" t="str">
        <f>VLOOKUP($G165,Others!$E$2:$I$217,4,FALSE)</f>
        <v>Factual</v>
      </c>
      <c r="U165" s="5" t="str">
        <f>IFERROR(VLOOKUP($G165,Ratings!$E$13:$I$55,5,FALSE),"None")</f>
        <v>None</v>
      </c>
      <c r="V165" s="5"/>
      <c r="X165" s="5"/>
      <c r="Y165" s="5"/>
      <c r="AA165" s="5"/>
      <c r="AB165" s="5"/>
      <c r="AC165" s="5"/>
      <c r="AG165" s="9"/>
      <c r="AH165" s="9"/>
    </row>
    <row r="166" spans="1:34" hidden="1">
      <c r="A166" s="3" t="s">
        <v>1856</v>
      </c>
      <c r="B166" s="4">
        <v>2019</v>
      </c>
      <c r="C166" s="4" t="s">
        <v>44</v>
      </c>
      <c r="D166" s="3">
        <f t="shared" si="2"/>
        <v>164</v>
      </c>
      <c r="E166" s="3" t="s">
        <v>676</v>
      </c>
      <c r="G166" s="5" t="s">
        <v>229</v>
      </c>
      <c r="H166" s="5"/>
      <c r="I166" s="5" t="s">
        <v>131</v>
      </c>
      <c r="J166" s="7">
        <v>0</v>
      </c>
      <c r="M166" s="8">
        <v>0</v>
      </c>
      <c r="N166" s="7">
        <v>0</v>
      </c>
      <c r="P166" s="7">
        <v>2650000</v>
      </c>
      <c r="Q166" s="7">
        <v>2650000</v>
      </c>
      <c r="R166" s="5" t="str">
        <f>VLOOKUP($G166,Others!$E$2:$I$217,2,FALSE)</f>
        <v>Original Screenplay</v>
      </c>
      <c r="S166" s="5" t="str">
        <f>VLOOKUP($G166,Others!$E$2:$I$217,3,FALSE)</f>
        <v>Live Action</v>
      </c>
      <c r="T166" s="5" t="str">
        <f>VLOOKUP($G166,Others!$E$2:$I$217,4,FALSE)</f>
        <v>Contemporary Fiction</v>
      </c>
      <c r="U166" s="5" t="str">
        <f>IFERROR(VLOOKUP($G166,Ratings!$E$13:$I$55,5,FALSE),"None")</f>
        <v>None</v>
      </c>
      <c r="V166" s="5"/>
      <c r="X166" s="5"/>
      <c r="Y166" s="5"/>
      <c r="AA166" s="5"/>
      <c r="AB166" s="5"/>
      <c r="AC166" s="5"/>
      <c r="AG166" s="9"/>
      <c r="AH166" s="9"/>
    </row>
    <row r="167" spans="1:34" hidden="1">
      <c r="A167" s="3" t="s">
        <v>1856</v>
      </c>
      <c r="B167" s="4">
        <v>2019</v>
      </c>
      <c r="C167" s="4" t="s">
        <v>44</v>
      </c>
      <c r="D167" s="3">
        <f t="shared" si="2"/>
        <v>165</v>
      </c>
      <c r="E167" s="3" t="s">
        <v>676</v>
      </c>
      <c r="G167" s="5" t="s">
        <v>761</v>
      </c>
      <c r="H167" s="5"/>
      <c r="I167" s="5" t="s">
        <v>131</v>
      </c>
      <c r="J167" s="7">
        <v>0</v>
      </c>
      <c r="M167" s="8">
        <v>0</v>
      </c>
      <c r="N167" s="7">
        <v>0</v>
      </c>
      <c r="P167" s="7">
        <v>132118</v>
      </c>
      <c r="Q167" s="7">
        <v>132118</v>
      </c>
      <c r="R167" s="5">
        <f>VLOOKUP($G167,Others!$E$2:$I$217,2,FALSE)</f>
        <v>0</v>
      </c>
      <c r="S167" s="5">
        <f>VLOOKUP($G167,Others!$E$2:$I$217,3,FALSE)</f>
        <v>0</v>
      </c>
      <c r="T167" s="5">
        <f>VLOOKUP($G167,Others!$E$2:$I$217,4,FALSE)</f>
        <v>0</v>
      </c>
      <c r="U167" s="5" t="str">
        <f>IFERROR(VLOOKUP($G167,Ratings!$E$13:$I$55,5,FALSE),"None")</f>
        <v>None</v>
      </c>
      <c r="V167" s="5"/>
      <c r="X167" s="5"/>
      <c r="Y167" s="5"/>
      <c r="AA167" s="5"/>
      <c r="AB167" s="5"/>
      <c r="AC167" s="5"/>
      <c r="AG167" s="9"/>
      <c r="AH167" s="9"/>
    </row>
    <row r="168" spans="1:34" hidden="1">
      <c r="A168" s="3" t="s">
        <v>1856</v>
      </c>
      <c r="B168" s="4">
        <v>2019</v>
      </c>
      <c r="C168" s="4" t="s">
        <v>44</v>
      </c>
      <c r="D168" s="3">
        <f t="shared" si="2"/>
        <v>166</v>
      </c>
      <c r="E168" s="3" t="s">
        <v>676</v>
      </c>
      <c r="G168" s="5" t="s">
        <v>307</v>
      </c>
      <c r="H168" s="5"/>
      <c r="I168" s="5" t="s">
        <v>131</v>
      </c>
      <c r="J168" s="7">
        <v>0</v>
      </c>
      <c r="M168" s="8">
        <v>0</v>
      </c>
      <c r="N168" s="7">
        <v>0</v>
      </c>
      <c r="P168" s="7">
        <v>110000</v>
      </c>
      <c r="Q168" s="7">
        <v>110000</v>
      </c>
      <c r="R168" s="5" t="str">
        <f>VLOOKUP($G168,Others!$E$2:$I$217,2,FALSE)</f>
        <v>Original Screenplay</v>
      </c>
      <c r="S168" s="5" t="str">
        <f>VLOOKUP($G168,Others!$E$2:$I$217,3,FALSE)</f>
        <v>Live Action</v>
      </c>
      <c r="T168" s="5" t="str">
        <f>VLOOKUP($G168,Others!$E$2:$I$217,4,FALSE)</f>
        <v>Contemporary Fiction</v>
      </c>
      <c r="U168" s="5" t="str">
        <f>IFERROR(VLOOKUP($G168,Ratings!$E$13:$I$55,5,FALSE),"None")</f>
        <v>None</v>
      </c>
      <c r="V168" s="5"/>
      <c r="X168" s="5"/>
      <c r="Y168" s="5"/>
      <c r="AA168" s="5"/>
      <c r="AB168" s="5"/>
      <c r="AC168" s="5"/>
      <c r="AG168" s="9"/>
      <c r="AH168" s="9"/>
    </row>
    <row r="169" spans="1:34" hidden="1">
      <c r="B169" s="4">
        <v>2019</v>
      </c>
      <c r="C169" s="4" t="s">
        <v>44</v>
      </c>
      <c r="D169" s="3">
        <f t="shared" si="2"/>
        <v>167</v>
      </c>
      <c r="E169" s="3" t="s">
        <v>676</v>
      </c>
      <c r="G169" s="5" t="s">
        <v>716</v>
      </c>
      <c r="H169" s="5"/>
      <c r="I169" s="5" t="s">
        <v>131</v>
      </c>
      <c r="J169" s="7">
        <v>0</v>
      </c>
      <c r="M169" s="8">
        <v>0</v>
      </c>
      <c r="N169" s="7">
        <v>0</v>
      </c>
      <c r="P169" s="7">
        <v>147308</v>
      </c>
      <c r="Q169" s="7">
        <v>147308</v>
      </c>
      <c r="R169" s="5" t="str">
        <f>VLOOKUP($G169,Others!$E$2:$I$217,2,FALSE)</f>
        <v>Based on Real Life Events</v>
      </c>
      <c r="S169" s="5" t="str">
        <f>VLOOKUP($G169,Others!$E$2:$I$217,3,FALSE)</f>
        <v>Live Action</v>
      </c>
      <c r="T169" s="5" t="str">
        <f>VLOOKUP($G169,Others!$E$2:$I$217,4,FALSE)</f>
        <v>Dramatization</v>
      </c>
      <c r="U169" s="5" t="str">
        <f>IFERROR(VLOOKUP($G169,Ratings!$E$13:$I$55,5,FALSE),"None")</f>
        <v>None</v>
      </c>
      <c r="V169" s="5"/>
      <c r="X169" s="5"/>
      <c r="Y169" s="5"/>
      <c r="AA169" s="5"/>
      <c r="AB169" s="5"/>
      <c r="AC169" s="5"/>
      <c r="AG169" s="9"/>
      <c r="AH169" s="9"/>
    </row>
    <row r="170" spans="1:34" hidden="1">
      <c r="B170" s="4">
        <v>2019</v>
      </c>
      <c r="C170" s="4" t="s">
        <v>44</v>
      </c>
      <c r="D170" s="3">
        <f t="shared" si="2"/>
        <v>168</v>
      </c>
      <c r="E170" s="3" t="s">
        <v>676</v>
      </c>
      <c r="G170" s="5" t="s">
        <v>208</v>
      </c>
      <c r="H170" s="5"/>
      <c r="I170" s="5" t="s">
        <v>127</v>
      </c>
      <c r="J170" s="7">
        <v>0</v>
      </c>
      <c r="M170" s="8">
        <v>0</v>
      </c>
      <c r="N170" s="7">
        <v>0</v>
      </c>
      <c r="P170" s="7">
        <v>4271262</v>
      </c>
      <c r="Q170" s="7">
        <v>4271262</v>
      </c>
      <c r="R170" s="5">
        <f>VLOOKUP($G170,Others!$E$2:$I$217,2,FALSE)</f>
        <v>0</v>
      </c>
      <c r="S170" s="5" t="str">
        <f>VLOOKUP($G170,Others!$E$2:$I$217,3,FALSE)</f>
        <v>Digital Animation</v>
      </c>
      <c r="T170" s="5" t="str">
        <f>VLOOKUP($G170,Others!$E$2:$I$217,4,FALSE)</f>
        <v>Kids Fiction</v>
      </c>
      <c r="U170" s="5" t="str">
        <f>IFERROR(VLOOKUP($G170,Ratings!$E$13:$I$55,5,FALSE),"None")</f>
        <v>None</v>
      </c>
      <c r="V170" s="5"/>
      <c r="X170" s="5"/>
      <c r="Y170" s="5"/>
      <c r="AA170" s="5"/>
      <c r="AB170" s="5"/>
      <c r="AC170" s="5"/>
      <c r="AG170" s="9"/>
      <c r="AH170" s="9"/>
    </row>
    <row r="171" spans="1:34" hidden="1">
      <c r="B171" s="4">
        <v>2019</v>
      </c>
      <c r="C171" s="4" t="s">
        <v>44</v>
      </c>
      <c r="D171" s="3">
        <f t="shared" si="2"/>
        <v>169</v>
      </c>
      <c r="E171" s="3" t="s">
        <v>676</v>
      </c>
      <c r="G171" s="5" t="s">
        <v>717</v>
      </c>
      <c r="H171" s="5"/>
      <c r="I171" s="5" t="s">
        <v>127</v>
      </c>
      <c r="J171" s="7">
        <v>0</v>
      </c>
      <c r="M171" s="8">
        <v>0</v>
      </c>
      <c r="N171" s="7">
        <v>0</v>
      </c>
      <c r="P171" s="7">
        <v>2861</v>
      </c>
      <c r="Q171" s="7">
        <v>2861</v>
      </c>
      <c r="R171" s="5" t="str">
        <f>VLOOKUP($G171,Others!$E$2:$I$217,2,FALSE)</f>
        <v>Original Screenplay</v>
      </c>
      <c r="S171" s="5" t="str">
        <f>VLOOKUP($G171,Others!$E$2:$I$217,3,FALSE)</f>
        <v>Digital Animation</v>
      </c>
      <c r="T171" s="5" t="str">
        <f>VLOOKUP($G171,Others!$E$2:$I$217,4,FALSE)</f>
        <v>Kids Fiction</v>
      </c>
      <c r="U171" s="5" t="str">
        <f>IFERROR(VLOOKUP($G171,Ratings!$E$13:$I$55,5,FALSE),"None")</f>
        <v>None</v>
      </c>
      <c r="V171" s="5"/>
      <c r="X171" s="5"/>
      <c r="Y171" s="5"/>
      <c r="AA171" s="5"/>
      <c r="AB171" s="5"/>
      <c r="AC171" s="5"/>
      <c r="AG171" s="9"/>
      <c r="AH171" s="9"/>
    </row>
    <row r="172" spans="1:34" hidden="1">
      <c r="B172" s="4">
        <v>2019</v>
      </c>
      <c r="C172" s="4" t="s">
        <v>44</v>
      </c>
      <c r="D172" s="3">
        <f t="shared" si="2"/>
        <v>170</v>
      </c>
      <c r="E172" s="3" t="s">
        <v>676</v>
      </c>
      <c r="G172" s="5" t="s">
        <v>329</v>
      </c>
      <c r="H172" s="5"/>
      <c r="I172" s="5" t="s">
        <v>127</v>
      </c>
      <c r="J172" s="7">
        <v>0</v>
      </c>
      <c r="M172" s="8">
        <v>0</v>
      </c>
      <c r="N172" s="7">
        <v>0</v>
      </c>
      <c r="P172" s="7">
        <v>22698</v>
      </c>
      <c r="Q172" s="7">
        <v>22698</v>
      </c>
      <c r="R172" s="5">
        <f>VLOOKUP($G172,Others!$E$2:$I$217,2,FALSE)</f>
        <v>0</v>
      </c>
      <c r="S172" s="5">
        <f>VLOOKUP($G172,Others!$E$2:$I$217,3,FALSE)</f>
        <v>0</v>
      </c>
      <c r="T172" s="5">
        <f>VLOOKUP($G172,Others!$E$2:$I$217,4,FALSE)</f>
        <v>0</v>
      </c>
      <c r="U172" s="5" t="str">
        <f>IFERROR(VLOOKUP($G172,Ratings!$E$13:$I$55,5,FALSE),"None")</f>
        <v>None</v>
      </c>
      <c r="V172" s="5"/>
      <c r="X172" s="5"/>
      <c r="Y172" s="5"/>
      <c r="AA172" s="5"/>
      <c r="AB172" s="5"/>
      <c r="AC172" s="5"/>
      <c r="AG172" s="9"/>
      <c r="AH172" s="9"/>
    </row>
    <row r="173" spans="1:34" hidden="1">
      <c r="B173" s="4">
        <v>2019</v>
      </c>
      <c r="C173" s="4" t="s">
        <v>44</v>
      </c>
      <c r="D173" s="3">
        <f t="shared" si="2"/>
        <v>171</v>
      </c>
      <c r="E173" s="3" t="s">
        <v>676</v>
      </c>
      <c r="G173" s="5" t="s">
        <v>718</v>
      </c>
      <c r="H173" s="5"/>
      <c r="I173" s="5" t="s">
        <v>131</v>
      </c>
      <c r="J173" s="7">
        <v>0</v>
      </c>
      <c r="M173" s="8">
        <v>0</v>
      </c>
      <c r="N173" s="7">
        <v>0</v>
      </c>
      <c r="P173" s="7">
        <v>87271</v>
      </c>
      <c r="Q173" s="7">
        <v>87271</v>
      </c>
      <c r="R173" s="5" t="str">
        <f>VLOOKUP($G173,Others!$E$2:$I$217,2,FALSE)</f>
        <v>Original Screenplay</v>
      </c>
      <c r="S173" s="5" t="str">
        <f>VLOOKUP($G173,Others!$E$2:$I$217,3,FALSE)</f>
        <v>Live Action</v>
      </c>
      <c r="T173" s="5">
        <f>VLOOKUP($G173,Others!$E$2:$I$217,4,FALSE)</f>
        <v>0</v>
      </c>
      <c r="U173" s="5" t="str">
        <f>IFERROR(VLOOKUP($G173,Ratings!$E$13:$I$55,5,FALSE),"None")</f>
        <v>None</v>
      </c>
      <c r="V173" s="5"/>
      <c r="X173" s="5"/>
      <c r="Y173" s="5"/>
      <c r="AA173" s="5"/>
      <c r="AB173" s="5"/>
      <c r="AC173" s="5"/>
      <c r="AG173" s="9"/>
      <c r="AH173" s="9"/>
    </row>
    <row r="174" spans="1:34" hidden="1">
      <c r="B174" s="4">
        <v>2019</v>
      </c>
      <c r="C174" s="4" t="s">
        <v>44</v>
      </c>
      <c r="D174" s="3">
        <f t="shared" si="2"/>
        <v>172</v>
      </c>
      <c r="E174" s="3" t="s">
        <v>676</v>
      </c>
      <c r="G174" s="5" t="s">
        <v>223</v>
      </c>
      <c r="H174" s="5"/>
      <c r="I174" s="5" t="s">
        <v>154</v>
      </c>
      <c r="J174" s="7">
        <v>0</v>
      </c>
      <c r="M174" s="8">
        <v>0</v>
      </c>
      <c r="N174" s="7">
        <v>0</v>
      </c>
      <c r="P174" s="7">
        <v>2931643</v>
      </c>
      <c r="Q174" s="7">
        <v>2931643</v>
      </c>
      <c r="R174" s="5" t="str">
        <f>VLOOKUP($G174,Others!$E$2:$I$217,2,FALSE)</f>
        <v>Original Screenplay</v>
      </c>
      <c r="S174" s="5" t="str">
        <f>VLOOKUP($G174,Others!$E$2:$I$217,3,FALSE)</f>
        <v>Live Action</v>
      </c>
      <c r="T174" s="5" t="str">
        <f>VLOOKUP($G174,Others!$E$2:$I$217,4,FALSE)</f>
        <v>Contemporary Fiction</v>
      </c>
      <c r="U174" s="5" t="str">
        <f>IFERROR(VLOOKUP($G174,Ratings!$E$13:$I$55,5,FALSE),"None")</f>
        <v>None</v>
      </c>
      <c r="V174" s="5"/>
      <c r="X174" s="5"/>
      <c r="Y174" s="5"/>
      <c r="AA174" s="5"/>
      <c r="AB174" s="5"/>
      <c r="AC174" s="5"/>
      <c r="AG174" s="9"/>
      <c r="AH174" s="9"/>
    </row>
    <row r="175" spans="1:34" hidden="1">
      <c r="B175" s="4">
        <v>2019</v>
      </c>
      <c r="C175" s="4" t="s">
        <v>44</v>
      </c>
      <c r="D175" s="3">
        <f t="shared" si="2"/>
        <v>173</v>
      </c>
      <c r="E175" s="3" t="s">
        <v>676</v>
      </c>
      <c r="G175" s="5" t="s">
        <v>719</v>
      </c>
      <c r="H175" s="5"/>
      <c r="I175" s="5" t="s">
        <v>191</v>
      </c>
      <c r="J175" s="7">
        <v>0</v>
      </c>
      <c r="M175" s="8">
        <v>0</v>
      </c>
      <c r="N175" s="7">
        <v>0</v>
      </c>
      <c r="P175" s="7">
        <v>274390</v>
      </c>
      <c r="Q175" s="7">
        <v>274390</v>
      </c>
      <c r="R175" s="5" t="str">
        <f>VLOOKUP($G175,Others!$E$2:$I$217,2,FALSE)</f>
        <v>Original Screenplay</v>
      </c>
      <c r="S175" s="5" t="str">
        <f>VLOOKUP($G175,Others!$E$2:$I$217,3,FALSE)</f>
        <v>Live Action</v>
      </c>
      <c r="T175" s="5" t="str">
        <f>VLOOKUP($G175,Others!$E$2:$I$217,4,FALSE)</f>
        <v>Factual</v>
      </c>
      <c r="U175" s="5" t="str">
        <f>IFERROR(VLOOKUP($G175,Ratings!$E$13:$I$55,5,FALSE),"None")</f>
        <v>None</v>
      </c>
      <c r="V175" s="5"/>
      <c r="X175" s="5"/>
      <c r="Y175" s="5"/>
      <c r="AA175" s="5"/>
      <c r="AB175" s="5"/>
      <c r="AC175" s="5"/>
      <c r="AG175" s="9"/>
      <c r="AH175" s="9"/>
    </row>
    <row r="176" spans="1:34" hidden="1">
      <c r="B176" s="4">
        <v>2019</v>
      </c>
      <c r="C176" s="4" t="s">
        <v>44</v>
      </c>
      <c r="D176" s="3">
        <f t="shared" si="2"/>
        <v>174</v>
      </c>
      <c r="E176" s="3" t="s">
        <v>676</v>
      </c>
      <c r="G176" s="5" t="s">
        <v>720</v>
      </c>
      <c r="H176" s="5"/>
      <c r="I176" s="5" t="s">
        <v>154</v>
      </c>
      <c r="J176" s="7">
        <v>0</v>
      </c>
      <c r="M176" s="8">
        <v>0</v>
      </c>
      <c r="N176" s="7">
        <v>0</v>
      </c>
      <c r="P176" s="7">
        <v>4992</v>
      </c>
      <c r="Q176" s="7">
        <v>4992</v>
      </c>
      <c r="R176" s="5">
        <f>VLOOKUP($G176,Others!$E$2:$I$217,2,FALSE)</f>
        <v>0</v>
      </c>
      <c r="S176" s="5">
        <f>VLOOKUP($G176,Others!$E$2:$I$217,3,FALSE)</f>
        <v>0</v>
      </c>
      <c r="T176" s="5">
        <f>VLOOKUP($G176,Others!$E$2:$I$217,4,FALSE)</f>
        <v>0</v>
      </c>
      <c r="U176" s="5" t="str">
        <f>IFERROR(VLOOKUP($G176,Ratings!$E$13:$I$55,5,FALSE),"None")</f>
        <v>None</v>
      </c>
      <c r="V176" s="5"/>
      <c r="X176" s="5"/>
      <c r="Y176" s="5"/>
      <c r="AA176" s="5"/>
      <c r="AB176" s="5"/>
      <c r="AC176" s="5"/>
      <c r="AG176" s="9"/>
      <c r="AH176" s="9"/>
    </row>
    <row r="177" spans="2:34">
      <c r="B177" s="4">
        <v>2019</v>
      </c>
      <c r="C177" s="4" t="s">
        <v>44</v>
      </c>
      <c r="D177" s="3">
        <f t="shared" si="2"/>
        <v>175</v>
      </c>
      <c r="E177" s="55" t="s">
        <v>676</v>
      </c>
      <c r="F177" s="46" t="s">
        <v>673</v>
      </c>
      <c r="G177" s="5" t="s">
        <v>176</v>
      </c>
      <c r="H177" s="39" t="s">
        <v>1857</v>
      </c>
      <c r="I177" s="5" t="s">
        <v>129</v>
      </c>
      <c r="J177" s="7">
        <v>22500000</v>
      </c>
      <c r="K177" s="57"/>
      <c r="M177" s="41">
        <v>61047</v>
      </c>
      <c r="N177" s="42">
        <v>7240000</v>
      </c>
      <c r="P177" s="7">
        <v>14917516</v>
      </c>
      <c r="Q177" s="7">
        <v>14917516</v>
      </c>
      <c r="R177" s="5" t="str">
        <f>VLOOKUP($G177,Others!$E$2:$I$217,2,FALSE)</f>
        <v>Original Screenplay</v>
      </c>
      <c r="S177" s="5" t="str">
        <f>VLOOKUP($G177,Others!$E$2:$I$217,3,FALSE)</f>
        <v>Live Action</v>
      </c>
      <c r="T177" s="5" t="str">
        <f>VLOOKUP($G177,Others!$E$2:$I$217,4,FALSE)</f>
        <v>Contemporary Fiction</v>
      </c>
      <c r="U177" s="5" t="str">
        <f>IFERROR(VLOOKUP($G177,Ratings!$E$13:$I$55,5,FALSE),"None")</f>
        <v>None</v>
      </c>
      <c r="V177" s="39" t="s">
        <v>1858</v>
      </c>
      <c r="W177" s="39" t="s">
        <v>1859</v>
      </c>
      <c r="X177" s="39" t="s">
        <v>1860</v>
      </c>
      <c r="Y177" s="39" t="s">
        <v>1861</v>
      </c>
      <c r="AA177" s="39" t="s">
        <v>1862</v>
      </c>
      <c r="AB177" s="39" t="s">
        <v>1863</v>
      </c>
      <c r="AC177" s="39" t="s">
        <v>1864</v>
      </c>
      <c r="AD177" s="47">
        <v>8.9</v>
      </c>
      <c r="AG177" s="9"/>
      <c r="AH177" s="9"/>
    </row>
    <row r="178" spans="2:34" hidden="1">
      <c r="B178" s="4">
        <v>2019</v>
      </c>
      <c r="C178" s="4" t="s">
        <v>44</v>
      </c>
      <c r="D178" s="3">
        <f t="shared" si="2"/>
        <v>176</v>
      </c>
      <c r="E178" s="3" t="s">
        <v>676</v>
      </c>
      <c r="G178" s="5" t="s">
        <v>721</v>
      </c>
      <c r="H178" s="5"/>
      <c r="I178" s="5" t="s">
        <v>131</v>
      </c>
      <c r="J178" s="7">
        <v>0</v>
      </c>
      <c r="M178" s="8">
        <v>0</v>
      </c>
      <c r="N178" s="7">
        <v>0</v>
      </c>
      <c r="P178" s="7">
        <v>21179</v>
      </c>
      <c r="Q178" s="7">
        <v>21179</v>
      </c>
      <c r="R178" s="5">
        <f>VLOOKUP($G178,Others!$E$2:$I$217,2,FALSE)</f>
        <v>0</v>
      </c>
      <c r="S178" s="5">
        <f>VLOOKUP($G178,Others!$E$2:$I$217,3,FALSE)</f>
        <v>0</v>
      </c>
      <c r="T178" s="5">
        <f>VLOOKUP($G178,Others!$E$2:$I$217,4,FALSE)</f>
        <v>0</v>
      </c>
      <c r="U178" s="5" t="str">
        <f>IFERROR(VLOOKUP($G178,Ratings!$E$13:$I$55,5,FALSE),"None")</f>
        <v>None</v>
      </c>
      <c r="V178" s="5"/>
      <c r="X178" s="5" t="s">
        <v>1860</v>
      </c>
      <c r="Y178" s="5"/>
      <c r="AA178" s="5"/>
      <c r="AB178" s="5"/>
      <c r="AC178" s="5"/>
      <c r="AG178" s="9"/>
      <c r="AH178" s="9"/>
    </row>
    <row r="179" spans="2:34" hidden="1">
      <c r="B179" s="4">
        <v>2019</v>
      </c>
      <c r="C179" s="4" t="s">
        <v>44</v>
      </c>
      <c r="D179" s="3">
        <f t="shared" si="2"/>
        <v>177</v>
      </c>
      <c r="E179" s="3" t="s">
        <v>676</v>
      </c>
      <c r="G179" s="5" t="s">
        <v>246</v>
      </c>
      <c r="H179" s="5"/>
      <c r="I179" s="5" t="s">
        <v>131</v>
      </c>
      <c r="J179" s="7">
        <v>0</v>
      </c>
      <c r="M179" s="8">
        <v>0</v>
      </c>
      <c r="N179" s="7">
        <v>0</v>
      </c>
      <c r="P179" s="7">
        <v>1330193</v>
      </c>
      <c r="Q179" s="7">
        <v>1330193</v>
      </c>
      <c r="R179" s="5" t="str">
        <f>VLOOKUP($G179,Others!$E$2:$I$217,2,FALSE)</f>
        <v>Original Screenplay</v>
      </c>
      <c r="S179" s="5" t="str">
        <f>VLOOKUP($G179,Others!$E$2:$I$217,3,FALSE)</f>
        <v>Live Action</v>
      </c>
      <c r="T179" s="5" t="str">
        <f>VLOOKUP($G179,Others!$E$2:$I$217,4,FALSE)</f>
        <v>Contemporary Fiction</v>
      </c>
      <c r="U179" s="5" t="str">
        <f>IFERROR(VLOOKUP($G179,Ratings!$E$13:$I$55,5,FALSE),"None")</f>
        <v>None</v>
      </c>
      <c r="V179" s="5"/>
      <c r="X179" s="5"/>
      <c r="Y179" s="5"/>
      <c r="AA179" s="5"/>
      <c r="AB179" s="5"/>
      <c r="AC179" s="5"/>
      <c r="AG179" s="9"/>
      <c r="AH179" s="9"/>
    </row>
    <row r="180" spans="2:34" hidden="1">
      <c r="B180" s="4">
        <v>2019</v>
      </c>
      <c r="C180" s="4" t="s">
        <v>44</v>
      </c>
      <c r="D180" s="3">
        <f t="shared" si="2"/>
        <v>178</v>
      </c>
      <c r="E180" s="3" t="s">
        <v>676</v>
      </c>
      <c r="G180" s="5" t="s">
        <v>298</v>
      </c>
      <c r="H180" s="5"/>
      <c r="I180" s="5" t="s">
        <v>136</v>
      </c>
      <c r="J180" s="7">
        <v>0</v>
      </c>
      <c r="M180" s="8">
        <v>0</v>
      </c>
      <c r="N180" s="7">
        <v>0</v>
      </c>
      <c r="P180" s="7">
        <v>144214</v>
      </c>
      <c r="Q180" s="7">
        <v>144214</v>
      </c>
      <c r="R180" s="5" t="str">
        <f>VLOOKUP($G180,Others!$E$2:$I$217,2,FALSE)</f>
        <v>Original Screenplay</v>
      </c>
      <c r="S180" s="5" t="str">
        <f>VLOOKUP($G180,Others!$E$2:$I$217,3,FALSE)</f>
        <v>Digital Animation</v>
      </c>
      <c r="T180" s="5" t="str">
        <f>VLOOKUP($G180,Others!$E$2:$I$217,4,FALSE)</f>
        <v>Kids Fiction</v>
      </c>
      <c r="U180" s="5" t="str">
        <f>IFERROR(VLOOKUP($G180,Ratings!$E$13:$I$55,5,FALSE),"None")</f>
        <v>None</v>
      </c>
      <c r="V180" s="5"/>
      <c r="X180" s="5"/>
      <c r="Y180" s="5"/>
      <c r="AA180" s="5"/>
      <c r="AB180" s="5"/>
      <c r="AC180" s="5"/>
      <c r="AG180" s="9"/>
      <c r="AH180" s="9"/>
    </row>
    <row r="181" spans="2:34" hidden="1">
      <c r="B181" s="4">
        <v>2019</v>
      </c>
      <c r="C181" s="4" t="s">
        <v>44</v>
      </c>
      <c r="D181" s="3">
        <f t="shared" si="2"/>
        <v>179</v>
      </c>
      <c r="E181" s="3" t="s">
        <v>676</v>
      </c>
      <c r="G181" s="5" t="s">
        <v>358</v>
      </c>
      <c r="H181" s="5"/>
      <c r="I181" s="5" t="s">
        <v>131</v>
      </c>
      <c r="J181" s="7">
        <v>0</v>
      </c>
      <c r="M181" s="8">
        <v>0</v>
      </c>
      <c r="N181" s="7">
        <v>0</v>
      </c>
      <c r="P181" s="7">
        <v>0</v>
      </c>
      <c r="Q181" s="7">
        <v>0</v>
      </c>
      <c r="R181" s="5">
        <f>VLOOKUP($G181,Others!$E$2:$I$217,2,FALSE)</f>
        <v>0</v>
      </c>
      <c r="S181" s="5" t="str">
        <f>VLOOKUP($G181,Others!$E$2:$I$217,3,FALSE)</f>
        <v>Live Action</v>
      </c>
      <c r="T181" s="5">
        <f>VLOOKUP($G181,Others!$E$2:$I$217,4,FALSE)</f>
        <v>0</v>
      </c>
      <c r="U181" s="5" t="str">
        <f>IFERROR(VLOOKUP($G181,Ratings!$E$13:$I$55,5,FALSE),"None")</f>
        <v>None</v>
      </c>
      <c r="V181" s="5"/>
      <c r="X181" s="5"/>
      <c r="Y181" s="5"/>
      <c r="AA181" s="5"/>
      <c r="AB181" s="5"/>
      <c r="AC181" s="5"/>
      <c r="AG181" s="9"/>
      <c r="AH181" s="9"/>
    </row>
    <row r="182" spans="2:34" hidden="1">
      <c r="B182" s="4">
        <v>2019</v>
      </c>
      <c r="C182" s="4" t="s">
        <v>44</v>
      </c>
      <c r="D182" s="3">
        <f t="shared" si="2"/>
        <v>180</v>
      </c>
      <c r="E182" s="3" t="s">
        <v>676</v>
      </c>
      <c r="G182" s="5" t="s">
        <v>265</v>
      </c>
      <c r="H182" s="5"/>
      <c r="I182" s="5" t="s">
        <v>131</v>
      </c>
      <c r="J182" s="7">
        <v>0</v>
      </c>
      <c r="M182" s="8">
        <v>0</v>
      </c>
      <c r="N182" s="7">
        <v>0</v>
      </c>
      <c r="P182" s="7">
        <v>670573</v>
      </c>
      <c r="Q182" s="7">
        <v>670573</v>
      </c>
      <c r="R182" s="5" t="str">
        <f>VLOOKUP($G182,Others!$E$2:$I$217,2,FALSE)</f>
        <v>Original Screenplay</v>
      </c>
      <c r="S182" s="5" t="str">
        <f>VLOOKUP($G182,Others!$E$2:$I$217,3,FALSE)</f>
        <v>Live Action</v>
      </c>
      <c r="T182" s="5" t="str">
        <f>VLOOKUP($G182,Others!$E$2:$I$217,4,FALSE)</f>
        <v>Historical Fiction</v>
      </c>
      <c r="U182" s="5" t="str">
        <f>IFERROR(VLOOKUP($G182,Ratings!$E$13:$I$55,5,FALSE),"None")</f>
        <v>None</v>
      </c>
      <c r="V182" s="5"/>
      <c r="X182" s="5"/>
      <c r="Y182" s="5"/>
      <c r="AA182" s="5"/>
      <c r="AB182" s="5"/>
      <c r="AC182" s="5"/>
      <c r="AG182" s="9"/>
      <c r="AH182" s="9"/>
    </row>
    <row r="183" spans="2:34" hidden="1">
      <c r="B183" s="4">
        <v>2019</v>
      </c>
      <c r="C183" s="4" t="s">
        <v>44</v>
      </c>
      <c r="D183" s="3">
        <f t="shared" si="2"/>
        <v>181</v>
      </c>
      <c r="E183" s="3" t="s">
        <v>676</v>
      </c>
      <c r="G183" s="5" t="s">
        <v>722</v>
      </c>
      <c r="H183" s="5"/>
      <c r="I183" s="5" t="s">
        <v>131</v>
      </c>
      <c r="J183" s="7">
        <v>0</v>
      </c>
      <c r="M183" s="8">
        <v>0</v>
      </c>
      <c r="N183" s="7">
        <v>0</v>
      </c>
      <c r="P183" s="7">
        <v>120000</v>
      </c>
      <c r="Q183" s="7">
        <v>120000</v>
      </c>
      <c r="R183" s="5">
        <f>VLOOKUP($G183,Others!$E$2:$I$217,2,FALSE)</f>
        <v>0</v>
      </c>
      <c r="S183" s="5" t="str">
        <f>VLOOKUP($G183,Others!$E$2:$I$217,3,FALSE)</f>
        <v>Live Action</v>
      </c>
      <c r="T183" s="5">
        <f>VLOOKUP($G183,Others!$E$2:$I$217,4,FALSE)</f>
        <v>0</v>
      </c>
      <c r="U183" s="5" t="str">
        <f>IFERROR(VLOOKUP($G183,Ratings!$E$13:$I$55,5,FALSE),"None")</f>
        <v>None</v>
      </c>
      <c r="V183" s="5"/>
      <c r="X183" s="5"/>
      <c r="Y183" s="5"/>
      <c r="AA183" s="5"/>
      <c r="AB183" s="5"/>
      <c r="AC183" s="5"/>
      <c r="AG183" s="9"/>
      <c r="AH183" s="9"/>
    </row>
    <row r="184" spans="2:34" hidden="1">
      <c r="B184" s="4">
        <v>2019</v>
      </c>
      <c r="C184" s="4" t="s">
        <v>44</v>
      </c>
      <c r="D184" s="3">
        <f t="shared" si="2"/>
        <v>182</v>
      </c>
      <c r="E184" s="3" t="s">
        <v>676</v>
      </c>
      <c r="G184" s="5" t="s">
        <v>723</v>
      </c>
      <c r="H184" s="5"/>
      <c r="I184" s="5" t="s">
        <v>131</v>
      </c>
      <c r="J184" s="7">
        <v>0</v>
      </c>
      <c r="M184" s="8">
        <v>0</v>
      </c>
      <c r="N184" s="7">
        <v>0</v>
      </c>
      <c r="P184" s="7">
        <v>251733</v>
      </c>
      <c r="Q184" s="7">
        <v>251733</v>
      </c>
      <c r="R184" s="5">
        <f>VLOOKUP($G184,Others!$E$2:$I$217,2,FALSE)</f>
        <v>0</v>
      </c>
      <c r="S184" s="5">
        <f>VLOOKUP($G184,Others!$E$2:$I$217,3,FALSE)</f>
        <v>0</v>
      </c>
      <c r="T184" s="5">
        <f>VLOOKUP($G184,Others!$E$2:$I$217,4,FALSE)</f>
        <v>0</v>
      </c>
      <c r="U184" s="5" t="str">
        <f>IFERROR(VLOOKUP($G184,Ratings!$E$13:$I$55,5,FALSE),"None")</f>
        <v>None</v>
      </c>
      <c r="V184" s="5"/>
      <c r="X184" s="5"/>
      <c r="Y184" s="5"/>
      <c r="AA184" s="5"/>
      <c r="AB184" s="5"/>
      <c r="AC184" s="5"/>
      <c r="AG184" s="9"/>
      <c r="AH184" s="9"/>
    </row>
    <row r="185" spans="2:34" hidden="1">
      <c r="B185" s="4">
        <v>2019</v>
      </c>
      <c r="C185" s="4" t="s">
        <v>44</v>
      </c>
      <c r="D185" s="3">
        <f t="shared" si="2"/>
        <v>183</v>
      </c>
      <c r="E185" s="3" t="s">
        <v>676</v>
      </c>
      <c r="G185" s="5" t="s">
        <v>724</v>
      </c>
      <c r="H185" s="5"/>
      <c r="I185" s="5" t="s">
        <v>136</v>
      </c>
      <c r="J185" s="7">
        <v>0</v>
      </c>
      <c r="M185" s="8">
        <v>0</v>
      </c>
      <c r="N185" s="7">
        <v>0</v>
      </c>
      <c r="P185" s="7">
        <v>160000</v>
      </c>
      <c r="Q185" s="7">
        <v>160000</v>
      </c>
      <c r="R185" s="5" t="str">
        <f>VLOOKUP($G185,Others!$E$2:$I$217,2,FALSE)</f>
        <v>Original Screenplay</v>
      </c>
      <c r="S185" s="5" t="str">
        <f>VLOOKUP($G185,Others!$E$2:$I$217,3,FALSE)</f>
        <v>Live Action</v>
      </c>
      <c r="T185" s="5" t="str">
        <f>VLOOKUP($G185,Others!$E$2:$I$217,4,FALSE)</f>
        <v>Contemporary Fiction</v>
      </c>
      <c r="U185" s="5" t="str">
        <f>IFERROR(VLOOKUP($G185,Ratings!$E$13:$I$55,5,FALSE),"None")</f>
        <v>None</v>
      </c>
      <c r="V185" s="5"/>
      <c r="X185" s="5"/>
      <c r="Y185" s="5"/>
      <c r="AA185" s="5"/>
      <c r="AB185" s="5"/>
      <c r="AC185" s="5"/>
      <c r="AG185" s="9"/>
      <c r="AH185" s="9"/>
    </row>
    <row r="186" spans="2:34" hidden="1">
      <c r="B186" s="4">
        <v>2019</v>
      </c>
      <c r="C186" s="4" t="s">
        <v>44</v>
      </c>
      <c r="D186" s="3">
        <f t="shared" si="2"/>
        <v>184</v>
      </c>
      <c r="E186" s="3" t="s">
        <v>676</v>
      </c>
      <c r="G186" s="5" t="s">
        <v>725</v>
      </c>
      <c r="H186" s="5"/>
      <c r="I186" s="5" t="s">
        <v>136</v>
      </c>
      <c r="J186" s="7">
        <v>0</v>
      </c>
      <c r="M186" s="8">
        <v>0</v>
      </c>
      <c r="N186" s="7">
        <v>0</v>
      </c>
      <c r="P186" s="7">
        <v>5350000</v>
      </c>
      <c r="Q186" s="7">
        <v>5350000</v>
      </c>
      <c r="R186" s="5" t="str">
        <f>VLOOKUP($G186,Others!$E$2:$I$217,2,FALSE)</f>
        <v>Original Screenplay</v>
      </c>
      <c r="S186" s="5" t="str">
        <f>VLOOKUP($G186,Others!$E$2:$I$217,3,FALSE)</f>
        <v>Digital Animation</v>
      </c>
      <c r="T186" s="5" t="str">
        <f>VLOOKUP($G186,Others!$E$2:$I$217,4,FALSE)</f>
        <v>Kids Fiction</v>
      </c>
      <c r="U186" s="5" t="str">
        <f>IFERROR(VLOOKUP($G186,Ratings!$E$13:$I$55,5,FALSE),"None")</f>
        <v>None</v>
      </c>
      <c r="V186" s="5"/>
      <c r="X186" s="5"/>
      <c r="Y186" s="5"/>
      <c r="AA186" s="5"/>
      <c r="AB186" s="5"/>
      <c r="AC186" s="5"/>
      <c r="AG186" s="9"/>
      <c r="AH186" s="9"/>
    </row>
    <row r="187" spans="2:34" hidden="1">
      <c r="B187" s="4">
        <v>2019</v>
      </c>
      <c r="C187" s="4" t="s">
        <v>44</v>
      </c>
      <c r="D187" s="3">
        <f t="shared" si="2"/>
        <v>185</v>
      </c>
      <c r="E187" s="3" t="s">
        <v>676</v>
      </c>
      <c r="G187" s="5" t="s">
        <v>239</v>
      </c>
      <c r="H187" s="5"/>
      <c r="I187" s="5" t="s">
        <v>131</v>
      </c>
      <c r="J187" s="7">
        <v>0</v>
      </c>
      <c r="M187" s="8">
        <v>0</v>
      </c>
      <c r="N187" s="7">
        <v>0</v>
      </c>
      <c r="P187" s="7">
        <v>1655606</v>
      </c>
      <c r="Q187" s="7">
        <v>1655606</v>
      </c>
      <c r="R187" s="5">
        <f>VLOOKUP($G187,Others!$E$2:$I$217,2,FALSE)</f>
        <v>0</v>
      </c>
      <c r="S187" s="5" t="str">
        <f>VLOOKUP($G187,Others!$E$2:$I$217,3,FALSE)</f>
        <v>Live Action</v>
      </c>
      <c r="T187" s="5">
        <f>VLOOKUP($G187,Others!$E$2:$I$217,4,FALSE)</f>
        <v>0</v>
      </c>
      <c r="U187" s="5" t="str">
        <f>IFERROR(VLOOKUP($G187,Ratings!$E$13:$I$55,5,FALSE),"None")</f>
        <v>None</v>
      </c>
      <c r="V187" s="5"/>
      <c r="X187" s="5"/>
      <c r="Y187" s="5"/>
      <c r="AA187" s="5"/>
      <c r="AB187" s="5"/>
      <c r="AC187" s="5"/>
      <c r="AG187" s="9"/>
      <c r="AH187" s="9"/>
    </row>
    <row r="188" spans="2:34" hidden="1">
      <c r="B188" s="4">
        <v>2019</v>
      </c>
      <c r="C188" s="4" t="s">
        <v>44</v>
      </c>
      <c r="D188" s="3">
        <f t="shared" si="2"/>
        <v>186</v>
      </c>
      <c r="E188" s="3" t="s">
        <v>676</v>
      </c>
      <c r="G188" s="5" t="s">
        <v>210</v>
      </c>
      <c r="H188" s="5"/>
      <c r="I188" s="5" t="s">
        <v>131</v>
      </c>
      <c r="J188" s="7">
        <v>0</v>
      </c>
      <c r="M188" s="8">
        <v>0</v>
      </c>
      <c r="N188" s="7">
        <v>0</v>
      </c>
      <c r="P188" s="7">
        <v>4132253</v>
      </c>
      <c r="Q188" s="7">
        <v>4132253</v>
      </c>
      <c r="R188" s="5">
        <f>VLOOKUP($G188,Others!$E$2:$I$217,2,FALSE)</f>
        <v>0</v>
      </c>
      <c r="S188" s="5">
        <f>VLOOKUP($G188,Others!$E$2:$I$217,3,FALSE)</f>
        <v>0</v>
      </c>
      <c r="T188" s="5">
        <f>VLOOKUP($G188,Others!$E$2:$I$217,4,FALSE)</f>
        <v>0</v>
      </c>
      <c r="U188" s="5" t="str">
        <f>IFERROR(VLOOKUP($G188,Ratings!$E$13:$I$55,5,FALSE),"None")</f>
        <v>None</v>
      </c>
      <c r="V188" s="5"/>
      <c r="X188" s="5"/>
      <c r="Y188" s="5"/>
      <c r="AA188" s="5"/>
      <c r="AB188" s="5"/>
      <c r="AC188" s="5"/>
      <c r="AG188" s="9"/>
      <c r="AH188" s="9"/>
    </row>
    <row r="189" spans="2:34" hidden="1">
      <c r="B189" s="4">
        <v>2019</v>
      </c>
      <c r="C189" s="4" t="s">
        <v>44</v>
      </c>
      <c r="D189" s="3">
        <f t="shared" si="2"/>
        <v>187</v>
      </c>
      <c r="E189" s="3" t="s">
        <v>676</v>
      </c>
      <c r="G189" s="5" t="s">
        <v>726</v>
      </c>
      <c r="H189" s="5"/>
      <c r="I189" s="5" t="s">
        <v>131</v>
      </c>
      <c r="J189" s="7">
        <v>0</v>
      </c>
      <c r="M189" s="8">
        <v>0</v>
      </c>
      <c r="N189" s="7">
        <v>0</v>
      </c>
      <c r="P189" s="7">
        <v>0</v>
      </c>
      <c r="Q189" s="7">
        <v>0</v>
      </c>
      <c r="R189" s="5" t="str">
        <f>VLOOKUP($G189,Others!$E$2:$I$217,2,FALSE)</f>
        <v>Original Screenplay</v>
      </c>
      <c r="S189" s="5" t="str">
        <f>VLOOKUP($G189,Others!$E$2:$I$217,3,FALSE)</f>
        <v>Live Action</v>
      </c>
      <c r="T189" s="5" t="str">
        <f>VLOOKUP($G189,Others!$E$2:$I$217,4,FALSE)</f>
        <v>Contemporary Fiction</v>
      </c>
      <c r="U189" s="5" t="str">
        <f>IFERROR(VLOOKUP($G189,Ratings!$E$13:$I$55,5,FALSE),"None")</f>
        <v>None</v>
      </c>
      <c r="V189" s="5"/>
      <c r="X189" s="5"/>
      <c r="Y189" s="5"/>
      <c r="AA189" s="5"/>
      <c r="AB189" s="5"/>
      <c r="AC189" s="5"/>
      <c r="AG189" s="9"/>
      <c r="AH189" s="9"/>
    </row>
    <row r="190" spans="2:34" hidden="1">
      <c r="B190" s="4">
        <v>2019</v>
      </c>
      <c r="C190" s="4" t="s">
        <v>44</v>
      </c>
      <c r="D190" s="3">
        <f t="shared" si="2"/>
        <v>188</v>
      </c>
      <c r="E190" s="3" t="s">
        <v>676</v>
      </c>
      <c r="G190" s="5" t="s">
        <v>727</v>
      </c>
      <c r="H190" s="5"/>
      <c r="I190" s="5" t="s">
        <v>191</v>
      </c>
      <c r="J190" s="7">
        <v>0</v>
      </c>
      <c r="M190" s="8">
        <v>0</v>
      </c>
      <c r="N190" s="7">
        <v>0</v>
      </c>
      <c r="P190" s="7">
        <v>320000</v>
      </c>
      <c r="Q190" s="7">
        <v>320000</v>
      </c>
      <c r="R190" s="5" t="str">
        <f>VLOOKUP($G190,Others!$E$2:$I$217,2,FALSE)</f>
        <v>Original Screenplay</v>
      </c>
      <c r="S190" s="5" t="str">
        <f>VLOOKUP($G190,Others!$E$2:$I$217,3,FALSE)</f>
        <v>Live Action</v>
      </c>
      <c r="T190" s="5" t="str">
        <f>VLOOKUP($G190,Others!$E$2:$I$217,4,FALSE)</f>
        <v>Factual</v>
      </c>
      <c r="U190" s="5" t="str">
        <f>IFERROR(VLOOKUP($G190,Ratings!$E$13:$I$55,5,FALSE),"None")</f>
        <v>None</v>
      </c>
      <c r="V190" s="5"/>
      <c r="X190" s="5"/>
      <c r="Y190" s="5"/>
      <c r="AA190" s="5"/>
      <c r="AB190" s="5"/>
      <c r="AC190" s="5"/>
      <c r="AG190" s="9"/>
      <c r="AH190" s="9"/>
    </row>
    <row r="191" spans="2:34" hidden="1">
      <c r="B191" s="4">
        <v>2019</v>
      </c>
      <c r="C191" s="4" t="s">
        <v>44</v>
      </c>
      <c r="D191" s="3">
        <f t="shared" si="2"/>
        <v>189</v>
      </c>
      <c r="E191" s="3" t="s">
        <v>676</v>
      </c>
      <c r="G191" s="5" t="s">
        <v>728</v>
      </c>
      <c r="H191" s="5"/>
      <c r="I191" s="5" t="s">
        <v>131</v>
      </c>
      <c r="J191" s="7">
        <v>0</v>
      </c>
      <c r="M191" s="8">
        <v>0</v>
      </c>
      <c r="N191" s="7">
        <v>0</v>
      </c>
      <c r="P191" s="7">
        <v>5214</v>
      </c>
      <c r="Q191" s="7">
        <v>5214</v>
      </c>
      <c r="R191" s="5">
        <f>VLOOKUP($G191,Others!$E$2:$I$217,2,FALSE)</f>
        <v>0</v>
      </c>
      <c r="S191" s="5">
        <f>VLOOKUP($G191,Others!$E$2:$I$217,3,FALSE)</f>
        <v>0</v>
      </c>
      <c r="T191" s="5">
        <f>VLOOKUP($G191,Others!$E$2:$I$217,4,FALSE)</f>
        <v>0</v>
      </c>
      <c r="U191" s="5" t="str">
        <f>IFERROR(VLOOKUP($G191,Ratings!$E$13:$I$55,5,FALSE),"None")</f>
        <v>None</v>
      </c>
      <c r="V191" s="5"/>
      <c r="X191" s="5"/>
      <c r="Y191" s="5"/>
      <c r="AA191" s="5"/>
      <c r="AB191" s="5"/>
      <c r="AC191" s="5"/>
      <c r="AG191" s="9"/>
      <c r="AH191" s="9"/>
    </row>
    <row r="192" spans="2:34" hidden="1">
      <c r="B192" s="4">
        <v>2019</v>
      </c>
      <c r="C192" s="4" t="s">
        <v>44</v>
      </c>
      <c r="D192" s="3">
        <f t="shared" si="2"/>
        <v>190</v>
      </c>
      <c r="E192" s="3" t="s">
        <v>676</v>
      </c>
      <c r="G192" s="5" t="s">
        <v>729</v>
      </c>
      <c r="H192" s="5"/>
      <c r="I192" s="5" t="s">
        <v>131</v>
      </c>
      <c r="J192" s="7">
        <v>0</v>
      </c>
      <c r="M192" s="8">
        <v>0</v>
      </c>
      <c r="N192" s="7">
        <v>0</v>
      </c>
      <c r="P192" s="7">
        <v>68555</v>
      </c>
      <c r="Q192" s="7">
        <v>68555</v>
      </c>
      <c r="R192" s="5">
        <f>VLOOKUP($G192,Others!$E$2:$I$217,2,FALSE)</f>
        <v>0</v>
      </c>
      <c r="S192" s="5">
        <f>VLOOKUP($G192,Others!$E$2:$I$217,3,FALSE)</f>
        <v>0</v>
      </c>
      <c r="T192" s="5">
        <f>VLOOKUP($G192,Others!$E$2:$I$217,4,FALSE)</f>
        <v>0</v>
      </c>
      <c r="U192" s="5" t="str">
        <f>IFERROR(VLOOKUP($G192,Ratings!$E$13:$I$55,5,FALSE),"None")</f>
        <v>None</v>
      </c>
      <c r="V192" s="5"/>
      <c r="X192" s="5"/>
      <c r="Y192" s="5"/>
      <c r="AA192" s="5"/>
      <c r="AB192" s="5"/>
      <c r="AC192" s="5"/>
      <c r="AG192" s="9"/>
      <c r="AH192" s="9"/>
    </row>
    <row r="193" spans="2:34" hidden="1">
      <c r="B193" s="4">
        <v>2019</v>
      </c>
      <c r="C193" s="4" t="s">
        <v>44</v>
      </c>
      <c r="D193" s="3">
        <f t="shared" si="2"/>
        <v>191</v>
      </c>
      <c r="E193" s="3" t="s">
        <v>676</v>
      </c>
      <c r="G193" s="5" t="s">
        <v>275</v>
      </c>
      <c r="H193" s="5"/>
      <c r="I193" s="5" t="s">
        <v>136</v>
      </c>
      <c r="J193" s="7">
        <v>0</v>
      </c>
      <c r="M193" s="8">
        <v>0</v>
      </c>
      <c r="N193" s="7">
        <v>0</v>
      </c>
      <c r="P193" s="7">
        <v>461674</v>
      </c>
      <c r="Q193" s="7">
        <v>461674</v>
      </c>
      <c r="R193" s="5">
        <f>VLOOKUP($G193,Others!$E$2:$I$217,2,FALSE)</f>
        <v>0</v>
      </c>
      <c r="S193" s="5" t="str">
        <f>VLOOKUP($G193,Others!$E$2:$I$217,3,FALSE)</f>
        <v>Live Action</v>
      </c>
      <c r="T193" s="5" t="str">
        <f>VLOOKUP($G193,Others!$E$2:$I$217,4,FALSE)</f>
        <v>Contemporary Fiction</v>
      </c>
      <c r="U193" s="5" t="str">
        <f>IFERROR(VLOOKUP($G193,Ratings!$E$13:$I$55,5,FALSE),"None")</f>
        <v>None</v>
      </c>
      <c r="V193" s="5"/>
      <c r="X193" s="5"/>
      <c r="Y193" s="5"/>
      <c r="AA193" s="5"/>
      <c r="AB193" s="5"/>
      <c r="AC193" s="5"/>
      <c r="AG193" s="9"/>
      <c r="AH193" s="9"/>
    </row>
    <row r="194" spans="2:34" hidden="1">
      <c r="B194" s="4">
        <v>2019</v>
      </c>
      <c r="C194" s="4" t="s">
        <v>44</v>
      </c>
      <c r="D194" s="3">
        <f t="shared" si="2"/>
        <v>192</v>
      </c>
      <c r="E194" s="3" t="s">
        <v>676</v>
      </c>
      <c r="G194" s="5" t="s">
        <v>730</v>
      </c>
      <c r="H194" s="5"/>
      <c r="I194" s="5" t="s">
        <v>131</v>
      </c>
      <c r="J194" s="7">
        <v>0</v>
      </c>
      <c r="M194" s="8">
        <v>0</v>
      </c>
      <c r="N194" s="7">
        <v>0</v>
      </c>
      <c r="P194" s="7">
        <v>58423</v>
      </c>
      <c r="Q194" s="7">
        <v>58423</v>
      </c>
      <c r="R194" s="5">
        <f>VLOOKUP($G194,Others!$E$2:$I$217,2,FALSE)</f>
        <v>0</v>
      </c>
      <c r="S194" s="5">
        <f>VLOOKUP($G194,Others!$E$2:$I$217,3,FALSE)</f>
        <v>0</v>
      </c>
      <c r="T194" s="5">
        <f>VLOOKUP($G194,Others!$E$2:$I$217,4,FALSE)</f>
        <v>0</v>
      </c>
      <c r="U194" s="5" t="str">
        <f>IFERROR(VLOOKUP($G194,Ratings!$E$13:$I$55,5,FALSE),"None")</f>
        <v>None</v>
      </c>
      <c r="V194" s="5"/>
      <c r="X194" s="5"/>
      <c r="Y194" s="5"/>
      <c r="AA194" s="5"/>
      <c r="AB194" s="5"/>
      <c r="AC194" s="5"/>
      <c r="AG194" s="9"/>
      <c r="AH194" s="9"/>
    </row>
    <row r="195" spans="2:34" hidden="1">
      <c r="B195" s="4">
        <v>2019</v>
      </c>
      <c r="C195" s="4" t="s">
        <v>44</v>
      </c>
      <c r="D195" s="3">
        <f t="shared" si="2"/>
        <v>193</v>
      </c>
      <c r="E195" s="3" t="s">
        <v>676</v>
      </c>
      <c r="G195" s="5" t="s">
        <v>731</v>
      </c>
      <c r="H195" s="5"/>
      <c r="I195" s="5" t="s">
        <v>131</v>
      </c>
      <c r="J195" s="7">
        <v>0</v>
      </c>
      <c r="M195" s="8">
        <v>0</v>
      </c>
      <c r="N195" s="7">
        <v>0</v>
      </c>
      <c r="P195" s="7">
        <v>8823</v>
      </c>
      <c r="Q195" s="7">
        <v>8823</v>
      </c>
      <c r="R195" s="5">
        <f>VLOOKUP($G195,Others!$E$2:$I$217,2,FALSE)</f>
        <v>0</v>
      </c>
      <c r="S195" s="5">
        <f>VLOOKUP($G195,Others!$E$2:$I$217,3,FALSE)</f>
        <v>0</v>
      </c>
      <c r="T195" s="5">
        <f>VLOOKUP($G195,Others!$E$2:$I$217,4,FALSE)</f>
        <v>0</v>
      </c>
      <c r="U195" s="5" t="str">
        <f>IFERROR(VLOOKUP($G195,Ratings!$E$13:$I$55,5,FALSE),"None")</f>
        <v>None</v>
      </c>
      <c r="V195" s="5"/>
      <c r="X195" s="5"/>
      <c r="Y195" s="5"/>
      <c r="AA195" s="5"/>
      <c r="AB195" s="5"/>
      <c r="AC195" s="5"/>
      <c r="AG195" s="9"/>
      <c r="AH195" s="9"/>
    </row>
    <row r="196" spans="2:34" hidden="1">
      <c r="B196" s="4">
        <v>2019</v>
      </c>
      <c r="C196" s="4" t="s">
        <v>44</v>
      </c>
      <c r="D196" s="3">
        <f t="shared" si="2"/>
        <v>194</v>
      </c>
      <c r="E196" s="3" t="s">
        <v>676</v>
      </c>
      <c r="G196" s="5" t="s">
        <v>732</v>
      </c>
      <c r="H196" s="5"/>
      <c r="I196" s="5" t="s">
        <v>131</v>
      </c>
      <c r="J196" s="7">
        <v>0</v>
      </c>
      <c r="M196" s="8">
        <v>0</v>
      </c>
      <c r="N196" s="7">
        <v>0</v>
      </c>
      <c r="P196" s="7">
        <v>181959</v>
      </c>
      <c r="Q196" s="7">
        <v>181959</v>
      </c>
      <c r="R196" s="5">
        <f>VLOOKUP($G196,Others!$E$2:$I$217,2,FALSE)</f>
        <v>0</v>
      </c>
      <c r="S196" s="5">
        <f>VLOOKUP($G196,Others!$E$2:$I$217,3,FALSE)</f>
        <v>0</v>
      </c>
      <c r="T196" s="5">
        <f>VLOOKUP($G196,Others!$E$2:$I$217,4,FALSE)</f>
        <v>0</v>
      </c>
      <c r="U196" s="5" t="str">
        <f>IFERROR(VLOOKUP($G196,Ratings!$E$13:$I$55,5,FALSE),"None")</f>
        <v>None</v>
      </c>
      <c r="V196" s="5"/>
      <c r="X196" s="5"/>
      <c r="Y196" s="5"/>
      <c r="AA196" s="5"/>
      <c r="AB196" s="5"/>
      <c r="AC196" s="5"/>
      <c r="AG196" s="9"/>
      <c r="AH196" s="9"/>
    </row>
    <row r="197" spans="2:34" hidden="1">
      <c r="B197" s="4">
        <v>2019</v>
      </c>
      <c r="C197" s="4" t="s">
        <v>44</v>
      </c>
      <c r="D197" s="3">
        <f t="shared" si="2"/>
        <v>195</v>
      </c>
      <c r="E197" s="3" t="s">
        <v>676</v>
      </c>
      <c r="G197" s="5" t="s">
        <v>733</v>
      </c>
      <c r="H197" s="5"/>
      <c r="I197" s="5" t="s">
        <v>127</v>
      </c>
      <c r="J197" s="7">
        <v>0</v>
      </c>
      <c r="M197" s="8">
        <v>0</v>
      </c>
      <c r="N197" s="7">
        <v>0</v>
      </c>
      <c r="P197" s="7">
        <v>15837</v>
      </c>
      <c r="Q197" s="7">
        <v>15837</v>
      </c>
      <c r="R197" s="5" t="str">
        <f>VLOOKUP($G197,Others!$E$2:$I$217,2,FALSE)</f>
        <v>Original Screenplay</v>
      </c>
      <c r="S197" s="5" t="str">
        <f>VLOOKUP($G197,Others!$E$2:$I$217,3,FALSE)</f>
        <v>Digital Animation</v>
      </c>
      <c r="T197" s="5" t="str">
        <f>VLOOKUP($G197,Others!$E$2:$I$217,4,FALSE)</f>
        <v>Kids Fiction</v>
      </c>
      <c r="U197" s="5" t="str">
        <f>IFERROR(VLOOKUP($G197,Ratings!$E$13:$I$55,5,FALSE),"None")</f>
        <v>None</v>
      </c>
      <c r="V197" s="5"/>
      <c r="X197" s="5"/>
      <c r="Y197" s="5"/>
      <c r="AA197" s="5"/>
      <c r="AB197" s="5"/>
      <c r="AC197" s="5"/>
      <c r="AG197" s="9"/>
      <c r="AH197" s="9"/>
    </row>
    <row r="198" spans="2:34" hidden="1">
      <c r="B198" s="4">
        <v>2019</v>
      </c>
      <c r="C198" s="4" t="s">
        <v>44</v>
      </c>
      <c r="D198" s="3">
        <f t="shared" si="2"/>
        <v>196</v>
      </c>
      <c r="E198" s="3" t="s">
        <v>676</v>
      </c>
      <c r="G198" s="5" t="s">
        <v>734</v>
      </c>
      <c r="H198" s="5"/>
      <c r="I198" s="5" t="s">
        <v>191</v>
      </c>
      <c r="J198" s="7">
        <v>0</v>
      </c>
      <c r="M198" s="8">
        <v>0</v>
      </c>
      <c r="N198" s="7">
        <v>0</v>
      </c>
      <c r="P198" s="7">
        <v>321704</v>
      </c>
      <c r="Q198" s="7">
        <v>321704</v>
      </c>
      <c r="R198" s="5" t="str">
        <f>VLOOKUP($G198,Others!$E$2:$I$217,2,FALSE)</f>
        <v>Based on Real Life Events</v>
      </c>
      <c r="S198" s="5" t="str">
        <f>VLOOKUP($G198,Others!$E$2:$I$217,3,FALSE)</f>
        <v>Live Action</v>
      </c>
      <c r="T198" s="5" t="str">
        <f>VLOOKUP($G198,Others!$E$2:$I$217,4,FALSE)</f>
        <v>Factual</v>
      </c>
      <c r="U198" s="5" t="str">
        <f>IFERROR(VLOOKUP($G198,Ratings!$E$13:$I$55,5,FALSE),"None")</f>
        <v>None</v>
      </c>
      <c r="V198" s="5"/>
      <c r="X198" s="5"/>
      <c r="Y198" s="5"/>
      <c r="AA198" s="5"/>
      <c r="AB198" s="5"/>
      <c r="AC198" s="5"/>
      <c r="AG198" s="9"/>
      <c r="AH198" s="9"/>
    </row>
    <row r="199" spans="2:34" hidden="1">
      <c r="B199" s="4">
        <v>2019</v>
      </c>
      <c r="C199" s="4" t="s">
        <v>44</v>
      </c>
      <c r="D199" s="3">
        <f t="shared" si="2"/>
        <v>197</v>
      </c>
      <c r="E199" s="3" t="s">
        <v>676</v>
      </c>
      <c r="G199" s="5" t="s">
        <v>735</v>
      </c>
      <c r="H199" s="5"/>
      <c r="I199" s="5" t="s">
        <v>127</v>
      </c>
      <c r="J199" s="7">
        <v>0</v>
      </c>
      <c r="M199" s="8">
        <v>0</v>
      </c>
      <c r="N199" s="7">
        <v>0</v>
      </c>
      <c r="P199" s="7">
        <v>0</v>
      </c>
      <c r="Q199" s="7">
        <v>0</v>
      </c>
      <c r="R199" s="5">
        <f>VLOOKUP($G199,Others!$E$2:$I$217,2,FALSE)</f>
        <v>0</v>
      </c>
      <c r="S199" s="5">
        <f>VLOOKUP($G199,Others!$E$2:$I$217,3,FALSE)</f>
        <v>0</v>
      </c>
      <c r="T199" s="5" t="str">
        <f>VLOOKUP($G199,Others!$E$2:$I$217,4,FALSE)</f>
        <v>Fantasy</v>
      </c>
      <c r="U199" s="5" t="str">
        <f>IFERROR(VLOOKUP($G199,Ratings!$E$13:$I$55,5,FALSE),"None")</f>
        <v>None</v>
      </c>
      <c r="V199" s="5"/>
      <c r="X199" s="5"/>
      <c r="Y199" s="5"/>
      <c r="AA199" s="5"/>
      <c r="AB199" s="5"/>
      <c r="AC199" s="5"/>
      <c r="AG199" s="9"/>
      <c r="AH199" s="9"/>
    </row>
    <row r="200" spans="2:34" hidden="1">
      <c r="B200" s="4">
        <v>2019</v>
      </c>
      <c r="C200" s="4" t="s">
        <v>44</v>
      </c>
      <c r="D200" s="3">
        <f t="shared" si="2"/>
        <v>198</v>
      </c>
      <c r="E200" s="3" t="s">
        <v>676</v>
      </c>
      <c r="G200" s="5" t="s">
        <v>736</v>
      </c>
      <c r="H200" s="5"/>
      <c r="I200" s="5" t="s">
        <v>131</v>
      </c>
      <c r="J200" s="7">
        <v>0</v>
      </c>
      <c r="M200" s="8">
        <v>0</v>
      </c>
      <c r="N200" s="7">
        <v>0</v>
      </c>
      <c r="P200" s="7">
        <v>10000</v>
      </c>
      <c r="Q200" s="7">
        <v>10000</v>
      </c>
      <c r="R200" s="5">
        <f>VLOOKUP($G200,Others!$E$2:$I$217,2,FALSE)</f>
        <v>0</v>
      </c>
      <c r="S200" s="5">
        <f>VLOOKUP($G200,Others!$E$2:$I$217,3,FALSE)</f>
        <v>0</v>
      </c>
      <c r="T200" s="5">
        <f>VLOOKUP($G200,Others!$E$2:$I$217,4,FALSE)</f>
        <v>0</v>
      </c>
      <c r="U200" s="5" t="str">
        <f>IFERROR(VLOOKUP($G200,Ratings!$E$13:$I$55,5,FALSE),"None")</f>
        <v>None</v>
      </c>
      <c r="V200" s="5"/>
      <c r="X200" s="5"/>
      <c r="Y200" s="5"/>
      <c r="AA200" s="5"/>
      <c r="AB200" s="5"/>
      <c r="AC200" s="5"/>
      <c r="AG200" s="9"/>
      <c r="AH200" s="9"/>
    </row>
    <row r="201" spans="2:34" hidden="1">
      <c r="B201" s="4">
        <v>2019</v>
      </c>
      <c r="C201" s="4" t="s">
        <v>44</v>
      </c>
      <c r="D201" s="3">
        <f t="shared" si="2"/>
        <v>199</v>
      </c>
      <c r="E201" s="3" t="s">
        <v>676</v>
      </c>
      <c r="G201" s="5" t="s">
        <v>263</v>
      </c>
      <c r="H201" s="5"/>
      <c r="I201" s="5" t="s">
        <v>264</v>
      </c>
      <c r="J201" s="7">
        <v>0</v>
      </c>
      <c r="M201" s="8">
        <v>0</v>
      </c>
      <c r="N201" s="7">
        <v>0</v>
      </c>
      <c r="P201" s="7">
        <v>696580</v>
      </c>
      <c r="Q201" s="7">
        <v>696580</v>
      </c>
      <c r="R201" s="5" t="str">
        <f>VLOOKUP($G201,Others!$E$2:$I$217,2,FALSE)</f>
        <v>Original Screenplay</v>
      </c>
      <c r="S201" s="5" t="str">
        <f>VLOOKUP($G201,Others!$E$2:$I$217,3,FALSE)</f>
        <v>Live Action</v>
      </c>
      <c r="T201" s="5" t="str">
        <f>VLOOKUP($G201,Others!$E$2:$I$217,4,FALSE)</f>
        <v>Contemporary Fiction</v>
      </c>
      <c r="U201" s="5" t="str">
        <f>IFERROR(VLOOKUP($G201,Ratings!$E$13:$I$55,5,FALSE),"None")</f>
        <v>None</v>
      </c>
      <c r="V201" s="5"/>
      <c r="X201" s="5"/>
      <c r="Y201" s="5"/>
      <c r="AA201" s="5"/>
      <c r="AB201" s="5"/>
      <c r="AC201" s="5"/>
      <c r="AG201" s="9"/>
      <c r="AH201" s="9"/>
    </row>
    <row r="202" spans="2:34" hidden="1">
      <c r="B202" s="4">
        <v>2019</v>
      </c>
      <c r="C202" s="4" t="s">
        <v>44</v>
      </c>
      <c r="D202" s="3">
        <f t="shared" si="2"/>
        <v>200</v>
      </c>
      <c r="E202" s="3" t="s">
        <v>676</v>
      </c>
      <c r="G202" s="5" t="s">
        <v>270</v>
      </c>
      <c r="H202" s="5"/>
      <c r="I202" s="5" t="s">
        <v>136</v>
      </c>
      <c r="J202" s="7">
        <v>0</v>
      </c>
      <c r="M202" s="8">
        <v>0</v>
      </c>
      <c r="N202" s="7">
        <v>0</v>
      </c>
      <c r="P202" s="7">
        <v>519018</v>
      </c>
      <c r="Q202" s="7">
        <v>519018</v>
      </c>
      <c r="R202" s="5" t="str">
        <f>VLOOKUP($G202,Others!$E$2:$I$217,2,FALSE)</f>
        <v>Original Screenplay</v>
      </c>
      <c r="S202" s="5" t="str">
        <f>VLOOKUP($G202,Others!$E$2:$I$217,3,FALSE)</f>
        <v>Live Action</v>
      </c>
      <c r="T202" s="5" t="str">
        <f>VLOOKUP($G202,Others!$E$2:$I$217,4,FALSE)</f>
        <v>Contemporary Fiction</v>
      </c>
      <c r="U202" s="5" t="str">
        <f>IFERROR(VLOOKUP($G202,Ratings!$E$13:$I$55,5,FALSE),"None")</f>
        <v>None</v>
      </c>
      <c r="V202" s="5"/>
      <c r="X202" s="5"/>
      <c r="Y202" s="5"/>
      <c r="AA202" s="5"/>
      <c r="AB202" s="5"/>
      <c r="AC202" s="5"/>
      <c r="AG202" s="9"/>
      <c r="AH202" s="9"/>
    </row>
    <row r="203" spans="2:34" hidden="1">
      <c r="B203" s="4">
        <v>2019</v>
      </c>
      <c r="C203" s="4" t="s">
        <v>44</v>
      </c>
      <c r="D203" s="3">
        <f t="shared" si="2"/>
        <v>201</v>
      </c>
      <c r="E203" s="3" t="s">
        <v>676</v>
      </c>
      <c r="G203" s="5" t="s">
        <v>737</v>
      </c>
      <c r="H203" s="5"/>
      <c r="I203" s="5" t="s">
        <v>131</v>
      </c>
      <c r="J203" s="7">
        <v>0</v>
      </c>
      <c r="M203" s="8">
        <v>0</v>
      </c>
      <c r="N203" s="7">
        <v>0</v>
      </c>
      <c r="P203" s="7">
        <v>37538</v>
      </c>
      <c r="Q203" s="7">
        <v>37538</v>
      </c>
      <c r="R203" s="5">
        <f>VLOOKUP($G203,Others!$E$2:$I$217,2,FALSE)</f>
        <v>0</v>
      </c>
      <c r="S203" s="5">
        <f>VLOOKUP($G203,Others!$E$2:$I$217,3,FALSE)</f>
        <v>0</v>
      </c>
      <c r="T203" s="5">
        <f>VLOOKUP($G203,Others!$E$2:$I$217,4,FALSE)</f>
        <v>0</v>
      </c>
      <c r="U203" s="5" t="str">
        <f>IFERROR(VLOOKUP($G203,Ratings!$E$13:$I$55,5,FALSE),"None")</f>
        <v>None</v>
      </c>
      <c r="V203" s="5"/>
      <c r="X203" s="5"/>
      <c r="Y203" s="5"/>
      <c r="AA203" s="5"/>
      <c r="AB203" s="5"/>
      <c r="AC203" s="5"/>
      <c r="AG203" s="9"/>
      <c r="AH203" s="9"/>
    </row>
    <row r="204" spans="2:34" hidden="1">
      <c r="B204" s="4">
        <v>2019</v>
      </c>
      <c r="C204" s="4" t="s">
        <v>44</v>
      </c>
      <c r="D204" s="3">
        <f t="shared" si="2"/>
        <v>202</v>
      </c>
      <c r="E204" s="3" t="s">
        <v>676</v>
      </c>
      <c r="G204" s="5" t="s">
        <v>738</v>
      </c>
      <c r="H204" s="5"/>
      <c r="I204" s="5" t="s">
        <v>129</v>
      </c>
      <c r="J204" s="7">
        <v>0</v>
      </c>
      <c r="M204" s="8">
        <v>0</v>
      </c>
      <c r="N204" s="7">
        <v>0</v>
      </c>
      <c r="P204" s="7">
        <v>50000</v>
      </c>
      <c r="Q204" s="7">
        <v>50000</v>
      </c>
      <c r="R204" s="5" t="str">
        <f>VLOOKUP($G204,Others!$E$2:$I$217,2,FALSE)</f>
        <v>Original Screenplay</v>
      </c>
      <c r="S204" s="5" t="str">
        <f>VLOOKUP($G204,Others!$E$2:$I$217,3,FALSE)</f>
        <v>Digital Animation</v>
      </c>
      <c r="T204" s="5" t="str">
        <f>VLOOKUP($G204,Others!$E$2:$I$217,4,FALSE)</f>
        <v>Fantasy</v>
      </c>
      <c r="U204" s="5" t="str">
        <f>IFERROR(VLOOKUP($G204,Ratings!$E$13:$I$55,5,FALSE),"None")</f>
        <v>None</v>
      </c>
      <c r="V204" s="5"/>
      <c r="X204" s="5"/>
      <c r="Y204" s="5"/>
      <c r="AA204" s="5"/>
      <c r="AB204" s="5"/>
      <c r="AC204" s="5"/>
      <c r="AG204" s="9"/>
      <c r="AH204" s="9"/>
    </row>
    <row r="205" spans="2:34" hidden="1">
      <c r="B205" s="4">
        <v>2019</v>
      </c>
      <c r="C205" s="4" t="s">
        <v>44</v>
      </c>
      <c r="D205" s="3">
        <f t="shared" si="2"/>
        <v>203</v>
      </c>
      <c r="E205" s="3" t="s">
        <v>676</v>
      </c>
      <c r="G205" s="5" t="s">
        <v>739</v>
      </c>
      <c r="H205" s="5"/>
      <c r="I205" s="5" t="s">
        <v>131</v>
      </c>
      <c r="J205" s="7">
        <v>0</v>
      </c>
      <c r="M205" s="8">
        <v>0</v>
      </c>
      <c r="N205" s="7">
        <v>0</v>
      </c>
      <c r="P205" s="7">
        <v>20676</v>
      </c>
      <c r="Q205" s="7">
        <v>20676</v>
      </c>
      <c r="R205" s="5">
        <f>VLOOKUP($G205,Others!$E$2:$I$217,2,FALSE)</f>
        <v>0</v>
      </c>
      <c r="S205" s="5" t="str">
        <f>VLOOKUP($G205,Others!$E$2:$I$217,3,FALSE)</f>
        <v>Live Action</v>
      </c>
      <c r="T205" s="5">
        <f>VLOOKUP($G205,Others!$E$2:$I$217,4,FALSE)</f>
        <v>0</v>
      </c>
      <c r="U205" s="5" t="str">
        <f>IFERROR(VLOOKUP($G205,Ratings!$E$13:$I$55,5,FALSE),"None")</f>
        <v>None</v>
      </c>
      <c r="V205" s="5"/>
      <c r="X205" s="5"/>
      <c r="Y205" s="5"/>
      <c r="AA205" s="5"/>
      <c r="AB205" s="5"/>
      <c r="AC205" s="5"/>
      <c r="AG205" s="9"/>
      <c r="AH205" s="9"/>
    </row>
    <row r="206" spans="2:34" hidden="1">
      <c r="B206" s="4">
        <v>2019</v>
      </c>
      <c r="C206" s="4" t="s">
        <v>44</v>
      </c>
      <c r="D206" s="3">
        <f t="shared" si="2"/>
        <v>204</v>
      </c>
      <c r="E206" s="3" t="s">
        <v>676</v>
      </c>
      <c r="G206" s="5" t="s">
        <v>740</v>
      </c>
      <c r="H206" s="5"/>
      <c r="I206" s="5" t="s">
        <v>131</v>
      </c>
      <c r="J206" s="7">
        <v>0</v>
      </c>
      <c r="M206" s="8">
        <v>0</v>
      </c>
      <c r="N206" s="7">
        <v>0</v>
      </c>
      <c r="P206" s="7">
        <v>810000</v>
      </c>
      <c r="Q206" s="7">
        <v>810000</v>
      </c>
      <c r="R206" s="5" t="str">
        <f>VLOOKUP($G206,Others!$E$2:$I$217,2,FALSE)</f>
        <v>Original Screenplay</v>
      </c>
      <c r="S206" s="5" t="str">
        <f>VLOOKUP($G206,Others!$E$2:$I$217,3,FALSE)</f>
        <v>Live Action</v>
      </c>
      <c r="T206" s="5" t="str">
        <f>VLOOKUP($G206,Others!$E$2:$I$217,4,FALSE)</f>
        <v>Contemporary Fiction</v>
      </c>
      <c r="U206" s="5" t="str">
        <f>IFERROR(VLOOKUP($G206,Ratings!$E$13:$I$55,5,FALSE),"None")</f>
        <v>None</v>
      </c>
      <c r="V206" s="5"/>
      <c r="X206" s="5"/>
      <c r="Y206" s="5"/>
      <c r="AA206" s="5"/>
      <c r="AB206" s="5"/>
      <c r="AC206" s="5"/>
      <c r="AG206" s="9"/>
      <c r="AH206" s="9"/>
    </row>
    <row r="207" spans="2:34" hidden="1">
      <c r="B207" s="4">
        <v>2019</v>
      </c>
      <c r="C207" s="4" t="s">
        <v>44</v>
      </c>
      <c r="D207" s="3">
        <f t="shared" si="2"/>
        <v>205</v>
      </c>
      <c r="E207" s="3" t="s">
        <v>676</v>
      </c>
      <c r="G207" s="5" t="s">
        <v>178</v>
      </c>
      <c r="H207" s="5"/>
      <c r="I207" s="5" t="s">
        <v>127</v>
      </c>
      <c r="J207" s="7">
        <v>0</v>
      </c>
      <c r="M207" s="8">
        <v>0</v>
      </c>
      <c r="N207" s="7">
        <v>0</v>
      </c>
      <c r="P207" s="7">
        <v>11840495</v>
      </c>
      <c r="Q207" s="7">
        <v>11840495</v>
      </c>
      <c r="R207" s="5" t="str">
        <f>VLOOKUP($G207,Others!$E$2:$I$217,2,FALSE)</f>
        <v>Based on Comic/Graphic Novel</v>
      </c>
      <c r="S207" s="5" t="str">
        <f>VLOOKUP($G207,Others!$E$2:$I$217,3,FALSE)</f>
        <v>Digital Animation</v>
      </c>
      <c r="T207" s="5" t="str">
        <f>VLOOKUP($G207,Others!$E$2:$I$217,4,FALSE)</f>
        <v>Fantasy</v>
      </c>
      <c r="U207" s="5" t="str">
        <f>IFERROR(VLOOKUP($G207,Ratings!$E$13:$I$55,5,FALSE),"None")</f>
        <v>None</v>
      </c>
      <c r="V207" s="5"/>
      <c r="X207" s="5"/>
      <c r="Y207" s="5"/>
      <c r="AA207" s="5"/>
      <c r="AB207" s="5"/>
      <c r="AC207" s="5"/>
      <c r="AG207" s="9"/>
      <c r="AH207" s="9"/>
    </row>
    <row r="208" spans="2:34" hidden="1">
      <c r="B208" s="4">
        <v>2019</v>
      </c>
      <c r="C208" s="4" t="s">
        <v>44</v>
      </c>
      <c r="D208" s="3">
        <f t="shared" si="2"/>
        <v>206</v>
      </c>
      <c r="E208" s="3" t="s">
        <v>676</v>
      </c>
      <c r="G208" s="5" t="s">
        <v>741</v>
      </c>
      <c r="H208" s="5"/>
      <c r="I208" s="5" t="s">
        <v>131</v>
      </c>
      <c r="J208" s="7">
        <v>0</v>
      </c>
      <c r="M208" s="8">
        <v>0</v>
      </c>
      <c r="N208" s="7">
        <v>0</v>
      </c>
      <c r="P208" s="7">
        <v>1804</v>
      </c>
      <c r="Q208" s="7">
        <v>1804</v>
      </c>
      <c r="R208" s="5">
        <f>VLOOKUP($G208,Others!$E$2:$I$217,2,FALSE)</f>
        <v>0</v>
      </c>
      <c r="S208" s="5">
        <f>VLOOKUP($G208,Others!$E$2:$I$217,3,FALSE)</f>
        <v>0</v>
      </c>
      <c r="T208" s="5">
        <f>VLOOKUP($G208,Others!$E$2:$I$217,4,FALSE)</f>
        <v>0</v>
      </c>
      <c r="U208" s="5" t="str">
        <f>IFERROR(VLOOKUP($G208,Ratings!$E$13:$I$55,5,FALSE),"None")</f>
        <v>None</v>
      </c>
      <c r="V208" s="5" t="s">
        <v>1865</v>
      </c>
      <c r="W208" s="5" t="s">
        <v>741</v>
      </c>
      <c r="X208" s="5" t="s">
        <v>1866</v>
      </c>
      <c r="Y208" s="5"/>
      <c r="AA208" s="5"/>
      <c r="AB208" s="5"/>
      <c r="AC208" s="5"/>
      <c r="AG208" s="9"/>
      <c r="AH208" s="9"/>
    </row>
    <row r="209" spans="1:34" hidden="1">
      <c r="B209" s="4">
        <v>2019</v>
      </c>
      <c r="C209" s="4" t="s">
        <v>44</v>
      </c>
      <c r="D209" s="3">
        <f t="shared" si="2"/>
        <v>207</v>
      </c>
      <c r="E209" s="3" t="s">
        <v>676</v>
      </c>
      <c r="G209" s="5" t="s">
        <v>262</v>
      </c>
      <c r="H209" s="5"/>
      <c r="I209" s="5" t="s">
        <v>131</v>
      </c>
      <c r="J209" s="7">
        <v>0</v>
      </c>
      <c r="M209" s="8">
        <v>0</v>
      </c>
      <c r="N209" s="7">
        <v>0</v>
      </c>
      <c r="P209" s="7">
        <v>710023</v>
      </c>
      <c r="Q209" s="7">
        <v>710023</v>
      </c>
      <c r="R209" s="5">
        <f>VLOOKUP($G209,Others!$E$2:$I$217,2,FALSE)</f>
        <v>0</v>
      </c>
      <c r="S209" s="5" t="str">
        <f>VLOOKUP($G209,Others!$E$2:$I$217,3,FALSE)</f>
        <v>Live Action</v>
      </c>
      <c r="T209" s="5">
        <f>VLOOKUP($G209,Others!$E$2:$I$217,4,FALSE)</f>
        <v>0</v>
      </c>
      <c r="U209" s="5" t="str">
        <f>IFERROR(VLOOKUP($G209,Ratings!$E$13:$I$55,5,FALSE),"None")</f>
        <v>None</v>
      </c>
      <c r="V209" s="5"/>
      <c r="X209" s="5"/>
      <c r="Y209" s="5"/>
      <c r="AA209" s="5"/>
      <c r="AB209" s="5"/>
      <c r="AC209" s="5"/>
      <c r="AG209" s="9"/>
      <c r="AH209" s="9"/>
    </row>
    <row r="210" spans="1:34" hidden="1">
      <c r="B210" s="4">
        <v>2019</v>
      </c>
      <c r="C210" s="4" t="s">
        <v>44</v>
      </c>
      <c r="D210" s="3">
        <f t="shared" si="2"/>
        <v>208</v>
      </c>
      <c r="E210" s="3" t="s">
        <v>676</v>
      </c>
      <c r="G210" s="5" t="s">
        <v>742</v>
      </c>
      <c r="H210" s="5"/>
      <c r="I210" s="5" t="s">
        <v>131</v>
      </c>
      <c r="J210" s="7">
        <v>0</v>
      </c>
      <c r="M210" s="8">
        <v>0</v>
      </c>
      <c r="N210" s="7">
        <v>0</v>
      </c>
      <c r="P210" s="7">
        <v>900000</v>
      </c>
      <c r="Q210" s="7">
        <v>900000</v>
      </c>
      <c r="R210" s="5">
        <f>VLOOKUP($G210,Others!$E$2:$I$217,2,FALSE)</f>
        <v>0</v>
      </c>
      <c r="S210" s="5">
        <f>VLOOKUP($G210,Others!$E$2:$I$217,3,FALSE)</f>
        <v>0</v>
      </c>
      <c r="T210" s="5">
        <f>VLOOKUP($G210,Others!$E$2:$I$217,4,FALSE)</f>
        <v>0</v>
      </c>
      <c r="U210" s="5" t="str">
        <f>IFERROR(VLOOKUP($G210,Ratings!$E$13:$I$55,5,FALSE),"None")</f>
        <v>None</v>
      </c>
      <c r="V210" s="5"/>
      <c r="X210" s="5"/>
      <c r="Y210" s="5"/>
      <c r="AA210" s="5"/>
      <c r="AB210" s="5"/>
      <c r="AC210" s="5"/>
      <c r="AG210" s="9"/>
      <c r="AH210" s="9"/>
    </row>
    <row r="211" spans="1:34" hidden="1">
      <c r="B211" s="4">
        <v>2019</v>
      </c>
      <c r="C211" s="4" t="s">
        <v>44</v>
      </c>
      <c r="D211" s="3">
        <f t="shared" si="2"/>
        <v>209</v>
      </c>
      <c r="E211" s="3" t="s">
        <v>676</v>
      </c>
      <c r="G211" s="5" t="s">
        <v>218</v>
      </c>
      <c r="H211" s="5"/>
      <c r="I211" s="5" t="s">
        <v>131</v>
      </c>
      <c r="J211" s="7">
        <v>0</v>
      </c>
      <c r="M211" s="8">
        <v>0</v>
      </c>
      <c r="N211" s="7">
        <v>0</v>
      </c>
      <c r="P211" s="7">
        <v>3282749</v>
      </c>
      <c r="Q211" s="7">
        <v>3282749</v>
      </c>
      <c r="R211" s="5" t="str">
        <f>VLOOKUP($G211,Others!$E$2:$I$217,2,FALSE)</f>
        <v>Original Screenplay</v>
      </c>
      <c r="S211" s="5" t="str">
        <f>VLOOKUP($G211,Others!$E$2:$I$217,3,FALSE)</f>
        <v>Live Action</v>
      </c>
      <c r="T211" s="5" t="str">
        <f>VLOOKUP($G211,Others!$E$2:$I$217,4,FALSE)</f>
        <v>Contemporary Fiction</v>
      </c>
      <c r="U211" s="5" t="str">
        <f>IFERROR(VLOOKUP($G211,Ratings!$E$13:$I$55,5,FALSE),"None")</f>
        <v>None</v>
      </c>
      <c r="V211" s="5"/>
      <c r="X211" s="5"/>
      <c r="Y211" s="5"/>
      <c r="AA211" s="5"/>
      <c r="AB211" s="5"/>
      <c r="AC211" s="5"/>
      <c r="AG211" s="9"/>
      <c r="AH211" s="9"/>
    </row>
    <row r="212" spans="1:34" hidden="1">
      <c r="B212" s="4">
        <v>2019</v>
      </c>
      <c r="C212" s="4" t="s">
        <v>44</v>
      </c>
      <c r="D212" s="3">
        <f t="shared" si="2"/>
        <v>210</v>
      </c>
      <c r="E212" s="3" t="s">
        <v>676</v>
      </c>
      <c r="G212" s="5" t="s">
        <v>160</v>
      </c>
      <c r="H212" s="5"/>
      <c r="I212" s="5" t="s">
        <v>161</v>
      </c>
      <c r="J212" s="7">
        <v>0</v>
      </c>
      <c r="M212" s="8">
        <v>0</v>
      </c>
      <c r="N212" s="7">
        <v>0</v>
      </c>
      <c r="P212" s="7">
        <v>32007144</v>
      </c>
      <c r="Q212" s="7">
        <v>32007144</v>
      </c>
      <c r="R212" s="5" t="str">
        <f>VLOOKUP($G212,Others!$E$2:$I$217,2,FALSE)</f>
        <v>Original Screenplay</v>
      </c>
      <c r="S212" s="5" t="str">
        <f>VLOOKUP($G212,Others!$E$2:$I$217,3,FALSE)</f>
        <v>Live Action</v>
      </c>
      <c r="T212" s="5" t="str">
        <f>VLOOKUP($G212,Others!$E$2:$I$217,4,FALSE)</f>
        <v>Contemporary Fiction</v>
      </c>
      <c r="U212" s="5" t="str">
        <f>IFERROR(VLOOKUP($G212,Ratings!$E$13:$I$55,5,FALSE),"None")</f>
        <v>None</v>
      </c>
      <c r="V212" s="5"/>
      <c r="X212" s="5"/>
      <c r="Y212" s="5"/>
      <c r="AA212" s="5"/>
      <c r="AB212" s="5"/>
      <c r="AC212" s="5"/>
      <c r="AG212" s="9"/>
      <c r="AH212" s="9"/>
    </row>
    <row r="213" spans="1:34" hidden="1">
      <c r="B213" s="4">
        <v>2019</v>
      </c>
      <c r="C213" s="4" t="s">
        <v>44</v>
      </c>
      <c r="D213" s="3">
        <f t="shared" si="2"/>
        <v>211</v>
      </c>
      <c r="E213" s="3" t="s">
        <v>676</v>
      </c>
      <c r="G213" s="5" t="s">
        <v>743</v>
      </c>
      <c r="H213" s="5"/>
      <c r="I213" s="5" t="s">
        <v>131</v>
      </c>
      <c r="J213" s="7">
        <v>0</v>
      </c>
      <c r="M213" s="8">
        <v>0</v>
      </c>
      <c r="N213" s="7">
        <v>0</v>
      </c>
      <c r="P213" s="7">
        <v>130000</v>
      </c>
      <c r="Q213" s="7">
        <v>130000</v>
      </c>
      <c r="R213" s="5">
        <f>VLOOKUP($G213,Others!$E$2:$I$217,2,FALSE)</f>
        <v>0</v>
      </c>
      <c r="S213" s="5">
        <f>VLOOKUP($G213,Others!$E$2:$I$217,3,FALSE)</f>
        <v>0</v>
      </c>
      <c r="T213" s="5">
        <f>VLOOKUP($G213,Others!$E$2:$I$217,4,FALSE)</f>
        <v>0</v>
      </c>
      <c r="U213" s="5" t="str">
        <f>IFERROR(VLOOKUP($G213,Ratings!$E$13:$I$55,5,FALSE),"None")</f>
        <v>None</v>
      </c>
      <c r="V213" s="5"/>
      <c r="X213" s="5"/>
      <c r="Y213" s="5"/>
      <c r="AA213" s="5"/>
      <c r="AB213" s="5"/>
      <c r="AC213" s="5"/>
      <c r="AG213" s="9"/>
      <c r="AH213" s="9"/>
    </row>
    <row r="214" spans="1:34" hidden="1">
      <c r="B214" s="4">
        <v>2019</v>
      </c>
      <c r="C214" s="4" t="s">
        <v>44</v>
      </c>
      <c r="D214" s="3">
        <f t="shared" si="2"/>
        <v>212</v>
      </c>
      <c r="E214" s="3" t="s">
        <v>676</v>
      </c>
      <c r="G214" s="5" t="s">
        <v>269</v>
      </c>
      <c r="H214" s="5"/>
      <c r="I214" s="5" t="s">
        <v>131</v>
      </c>
      <c r="J214" s="7">
        <v>0</v>
      </c>
      <c r="M214" s="8">
        <v>0</v>
      </c>
      <c r="N214" s="7">
        <v>0</v>
      </c>
      <c r="P214" s="7">
        <v>521939</v>
      </c>
      <c r="Q214" s="7">
        <v>521939</v>
      </c>
      <c r="R214" s="5" t="str">
        <f>VLOOKUP($G214,Others!$E$2:$I$217,2,FALSE)</f>
        <v>Original Screenplay</v>
      </c>
      <c r="S214" s="5" t="str">
        <f>VLOOKUP($G214,Others!$E$2:$I$217,3,FALSE)</f>
        <v>Animation/Live Action</v>
      </c>
      <c r="T214" s="5" t="str">
        <f>VLOOKUP($G214,Others!$E$2:$I$217,4,FALSE)</f>
        <v>Kids Fiction</v>
      </c>
      <c r="U214" s="5" t="str">
        <f>IFERROR(VLOOKUP($G214,Ratings!$E$13:$I$55,5,FALSE),"None")</f>
        <v>None</v>
      </c>
      <c r="V214" s="5"/>
      <c r="X214" s="5"/>
      <c r="Y214" s="5"/>
      <c r="AA214" s="5"/>
      <c r="AB214" s="5"/>
      <c r="AC214" s="5"/>
      <c r="AG214" s="9"/>
      <c r="AH214" s="9"/>
    </row>
    <row r="215" spans="1:34" hidden="1">
      <c r="B215" s="4">
        <v>2019</v>
      </c>
      <c r="C215" s="4" t="s">
        <v>44</v>
      </c>
      <c r="D215" s="3">
        <f t="shared" si="2"/>
        <v>213</v>
      </c>
      <c r="E215" s="3" t="s">
        <v>676</v>
      </c>
      <c r="G215" s="5" t="s">
        <v>282</v>
      </c>
      <c r="H215" s="5"/>
      <c r="I215" s="5" t="s">
        <v>129</v>
      </c>
      <c r="J215" s="7">
        <v>0</v>
      </c>
      <c r="M215" s="8">
        <v>0</v>
      </c>
      <c r="N215" s="7">
        <v>0</v>
      </c>
      <c r="P215" s="7">
        <v>320000</v>
      </c>
      <c r="Q215" s="7">
        <v>320000</v>
      </c>
      <c r="R215" s="5" t="str">
        <f>VLOOKUP($G215,Others!$E$2:$I$217,2,FALSE)</f>
        <v>Original Screenplay</v>
      </c>
      <c r="S215" s="5" t="str">
        <f>VLOOKUP($G215,Others!$E$2:$I$217,3,FALSE)</f>
        <v>Live Action</v>
      </c>
      <c r="T215" s="5" t="str">
        <f>VLOOKUP($G215,Others!$E$2:$I$217,4,FALSE)</f>
        <v>Contemporary Fiction</v>
      </c>
      <c r="U215" s="5" t="str">
        <f>IFERROR(VLOOKUP($G215,Ratings!$E$13:$I$55,5,FALSE),"None")</f>
        <v>None</v>
      </c>
      <c r="V215" s="5"/>
      <c r="X215" s="5"/>
      <c r="Y215" s="5"/>
      <c r="AA215" s="5"/>
      <c r="AB215" s="5"/>
      <c r="AC215" s="5"/>
      <c r="AG215" s="9"/>
      <c r="AH215" s="9"/>
    </row>
    <row r="216" spans="1:34" hidden="1">
      <c r="B216" s="4">
        <v>2019</v>
      </c>
      <c r="C216" s="4" t="s">
        <v>44</v>
      </c>
      <c r="D216" s="3">
        <f t="shared" si="2"/>
        <v>214</v>
      </c>
      <c r="E216" s="3" t="s">
        <v>676</v>
      </c>
      <c r="G216" s="5" t="s">
        <v>296</v>
      </c>
      <c r="H216" s="5"/>
      <c r="I216" s="5" t="s">
        <v>131</v>
      </c>
      <c r="J216" s="7">
        <v>0</v>
      </c>
      <c r="M216" s="8">
        <v>0</v>
      </c>
      <c r="N216" s="7">
        <v>0</v>
      </c>
      <c r="P216" s="7">
        <v>158527</v>
      </c>
      <c r="Q216" s="7">
        <v>158527</v>
      </c>
      <c r="R216" s="5" t="str">
        <f>VLOOKUP($G216,Others!$E$2:$I$217,2,FALSE)</f>
        <v>Original Screenplay</v>
      </c>
      <c r="S216" s="5" t="str">
        <f>VLOOKUP($G216,Others!$E$2:$I$217,3,FALSE)</f>
        <v>Live Action</v>
      </c>
      <c r="T216" s="5" t="str">
        <f>VLOOKUP($G216,Others!$E$2:$I$217,4,FALSE)</f>
        <v>Contemporary Fiction</v>
      </c>
      <c r="U216" s="5" t="str">
        <f>IFERROR(VLOOKUP($G216,Ratings!$E$13:$I$55,5,FALSE),"None")</f>
        <v>None</v>
      </c>
      <c r="V216" s="5"/>
      <c r="X216" s="5"/>
      <c r="Y216" s="5"/>
      <c r="AA216" s="5"/>
      <c r="AB216" s="5"/>
      <c r="AC216" s="5"/>
      <c r="AG216" s="9"/>
      <c r="AH216" s="9"/>
    </row>
    <row r="217" spans="1:34" hidden="1">
      <c r="B217" s="4">
        <v>2019</v>
      </c>
      <c r="C217" s="4" t="s">
        <v>44</v>
      </c>
      <c r="D217" s="3">
        <f t="shared" si="2"/>
        <v>215</v>
      </c>
      <c r="E217" s="3" t="s">
        <v>676</v>
      </c>
      <c r="G217" s="5" t="s">
        <v>744</v>
      </c>
      <c r="H217" s="5"/>
      <c r="I217" s="5" t="s">
        <v>136</v>
      </c>
      <c r="J217" s="7">
        <v>0</v>
      </c>
      <c r="M217" s="8">
        <v>0</v>
      </c>
      <c r="N217" s="7">
        <v>0</v>
      </c>
      <c r="P217" s="7">
        <v>200000</v>
      </c>
      <c r="Q217" s="7">
        <v>200000</v>
      </c>
      <c r="R217" s="5" t="str">
        <f>VLOOKUP($G217,Others!$E$2:$I$217,2,FALSE)</f>
        <v>Original Screenplay</v>
      </c>
      <c r="S217" s="5" t="str">
        <f>VLOOKUP($G217,Others!$E$2:$I$217,3,FALSE)</f>
        <v>Live Action</v>
      </c>
      <c r="T217" s="5" t="str">
        <f>VLOOKUP($G217,Others!$E$2:$I$217,4,FALSE)</f>
        <v>Contemporary Fiction</v>
      </c>
      <c r="U217" s="5" t="str">
        <f>IFERROR(VLOOKUP($G217,Ratings!$E$13:$I$55,5,FALSE),"None")</f>
        <v>None</v>
      </c>
      <c r="V217" s="5"/>
      <c r="X217" s="5"/>
      <c r="Y217" s="5"/>
      <c r="AA217" s="5"/>
      <c r="AB217" s="5"/>
      <c r="AC217" s="5"/>
      <c r="AG217" s="9"/>
      <c r="AH217" s="9"/>
    </row>
    <row r="218" spans="1:34" hidden="1">
      <c r="B218" s="4">
        <v>2019</v>
      </c>
      <c r="C218" s="4" t="s">
        <v>44</v>
      </c>
      <c r="D218" s="3">
        <f t="shared" si="2"/>
        <v>216</v>
      </c>
      <c r="E218" s="3" t="s">
        <v>676</v>
      </c>
      <c r="G218" s="5" t="s">
        <v>745</v>
      </c>
      <c r="H218" s="5"/>
      <c r="I218" s="5" t="s">
        <v>131</v>
      </c>
      <c r="J218" s="7">
        <v>0</v>
      </c>
      <c r="M218" s="8">
        <v>0</v>
      </c>
      <c r="N218" s="7">
        <v>0</v>
      </c>
      <c r="P218" s="7">
        <v>6104</v>
      </c>
      <c r="Q218" s="7">
        <v>6104</v>
      </c>
      <c r="R218" s="5">
        <f>VLOOKUP($G218,Others!$E$2:$I$217,2,FALSE)</f>
        <v>0</v>
      </c>
      <c r="S218" s="5">
        <f>VLOOKUP($G218,Others!$E$2:$I$217,3,FALSE)</f>
        <v>0</v>
      </c>
      <c r="T218" s="5">
        <f>VLOOKUP($G218,Others!$E$2:$I$217,4,FALSE)</f>
        <v>0</v>
      </c>
      <c r="U218" s="5" t="str">
        <f>IFERROR(VLOOKUP($G218,Ratings!$E$13:$I$55,5,FALSE),"None")</f>
        <v>None</v>
      </c>
      <c r="V218" s="5"/>
      <c r="X218" s="5"/>
      <c r="Y218" s="5"/>
      <c r="AA218" s="5"/>
      <c r="AB218" s="5"/>
      <c r="AC218" s="5"/>
      <c r="AG218" s="9"/>
      <c r="AH218" s="9"/>
    </row>
    <row r="219" spans="1:34">
      <c r="A219" s="3" t="s">
        <v>1856</v>
      </c>
      <c r="B219" s="4">
        <v>2019</v>
      </c>
      <c r="C219" s="4" t="s">
        <v>45</v>
      </c>
      <c r="D219" s="3">
        <v>1</v>
      </c>
      <c r="E219" s="55" t="s">
        <v>650</v>
      </c>
      <c r="F219" s="3" t="s">
        <v>650</v>
      </c>
      <c r="G219" s="5" t="s">
        <v>763</v>
      </c>
      <c r="H219" s="5" t="s">
        <v>764</v>
      </c>
      <c r="I219" s="5" t="s">
        <v>129</v>
      </c>
      <c r="J219" s="7">
        <v>50000000</v>
      </c>
      <c r="K219" s="57"/>
      <c r="M219" s="8">
        <v>3618</v>
      </c>
      <c r="N219" s="7">
        <v>18872919</v>
      </c>
      <c r="P219" s="7">
        <v>46600000</v>
      </c>
      <c r="Q219" s="7">
        <v>91419352</v>
      </c>
      <c r="R219" s="5" t="str">
        <f>VLOOKUP($G219,Others!$E$218:$I$245,2,FALSE)</f>
        <v>Based on Fiction Book/Short Story</v>
      </c>
      <c r="S219" s="5" t="str">
        <f>VLOOKUP($G219,Others!$E$218:$I$245,3,FALSE)</f>
        <v>Live Action</v>
      </c>
      <c r="T219" s="5" t="str">
        <f>VLOOKUP($G219,Others!$E$218:$I$245,4,FALSE)</f>
        <v>Contemporary Fiction</v>
      </c>
      <c r="U219" s="5" t="str">
        <f>IFERROR(VLOOKUP($G219,Ratings!$E$56:$I$71,5,FALSE),"None")</f>
        <v>R</v>
      </c>
      <c r="V219" s="39" t="s">
        <v>1867</v>
      </c>
      <c r="W219" s="39" t="s">
        <v>763</v>
      </c>
      <c r="X219" s="39" t="s">
        <v>1868</v>
      </c>
      <c r="Y219" s="39" t="s">
        <v>1869</v>
      </c>
      <c r="Z219" s="50" t="s">
        <v>1870</v>
      </c>
      <c r="AA219" s="39" t="s">
        <v>1871</v>
      </c>
      <c r="AB219" s="5"/>
      <c r="AC219" s="39" t="s">
        <v>764</v>
      </c>
      <c r="AD219" s="47">
        <v>6.9</v>
      </c>
      <c r="AG219" s="9"/>
      <c r="AH219" s="9"/>
    </row>
    <row r="220" spans="1:34">
      <c r="A220" s="3" t="s">
        <v>1856</v>
      </c>
      <c r="B220" s="4">
        <v>2019</v>
      </c>
      <c r="C220" s="4" t="s">
        <v>45</v>
      </c>
      <c r="D220" s="3">
        <f t="shared" si="2"/>
        <v>2</v>
      </c>
      <c r="E220" s="55" t="s">
        <v>765</v>
      </c>
      <c r="F220" s="3" t="s">
        <v>765</v>
      </c>
      <c r="G220" s="5" t="s">
        <v>766</v>
      </c>
      <c r="H220" s="5" t="s">
        <v>767</v>
      </c>
      <c r="I220" s="5" t="s">
        <v>193</v>
      </c>
      <c r="J220" s="7">
        <v>6000000</v>
      </c>
      <c r="K220" s="57"/>
      <c r="M220" s="8">
        <v>2530</v>
      </c>
      <c r="N220" s="7">
        <v>5853061</v>
      </c>
      <c r="P220" s="7">
        <v>4933421</v>
      </c>
      <c r="Q220" s="7">
        <v>19789712</v>
      </c>
      <c r="R220" s="5" t="str">
        <f>VLOOKUP($G220,Others!$E$218:$I$245,2,FALSE)</f>
        <v>Original Screenplay</v>
      </c>
      <c r="S220" s="5" t="str">
        <f>VLOOKUP($G220,Others!$E$218:$I$245,3,FALSE)</f>
        <v>Live Action</v>
      </c>
      <c r="T220" s="5" t="str">
        <f>VLOOKUP($G220,Others!$E$218:$I$245,4,FALSE)</f>
        <v>Contemporary Fiction</v>
      </c>
      <c r="U220" s="5" t="str">
        <f>IFERROR(VLOOKUP($G220,Ratings!$E$56:$I$71,5,FALSE),"None")</f>
        <v>R</v>
      </c>
      <c r="V220" s="39" t="s">
        <v>1872</v>
      </c>
      <c r="W220" s="39" t="s">
        <v>766</v>
      </c>
      <c r="X220" s="39" t="s">
        <v>1873</v>
      </c>
      <c r="Y220" s="39" t="s">
        <v>1874</v>
      </c>
      <c r="Z220" s="80" t="s">
        <v>1875</v>
      </c>
      <c r="AA220" s="39" t="s">
        <v>1876</v>
      </c>
      <c r="AB220" s="5"/>
      <c r="AC220" s="39" t="s">
        <v>767</v>
      </c>
      <c r="AD220" s="47">
        <v>6.1</v>
      </c>
      <c r="AG220" s="9"/>
      <c r="AH220" s="9"/>
    </row>
    <row r="221" spans="1:34">
      <c r="A221" s="3" t="s">
        <v>1856</v>
      </c>
      <c r="B221" s="4">
        <v>2019</v>
      </c>
      <c r="C221" s="4" t="s">
        <v>45</v>
      </c>
      <c r="D221" s="3">
        <f t="shared" si="2"/>
        <v>3</v>
      </c>
      <c r="E221" s="55" t="s">
        <v>768</v>
      </c>
      <c r="F221" s="3" t="s">
        <v>768</v>
      </c>
      <c r="G221" s="5" t="s">
        <v>52</v>
      </c>
      <c r="H221" s="5" t="s">
        <v>601</v>
      </c>
      <c r="I221" s="5" t="s">
        <v>129</v>
      </c>
      <c r="J221" s="7">
        <v>52000000</v>
      </c>
      <c r="K221" s="57"/>
      <c r="M221" s="8">
        <v>125</v>
      </c>
      <c r="N221" s="7">
        <v>1459523</v>
      </c>
      <c r="P221" s="7">
        <v>188661860</v>
      </c>
      <c r="Q221" s="7">
        <v>192617891</v>
      </c>
      <c r="R221" s="5" t="str">
        <f>VLOOKUP($G221,Others!$E$218:$I$245,2,FALSE)</f>
        <v>Based on Real Life Events</v>
      </c>
      <c r="S221" s="5" t="str">
        <f>VLOOKUP($G221,Others!$E$218:$I$245,3,FALSE)</f>
        <v>Multiple Production Methods</v>
      </c>
      <c r="T221" s="5" t="str">
        <f>VLOOKUP($G221,Others!$E$218:$I$245,4,FALSE)</f>
        <v>Historical Fiction</v>
      </c>
      <c r="U221" s="5" t="str">
        <f>IFERROR(VLOOKUP($G221,Ratings!$E$56:$I$71,5,FALSE),"None")</f>
        <v>Not Rated</v>
      </c>
      <c r="V221" s="39" t="s">
        <v>1877</v>
      </c>
      <c r="W221" s="39" t="s">
        <v>1878</v>
      </c>
      <c r="X221" s="39" t="s">
        <v>1497</v>
      </c>
      <c r="Y221" s="39" t="s">
        <v>1554</v>
      </c>
      <c r="Z221" s="50" t="s">
        <v>1617</v>
      </c>
      <c r="AA221" s="39" t="s">
        <v>1879</v>
      </c>
      <c r="AB221" s="5"/>
      <c r="AC221" s="39" t="s">
        <v>1483</v>
      </c>
      <c r="AD221" s="47">
        <v>9.4</v>
      </c>
      <c r="AG221" s="9"/>
      <c r="AH221" s="9"/>
    </row>
    <row r="222" spans="1:34" ht="15" hidden="1">
      <c r="A222" s="3" t="s">
        <v>1856</v>
      </c>
      <c r="B222" s="4">
        <v>2019</v>
      </c>
      <c r="C222" s="4" t="s">
        <v>45</v>
      </c>
      <c r="D222" s="3">
        <f t="shared" si="2"/>
        <v>4</v>
      </c>
      <c r="E222" s="3" t="s">
        <v>623</v>
      </c>
      <c r="G222" s="5" t="s">
        <v>392</v>
      </c>
      <c r="H222" s="5" t="s">
        <v>601</v>
      </c>
      <c r="I222" s="5" t="s">
        <v>129</v>
      </c>
      <c r="J222" s="7">
        <v>28000000</v>
      </c>
      <c r="L222" s="8">
        <v>61</v>
      </c>
      <c r="M222" s="7">
        <v>92663</v>
      </c>
      <c r="N222" s="33">
        <v>92663</v>
      </c>
      <c r="O222" s="33">
        <v>209454</v>
      </c>
      <c r="P222" s="33">
        <v>19572493</v>
      </c>
      <c r="Q222" s="33">
        <v>19781947</v>
      </c>
      <c r="R222" t="s">
        <v>606</v>
      </c>
      <c r="S222" t="s">
        <v>598</v>
      </c>
      <c r="V222" s="5" t="s">
        <v>1522</v>
      </c>
      <c r="W222" s="5" t="s">
        <v>1523</v>
      </c>
      <c r="X222" s="39" t="s">
        <v>1524</v>
      </c>
      <c r="Y222" s="39" t="s">
        <v>1880</v>
      </c>
      <c r="Z222" s="39" t="s">
        <v>1881</v>
      </c>
      <c r="AA222" s="47" t="s">
        <v>1882</v>
      </c>
      <c r="AB222" s="9"/>
      <c r="AC222" s="10" t="s">
        <v>1483</v>
      </c>
      <c r="AF222" s="79" t="s">
        <v>1883</v>
      </c>
      <c r="AG222" s="9"/>
      <c r="AH222" s="9"/>
    </row>
    <row r="223" spans="1:34">
      <c r="A223" s="3" t="s">
        <v>1856</v>
      </c>
      <c r="B223" s="4">
        <v>2019</v>
      </c>
      <c r="C223" s="4" t="s">
        <v>45</v>
      </c>
      <c r="D223" s="3">
        <f t="shared" si="2"/>
        <v>5</v>
      </c>
      <c r="E223" s="55" t="s">
        <v>769</v>
      </c>
      <c r="F223" s="3" t="s">
        <v>1884</v>
      </c>
      <c r="G223" s="5" t="s">
        <v>770</v>
      </c>
      <c r="H223" s="5" t="s">
        <v>601</v>
      </c>
      <c r="I223" s="5" t="s">
        <v>129</v>
      </c>
      <c r="J223" s="7">
        <v>19400000</v>
      </c>
      <c r="K223" s="57" t="s">
        <v>1411</v>
      </c>
      <c r="L223" s="7">
        <v>15671642</v>
      </c>
      <c r="M223" s="8">
        <v>82072</v>
      </c>
      <c r="N223" s="7">
        <v>20422321</v>
      </c>
      <c r="O223" s="7">
        <v>45671642</v>
      </c>
      <c r="P223" s="7">
        <v>44388292</v>
      </c>
      <c r="Q223" s="7">
        <v>44584926</v>
      </c>
      <c r="R223" s="5" t="str">
        <f>VLOOKUP($G223,Others!$E$218:$I$245,2,FALSE)</f>
        <v>Based on Real Life Events</v>
      </c>
      <c r="S223" s="5" t="str">
        <f>VLOOKUP($G223,Others!$E$218:$I$245,3,FALSE)</f>
        <v>Live Action</v>
      </c>
      <c r="T223" s="5" t="str">
        <f>VLOOKUP($G223,Others!$E$218:$I$245,4,FALSE)</f>
        <v>Dramatization</v>
      </c>
      <c r="U223" s="5" t="str">
        <f>IFERROR(VLOOKUP($G223,Ratings!$E$56:$I$71,5,FALSE),"None")</f>
        <v>Not Rated</v>
      </c>
      <c r="V223" s="5" t="s">
        <v>1885</v>
      </c>
      <c r="W223" s="5" t="s">
        <v>1886</v>
      </c>
      <c r="X223" s="5" t="s">
        <v>1524</v>
      </c>
      <c r="Y223" s="5" t="s">
        <v>1880</v>
      </c>
      <c r="Z223" s="5" t="s">
        <v>1881</v>
      </c>
      <c r="AA223" s="5" t="s">
        <v>1887</v>
      </c>
      <c r="AB223" s="5"/>
      <c r="AC223" s="5" t="s">
        <v>1888</v>
      </c>
      <c r="AD223" s="20">
        <v>8</v>
      </c>
      <c r="AE223" s="1" t="s">
        <v>1489</v>
      </c>
      <c r="AG223" s="9"/>
      <c r="AH223" s="9"/>
    </row>
    <row r="224" spans="1:34" hidden="1">
      <c r="A224" s="3" t="s">
        <v>1856</v>
      </c>
      <c r="B224" s="4">
        <v>2019</v>
      </c>
      <c r="C224" s="4" t="s">
        <v>45</v>
      </c>
      <c r="D224" s="3">
        <f t="shared" si="2"/>
        <v>6</v>
      </c>
      <c r="E224" s="3" t="s">
        <v>771</v>
      </c>
      <c r="G224" s="5" t="s">
        <v>772</v>
      </c>
      <c r="H224" s="5" t="s">
        <v>773</v>
      </c>
      <c r="I224" s="5" t="s">
        <v>129</v>
      </c>
      <c r="J224" s="7">
        <v>0</v>
      </c>
      <c r="M224" s="8">
        <v>7</v>
      </c>
      <c r="N224" s="7">
        <v>25591</v>
      </c>
      <c r="P224" s="7">
        <v>0</v>
      </c>
      <c r="Q224" s="7">
        <v>113224</v>
      </c>
      <c r="R224" s="5" t="str">
        <f>VLOOKUP($G224,Others!$E$218:$I$245,2,FALSE)</f>
        <v>Original Screenplay</v>
      </c>
      <c r="S224" s="5" t="str">
        <f>VLOOKUP($G224,Others!$E$218:$I$245,3,FALSE)</f>
        <v>Live Action</v>
      </c>
      <c r="T224" s="5" t="str">
        <f>VLOOKUP($G224,Others!$E$218:$I$245,4,FALSE)</f>
        <v>Contemporary Fiction</v>
      </c>
      <c r="U224" s="5" t="str">
        <f>IFERROR(VLOOKUP($G224,Ratings!$E$56:$I$71,5,FALSE),"None")</f>
        <v>Not Rated</v>
      </c>
      <c r="V224" s="5"/>
      <c r="X224" s="5"/>
      <c r="Y224" s="5"/>
      <c r="Z224" s="5"/>
      <c r="AA224" s="5"/>
      <c r="AB224" s="5"/>
      <c r="AC224" s="5"/>
      <c r="AG224" s="9"/>
      <c r="AH224" s="9"/>
    </row>
    <row r="225" spans="1:34" s="2" customFormat="1" hidden="1">
      <c r="A225" s="16" t="s">
        <v>1856</v>
      </c>
      <c r="B225" s="17">
        <v>2017</v>
      </c>
      <c r="C225" s="4" t="s">
        <v>45</v>
      </c>
      <c r="D225" s="3">
        <f t="shared" si="2"/>
        <v>7</v>
      </c>
      <c r="E225" s="3" t="s">
        <v>647</v>
      </c>
      <c r="F225" s="16"/>
      <c r="G225" s="18" t="s">
        <v>648</v>
      </c>
      <c r="H225" s="5"/>
      <c r="I225" s="18" t="s">
        <v>131</v>
      </c>
      <c r="J225" s="19"/>
      <c r="K225" s="19"/>
      <c r="L225" s="19"/>
      <c r="M225" s="8">
        <v>13</v>
      </c>
      <c r="N225" s="7">
        <v>25206</v>
      </c>
      <c r="O225" s="19"/>
      <c r="P225" s="19">
        <v>240506</v>
      </c>
      <c r="Q225" s="19">
        <v>283768</v>
      </c>
      <c r="R225" s="5" t="str">
        <f>VLOOKUP($G225,Others!$E$218:$I$245,2,FALSE)</f>
        <v>Original Screenplay</v>
      </c>
      <c r="S225" s="5" t="str">
        <f>VLOOKUP($G225,Others!$E$218:$I$245,3,FALSE)</f>
        <v>Live Action</v>
      </c>
      <c r="T225" s="5" t="str">
        <f>VLOOKUP($G225,Others!$E$218:$I$245,4,FALSE)</f>
        <v>Contemporary Fiction</v>
      </c>
      <c r="U225" s="5" t="str">
        <f>IFERROR(VLOOKUP($G225,Ratings!$E$56:$I$71,5,FALSE),"None")</f>
        <v>Not Rated</v>
      </c>
      <c r="V225" s="5"/>
      <c r="W225" s="5"/>
      <c r="X225" s="5"/>
      <c r="Y225" s="5"/>
      <c r="Z225" s="5"/>
      <c r="AA225" s="5"/>
      <c r="AB225" s="5"/>
      <c r="AC225" s="5"/>
      <c r="AE225" s="21"/>
      <c r="AF225" s="2" t="s">
        <v>1883</v>
      </c>
    </row>
    <row r="226" spans="1:34" hidden="1">
      <c r="A226" s="3" t="s">
        <v>1856</v>
      </c>
      <c r="B226" s="4">
        <v>2019</v>
      </c>
      <c r="C226" s="4" t="s">
        <v>45</v>
      </c>
      <c r="D226" s="3">
        <f t="shared" si="2"/>
        <v>8</v>
      </c>
      <c r="E226" s="3" t="s">
        <v>621</v>
      </c>
      <c r="G226" s="5" t="s">
        <v>40</v>
      </c>
      <c r="H226" s="5" t="s">
        <v>774</v>
      </c>
      <c r="I226" s="5" t="s">
        <v>129</v>
      </c>
      <c r="J226" s="7">
        <v>0</v>
      </c>
      <c r="M226" s="8">
        <v>3</v>
      </c>
      <c r="N226" s="7">
        <v>1648</v>
      </c>
      <c r="P226" s="7">
        <v>0</v>
      </c>
      <c r="Q226" s="7">
        <v>4295</v>
      </c>
      <c r="R226" s="5" t="str">
        <f>VLOOKUP($G226,Others!$E$218:$I$245,2,FALSE)</f>
        <v>Original Screenplay</v>
      </c>
      <c r="S226" s="5" t="str">
        <f>VLOOKUP($G226,Others!$E$218:$I$245,3,FALSE)</f>
        <v>Live Action</v>
      </c>
      <c r="T226" s="5" t="str">
        <f>VLOOKUP($G226,Others!$E$218:$I$245,4,FALSE)</f>
        <v>Contemporary Fiction</v>
      </c>
      <c r="U226" s="5" t="str">
        <f>IFERROR(VLOOKUP($G226,Ratings!$E$56:$I$71,5,FALSE),"None")</f>
        <v>Not Rated</v>
      </c>
      <c r="V226" s="5"/>
      <c r="X226" s="5"/>
      <c r="Y226" s="5"/>
      <c r="Z226" s="5"/>
      <c r="AA226" s="5"/>
      <c r="AB226" s="5"/>
      <c r="AC226" s="5"/>
      <c r="AG226" s="9"/>
      <c r="AH226" s="9"/>
    </row>
    <row r="227" spans="1:34">
      <c r="A227" s="3" t="s">
        <v>1856</v>
      </c>
      <c r="B227" s="4">
        <v>2019</v>
      </c>
      <c r="C227" s="4" t="s">
        <v>45</v>
      </c>
      <c r="D227" s="3">
        <f t="shared" si="2"/>
        <v>9</v>
      </c>
      <c r="E227" s="55" t="s">
        <v>747</v>
      </c>
      <c r="F227" s="3" t="s">
        <v>747</v>
      </c>
      <c r="G227" s="5" t="s">
        <v>775</v>
      </c>
      <c r="H227" s="5" t="s">
        <v>601</v>
      </c>
      <c r="I227" s="5" t="s">
        <v>131</v>
      </c>
      <c r="J227" s="7">
        <v>3750000</v>
      </c>
      <c r="K227" s="57"/>
      <c r="M227" s="8">
        <v>1</v>
      </c>
      <c r="N227" s="7">
        <v>1652</v>
      </c>
      <c r="P227" s="7">
        <v>16460000</v>
      </c>
      <c r="Q227" s="7">
        <v>16461652</v>
      </c>
      <c r="R227" s="5" t="str">
        <f>VLOOKUP($G227,Others!$E$218:$I$245,2,FALSE)</f>
        <v>Original Screenplay</v>
      </c>
      <c r="S227" s="5" t="str">
        <f>VLOOKUP($G227,Others!$E$218:$I$245,3,FALSE)</f>
        <v>Live Action</v>
      </c>
      <c r="T227" s="5" t="str">
        <f>VLOOKUP($G227,Others!$E$218:$I$245,4,FALSE)</f>
        <v>Contemporary Fiction</v>
      </c>
      <c r="U227" s="5" t="str">
        <f>IFERROR(VLOOKUP($G227,Ratings!$E$56:$I$71,5,FALSE),"None")</f>
        <v>Not Rated</v>
      </c>
      <c r="V227" s="39" t="s">
        <v>1889</v>
      </c>
      <c r="W227" s="39" t="s">
        <v>1890</v>
      </c>
      <c r="X227" s="39" t="s">
        <v>1891</v>
      </c>
      <c r="Y227" s="39" t="s">
        <v>1892</v>
      </c>
      <c r="Z227" s="39" t="s">
        <v>1893</v>
      </c>
      <c r="AA227" s="39" t="s">
        <v>1894</v>
      </c>
      <c r="AB227" s="5"/>
      <c r="AC227" s="39" t="s">
        <v>1895</v>
      </c>
      <c r="AD227" s="47">
        <v>9.1</v>
      </c>
      <c r="AG227" s="9"/>
      <c r="AH227" s="9"/>
    </row>
    <row r="228" spans="1:34">
      <c r="A228" s="3" t="s">
        <v>1856</v>
      </c>
      <c r="B228" s="4">
        <v>2019</v>
      </c>
      <c r="C228" s="4" t="s">
        <v>45</v>
      </c>
      <c r="D228" s="3">
        <f t="shared" si="2"/>
        <v>10</v>
      </c>
      <c r="E228" s="55" t="s">
        <v>642</v>
      </c>
      <c r="F228" s="3" t="s">
        <v>1896</v>
      </c>
      <c r="G228" s="5" t="s">
        <v>776</v>
      </c>
      <c r="H228" s="39" t="s">
        <v>1407</v>
      </c>
      <c r="I228" s="5" t="s">
        <v>129</v>
      </c>
      <c r="J228" s="7">
        <v>11940298.5</v>
      </c>
      <c r="K228" s="7">
        <v>4477611.9400000004</v>
      </c>
      <c r="L228" s="7">
        <v>3552089.55</v>
      </c>
      <c r="M228" s="41">
        <v>61552</v>
      </c>
      <c r="N228" s="42">
        <v>6830000</v>
      </c>
      <c r="O228" s="7">
        <v>9498656.7200000007</v>
      </c>
      <c r="P228" s="7">
        <v>10217493</v>
      </c>
      <c r="Q228" s="7">
        <v>10217493</v>
      </c>
      <c r="R228" s="5" t="str">
        <f>VLOOKUP($G228,Others!$E$218:$I$245,2,FALSE)</f>
        <v>Original Screenplay</v>
      </c>
      <c r="S228" s="5" t="str">
        <f>VLOOKUP($G228,Others!$E$218:$I$245,3,FALSE)</f>
        <v>Live Action</v>
      </c>
      <c r="T228" s="5" t="str">
        <f>VLOOKUP($G228,Others!$E$218:$I$245,4,FALSE)</f>
        <v>Contemporary Fiction</v>
      </c>
      <c r="U228" s="5" t="str">
        <f>IFERROR(VLOOKUP($G228,Ratings!$E$56:$I$71,5,FALSE),"None")</f>
        <v>Not Rated</v>
      </c>
      <c r="V228" s="39" t="s">
        <v>1897</v>
      </c>
      <c r="W228" s="39" t="s">
        <v>1898</v>
      </c>
      <c r="X228" s="39" t="s">
        <v>1899</v>
      </c>
      <c r="Y228" s="5"/>
      <c r="Z228" s="5"/>
      <c r="AA228" s="39" t="s">
        <v>1900</v>
      </c>
      <c r="AB228" s="5"/>
      <c r="AC228" s="5" t="s">
        <v>1901</v>
      </c>
      <c r="AD228" s="47">
        <v>7.9</v>
      </c>
      <c r="AG228" s="9"/>
      <c r="AH228" s="9"/>
    </row>
    <row r="229" spans="1:34" hidden="1">
      <c r="A229" s="3" t="s">
        <v>1856</v>
      </c>
      <c r="B229" s="4">
        <v>2019</v>
      </c>
      <c r="C229" s="4" t="s">
        <v>45</v>
      </c>
      <c r="D229" s="3">
        <f t="shared" si="2"/>
        <v>11</v>
      </c>
      <c r="E229" s="3" t="s">
        <v>659</v>
      </c>
      <c r="G229" s="5" t="s">
        <v>402</v>
      </c>
      <c r="H229" s="39"/>
      <c r="I229" s="5" t="s">
        <v>129</v>
      </c>
      <c r="J229" s="7">
        <v>37500000</v>
      </c>
      <c r="M229" s="41">
        <v>0</v>
      </c>
      <c r="N229" s="42">
        <v>0</v>
      </c>
      <c r="P229" s="7">
        <v>11573104</v>
      </c>
      <c r="Q229" s="7">
        <v>11573104</v>
      </c>
      <c r="R229" s="5" t="str">
        <f>VLOOKUP($G229,Others!$E$218:$I$245,2,FALSE)</f>
        <v>Original Screenplay</v>
      </c>
      <c r="S229" s="5" t="str">
        <f>VLOOKUP($G229,Others!$E$218:$I$245,3,FALSE)</f>
        <v>Live Action</v>
      </c>
      <c r="T229" s="5" t="str">
        <f>VLOOKUP($G229,Others!$E$218:$I$245,4,FALSE)</f>
        <v>Fantasy</v>
      </c>
      <c r="U229" s="5" t="str">
        <f>IFERROR(VLOOKUP($G229,Ratings!$E$56:$I$71,5,FALSE),"None")</f>
        <v>None</v>
      </c>
      <c r="V229" s="5"/>
      <c r="X229" s="5"/>
      <c r="Y229" s="5"/>
      <c r="Z229" s="5"/>
      <c r="AA229" s="5"/>
      <c r="AB229" s="5"/>
      <c r="AC229" s="5"/>
      <c r="AF229" s="79" t="s">
        <v>1883</v>
      </c>
      <c r="AG229" s="9"/>
      <c r="AH229" s="9"/>
    </row>
    <row r="230" spans="1:34" hidden="1">
      <c r="A230" s="3" t="s">
        <v>1856</v>
      </c>
      <c r="B230" s="4">
        <v>2019</v>
      </c>
      <c r="C230" s="4" t="s">
        <v>45</v>
      </c>
      <c r="D230" s="3">
        <f t="shared" si="2"/>
        <v>12</v>
      </c>
      <c r="E230" s="3" t="s">
        <v>676</v>
      </c>
      <c r="G230" s="5" t="s">
        <v>317</v>
      </c>
      <c r="H230" s="5"/>
      <c r="I230" s="5" t="s">
        <v>129</v>
      </c>
      <c r="J230" s="7">
        <v>0</v>
      </c>
      <c r="M230" s="8">
        <v>0</v>
      </c>
      <c r="N230" s="7">
        <v>0</v>
      </c>
      <c r="P230" s="7">
        <v>64601</v>
      </c>
      <c r="Q230" s="7">
        <v>64601</v>
      </c>
      <c r="R230" s="5" t="str">
        <f>VLOOKUP($G230,Others!$E$218:$I$245,2,FALSE)</f>
        <v>Original Screenplay</v>
      </c>
      <c r="S230" s="5" t="str">
        <f>VLOOKUP($G230,Others!$E$218:$I$245,3,FALSE)</f>
        <v>Live Action</v>
      </c>
      <c r="T230" s="5" t="str">
        <f>VLOOKUP($G230,Others!$E$218:$I$245,4,FALSE)</f>
        <v>Contemporary Fiction</v>
      </c>
      <c r="U230" s="5" t="str">
        <f>IFERROR(VLOOKUP($G230,Ratings!$E$56:$I$71,5,FALSE),"None")</f>
        <v>None</v>
      </c>
      <c r="V230" s="5"/>
      <c r="X230" s="5"/>
      <c r="Y230" s="5"/>
      <c r="Z230" s="5"/>
      <c r="AA230" s="5"/>
      <c r="AB230" s="5"/>
      <c r="AC230" s="5"/>
      <c r="AG230" s="9"/>
      <c r="AH230" s="9"/>
    </row>
    <row r="231" spans="1:34" hidden="1">
      <c r="A231" s="3" t="s">
        <v>1856</v>
      </c>
      <c r="B231" s="4">
        <v>2019</v>
      </c>
      <c r="C231" s="4" t="s">
        <v>45</v>
      </c>
      <c r="D231" s="3">
        <f t="shared" si="2"/>
        <v>13</v>
      </c>
      <c r="E231" s="3" t="s">
        <v>676</v>
      </c>
      <c r="G231" s="5" t="s">
        <v>777</v>
      </c>
      <c r="H231" s="5"/>
      <c r="I231" s="5" t="s">
        <v>131</v>
      </c>
      <c r="J231" s="7">
        <v>0</v>
      </c>
      <c r="M231" s="8">
        <v>0</v>
      </c>
      <c r="N231" s="7">
        <v>0</v>
      </c>
      <c r="P231" s="7">
        <v>48932</v>
      </c>
      <c r="Q231" s="7">
        <v>48932</v>
      </c>
      <c r="R231" s="5" t="str">
        <f>VLOOKUP($G231,Others!$E$218:$I$245,2,FALSE)</f>
        <v>Original Screenplay</v>
      </c>
      <c r="S231" s="5" t="str">
        <f>VLOOKUP($G231,Others!$E$218:$I$245,3,FALSE)</f>
        <v>Live Action</v>
      </c>
      <c r="T231" s="5" t="str">
        <f>VLOOKUP($G231,Others!$E$218:$I$245,4,FALSE)</f>
        <v>Contemporary Fiction</v>
      </c>
      <c r="U231" s="5" t="str">
        <f>IFERROR(VLOOKUP($G231,Ratings!$E$56:$I$71,5,FALSE),"None")</f>
        <v>None</v>
      </c>
      <c r="V231" s="5"/>
      <c r="X231" s="5"/>
      <c r="Y231" s="5"/>
      <c r="Z231" s="5"/>
      <c r="AA231" s="5"/>
      <c r="AB231" s="5"/>
      <c r="AC231" s="5"/>
      <c r="AG231" s="9"/>
      <c r="AH231" s="9"/>
    </row>
    <row r="232" spans="1:34" hidden="1">
      <c r="A232" s="3" t="s">
        <v>1856</v>
      </c>
      <c r="B232" s="4">
        <v>2019</v>
      </c>
      <c r="C232" s="4" t="s">
        <v>45</v>
      </c>
      <c r="D232" s="3">
        <f t="shared" si="2"/>
        <v>14</v>
      </c>
      <c r="E232" s="3" t="s">
        <v>676</v>
      </c>
      <c r="G232" s="5" t="s">
        <v>778</v>
      </c>
      <c r="H232" s="5"/>
      <c r="I232" s="5" t="s">
        <v>148</v>
      </c>
      <c r="J232" s="7">
        <v>2250000</v>
      </c>
      <c r="M232" s="8">
        <v>0</v>
      </c>
      <c r="N232" s="7">
        <v>0</v>
      </c>
      <c r="P232" s="7">
        <v>0</v>
      </c>
      <c r="Q232" s="7">
        <v>0</v>
      </c>
      <c r="R232" s="5" t="str">
        <f>VLOOKUP($G232,Others!$E$218:$I$245,2,FALSE)</f>
        <v>Original Screenplay</v>
      </c>
      <c r="S232" s="5" t="str">
        <f>VLOOKUP($G232,Others!$E$218:$I$245,3,FALSE)</f>
        <v>Live Action</v>
      </c>
      <c r="T232" s="5" t="str">
        <f>VLOOKUP($G232,Others!$E$218:$I$245,4,FALSE)</f>
        <v>Contemporary Fiction</v>
      </c>
      <c r="U232" s="5" t="str">
        <f>IFERROR(VLOOKUP($G232,Ratings!$E$56:$I$71,5,FALSE),"None")</f>
        <v>None</v>
      </c>
      <c r="V232" s="5"/>
      <c r="X232" s="5"/>
      <c r="Y232" s="5"/>
      <c r="Z232" s="5"/>
      <c r="AA232" s="5"/>
      <c r="AB232" s="5"/>
      <c r="AC232" s="5"/>
      <c r="AG232" s="9"/>
      <c r="AH232" s="9"/>
    </row>
    <row r="233" spans="1:34">
      <c r="A233" s="3" t="s">
        <v>1856</v>
      </c>
      <c r="B233" s="4">
        <v>2019</v>
      </c>
      <c r="C233" s="4" t="s">
        <v>45</v>
      </c>
      <c r="D233" s="3">
        <f t="shared" si="2"/>
        <v>15</v>
      </c>
      <c r="E233" s="55" t="s">
        <v>676</v>
      </c>
      <c r="F233" s="56" t="s">
        <v>1902</v>
      </c>
      <c r="G233" s="5" t="s">
        <v>49</v>
      </c>
      <c r="H233" s="39" t="s">
        <v>1676</v>
      </c>
      <c r="I233" s="5" t="s">
        <v>131</v>
      </c>
      <c r="J233" s="7">
        <v>30000000</v>
      </c>
      <c r="K233" s="57"/>
      <c r="M233" s="41">
        <v>28181</v>
      </c>
      <c r="N233" s="42">
        <v>1450000</v>
      </c>
      <c r="P233" s="7">
        <v>2640000</v>
      </c>
      <c r="Q233" s="7">
        <v>2640000</v>
      </c>
      <c r="R233" s="5" t="str">
        <f>VLOOKUP($G233,Others!$E$218:$I$245,2,FALSE)</f>
        <v>Original Screenplay</v>
      </c>
      <c r="S233" s="5" t="str">
        <f>VLOOKUP($G233,Others!$E$218:$I$245,3,FALSE)</f>
        <v>Live Action</v>
      </c>
      <c r="T233" s="5" t="str">
        <f>VLOOKUP($G233,Others!$E$218:$I$245,4,FALSE)</f>
        <v>Contemporary Fiction</v>
      </c>
      <c r="U233" s="5" t="str">
        <f>IFERROR(VLOOKUP($G233,Ratings!$E$56:$I$71,5,FALSE),"None")</f>
        <v>None</v>
      </c>
      <c r="V233" s="39" t="s">
        <v>1903</v>
      </c>
      <c r="W233" s="39" t="s">
        <v>1904</v>
      </c>
      <c r="X233" s="39" t="s">
        <v>1905</v>
      </c>
      <c r="Y233" s="39" t="s">
        <v>1906</v>
      </c>
      <c r="Z233" s="39" t="s">
        <v>1907</v>
      </c>
      <c r="AA233" s="39" t="s">
        <v>1908</v>
      </c>
      <c r="AB233" s="5"/>
      <c r="AC233" s="39" t="s">
        <v>1909</v>
      </c>
      <c r="AD233" s="47">
        <v>8.1</v>
      </c>
      <c r="AG233" s="9"/>
      <c r="AH233" s="9"/>
    </row>
    <row r="234" spans="1:34" s="1" customFormat="1" hidden="1">
      <c r="A234" s="3" t="s">
        <v>1856</v>
      </c>
      <c r="B234" s="4">
        <v>2017</v>
      </c>
      <c r="C234" s="4" t="s">
        <v>45</v>
      </c>
      <c r="D234" s="3">
        <f t="shared" si="2"/>
        <v>16</v>
      </c>
      <c r="E234" s="3" t="s">
        <v>661</v>
      </c>
      <c r="F234" s="3" t="s">
        <v>1910</v>
      </c>
      <c r="G234" s="5" t="s">
        <v>57</v>
      </c>
      <c r="H234" s="5" t="s">
        <v>1408</v>
      </c>
      <c r="I234" s="5" t="s">
        <v>131</v>
      </c>
      <c r="J234" s="7">
        <v>44776119</v>
      </c>
      <c r="K234" s="7">
        <v>8955223</v>
      </c>
      <c r="L234" s="7">
        <v>28208955</v>
      </c>
      <c r="M234" s="8">
        <v>70359</v>
      </c>
      <c r="N234" s="7">
        <v>39959722</v>
      </c>
      <c r="O234" s="7">
        <v>74477611</v>
      </c>
      <c r="P234" s="7">
        <v>97033612</v>
      </c>
      <c r="Q234" s="7">
        <v>97033612</v>
      </c>
      <c r="R234" s="5" t="str">
        <f>VLOOKUP($G234,Others!$E$218:$I$245,2,FALSE)</f>
        <v>Based on Fiction Book/Short Story</v>
      </c>
      <c r="S234" s="5" t="str">
        <f>VLOOKUP($G234,Others!$E$218:$I$245,3,FALSE)</f>
        <v>Live Action</v>
      </c>
      <c r="T234" s="5" t="str">
        <f>VLOOKUP($G234,Others!$E$218:$I$245,4,FALSE)</f>
        <v>Fantasy</v>
      </c>
      <c r="U234" s="5" t="str">
        <f>IFERROR(VLOOKUP($G234,Ratings!$E$56:$I$71,5,FALSE),"None")</f>
        <v>Not Rated</v>
      </c>
      <c r="V234" s="5" t="s">
        <v>1654</v>
      </c>
      <c r="W234" s="5" t="s">
        <v>1655</v>
      </c>
      <c r="X234" s="5" t="s">
        <v>1656</v>
      </c>
      <c r="Y234" s="5" t="s">
        <v>1657</v>
      </c>
      <c r="Z234" s="5" t="s">
        <v>1907</v>
      </c>
      <c r="AA234" s="5" t="s">
        <v>1642</v>
      </c>
      <c r="AB234" s="5"/>
      <c r="AC234" s="5" t="s">
        <v>1911</v>
      </c>
      <c r="AD234" s="9">
        <v>7.5</v>
      </c>
      <c r="AE234" s="1" t="s">
        <v>1489</v>
      </c>
      <c r="AF234" s="81" t="s">
        <v>1883</v>
      </c>
    </row>
    <row r="235" spans="1:34" hidden="1">
      <c r="A235" s="3" t="s">
        <v>1856</v>
      </c>
      <c r="B235" s="4">
        <v>2019</v>
      </c>
      <c r="C235" s="4" t="s">
        <v>45</v>
      </c>
      <c r="D235" s="3">
        <f t="shared" si="2"/>
        <v>17</v>
      </c>
      <c r="E235" s="3" t="s">
        <v>613</v>
      </c>
      <c r="G235" s="5" t="s">
        <v>614</v>
      </c>
      <c r="H235" s="5" t="s">
        <v>1407</v>
      </c>
      <c r="I235" s="5" t="s">
        <v>127</v>
      </c>
      <c r="J235" s="7">
        <v>25800000</v>
      </c>
      <c r="M235" s="8">
        <v>60570</v>
      </c>
      <c r="N235" s="7">
        <v>3880000</v>
      </c>
      <c r="P235" s="7">
        <v>4957041</v>
      </c>
      <c r="Q235" s="7">
        <v>4957041</v>
      </c>
      <c r="R235" s="39" t="s">
        <v>606</v>
      </c>
      <c r="S235" s="5" t="str">
        <f>VLOOKUP($G235,Others!$E$218:$I$245,3,FALSE)</f>
        <v>Live Action</v>
      </c>
      <c r="T235" s="5" t="str">
        <f>VLOOKUP($G235,Others!$E$218:$I$245,4,FALSE)</f>
        <v>Factual</v>
      </c>
      <c r="U235" s="5" t="str">
        <f>IFERROR(VLOOKUP($G235,Ratings!$E$56:$I$71,5,FALSE),"None")</f>
        <v>None</v>
      </c>
      <c r="V235" s="5" t="s">
        <v>1495</v>
      </c>
      <c r="W235" s="5" t="s">
        <v>1496</v>
      </c>
      <c r="X235" s="5" t="s">
        <v>1497</v>
      </c>
      <c r="Y235" s="5"/>
      <c r="Z235" s="5"/>
      <c r="AA235" s="5" t="s">
        <v>1498</v>
      </c>
      <c r="AB235" s="5"/>
      <c r="AC235" s="9"/>
      <c r="AF235" s="79" t="s">
        <v>1883</v>
      </c>
      <c r="AG235" s="9"/>
      <c r="AH235" s="9"/>
    </row>
    <row r="236" spans="1:34" hidden="1">
      <c r="A236" s="3" t="s">
        <v>1856</v>
      </c>
      <c r="B236" s="4">
        <v>2019</v>
      </c>
      <c r="C236" s="4" t="s">
        <v>45</v>
      </c>
      <c r="D236" s="3">
        <f t="shared" si="2"/>
        <v>18</v>
      </c>
      <c r="E236" s="3" t="s">
        <v>779</v>
      </c>
      <c r="G236" s="5" t="s">
        <v>780</v>
      </c>
      <c r="H236" s="5"/>
      <c r="I236" s="5" t="s">
        <v>191</v>
      </c>
      <c r="J236" s="7">
        <v>0</v>
      </c>
      <c r="M236" s="8">
        <v>0</v>
      </c>
      <c r="N236" s="7">
        <v>0</v>
      </c>
      <c r="P236" s="7">
        <v>0</v>
      </c>
      <c r="Q236" s="7">
        <v>0</v>
      </c>
      <c r="R236" s="5" t="str">
        <f>VLOOKUP($G236,Others!$E$218:$I$245,2,FALSE)</f>
        <v>Based on Real Life Events</v>
      </c>
      <c r="S236" s="5" t="str">
        <f>VLOOKUP($G236,Others!$E$218:$I$245,3,FALSE)</f>
        <v>Live Action</v>
      </c>
      <c r="T236" s="5" t="str">
        <f>VLOOKUP($G236,Others!$E$218:$I$245,4,FALSE)</f>
        <v>Factual</v>
      </c>
      <c r="U236" s="5" t="str">
        <f>IFERROR(VLOOKUP($G236,Ratings!$E$56:$I$71,5,FALSE),"None")</f>
        <v>PG</v>
      </c>
      <c r="V236" s="5"/>
      <c r="X236" s="5"/>
      <c r="Y236" s="5"/>
      <c r="Z236" s="5"/>
      <c r="AA236" s="5"/>
      <c r="AB236" s="5"/>
      <c r="AC236" s="5"/>
      <c r="AG236" s="9"/>
      <c r="AH236" s="9"/>
    </row>
    <row r="237" spans="1:34">
      <c r="A237" s="3" t="s">
        <v>1856</v>
      </c>
      <c r="B237" s="4">
        <v>2019</v>
      </c>
      <c r="C237" s="4" t="s">
        <v>45</v>
      </c>
      <c r="D237" s="3">
        <f t="shared" si="2"/>
        <v>19</v>
      </c>
      <c r="E237" s="55" t="s">
        <v>765</v>
      </c>
      <c r="F237" s="3" t="s">
        <v>765</v>
      </c>
      <c r="G237" s="5" t="s">
        <v>781</v>
      </c>
      <c r="H237" s="5" t="s">
        <v>782</v>
      </c>
      <c r="I237" s="5" t="s">
        <v>1404</v>
      </c>
      <c r="J237" s="7">
        <v>41791044</v>
      </c>
      <c r="K237" s="57" t="s">
        <v>1411</v>
      </c>
      <c r="L237" s="7">
        <v>5970149</v>
      </c>
      <c r="M237" s="8">
        <v>37</v>
      </c>
      <c r="N237" s="7">
        <v>1781952</v>
      </c>
      <c r="O237" s="7">
        <v>17014925</v>
      </c>
      <c r="P237" s="7">
        <v>17314737</v>
      </c>
      <c r="Q237" s="7">
        <v>17314737</v>
      </c>
      <c r="R237" s="39" t="s">
        <v>606</v>
      </c>
      <c r="S237" s="5" t="str">
        <f>VLOOKUP($G237,Others!$E$218:$I$245,3,FALSE)</f>
        <v>Live Action</v>
      </c>
      <c r="T237" s="39" t="s">
        <v>616</v>
      </c>
      <c r="U237" s="5" t="str">
        <f>IFERROR(VLOOKUP($G237,Ratings!$E$56:$I$71,5,FALSE),"None")</f>
        <v>Not Rated</v>
      </c>
      <c r="V237" s="5" t="s">
        <v>1912</v>
      </c>
      <c r="W237" s="5" t="s">
        <v>1913</v>
      </c>
      <c r="X237" s="5" t="s">
        <v>1914</v>
      </c>
      <c r="Y237" s="5" t="s">
        <v>1860</v>
      </c>
      <c r="Z237" s="5"/>
      <c r="AA237" s="5" t="s">
        <v>1915</v>
      </c>
      <c r="AB237" s="5"/>
      <c r="AC237" s="5" t="s">
        <v>1916</v>
      </c>
      <c r="AD237" s="9">
        <v>7.2</v>
      </c>
      <c r="AE237" s="1" t="s">
        <v>1489</v>
      </c>
      <c r="AG237" s="9"/>
      <c r="AH237" s="9"/>
    </row>
    <row r="238" spans="1:34" hidden="1">
      <c r="A238" s="3" t="s">
        <v>1856</v>
      </c>
      <c r="B238" s="4">
        <v>2019</v>
      </c>
      <c r="C238" s="4" t="s">
        <v>45</v>
      </c>
      <c r="D238" s="3">
        <f t="shared" si="2"/>
        <v>20</v>
      </c>
      <c r="E238" s="3" t="s">
        <v>676</v>
      </c>
      <c r="G238" s="5" t="s">
        <v>783</v>
      </c>
      <c r="H238" s="5"/>
      <c r="I238" s="5" t="s">
        <v>131</v>
      </c>
      <c r="J238" s="7">
        <v>0</v>
      </c>
      <c r="M238" s="8">
        <v>0</v>
      </c>
      <c r="N238" s="7">
        <v>0</v>
      </c>
      <c r="P238" s="7">
        <v>0</v>
      </c>
      <c r="Q238" s="7">
        <v>0</v>
      </c>
      <c r="R238" s="5" t="str">
        <f>VLOOKUP($G238,Others!$E$218:$I$245,2,FALSE)</f>
        <v>Original Screenplay</v>
      </c>
      <c r="S238" s="5" t="str">
        <f>VLOOKUP($G238,Others!$E$218:$I$245,3,FALSE)</f>
        <v>Live Action</v>
      </c>
      <c r="T238" s="5" t="str">
        <f>VLOOKUP($G238,Others!$E$218:$I$245,4,FALSE)</f>
        <v>Contemporary Fiction</v>
      </c>
      <c r="U238" s="5" t="str">
        <f>IFERROR(VLOOKUP($G238,Ratings!$E$56:$I$71,5,FALSE),"None")</f>
        <v>None</v>
      </c>
      <c r="V238" s="5"/>
      <c r="X238" s="5"/>
      <c r="Y238" s="5"/>
      <c r="Z238" s="5"/>
      <c r="AA238" s="5"/>
      <c r="AB238" s="5"/>
      <c r="AG238" s="9"/>
      <c r="AH238" s="9"/>
    </row>
    <row r="239" spans="1:34" hidden="1">
      <c r="A239" s="3" t="s">
        <v>1856</v>
      </c>
      <c r="B239" s="4">
        <v>2019</v>
      </c>
      <c r="C239" s="4" t="s">
        <v>45</v>
      </c>
      <c r="D239" s="3">
        <f t="shared" si="2"/>
        <v>21</v>
      </c>
      <c r="E239" s="3" t="s">
        <v>676</v>
      </c>
      <c r="G239" s="5" t="s">
        <v>215</v>
      </c>
      <c r="H239" s="5"/>
      <c r="I239" s="5" t="s">
        <v>131</v>
      </c>
      <c r="J239" s="7">
        <v>0</v>
      </c>
      <c r="M239" s="8">
        <v>0</v>
      </c>
      <c r="N239" s="7">
        <v>0</v>
      </c>
      <c r="P239" s="7">
        <v>3470000</v>
      </c>
      <c r="Q239" s="7">
        <v>3470000</v>
      </c>
      <c r="R239" s="5" t="str">
        <f>VLOOKUP($G239,Others!$E$218:$I$245,2,FALSE)</f>
        <v>Original Screenplay</v>
      </c>
      <c r="S239" s="5" t="str">
        <f>VLOOKUP($G239,Others!$E$218:$I$245,3,FALSE)</f>
        <v>Live Action</v>
      </c>
      <c r="T239" s="5" t="str">
        <f>VLOOKUP($G239,Others!$E$218:$I$245,4,FALSE)</f>
        <v>Contemporary Fiction</v>
      </c>
      <c r="U239" s="5" t="str">
        <f>IFERROR(VLOOKUP($G239,Ratings!$E$56:$I$71,5,FALSE),"None")</f>
        <v>None</v>
      </c>
      <c r="V239" s="5"/>
      <c r="X239" s="5"/>
      <c r="Y239" s="5"/>
      <c r="Z239" s="5"/>
      <c r="AA239" s="5"/>
      <c r="AB239" s="5"/>
      <c r="AF239" s="79" t="s">
        <v>1883</v>
      </c>
      <c r="AG239" s="9"/>
      <c r="AH239" s="9"/>
    </row>
    <row r="240" spans="1:34" hidden="1">
      <c r="A240" s="3" t="s">
        <v>1856</v>
      </c>
      <c r="B240" s="4">
        <v>2019</v>
      </c>
      <c r="C240" s="4" t="s">
        <v>45</v>
      </c>
      <c r="D240" s="3">
        <f t="shared" si="2"/>
        <v>22</v>
      </c>
      <c r="E240" s="3" t="s">
        <v>676</v>
      </c>
      <c r="G240" s="5" t="s">
        <v>784</v>
      </c>
      <c r="H240" s="5"/>
      <c r="I240" s="5" t="s">
        <v>154</v>
      </c>
      <c r="J240" s="7">
        <v>0</v>
      </c>
      <c r="M240" s="8">
        <v>0</v>
      </c>
      <c r="N240" s="7">
        <v>0</v>
      </c>
      <c r="P240" s="7">
        <v>983086</v>
      </c>
      <c r="Q240" s="7">
        <v>983086</v>
      </c>
      <c r="R240" s="5" t="str">
        <f>VLOOKUP($G240,Others!$E$218:$I$245,2,FALSE)</f>
        <v>Original Screenplay</v>
      </c>
      <c r="S240" s="5" t="str">
        <f>VLOOKUP($G240,Others!$E$218:$I$245,3,FALSE)</f>
        <v>Live Action</v>
      </c>
      <c r="T240" s="5" t="str">
        <f>VLOOKUP($G240,Others!$E$218:$I$245,4,FALSE)</f>
        <v>Contemporary Fiction</v>
      </c>
      <c r="U240" s="5" t="str">
        <f>IFERROR(VLOOKUP($G240,Ratings!$E$56:$I$71,5,FALSE),"None")</f>
        <v>None</v>
      </c>
      <c r="V240" s="5"/>
      <c r="X240" s="5"/>
      <c r="Y240" s="5"/>
      <c r="Z240" s="5"/>
      <c r="AA240" s="5"/>
      <c r="AB240" s="5"/>
      <c r="AG240" s="9"/>
      <c r="AH240" s="9"/>
    </row>
    <row r="241" spans="1:34" hidden="1">
      <c r="A241" s="3" t="s">
        <v>1856</v>
      </c>
      <c r="B241" s="4">
        <v>2019</v>
      </c>
      <c r="C241" s="4" t="s">
        <v>45</v>
      </c>
      <c r="D241" s="3">
        <f t="shared" si="2"/>
        <v>23</v>
      </c>
      <c r="E241" s="3" t="s">
        <v>785</v>
      </c>
      <c r="G241" s="5" t="s">
        <v>786</v>
      </c>
      <c r="H241" s="5"/>
      <c r="I241" s="5" t="s">
        <v>129</v>
      </c>
      <c r="J241" s="7">
        <v>15000000</v>
      </c>
      <c r="M241" s="8">
        <v>0</v>
      </c>
      <c r="N241" s="7">
        <v>0</v>
      </c>
      <c r="P241" s="7">
        <v>0</v>
      </c>
      <c r="Q241" s="7">
        <v>0</v>
      </c>
      <c r="R241" s="5" t="str">
        <f>VLOOKUP($G241,Others!$E$218:$I$245,2,FALSE)</f>
        <v>Original Screenplay</v>
      </c>
      <c r="S241" s="5" t="str">
        <f>VLOOKUP($G241,Others!$E$218:$I$245,3,FALSE)</f>
        <v>Live Action</v>
      </c>
      <c r="T241" s="5" t="str">
        <f>VLOOKUP($G241,Others!$E$218:$I$245,4,FALSE)</f>
        <v>Contemporary Fiction</v>
      </c>
      <c r="U241" s="5" t="str">
        <f>IFERROR(VLOOKUP($G241,Ratings!$E$56:$I$71,5,FALSE),"None")</f>
        <v>R</v>
      </c>
      <c r="V241" s="5"/>
      <c r="X241" s="5"/>
      <c r="Y241" s="5"/>
      <c r="Z241" s="5"/>
      <c r="AA241" s="5"/>
      <c r="AB241" s="5"/>
      <c r="AG241" s="9"/>
      <c r="AH241" s="9"/>
    </row>
    <row r="242" spans="1:34" hidden="1">
      <c r="A242" s="3" t="s">
        <v>1856</v>
      </c>
      <c r="B242" s="4">
        <v>2019</v>
      </c>
      <c r="C242" s="4" t="s">
        <v>45</v>
      </c>
      <c r="D242" s="3">
        <f t="shared" si="2"/>
        <v>24</v>
      </c>
      <c r="E242" s="3" t="s">
        <v>676</v>
      </c>
      <c r="G242" s="5" t="s">
        <v>787</v>
      </c>
      <c r="H242" s="5"/>
      <c r="I242" s="5" t="s">
        <v>253</v>
      </c>
      <c r="J242" s="7">
        <v>0</v>
      </c>
      <c r="M242" s="8">
        <v>0</v>
      </c>
      <c r="N242" s="7">
        <v>0</v>
      </c>
      <c r="P242" s="7">
        <v>0</v>
      </c>
      <c r="Q242" s="7">
        <v>0</v>
      </c>
      <c r="R242" s="5" t="str">
        <f>VLOOKUP($G242,Others!$E$218:$I$245,2,FALSE)</f>
        <v>Original Screenplay</v>
      </c>
      <c r="S242" s="5" t="str">
        <f>VLOOKUP($G242,Others!$E$218:$I$245,3,FALSE)</f>
        <v>Live Action</v>
      </c>
      <c r="T242" s="5" t="str">
        <f>VLOOKUP($G242,Others!$E$218:$I$245,4,FALSE)</f>
        <v>Contemporary Fiction</v>
      </c>
      <c r="U242" s="5" t="str">
        <f>IFERROR(VLOOKUP($G242,Ratings!$E$56:$I$71,5,FALSE),"None")</f>
        <v>Not Rated</v>
      </c>
      <c r="V242" s="5"/>
      <c r="X242" s="5"/>
      <c r="Y242" s="5"/>
      <c r="Z242" s="5"/>
      <c r="AA242" s="5"/>
      <c r="AB242" s="5"/>
      <c r="AG242" s="9"/>
      <c r="AH242" s="9"/>
    </row>
    <row r="243" spans="1:34" hidden="1">
      <c r="A243" s="3" t="s">
        <v>1856</v>
      </c>
      <c r="B243" s="4">
        <v>2019</v>
      </c>
      <c r="C243" s="4" t="s">
        <v>45</v>
      </c>
      <c r="D243" s="3">
        <f t="shared" si="2"/>
        <v>25</v>
      </c>
      <c r="E243" s="3" t="s">
        <v>788</v>
      </c>
      <c r="G243" s="5" t="s">
        <v>789</v>
      </c>
      <c r="H243" s="5"/>
      <c r="I243" s="5" t="s">
        <v>129</v>
      </c>
      <c r="J243" s="7">
        <v>0</v>
      </c>
      <c r="M243" s="8">
        <v>0</v>
      </c>
      <c r="N243" s="7">
        <v>0</v>
      </c>
      <c r="P243" s="7">
        <v>0</v>
      </c>
      <c r="Q243" s="7">
        <v>0</v>
      </c>
      <c r="R243" s="5" t="str">
        <f>VLOOKUP($G243,Others!$E$218:$I$245,2,FALSE)</f>
        <v>Original Screenplay</v>
      </c>
      <c r="S243" s="5" t="str">
        <f>VLOOKUP($G243,Others!$E$218:$I$245,3,FALSE)</f>
        <v>Live Action</v>
      </c>
      <c r="T243" s="5" t="str">
        <f>VLOOKUP($G243,Others!$E$218:$I$245,4,FALSE)</f>
        <v>Contemporary Fiction</v>
      </c>
      <c r="U243" s="5" t="str">
        <f>IFERROR(VLOOKUP($G243,Ratings!$E$56:$I$71,5,FALSE),"None")</f>
        <v>Not Rated</v>
      </c>
      <c r="V243" s="5"/>
      <c r="X243" s="5"/>
      <c r="Y243" s="5"/>
      <c r="Z243" s="5"/>
      <c r="AA243" s="5"/>
      <c r="AB243" s="5"/>
      <c r="AG243" s="9"/>
      <c r="AH243" s="9"/>
    </row>
    <row r="244" spans="1:34" hidden="1">
      <c r="A244" s="3" t="s">
        <v>1856</v>
      </c>
      <c r="B244" s="4">
        <v>2019</v>
      </c>
      <c r="C244" s="4" t="s">
        <v>45</v>
      </c>
      <c r="D244" s="3">
        <f t="shared" si="2"/>
        <v>26</v>
      </c>
      <c r="E244" s="3" t="s">
        <v>676</v>
      </c>
      <c r="G244" s="5" t="s">
        <v>176</v>
      </c>
      <c r="H244" s="39"/>
      <c r="I244" s="5" t="s">
        <v>129</v>
      </c>
      <c r="J244" s="7">
        <v>22500000</v>
      </c>
      <c r="M244" s="41">
        <v>0</v>
      </c>
      <c r="N244" s="42">
        <v>0</v>
      </c>
      <c r="P244" s="7">
        <v>14917516</v>
      </c>
      <c r="Q244" s="7">
        <v>14917516</v>
      </c>
      <c r="R244" s="5" t="str">
        <f>VLOOKUP($G244,Others!$E$218:$I$245,2,FALSE)</f>
        <v>Original Screenplay</v>
      </c>
      <c r="S244" s="5" t="str">
        <f>VLOOKUP($G244,Others!$E$218:$I$245,3,FALSE)</f>
        <v>Live Action</v>
      </c>
      <c r="T244" s="5" t="str">
        <f>VLOOKUP($G244,Others!$E$218:$I$245,4,FALSE)</f>
        <v>Contemporary Fiction</v>
      </c>
      <c r="U244" s="5" t="str">
        <f>IFERROR(VLOOKUP($G244,Ratings!$E$56:$I$71,5,FALSE),"None")</f>
        <v>None</v>
      </c>
      <c r="V244" s="5"/>
      <c r="X244" s="5"/>
      <c r="Y244" s="5"/>
      <c r="Z244" s="5"/>
      <c r="AA244" s="5"/>
      <c r="AB244" s="5"/>
      <c r="AF244" s="79" t="s">
        <v>1883</v>
      </c>
      <c r="AG244" s="9"/>
      <c r="AH244" s="9"/>
    </row>
    <row r="245" spans="1:34">
      <c r="A245" s="3" t="s">
        <v>1856</v>
      </c>
      <c r="B245" s="4">
        <v>2019</v>
      </c>
      <c r="C245" s="4" t="s">
        <v>45</v>
      </c>
      <c r="D245" s="3">
        <f t="shared" si="2"/>
        <v>27</v>
      </c>
      <c r="E245" s="55" t="s">
        <v>676</v>
      </c>
      <c r="F245" s="3" t="s">
        <v>676</v>
      </c>
      <c r="G245" s="5" t="s">
        <v>790</v>
      </c>
      <c r="H245" s="39" t="s">
        <v>1501</v>
      </c>
      <c r="I245" s="5" t="s">
        <v>129</v>
      </c>
      <c r="J245" s="7">
        <v>2340000</v>
      </c>
      <c r="K245" s="57"/>
      <c r="M245" s="41" t="s">
        <v>1501</v>
      </c>
      <c r="N245" s="41" t="s">
        <v>1501</v>
      </c>
      <c r="P245" s="7">
        <v>2300000</v>
      </c>
      <c r="Q245" s="7">
        <v>2300000</v>
      </c>
      <c r="R245" s="5" t="str">
        <f>VLOOKUP($G245,Others!$E$218:$I$245,2,FALSE)</f>
        <v>Original Screenplay</v>
      </c>
      <c r="S245" s="5" t="str">
        <f>VLOOKUP($G245,Others!$E$218:$I$245,3,FALSE)</f>
        <v>Live Action</v>
      </c>
      <c r="T245" s="5" t="str">
        <f>VLOOKUP($G245,Others!$E$218:$I$245,4,FALSE)</f>
        <v>Contemporary Fiction</v>
      </c>
      <c r="U245" s="5" t="str">
        <f>IFERROR(VLOOKUP($G245,Ratings!$E$56:$I$71,5,FALSE),"None")</f>
        <v>None</v>
      </c>
      <c r="V245" s="39" t="s">
        <v>1917</v>
      </c>
      <c r="W245" s="39" t="s">
        <v>1411</v>
      </c>
      <c r="X245" s="39" t="s">
        <v>1411</v>
      </c>
      <c r="Y245" s="5"/>
      <c r="Z245" s="5"/>
      <c r="AA245" s="39" t="s">
        <v>1918</v>
      </c>
      <c r="AB245" s="5"/>
      <c r="AC245" s="39" t="s">
        <v>1501</v>
      </c>
      <c r="AD245" s="59">
        <v>5</v>
      </c>
      <c r="AG245" s="9"/>
      <c r="AH245" s="9"/>
    </row>
    <row r="246" spans="1:34" hidden="1">
      <c r="A246" s="3" t="s">
        <v>1856</v>
      </c>
      <c r="B246" s="4">
        <v>2019</v>
      </c>
      <c r="C246" s="4" t="s">
        <v>45</v>
      </c>
      <c r="D246" s="3">
        <f t="shared" si="2"/>
        <v>28</v>
      </c>
      <c r="E246" s="3" t="s">
        <v>676</v>
      </c>
      <c r="G246" s="5" t="s">
        <v>791</v>
      </c>
      <c r="H246" s="5"/>
      <c r="I246" s="5" t="s">
        <v>131</v>
      </c>
      <c r="J246" s="7">
        <v>0</v>
      </c>
      <c r="M246" s="8">
        <v>0</v>
      </c>
      <c r="N246" s="7">
        <v>0</v>
      </c>
      <c r="P246" s="7">
        <v>1736047</v>
      </c>
      <c r="Q246" s="7">
        <v>1736047</v>
      </c>
      <c r="R246" s="5">
        <f>VLOOKUP($G246,Others!$E$218:$I$245,2,FALSE)</f>
        <v>0</v>
      </c>
      <c r="S246" s="5" t="str">
        <f>VLOOKUP($G246,Others!$E$218:$I$245,3,FALSE)</f>
        <v>Live Action</v>
      </c>
      <c r="T246" s="5">
        <f>VLOOKUP($G246,Others!$E$218:$I$245,4,FALSE)</f>
        <v>0</v>
      </c>
      <c r="U246" s="5" t="str">
        <f>IFERROR(VLOOKUP($G246,Ratings!$E$56:$I$71,5,FALSE),"None")</f>
        <v>None</v>
      </c>
      <c r="V246" s="5"/>
      <c r="X246" s="5"/>
      <c r="Y246" s="5"/>
      <c r="Z246" s="5"/>
      <c r="AA246" s="5"/>
      <c r="AB246" s="5"/>
      <c r="AG246" s="9"/>
      <c r="AH246" s="9"/>
    </row>
    <row r="247" spans="1:34">
      <c r="A247" s="3" t="s">
        <v>1856</v>
      </c>
      <c r="B247" s="4">
        <v>2019</v>
      </c>
      <c r="C247" s="4" t="s">
        <v>46</v>
      </c>
      <c r="D247" s="3">
        <v>1</v>
      </c>
      <c r="E247" s="55" t="s">
        <v>617</v>
      </c>
      <c r="F247" s="3" t="s">
        <v>617</v>
      </c>
      <c r="G247" s="5" t="s">
        <v>55</v>
      </c>
      <c r="H247" s="5" t="s">
        <v>626</v>
      </c>
      <c r="I247" s="5" t="s">
        <v>131</v>
      </c>
      <c r="J247" s="7">
        <v>4500000</v>
      </c>
      <c r="K247" s="57"/>
      <c r="M247" s="8">
        <v>40</v>
      </c>
      <c r="N247" s="7">
        <v>185928</v>
      </c>
      <c r="P247" s="7">
        <v>150333552</v>
      </c>
      <c r="Q247" s="7">
        <v>151056221</v>
      </c>
      <c r="R247" s="5" t="str">
        <f>VLOOKUP($G247,Others!$E$246:$I$254,2,FALSE)</f>
        <v>Original Screenplay</v>
      </c>
      <c r="S247" s="5" t="str">
        <f>VLOOKUP($G247,Others!$E$246:$I$254,3,FALSE)</f>
        <v>Live Action</v>
      </c>
      <c r="T247" s="5" t="str">
        <f>VLOOKUP($G247,Others!$E$246:$I$254,4,FALSE)</f>
        <v>Contemporary Fiction</v>
      </c>
      <c r="U247" s="5" t="str">
        <f>IFERROR(VLOOKUP($G247,Ratings!$E$72:$I$76,5,FALSE),"None")</f>
        <v>Not Rated</v>
      </c>
      <c r="V247" s="39" t="s">
        <v>1919</v>
      </c>
      <c r="W247" s="39" t="s">
        <v>1920</v>
      </c>
      <c r="X247" s="39" t="s">
        <v>1921</v>
      </c>
      <c r="Y247" s="39" t="s">
        <v>1922</v>
      </c>
      <c r="Z247" s="39" t="s">
        <v>1923</v>
      </c>
      <c r="AA247" s="39" t="s">
        <v>1924</v>
      </c>
      <c r="AB247" s="5"/>
      <c r="AC247" s="50" t="s">
        <v>1925</v>
      </c>
      <c r="AD247" s="59">
        <v>8</v>
      </c>
      <c r="AG247" s="9"/>
      <c r="AH247" s="9"/>
    </row>
    <row r="248" spans="1:34" ht="15" hidden="1">
      <c r="A248" s="3" t="s">
        <v>1856</v>
      </c>
      <c r="B248" s="4">
        <v>2019</v>
      </c>
      <c r="C248" s="4" t="s">
        <v>46</v>
      </c>
      <c r="D248" s="3">
        <f t="shared" ref="D248:D255" si="3">D247+1</f>
        <v>2</v>
      </c>
      <c r="E248" s="3" t="s">
        <v>625</v>
      </c>
      <c r="G248" s="5" t="s">
        <v>172</v>
      </c>
      <c r="H248" s="5" t="s">
        <v>626</v>
      </c>
      <c r="I248" s="5" t="s">
        <v>131</v>
      </c>
      <c r="J248" s="7">
        <v>4500000</v>
      </c>
      <c r="K248" s="7" t="s">
        <v>1411</v>
      </c>
      <c r="L248" s="7">
        <v>6119403</v>
      </c>
      <c r="M248" s="8">
        <v>33178</v>
      </c>
      <c r="N248" s="7">
        <v>46720</v>
      </c>
      <c r="O248" s="7">
        <v>18059701</v>
      </c>
      <c r="P248" s="7">
        <v>18914072</v>
      </c>
      <c r="Q248" s="7">
        <v>19005956</v>
      </c>
      <c r="R248" s="5" t="str">
        <f>VLOOKUP($G248,Others!$E$246:$I$254,2,FALSE)</f>
        <v>Original Screenplay</v>
      </c>
      <c r="S248" s="5" t="str">
        <f>VLOOKUP($G248,Others!$E$246:$I$254,3,FALSE)</f>
        <v>Live Action</v>
      </c>
      <c r="T248" s="5" t="str">
        <f>VLOOKUP($G248,Others!$E$246:$I$254,4,FALSE)</f>
        <v>Contemporary Fiction</v>
      </c>
      <c r="U248" s="5" t="str">
        <f>IFERROR(VLOOKUP($G248,Ratings!$E$72:$I$76,5,FALSE),"None")</f>
        <v>Not Rated</v>
      </c>
      <c r="V248" s="5" t="s">
        <v>1539</v>
      </c>
      <c r="W248" s="5" t="s">
        <v>1540</v>
      </c>
      <c r="X248" s="5" t="s">
        <v>1541</v>
      </c>
      <c r="Y248" s="5"/>
      <c r="Z248" s="5"/>
      <c r="AA248" s="5" t="s">
        <v>1542</v>
      </c>
      <c r="AB248" s="5"/>
      <c r="AC248" s="5" t="s">
        <v>1543</v>
      </c>
      <c r="AD248" s="9">
        <v>5.0999999999999996</v>
      </c>
      <c r="AE248" s="1" t="s">
        <v>1489</v>
      </c>
      <c r="AF248" s="79" t="s">
        <v>1883</v>
      </c>
      <c r="AG248" s="9"/>
      <c r="AH248" s="9"/>
    </row>
    <row r="249" spans="1:34" hidden="1">
      <c r="A249" s="3" t="s">
        <v>1856</v>
      </c>
      <c r="B249" s="4">
        <v>2019</v>
      </c>
      <c r="C249" s="4" t="s">
        <v>46</v>
      </c>
      <c r="D249" s="3">
        <f t="shared" si="3"/>
        <v>3</v>
      </c>
      <c r="E249" s="3" t="s">
        <v>793</v>
      </c>
      <c r="G249" s="5" t="s">
        <v>195</v>
      </c>
      <c r="H249" s="5" t="s">
        <v>626</v>
      </c>
      <c r="I249" s="5" t="s">
        <v>196</v>
      </c>
      <c r="J249" s="7">
        <v>0</v>
      </c>
      <c r="M249" s="8">
        <v>8</v>
      </c>
      <c r="N249" s="7">
        <v>47769</v>
      </c>
      <c r="P249" s="7">
        <v>7193254</v>
      </c>
      <c r="Q249" s="7">
        <v>7272220</v>
      </c>
      <c r="R249" s="5" t="str">
        <f>VLOOKUP($G249,Others!$E$246:$I$254,2,FALSE)</f>
        <v>Original Screenplay</v>
      </c>
      <c r="S249" s="5" t="str">
        <f>VLOOKUP($G249,Others!$E$246:$I$254,3,FALSE)</f>
        <v>Live Action</v>
      </c>
      <c r="T249" s="5" t="str">
        <f>VLOOKUP($G249,Others!$E$246:$I$254,4,FALSE)</f>
        <v>Factual</v>
      </c>
      <c r="U249" s="5" t="str">
        <f>IFERROR(VLOOKUP($G249,Ratings!$E$72:$I$76,5,FALSE),"None")</f>
        <v>Not Rated</v>
      </c>
      <c r="V249" s="5"/>
      <c r="X249" s="5"/>
      <c r="Y249" s="5"/>
      <c r="Z249" s="5"/>
      <c r="AA249" s="5"/>
      <c r="AB249" s="5"/>
      <c r="AG249" s="9"/>
      <c r="AH249" s="9"/>
    </row>
    <row r="250" spans="1:34">
      <c r="A250" s="3" t="s">
        <v>1856</v>
      </c>
      <c r="B250" s="4">
        <v>2019</v>
      </c>
      <c r="C250" s="4" t="s">
        <v>46</v>
      </c>
      <c r="D250" s="3">
        <f t="shared" si="3"/>
        <v>4</v>
      </c>
      <c r="E250" s="55" t="s">
        <v>676</v>
      </c>
      <c r="F250" s="46" t="s">
        <v>1926</v>
      </c>
      <c r="G250" s="5" t="s">
        <v>238</v>
      </c>
      <c r="H250" s="39" t="s">
        <v>812</v>
      </c>
      <c r="I250" s="5" t="s">
        <v>193</v>
      </c>
      <c r="J250" s="7">
        <v>3325000</v>
      </c>
      <c r="K250" s="57"/>
      <c r="M250" s="41">
        <v>128</v>
      </c>
      <c r="N250" s="42">
        <v>283312</v>
      </c>
      <c r="P250" s="7">
        <v>1692572</v>
      </c>
      <c r="Q250" s="7">
        <v>1692572</v>
      </c>
      <c r="R250" s="5" t="str">
        <f>VLOOKUP($G250,Others!$E$246:$I$254,2,FALSE)</f>
        <v>Original Screenplay</v>
      </c>
      <c r="S250" s="5" t="str">
        <f>VLOOKUP($G250,Others!$E$246:$I$254,3,FALSE)</f>
        <v>Live Action</v>
      </c>
      <c r="T250" s="5" t="str">
        <f>VLOOKUP($G250,Others!$E$246:$I$254,4,FALSE)</f>
        <v>Historical Fiction</v>
      </c>
      <c r="U250" s="5" t="str">
        <f>IFERROR(VLOOKUP($G250,Ratings!$E$72:$I$76,5,FALSE),"None")</f>
        <v>None</v>
      </c>
      <c r="V250" s="39" t="s">
        <v>1927</v>
      </c>
      <c r="W250" s="39" t="s">
        <v>1928</v>
      </c>
      <c r="X250" s="39" t="s">
        <v>1929</v>
      </c>
      <c r="Y250" s="39" t="s">
        <v>1930</v>
      </c>
      <c r="Z250" s="39" t="s">
        <v>1931</v>
      </c>
      <c r="AA250" s="39" t="s">
        <v>1932</v>
      </c>
      <c r="AB250" s="5"/>
      <c r="AC250" s="50" t="s">
        <v>1933</v>
      </c>
      <c r="AD250" s="60" t="s">
        <v>1665</v>
      </c>
      <c r="AG250" s="9"/>
      <c r="AH250" s="9"/>
    </row>
    <row r="251" spans="1:34" hidden="1">
      <c r="A251" s="3" t="s">
        <v>1856</v>
      </c>
      <c r="B251" s="4">
        <v>2019</v>
      </c>
      <c r="C251" s="4" t="s">
        <v>46</v>
      </c>
      <c r="D251" s="3">
        <f t="shared" si="3"/>
        <v>5</v>
      </c>
      <c r="E251" s="3" t="s">
        <v>794</v>
      </c>
      <c r="G251" s="5" t="s">
        <v>795</v>
      </c>
      <c r="H251" s="5"/>
      <c r="I251" s="5" t="s">
        <v>191</v>
      </c>
      <c r="J251" s="7">
        <v>0</v>
      </c>
      <c r="M251" s="8">
        <v>0</v>
      </c>
      <c r="N251" s="7">
        <v>0</v>
      </c>
      <c r="P251" s="7">
        <v>22931</v>
      </c>
      <c r="Q251" s="7">
        <v>22931</v>
      </c>
      <c r="R251" s="5" t="str">
        <f>VLOOKUP($G251,Others!$E$246:$I$254,2,FALSE)</f>
        <v>Original Screenplay</v>
      </c>
      <c r="S251" s="5" t="str">
        <f>VLOOKUP($G251,Others!$E$246:$I$254,3,FALSE)</f>
        <v>Live Action</v>
      </c>
      <c r="T251" s="5" t="str">
        <f>VLOOKUP($G251,Others!$E$246:$I$254,4,FALSE)</f>
        <v>Factual</v>
      </c>
      <c r="U251" s="5" t="str">
        <f>IFERROR(VLOOKUP($G251,Ratings!$E$72:$I$76,5,FALSE),"None")</f>
        <v>Not Rated</v>
      </c>
      <c r="V251" s="5"/>
      <c r="X251" s="5"/>
      <c r="Y251" s="5" t="s">
        <v>1934</v>
      </c>
      <c r="Z251" s="5" t="s">
        <v>1935</v>
      </c>
      <c r="AA251" s="5"/>
      <c r="AB251" s="5"/>
      <c r="AG251" s="9"/>
      <c r="AH251" s="9"/>
    </row>
    <row r="252" spans="1:34" hidden="1">
      <c r="A252" s="3" t="s">
        <v>1856</v>
      </c>
      <c r="B252" s="4">
        <v>2019</v>
      </c>
      <c r="C252" s="4" t="s">
        <v>46</v>
      </c>
      <c r="D252" s="3">
        <f t="shared" si="3"/>
        <v>6</v>
      </c>
      <c r="E252" s="3" t="s">
        <v>676</v>
      </c>
      <c r="F252" s="3" t="s">
        <v>1696</v>
      </c>
      <c r="G252" s="5" t="s">
        <v>227</v>
      </c>
      <c r="H252" s="5" t="s">
        <v>1412</v>
      </c>
      <c r="I252" s="5" t="s">
        <v>148</v>
      </c>
      <c r="J252" s="7">
        <f>0.2*100000000/6.7</f>
        <v>2985074.6268656715</v>
      </c>
      <c r="K252" s="7" t="s">
        <v>1411</v>
      </c>
      <c r="L252" s="7">
        <f>0.05*100000000/6.7</f>
        <v>746268.65671641787</v>
      </c>
      <c r="M252" s="8">
        <v>43445</v>
      </c>
      <c r="N252" s="7">
        <v>1604943</v>
      </c>
      <c r="O252" s="7">
        <f>0.15*100000000/6.7</f>
        <v>2238805.9701492535</v>
      </c>
      <c r="P252" s="7">
        <v>2709986</v>
      </c>
      <c r="Q252" s="7">
        <v>2709986</v>
      </c>
      <c r="R252" s="5" t="str">
        <f>VLOOKUP($G252,Others!$E$246:$I$254,2,FALSE)</f>
        <v>Original Screenplay</v>
      </c>
      <c r="S252" s="5" t="str">
        <f>VLOOKUP($G252,Others!$E$246:$I$254,3,FALSE)</f>
        <v>Live Action</v>
      </c>
      <c r="T252" s="5" t="str">
        <f>VLOOKUP($G252,Others!$E$246:$I$254,4,FALSE)</f>
        <v>Contemporary Fiction</v>
      </c>
      <c r="U252" s="5" t="str">
        <f>IFERROR(VLOOKUP($G252,Ratings!$E$72:$I$76,5,FALSE),"None")</f>
        <v>None</v>
      </c>
      <c r="V252" s="5" t="s">
        <v>1729</v>
      </c>
      <c r="W252" s="5" t="s">
        <v>1730</v>
      </c>
      <c r="X252" s="5" t="s">
        <v>1731</v>
      </c>
      <c r="Y252" s="5" t="s">
        <v>1732</v>
      </c>
      <c r="Z252" s="5" t="s">
        <v>1733</v>
      </c>
      <c r="AA252" s="5" t="s">
        <v>1734</v>
      </c>
      <c r="AB252" s="5" t="s">
        <v>1735</v>
      </c>
      <c r="AC252" s="5" t="s">
        <v>1412</v>
      </c>
      <c r="AD252" s="9">
        <v>7.5</v>
      </c>
      <c r="AE252" s="1" t="s">
        <v>1489</v>
      </c>
      <c r="AF252" s="79" t="s">
        <v>1883</v>
      </c>
      <c r="AG252" s="9"/>
      <c r="AH252" s="9"/>
    </row>
    <row r="253" spans="1:34">
      <c r="A253" s="3" t="s">
        <v>1856</v>
      </c>
      <c r="B253" s="4">
        <v>2019</v>
      </c>
      <c r="C253" s="4" t="s">
        <v>46</v>
      </c>
      <c r="D253" s="3">
        <f t="shared" si="3"/>
        <v>7</v>
      </c>
      <c r="E253" s="55" t="s">
        <v>676</v>
      </c>
      <c r="F253" s="22" t="s">
        <v>1936</v>
      </c>
      <c r="G253" s="5" t="s">
        <v>50</v>
      </c>
      <c r="H253" s="39" t="s">
        <v>812</v>
      </c>
      <c r="I253" s="5" t="s">
        <v>131</v>
      </c>
      <c r="J253" s="7">
        <v>2800000</v>
      </c>
      <c r="K253" s="57"/>
      <c r="M253" s="41" t="s">
        <v>1501</v>
      </c>
      <c r="N253" s="42">
        <v>67571</v>
      </c>
      <c r="P253" s="7">
        <v>140937</v>
      </c>
      <c r="Q253" s="7">
        <v>140937</v>
      </c>
      <c r="R253" s="5" t="str">
        <f>VLOOKUP($G253,Others!$E$246:$I$254,2,FALSE)</f>
        <v>Original Screenplay</v>
      </c>
      <c r="S253" s="5" t="str">
        <f>VLOOKUP($G253,Others!$E$246:$I$254,3,FALSE)</f>
        <v>Live Action</v>
      </c>
      <c r="T253" s="5" t="str">
        <f>VLOOKUP($G253,Others!$E$246:$I$254,4,FALSE)</f>
        <v>Contemporary Fiction</v>
      </c>
      <c r="U253" s="5" t="str">
        <f>IFERROR(VLOOKUP($G253,Ratings!$E$72:$I$76,5,FALSE),"None")</f>
        <v>None</v>
      </c>
      <c r="V253" s="39" t="s">
        <v>1937</v>
      </c>
      <c r="W253" s="39" t="s">
        <v>1938</v>
      </c>
      <c r="X253" s="39" t="s">
        <v>1939</v>
      </c>
      <c r="Y253" s="39" t="s">
        <v>1940</v>
      </c>
      <c r="Z253" s="39" t="s">
        <v>1941</v>
      </c>
      <c r="AA253" s="39" t="s">
        <v>1942</v>
      </c>
      <c r="AB253" s="5"/>
      <c r="AC253" s="50" t="s">
        <v>1943</v>
      </c>
      <c r="AD253" s="47">
        <v>7.4</v>
      </c>
      <c r="AG253" s="9"/>
      <c r="AH253" s="9"/>
    </row>
    <row r="254" spans="1:34" hidden="1">
      <c r="A254" s="3" t="s">
        <v>1856</v>
      </c>
      <c r="B254" s="4">
        <v>2019</v>
      </c>
      <c r="C254" s="4" t="s">
        <v>46</v>
      </c>
      <c r="D254" s="3">
        <f t="shared" si="3"/>
        <v>8</v>
      </c>
      <c r="E254" s="3" t="s">
        <v>796</v>
      </c>
      <c r="G254" s="5" t="s">
        <v>797</v>
      </c>
      <c r="H254" s="5"/>
      <c r="I254" s="5" t="s">
        <v>129</v>
      </c>
      <c r="J254" s="7">
        <v>0</v>
      </c>
      <c r="M254" s="8">
        <v>0</v>
      </c>
      <c r="N254" s="7">
        <v>0</v>
      </c>
      <c r="P254" s="7">
        <v>0</v>
      </c>
      <c r="Q254" s="7">
        <v>0</v>
      </c>
      <c r="R254" s="5" t="str">
        <f>VLOOKUP($G254,Others!$E$246:$I$254,2,FALSE)</f>
        <v>Original Screenplay</v>
      </c>
      <c r="S254" s="5" t="str">
        <f>VLOOKUP($G254,Others!$E$246:$I$254,3,FALSE)</f>
        <v>Live Action</v>
      </c>
      <c r="T254" s="5" t="str">
        <f>VLOOKUP($G254,Others!$E$246:$I$254,4,FALSE)</f>
        <v>Contemporary Fiction</v>
      </c>
      <c r="U254" s="5" t="str">
        <f>IFERROR(VLOOKUP($G254,Ratings!$E$72:$I$76,5,FALSE),"None")</f>
        <v>Not Rated</v>
      </c>
      <c r="V254" s="5"/>
      <c r="X254" s="5"/>
      <c r="Y254" s="5"/>
      <c r="Z254" s="5" t="s">
        <v>1941</v>
      </c>
      <c r="AA254" s="5"/>
      <c r="AB254" s="5"/>
      <c r="AG254" s="9"/>
      <c r="AH254" s="9"/>
    </row>
    <row r="255" spans="1:34" hidden="1">
      <c r="A255" s="3" t="s">
        <v>1856</v>
      </c>
      <c r="B255" s="4">
        <v>2019</v>
      </c>
      <c r="C255" s="4" t="s">
        <v>46</v>
      </c>
      <c r="D255" s="3">
        <f t="shared" si="3"/>
        <v>9</v>
      </c>
      <c r="E255" s="3" t="s">
        <v>676</v>
      </c>
      <c r="G255" s="5" t="s">
        <v>798</v>
      </c>
      <c r="H255" s="5"/>
      <c r="I255" s="5" t="s">
        <v>193</v>
      </c>
      <c r="J255" s="7">
        <v>0</v>
      </c>
      <c r="M255" s="8">
        <v>0</v>
      </c>
      <c r="N255" s="7">
        <v>0</v>
      </c>
      <c r="P255" s="7">
        <v>0</v>
      </c>
      <c r="Q255" s="7">
        <v>0</v>
      </c>
      <c r="R255" s="5" t="str">
        <f>VLOOKUP($G255,Others!$E$246:$I$254,2,FALSE)</f>
        <v>Original Screenplay</v>
      </c>
      <c r="S255" s="5" t="str">
        <f>VLOOKUP($G255,Others!$E$246:$I$254,3,FALSE)</f>
        <v>Live Action</v>
      </c>
      <c r="T255" s="5" t="str">
        <f>VLOOKUP($G255,Others!$E$246:$I$254,4,FALSE)</f>
        <v>Contemporary Fiction</v>
      </c>
      <c r="U255" s="5" t="str">
        <f>IFERROR(VLOOKUP($G255,Ratings!$E$72:$I$76,5,FALSE),"None")</f>
        <v>None</v>
      </c>
      <c r="V255" s="5"/>
      <c r="X255" s="5"/>
      <c r="Y255" s="5"/>
      <c r="Z255" s="5"/>
      <c r="AA255" s="5"/>
      <c r="AB255" s="5"/>
      <c r="AG255" s="9"/>
      <c r="AH255" s="9"/>
    </row>
    <row r="256" spans="1:34">
      <c r="B256" s="4">
        <v>2018</v>
      </c>
      <c r="C256" s="4" t="s">
        <v>44</v>
      </c>
      <c r="D256" s="3">
        <v>1</v>
      </c>
      <c r="E256" s="55" t="s">
        <v>811</v>
      </c>
      <c r="F256" s="3" t="s">
        <v>811</v>
      </c>
      <c r="G256" s="5" t="s">
        <v>7</v>
      </c>
      <c r="H256" s="5" t="s">
        <v>812</v>
      </c>
      <c r="I256" s="5" t="s">
        <v>129</v>
      </c>
      <c r="J256" s="7">
        <v>59701492</v>
      </c>
      <c r="K256" s="7">
        <v>22388059</v>
      </c>
      <c r="L256" s="7">
        <v>186268656</v>
      </c>
      <c r="M256" s="8">
        <v>115</v>
      </c>
      <c r="N256" s="7">
        <v>704047</v>
      </c>
      <c r="O256" s="7">
        <v>475970149</v>
      </c>
      <c r="P256" s="7">
        <v>542084590</v>
      </c>
      <c r="Q256" s="7">
        <v>544068574</v>
      </c>
      <c r="R256" s="5" t="str">
        <f>VLOOKUP($G256,Others!$E$260:$I$596,2,FALSE)</f>
        <v>Original Screenplay</v>
      </c>
      <c r="S256" s="5" t="str">
        <f>VLOOKUP($G256,Others!$E$260:$I$596,3,FALSE)</f>
        <v>Live Action</v>
      </c>
      <c r="T256" s="5" t="str">
        <f>VLOOKUP($G256,Others!$E$260:$I$596,4,FALSE)</f>
        <v>Contemporary Fiction</v>
      </c>
      <c r="U256" s="5" t="str">
        <f>IFERROR(VLOOKUP($G256,Ratings!$E$81:$I$111,5,FALSE),"None")</f>
        <v>R</v>
      </c>
      <c r="V256" s="5" t="s">
        <v>1944</v>
      </c>
      <c r="W256" s="5" t="s">
        <v>1945</v>
      </c>
      <c r="X256" s="5" t="s">
        <v>1946</v>
      </c>
      <c r="Y256" s="5" t="s">
        <v>1718</v>
      </c>
      <c r="Z256" s="5"/>
      <c r="AA256" s="5" t="s">
        <v>1947</v>
      </c>
      <c r="AB256" s="5"/>
      <c r="AC256" s="5" t="s">
        <v>1948</v>
      </c>
      <c r="AD256" s="9">
        <v>9</v>
      </c>
      <c r="AE256" s="1" t="s">
        <v>1489</v>
      </c>
      <c r="AG256" s="9"/>
      <c r="AH256" s="9"/>
    </row>
    <row r="257" spans="2:34">
      <c r="B257" s="4">
        <v>2018</v>
      </c>
      <c r="C257" s="4" t="s">
        <v>44</v>
      </c>
      <c r="D257" s="3">
        <f>D256+1</f>
        <v>2</v>
      </c>
      <c r="E257" s="55" t="s">
        <v>813</v>
      </c>
      <c r="F257" s="3" t="s">
        <v>813</v>
      </c>
      <c r="G257" s="5" t="s">
        <v>359</v>
      </c>
      <c r="H257" s="5" t="s">
        <v>601</v>
      </c>
      <c r="I257" s="5" t="s">
        <v>129</v>
      </c>
      <c r="J257" s="7">
        <f>5*100000000/6.7</f>
        <v>74626865.671641782</v>
      </c>
      <c r="K257" s="7">
        <f>0.8*100000000/6.7</f>
        <v>11940298.507462686</v>
      </c>
      <c r="L257" s="7">
        <f>13.39*100000000/6.7</f>
        <v>199850746.2686567</v>
      </c>
      <c r="M257" s="8">
        <v>55</v>
      </c>
      <c r="N257" s="7">
        <v>436059</v>
      </c>
      <c r="O257" s="7">
        <f>34.21*100000000/6.7</f>
        <v>510597014.92537314</v>
      </c>
      <c r="P257" s="7">
        <v>532057988</v>
      </c>
      <c r="Q257" s="7">
        <v>533601535</v>
      </c>
      <c r="R257" s="5" t="str">
        <f>VLOOKUP($G257,Others!$E$260:$I$596,2,FALSE)</f>
        <v>Original Screenplay</v>
      </c>
      <c r="S257" s="5" t="str">
        <f>VLOOKUP($G257,Others!$E$260:$I$596,3,FALSE)</f>
        <v>Live Action</v>
      </c>
      <c r="T257" s="5" t="str">
        <f>VLOOKUP($G257,Others!$E$260:$I$596,4,FALSE)</f>
        <v>Contemporary Fiction</v>
      </c>
      <c r="U257" s="5" t="str">
        <f>IFERROR(VLOOKUP($G257,Ratings!$E$81:$I$111,5,FALSE),"None")</f>
        <v>Not Rated</v>
      </c>
      <c r="V257" s="5" t="s">
        <v>1949</v>
      </c>
      <c r="W257" s="5" t="s">
        <v>1950</v>
      </c>
      <c r="X257" s="5" t="s">
        <v>1951</v>
      </c>
      <c r="Y257" s="5" t="s">
        <v>1952</v>
      </c>
      <c r="AA257" s="5" t="s">
        <v>1953</v>
      </c>
      <c r="AB257" s="5"/>
      <c r="AC257" s="5" t="s">
        <v>1954</v>
      </c>
      <c r="AD257" s="9">
        <v>9.4</v>
      </c>
      <c r="AE257" s="1" t="s">
        <v>1489</v>
      </c>
      <c r="AG257" s="9"/>
      <c r="AH257" s="9"/>
    </row>
    <row r="258" spans="2:34">
      <c r="B258" s="4">
        <v>2018</v>
      </c>
      <c r="C258" s="4" t="s">
        <v>44</v>
      </c>
      <c r="D258" s="3">
        <f t="shared" ref="D258:D321" si="4">D257+1</f>
        <v>3</v>
      </c>
      <c r="E258" s="55" t="s">
        <v>814</v>
      </c>
      <c r="F258" s="3" t="s">
        <v>814</v>
      </c>
      <c r="G258" s="5" t="s">
        <v>365</v>
      </c>
      <c r="H258" s="5" t="s">
        <v>601</v>
      </c>
      <c r="I258" s="5" t="s">
        <v>148</v>
      </c>
      <c r="J258" s="7">
        <v>5970149</v>
      </c>
      <c r="K258" s="7">
        <v>3731343</v>
      </c>
      <c r="L258" s="7">
        <v>47611940</v>
      </c>
      <c r="M258" s="8">
        <v>32</v>
      </c>
      <c r="N258" s="7">
        <v>204733</v>
      </c>
      <c r="O258" s="7">
        <v>124179104</v>
      </c>
      <c r="P258" s="7">
        <v>132903651</v>
      </c>
      <c r="Q258" s="7">
        <v>133650584</v>
      </c>
      <c r="R258" s="5" t="str">
        <f>VLOOKUP($G258,Others!$E$260:$I$596,2,FALSE)</f>
        <v>Remake</v>
      </c>
      <c r="S258" s="5" t="str">
        <f>VLOOKUP($G258,Others!$E$260:$I$596,3,FALSE)</f>
        <v>Live Action</v>
      </c>
      <c r="T258" s="5" t="str">
        <f>VLOOKUP($G258,Others!$E$260:$I$596,4,FALSE)</f>
        <v>Fantasy</v>
      </c>
      <c r="U258" s="5" t="str">
        <f>IFERROR(VLOOKUP($G258,Ratings!$E$81:$I$111,5,FALSE),"None")</f>
        <v>Not Rated</v>
      </c>
      <c r="V258" s="5" t="s">
        <v>1955</v>
      </c>
      <c r="W258" s="5" t="s">
        <v>365</v>
      </c>
      <c r="X258" s="5" t="s">
        <v>1956</v>
      </c>
      <c r="Y258" s="5" t="s">
        <v>1957</v>
      </c>
      <c r="AA258" s="5" t="s">
        <v>1958</v>
      </c>
      <c r="AB258" s="5"/>
      <c r="AC258" s="5" t="s">
        <v>1959</v>
      </c>
      <c r="AD258" s="9">
        <v>8.6999999999999993</v>
      </c>
      <c r="AE258" s="1" t="s">
        <v>1489</v>
      </c>
      <c r="AG258" s="9"/>
      <c r="AH258" s="9"/>
    </row>
    <row r="259" spans="2:34">
      <c r="B259" s="4">
        <v>2018</v>
      </c>
      <c r="C259" s="4" t="s">
        <v>44</v>
      </c>
      <c r="D259" s="3">
        <f t="shared" si="4"/>
        <v>4</v>
      </c>
      <c r="E259" s="55" t="s">
        <v>811</v>
      </c>
      <c r="F259" s="3" t="s">
        <v>811</v>
      </c>
      <c r="G259" s="5" t="s">
        <v>362</v>
      </c>
      <c r="H259" s="5" t="s">
        <v>764</v>
      </c>
      <c r="I259" s="5" t="s">
        <v>127</v>
      </c>
      <c r="J259" s="7">
        <v>89552238</v>
      </c>
      <c r="K259" s="7">
        <v>22388059</v>
      </c>
      <c r="L259" s="7">
        <v>123432835</v>
      </c>
      <c r="M259" s="8">
        <v>69</v>
      </c>
      <c r="N259" s="7">
        <v>341834</v>
      </c>
      <c r="O259" s="7">
        <v>316567164</v>
      </c>
      <c r="P259" s="7">
        <v>360977662</v>
      </c>
      <c r="Q259" s="7">
        <v>361683815</v>
      </c>
      <c r="R259" s="5" t="str">
        <f>VLOOKUP($G259,Others!$E$260:$I$596,2,FALSE)</f>
        <v>Original Screenplay</v>
      </c>
      <c r="S259" s="5" t="str">
        <f>VLOOKUP($G259,Others!$E$260:$I$596,3,FALSE)</f>
        <v>Animation/Live Action</v>
      </c>
      <c r="T259" s="5" t="str">
        <f>VLOOKUP($G259,Others!$E$260:$I$596,4,FALSE)</f>
        <v>Science Fiction</v>
      </c>
      <c r="U259" s="5" t="str">
        <f>IFERROR(VLOOKUP($G259,Ratings!$E$81:$I$111,5,FALSE),"None")</f>
        <v>Not Rated</v>
      </c>
      <c r="V259" s="5" t="s">
        <v>1960</v>
      </c>
      <c r="W259" s="5" t="s">
        <v>1961</v>
      </c>
      <c r="X259" s="5" t="s">
        <v>1962</v>
      </c>
      <c r="Y259" s="5" t="s">
        <v>1963</v>
      </c>
      <c r="AA259" s="5" t="s">
        <v>1964</v>
      </c>
      <c r="AB259" s="5"/>
      <c r="AC259" s="5" t="s">
        <v>1965</v>
      </c>
      <c r="AD259" s="9">
        <v>8.1999999999999993</v>
      </c>
      <c r="AE259" s="1" t="s">
        <v>1489</v>
      </c>
      <c r="AG259" s="9"/>
      <c r="AH259" s="9"/>
    </row>
    <row r="260" spans="2:34" hidden="1">
      <c r="B260" s="4">
        <v>2018</v>
      </c>
      <c r="C260" s="4" t="s">
        <v>44</v>
      </c>
      <c r="D260" s="3">
        <f t="shared" si="4"/>
        <v>5</v>
      </c>
      <c r="E260" s="3" t="s">
        <v>815</v>
      </c>
      <c r="G260" s="5" t="s">
        <v>364</v>
      </c>
      <c r="H260" s="5" t="s">
        <v>601</v>
      </c>
      <c r="I260" s="5" t="s">
        <v>136</v>
      </c>
      <c r="J260" s="7">
        <v>0</v>
      </c>
      <c r="M260" s="8">
        <v>40</v>
      </c>
      <c r="N260" s="7">
        <v>263412</v>
      </c>
      <c r="P260" s="7">
        <v>197659887</v>
      </c>
      <c r="Q260" s="7">
        <v>198330770</v>
      </c>
      <c r="R260" s="5">
        <f>VLOOKUP($G260,Others!$E$260:$I$596,2,FALSE)</f>
        <v>0</v>
      </c>
      <c r="S260" s="5" t="str">
        <f>VLOOKUP($G260,Others!$E$260:$I$596,3,FALSE)</f>
        <v>Live Action</v>
      </c>
      <c r="T260" s="5" t="str">
        <f>VLOOKUP($G260,Others!$E$260:$I$596,4,FALSE)</f>
        <v>Contemporary Fiction</v>
      </c>
      <c r="U260" s="5" t="str">
        <f>IFERROR(VLOOKUP($G260,Ratings!$E$81:$I$111,5,FALSE),"None")</f>
        <v>Not Rated</v>
      </c>
      <c r="V260" s="5"/>
      <c r="X260" s="5"/>
      <c r="Y260" s="5"/>
      <c r="AA260" s="5"/>
      <c r="AB260" s="5"/>
      <c r="AC260" s="5"/>
      <c r="AG260" s="9"/>
      <c r="AH260" s="9"/>
    </row>
    <row r="261" spans="2:34" hidden="1">
      <c r="B261" s="4">
        <v>2018</v>
      </c>
      <c r="C261" s="4" t="s">
        <v>44</v>
      </c>
      <c r="D261" s="3">
        <f t="shared" si="4"/>
        <v>6</v>
      </c>
      <c r="E261" s="3" t="s">
        <v>816</v>
      </c>
      <c r="G261" s="5" t="s">
        <v>367</v>
      </c>
      <c r="H261" s="5" t="s">
        <v>626</v>
      </c>
      <c r="I261" s="5" t="s">
        <v>136</v>
      </c>
      <c r="J261" s="7">
        <v>0</v>
      </c>
      <c r="M261" s="8">
        <v>36</v>
      </c>
      <c r="N261" s="7">
        <v>71187</v>
      </c>
      <c r="P261" s="7">
        <v>117577445</v>
      </c>
      <c r="Q261" s="7">
        <v>118128641</v>
      </c>
      <c r="R261" s="5">
        <f>VLOOKUP($G261,Others!$E$260:$I$596,2,FALSE)</f>
        <v>0</v>
      </c>
      <c r="S261" s="5" t="str">
        <f>VLOOKUP($G261,Others!$E$260:$I$596,3,FALSE)</f>
        <v>Live Action</v>
      </c>
      <c r="T261" s="5">
        <f>VLOOKUP($G261,Others!$E$260:$I$596,4,FALSE)</f>
        <v>0</v>
      </c>
      <c r="U261" s="5" t="str">
        <f>IFERROR(VLOOKUP($G261,Ratings!$E$81:$I$111,5,FALSE),"None")</f>
        <v>Not Rated</v>
      </c>
      <c r="V261" s="5"/>
      <c r="X261" s="5"/>
      <c r="Y261" s="5"/>
      <c r="AA261" s="5"/>
      <c r="AB261" s="5"/>
      <c r="AC261" s="5"/>
      <c r="AG261" s="9"/>
      <c r="AH261" s="9"/>
    </row>
    <row r="262" spans="2:34" hidden="1">
      <c r="B262" s="4">
        <v>2018</v>
      </c>
      <c r="C262" s="4" t="s">
        <v>44</v>
      </c>
      <c r="D262" s="3">
        <f t="shared" si="4"/>
        <v>7</v>
      </c>
      <c r="E262" s="3" t="s">
        <v>817</v>
      </c>
      <c r="G262" s="5" t="s">
        <v>373</v>
      </c>
      <c r="H262" s="5" t="s">
        <v>601</v>
      </c>
      <c r="I262" s="5" t="s">
        <v>129</v>
      </c>
      <c r="J262" s="7">
        <v>0</v>
      </c>
      <c r="M262" s="8">
        <v>31</v>
      </c>
      <c r="N262" s="7">
        <v>126929</v>
      </c>
      <c r="P262" s="7">
        <v>89772584</v>
      </c>
      <c r="Q262" s="7">
        <v>90035547</v>
      </c>
      <c r="R262" s="5" t="str">
        <f>VLOOKUP($G262,Others!$E$260:$I$596,2,FALSE)</f>
        <v>Original Screenplay</v>
      </c>
      <c r="S262" s="5" t="str">
        <f>VLOOKUP($G262,Others!$E$260:$I$596,3,FALSE)</f>
        <v>Live Action</v>
      </c>
      <c r="T262" s="5" t="str">
        <f>VLOOKUP($G262,Others!$E$260:$I$596,4,FALSE)</f>
        <v>Fantasy</v>
      </c>
      <c r="U262" s="5" t="str">
        <f>IFERROR(VLOOKUP($G262,Ratings!$E$81:$I$111,5,FALSE),"None")</f>
        <v>Not Rated</v>
      </c>
      <c r="V262" s="5"/>
      <c r="X262" s="5"/>
      <c r="Y262" s="5"/>
      <c r="AA262" s="5"/>
      <c r="AB262" s="5"/>
      <c r="AC262" s="5"/>
      <c r="AG262" s="9"/>
      <c r="AH262" s="9"/>
    </row>
    <row r="263" spans="2:34">
      <c r="B263" s="4">
        <v>2018</v>
      </c>
      <c r="C263" s="4" t="s">
        <v>44</v>
      </c>
      <c r="D263" s="3">
        <f t="shared" si="4"/>
        <v>8</v>
      </c>
      <c r="E263" s="55" t="s">
        <v>811</v>
      </c>
      <c r="F263" s="3" t="s">
        <v>811</v>
      </c>
      <c r="G263" s="5" t="s">
        <v>368</v>
      </c>
      <c r="H263" s="5" t="s">
        <v>601</v>
      </c>
      <c r="I263" s="5" t="s">
        <v>129</v>
      </c>
      <c r="J263" s="7">
        <v>59701492</v>
      </c>
      <c r="K263" s="7">
        <v>8955223</v>
      </c>
      <c r="L263" s="7">
        <v>38955223</v>
      </c>
      <c r="M263" s="8">
        <v>34</v>
      </c>
      <c r="N263" s="7">
        <v>95577</v>
      </c>
      <c r="O263" s="7">
        <v>102537313</v>
      </c>
      <c r="P263" s="7">
        <v>114902870</v>
      </c>
      <c r="Q263" s="7">
        <v>115089944</v>
      </c>
      <c r="R263" s="5" t="str">
        <f>VLOOKUP($G263,Others!$E$260:$I$596,2,FALSE)</f>
        <v>Based on Fiction Book/Short Story</v>
      </c>
      <c r="S263" s="5" t="str">
        <f>VLOOKUP($G263,Others!$E$260:$I$596,3,FALSE)</f>
        <v>Live Action</v>
      </c>
      <c r="T263" s="5" t="str">
        <f>VLOOKUP($G263,Others!$E$260:$I$596,4,FALSE)</f>
        <v>Fantasy</v>
      </c>
      <c r="U263" s="5" t="str">
        <f>IFERROR(VLOOKUP($G263,Ratings!$E$81:$I$111,5,FALSE),"None")</f>
        <v>Not Rated</v>
      </c>
      <c r="V263" s="5" t="s">
        <v>1966</v>
      </c>
      <c r="W263" s="5" t="s">
        <v>1967</v>
      </c>
      <c r="X263" s="5" t="s">
        <v>1905</v>
      </c>
      <c r="Y263" s="5" t="s">
        <v>1968</v>
      </c>
      <c r="AA263" s="5" t="s">
        <v>1969</v>
      </c>
      <c r="AB263" s="5"/>
      <c r="AC263" s="5" t="s">
        <v>1970</v>
      </c>
      <c r="AD263" s="9">
        <v>7.9</v>
      </c>
      <c r="AE263" s="1" t="s">
        <v>1489</v>
      </c>
      <c r="AG263" s="9"/>
      <c r="AH263" s="9"/>
    </row>
    <row r="264" spans="2:34">
      <c r="B264" s="4">
        <v>2018</v>
      </c>
      <c r="C264" s="4" t="s">
        <v>44</v>
      </c>
      <c r="D264" s="3">
        <f t="shared" si="4"/>
        <v>9</v>
      </c>
      <c r="E264" s="55" t="s">
        <v>818</v>
      </c>
      <c r="F264" s="3" t="s">
        <v>818</v>
      </c>
      <c r="G264" s="5" t="s">
        <v>819</v>
      </c>
      <c r="H264" s="5" t="s">
        <v>601</v>
      </c>
      <c r="I264" s="5" t="s">
        <v>136</v>
      </c>
      <c r="J264" s="7">
        <v>10447761</v>
      </c>
      <c r="K264" s="7">
        <v>5970149</v>
      </c>
      <c r="L264" s="7">
        <v>18955223</v>
      </c>
      <c r="M264" s="8">
        <v>24</v>
      </c>
      <c r="N264" s="7">
        <v>79180</v>
      </c>
      <c r="O264" s="7">
        <v>50746268</v>
      </c>
      <c r="P264" s="7">
        <v>57442237</v>
      </c>
      <c r="Q264" s="7">
        <v>57628372</v>
      </c>
      <c r="R264" s="5" t="str">
        <f>VLOOKUP($G264,Others!$E$260:$I$596,2,FALSE)</f>
        <v>Original Screenplay</v>
      </c>
      <c r="S264" s="5" t="str">
        <f>VLOOKUP($G264,Others!$E$260:$I$596,3,FALSE)</f>
        <v>Live Action</v>
      </c>
      <c r="T264" s="5" t="str">
        <f>VLOOKUP($G264,Others!$E$260:$I$596,4,FALSE)</f>
        <v>Contemporary Fiction</v>
      </c>
      <c r="U264" s="5" t="str">
        <f>IFERROR(VLOOKUP($G264,Ratings!$E$81:$I$111,5,FALSE),"None")</f>
        <v>Not Rated</v>
      </c>
      <c r="V264" s="5" t="s">
        <v>1971</v>
      </c>
      <c r="W264" s="5" t="s">
        <v>1972</v>
      </c>
      <c r="X264" s="5" t="s">
        <v>1973</v>
      </c>
      <c r="Y264" s="5" t="s">
        <v>1974</v>
      </c>
      <c r="AA264" s="5" t="s">
        <v>1973</v>
      </c>
      <c r="AB264" s="5"/>
      <c r="AC264" s="5" t="s">
        <v>1975</v>
      </c>
      <c r="AD264" s="9">
        <v>6.9</v>
      </c>
      <c r="AE264" s="1" t="s">
        <v>1489</v>
      </c>
      <c r="AG264" s="9"/>
      <c r="AH264" s="9"/>
    </row>
    <row r="265" spans="2:34" hidden="1">
      <c r="B265" s="4">
        <v>2018</v>
      </c>
      <c r="C265" s="4" t="s">
        <v>44</v>
      </c>
      <c r="D265" s="3">
        <f t="shared" si="4"/>
        <v>10</v>
      </c>
      <c r="E265" s="3" t="s">
        <v>820</v>
      </c>
      <c r="G265" s="5" t="s">
        <v>400</v>
      </c>
      <c r="H265" s="5" t="s">
        <v>626</v>
      </c>
      <c r="J265" s="7">
        <v>0</v>
      </c>
      <c r="M265" s="8">
        <v>23</v>
      </c>
      <c r="N265" s="7">
        <v>80485</v>
      </c>
      <c r="P265" s="7">
        <v>11648683</v>
      </c>
      <c r="Q265" s="7">
        <v>11828404</v>
      </c>
      <c r="R265" s="5">
        <f>VLOOKUP($G265,Others!$E$260:$I$596,2,FALSE)</f>
        <v>0</v>
      </c>
      <c r="S265" s="5" t="str">
        <f>VLOOKUP($G265,Others!$E$260:$I$596,3,FALSE)</f>
        <v>Live Action</v>
      </c>
      <c r="T265" s="5">
        <f>VLOOKUP($G265,Others!$E$260:$I$596,4,FALSE)</f>
        <v>0</v>
      </c>
      <c r="U265" s="5" t="str">
        <f>IFERROR(VLOOKUP($G265,Ratings!$E$81:$I$111,5,FALSE),"None")</f>
        <v>Not Rated</v>
      </c>
      <c r="V265" s="5"/>
      <c r="X265" s="5"/>
      <c r="Y265" s="5"/>
      <c r="AA265" s="5"/>
      <c r="AB265" s="5"/>
      <c r="AC265" s="5"/>
      <c r="AG265" s="9"/>
      <c r="AH265" s="9"/>
    </row>
    <row r="266" spans="2:34" hidden="1">
      <c r="B266" s="4">
        <v>2018</v>
      </c>
      <c r="C266" s="4" t="s">
        <v>44</v>
      </c>
      <c r="D266" s="3">
        <f t="shared" si="4"/>
        <v>11</v>
      </c>
      <c r="E266" s="3" t="s">
        <v>821</v>
      </c>
      <c r="G266" s="5" t="s">
        <v>822</v>
      </c>
      <c r="H266" s="5" t="s">
        <v>823</v>
      </c>
      <c r="I266" s="5" t="s">
        <v>191</v>
      </c>
      <c r="J266" s="7">
        <v>0</v>
      </c>
      <c r="M266" s="8">
        <v>25</v>
      </c>
      <c r="N266" s="7">
        <v>34524</v>
      </c>
      <c r="P266" s="7">
        <v>4380</v>
      </c>
      <c r="Q266" s="7">
        <v>153994</v>
      </c>
      <c r="R266" s="5" t="str">
        <f>VLOOKUP($G266,Others!$E$260:$I$596,2,FALSE)</f>
        <v>Based on Real Life Events</v>
      </c>
      <c r="S266" s="5" t="str">
        <f>VLOOKUP($G266,Others!$E$260:$I$596,3,FALSE)</f>
        <v>Live Action</v>
      </c>
      <c r="T266" s="5" t="str">
        <f>VLOOKUP($G266,Others!$E$260:$I$596,4,FALSE)</f>
        <v>Factual</v>
      </c>
      <c r="U266" s="5" t="str">
        <f>IFERROR(VLOOKUP($G266,Ratings!$E$81:$I$111,5,FALSE),"None")</f>
        <v>Not Rated</v>
      </c>
      <c r="V266" s="5"/>
      <c r="X266" s="5"/>
      <c r="Y266" s="5"/>
      <c r="AA266" s="5"/>
      <c r="AB266" s="5"/>
      <c r="AC266" s="5"/>
      <c r="AG266" s="9"/>
      <c r="AH266" s="9"/>
    </row>
    <row r="267" spans="2:34">
      <c r="B267" s="4">
        <v>2018</v>
      </c>
      <c r="C267" s="4" t="s">
        <v>44</v>
      </c>
      <c r="D267" s="3">
        <f t="shared" si="4"/>
        <v>12</v>
      </c>
      <c r="E267" s="55" t="s">
        <v>824</v>
      </c>
      <c r="F267" s="3" t="s">
        <v>824</v>
      </c>
      <c r="G267" s="5" t="s">
        <v>386</v>
      </c>
      <c r="H267" s="5" t="s">
        <v>626</v>
      </c>
      <c r="I267" s="5" t="s">
        <v>127</v>
      </c>
      <c r="J267" s="7">
        <v>11940298</v>
      </c>
      <c r="K267" s="7">
        <v>2985074</v>
      </c>
      <c r="L267" s="7">
        <v>11985074</v>
      </c>
      <c r="M267" s="8">
        <v>27</v>
      </c>
      <c r="N267" s="7">
        <v>57713</v>
      </c>
      <c r="O267" s="7">
        <v>32238805</v>
      </c>
      <c r="P267" s="7">
        <v>36895078</v>
      </c>
      <c r="Q267" s="7">
        <v>37013430</v>
      </c>
      <c r="R267" s="5" t="str">
        <f>VLOOKUP($G267,Others!$E$260:$I$596,2,FALSE)</f>
        <v>Original Screenplay</v>
      </c>
      <c r="S267" s="5" t="str">
        <f>VLOOKUP($G267,Others!$E$260:$I$596,3,FALSE)</f>
        <v>Live Action</v>
      </c>
      <c r="T267" s="5" t="str">
        <f>VLOOKUP($G267,Others!$E$260:$I$596,4,FALSE)</f>
        <v>Contemporary Fiction</v>
      </c>
      <c r="U267" s="5" t="str">
        <f>IFERROR(VLOOKUP($G267,Ratings!$E$81:$I$111,5,FALSE),"None")</f>
        <v>Not Rated</v>
      </c>
      <c r="V267" s="5" t="s">
        <v>1976</v>
      </c>
      <c r="W267" s="5" t="s">
        <v>1977</v>
      </c>
      <c r="X267" s="5" t="s">
        <v>1978</v>
      </c>
      <c r="Y267" s="5" t="s">
        <v>1979</v>
      </c>
      <c r="AA267" s="5" t="s">
        <v>1980</v>
      </c>
      <c r="AB267" s="5"/>
      <c r="AC267" s="5" t="s">
        <v>1981</v>
      </c>
      <c r="AD267" s="9">
        <v>8.9</v>
      </c>
      <c r="AE267" s="1" t="s">
        <v>1489</v>
      </c>
      <c r="AG267" s="9"/>
      <c r="AH267" s="9"/>
    </row>
    <row r="268" spans="2:34">
      <c r="B268" s="4">
        <v>2018</v>
      </c>
      <c r="C268" s="4" t="s">
        <v>44</v>
      </c>
      <c r="D268" s="3">
        <f t="shared" si="4"/>
        <v>13</v>
      </c>
      <c r="E268" s="55" t="s">
        <v>825</v>
      </c>
      <c r="F268" s="3" t="s">
        <v>825</v>
      </c>
      <c r="G268" s="5" t="s">
        <v>406</v>
      </c>
      <c r="H268" s="5" t="s">
        <v>626</v>
      </c>
      <c r="I268" s="5" t="s">
        <v>129</v>
      </c>
      <c r="J268" s="7">
        <v>8955223</v>
      </c>
      <c r="K268" s="7">
        <v>3731343</v>
      </c>
      <c r="L268" s="7">
        <v>3491044</v>
      </c>
      <c r="M268" s="8">
        <v>12</v>
      </c>
      <c r="N268" s="7">
        <v>35015</v>
      </c>
      <c r="O268" s="7">
        <v>9485074</v>
      </c>
      <c r="P268" s="7">
        <v>10295882</v>
      </c>
      <c r="Q268" s="7">
        <v>10381054</v>
      </c>
      <c r="R268" s="5" t="str">
        <f>VLOOKUP($G268,Others!$E$260:$I$596,2,FALSE)</f>
        <v>Original Screenplay</v>
      </c>
      <c r="S268" s="5" t="str">
        <f>VLOOKUP($G268,Others!$E$260:$I$596,3,FALSE)</f>
        <v>Live Action</v>
      </c>
      <c r="T268" s="5" t="str">
        <f>VLOOKUP($G268,Others!$E$260:$I$596,4,FALSE)</f>
        <v>Contemporary Fiction</v>
      </c>
      <c r="U268" s="5" t="str">
        <f>IFERROR(VLOOKUP($G268,Ratings!$E$81:$I$111,5,FALSE),"None")</f>
        <v>Not Rated</v>
      </c>
      <c r="V268" s="5" t="s">
        <v>1982</v>
      </c>
      <c r="W268" s="5" t="s">
        <v>1983</v>
      </c>
      <c r="X268" s="5" t="s">
        <v>1984</v>
      </c>
      <c r="Y268" s="5" t="s">
        <v>1985</v>
      </c>
      <c r="AA268" s="5" t="s">
        <v>1986</v>
      </c>
      <c r="AB268" s="5"/>
      <c r="AC268" s="5" t="s">
        <v>1948</v>
      </c>
      <c r="AD268" s="9">
        <v>7.8</v>
      </c>
      <c r="AE268" s="1" t="s">
        <v>1489</v>
      </c>
      <c r="AG268" s="9"/>
      <c r="AH268" s="9"/>
    </row>
    <row r="269" spans="2:34" hidden="1">
      <c r="B269" s="4">
        <v>2018</v>
      </c>
      <c r="C269" s="4" t="s">
        <v>44</v>
      </c>
      <c r="D269" s="3">
        <f t="shared" si="4"/>
        <v>14</v>
      </c>
      <c r="E269" s="3" t="s">
        <v>826</v>
      </c>
      <c r="G269" s="5" t="s">
        <v>470</v>
      </c>
      <c r="H269" s="5" t="s">
        <v>801</v>
      </c>
      <c r="I269" s="5" t="s">
        <v>136</v>
      </c>
      <c r="J269" s="7">
        <v>0</v>
      </c>
      <c r="M269" s="8">
        <v>15</v>
      </c>
      <c r="N269" s="7">
        <v>10463</v>
      </c>
      <c r="P269" s="7">
        <v>424624</v>
      </c>
      <c r="Q269" s="7">
        <v>503950</v>
      </c>
      <c r="R269" s="5" t="str">
        <f>VLOOKUP($G269,Others!$E$260:$I$596,2,FALSE)</f>
        <v>Original Screenplay</v>
      </c>
      <c r="S269" s="5" t="str">
        <f>VLOOKUP($G269,Others!$E$260:$I$596,3,FALSE)</f>
        <v>Digital Animation</v>
      </c>
      <c r="T269" s="5" t="str">
        <f>VLOOKUP($G269,Others!$E$260:$I$596,4,FALSE)</f>
        <v>Contemporary Fiction</v>
      </c>
      <c r="U269" s="5" t="str">
        <f>IFERROR(VLOOKUP($G269,Ratings!$E$81:$I$111,5,FALSE),"None")</f>
        <v>Not Rated</v>
      </c>
      <c r="V269" s="5"/>
      <c r="X269" s="5"/>
      <c r="Y269" s="5"/>
      <c r="AA269" s="5"/>
      <c r="AB269" s="5"/>
      <c r="AC269" s="5"/>
      <c r="AG269" s="9"/>
      <c r="AH269" s="9"/>
    </row>
    <row r="270" spans="2:34" hidden="1">
      <c r="B270" s="4">
        <v>2018</v>
      </c>
      <c r="C270" s="4" t="s">
        <v>44</v>
      </c>
      <c r="D270" s="3">
        <f t="shared" si="4"/>
        <v>15</v>
      </c>
      <c r="E270" s="3" t="s">
        <v>818</v>
      </c>
      <c r="G270" s="5" t="s">
        <v>827</v>
      </c>
      <c r="H270" s="5" t="s">
        <v>626</v>
      </c>
      <c r="I270" s="5" t="s">
        <v>131</v>
      </c>
      <c r="J270" s="7">
        <v>0</v>
      </c>
      <c r="M270" s="8">
        <v>21</v>
      </c>
      <c r="N270" s="7">
        <v>39584</v>
      </c>
      <c r="P270" s="7">
        <v>35288134</v>
      </c>
      <c r="Q270" s="7">
        <v>35327718</v>
      </c>
      <c r="R270" s="5" t="str">
        <f>VLOOKUP($G270,Others!$E$260:$I$596,2,FALSE)</f>
        <v>Based on Fiction Book/Short Story</v>
      </c>
      <c r="S270" s="5" t="str">
        <f>VLOOKUP($G270,Others!$E$260:$I$596,3,FALSE)</f>
        <v>Live Action</v>
      </c>
      <c r="T270" s="5" t="str">
        <f>VLOOKUP($G270,Others!$E$260:$I$596,4,FALSE)</f>
        <v>Contemporary Fiction</v>
      </c>
      <c r="U270" s="5" t="str">
        <f>IFERROR(VLOOKUP($G270,Ratings!$E$81:$I$111,5,FALSE),"None")</f>
        <v>Not Rated</v>
      </c>
      <c r="V270" s="5"/>
      <c r="X270" s="5"/>
      <c r="Y270" s="5"/>
      <c r="AA270" s="5"/>
      <c r="AB270" s="5"/>
      <c r="AC270" s="5"/>
      <c r="AG270" s="9"/>
      <c r="AH270" s="9"/>
    </row>
    <row r="271" spans="2:34">
      <c r="B271" s="4">
        <v>2018</v>
      </c>
      <c r="C271" s="4" t="s">
        <v>44</v>
      </c>
      <c r="D271" s="3">
        <f t="shared" si="4"/>
        <v>16</v>
      </c>
      <c r="E271" s="55" t="s">
        <v>828</v>
      </c>
      <c r="F271" s="3" t="s">
        <v>828</v>
      </c>
      <c r="G271" s="5" t="s">
        <v>407</v>
      </c>
      <c r="H271" s="5" t="s">
        <v>601</v>
      </c>
      <c r="I271" s="5" t="s">
        <v>136</v>
      </c>
      <c r="J271" s="7">
        <v>7462686</v>
      </c>
      <c r="K271" s="7">
        <v>2238805</v>
      </c>
      <c r="L271" s="7">
        <v>3332835</v>
      </c>
      <c r="M271" s="41">
        <v>55966</v>
      </c>
      <c r="N271" s="42">
        <v>7740000</v>
      </c>
      <c r="O271" s="7">
        <v>9061194</v>
      </c>
      <c r="P271" s="7">
        <v>10244720</v>
      </c>
      <c r="Q271" s="7">
        <v>10281835</v>
      </c>
      <c r="R271" s="5" t="str">
        <f>VLOOKUP($G271,Others!$E$260:$I$596,2,FALSE)</f>
        <v>Original Screenplay</v>
      </c>
      <c r="S271" s="5" t="str">
        <f>VLOOKUP($G271,Others!$E$260:$I$596,3,FALSE)</f>
        <v>Live Action</v>
      </c>
      <c r="T271" s="5" t="str">
        <f>VLOOKUP($G271,Others!$E$260:$I$596,4,FALSE)</f>
        <v>Contemporary Fiction</v>
      </c>
      <c r="U271" s="5" t="str">
        <f>IFERROR(VLOOKUP($G271,Ratings!$E$81:$I$111,5,FALSE),"None")</f>
        <v>Not Rated</v>
      </c>
      <c r="V271" s="5" t="s">
        <v>1987</v>
      </c>
      <c r="W271" s="39" t="s">
        <v>1988</v>
      </c>
      <c r="X271" s="5" t="s">
        <v>1921</v>
      </c>
      <c r="Y271" s="5" t="s">
        <v>1989</v>
      </c>
      <c r="AA271" s="5" t="s">
        <v>1990</v>
      </c>
      <c r="AB271" s="5"/>
      <c r="AC271" s="5" t="s">
        <v>1991</v>
      </c>
      <c r="AD271" s="9">
        <v>6.6</v>
      </c>
      <c r="AE271" s="1" t="s">
        <v>1489</v>
      </c>
      <c r="AG271" s="9"/>
      <c r="AH271" s="9"/>
    </row>
    <row r="272" spans="2:34" hidden="1">
      <c r="B272" s="4">
        <v>2018</v>
      </c>
      <c r="C272" s="4" t="s">
        <v>44</v>
      </c>
      <c r="D272" s="3">
        <f t="shared" si="4"/>
        <v>17</v>
      </c>
      <c r="E272" s="3" t="s">
        <v>829</v>
      </c>
      <c r="G272" s="5" t="s">
        <v>393</v>
      </c>
      <c r="H272" s="5" t="s">
        <v>626</v>
      </c>
      <c r="I272" s="5" t="s">
        <v>136</v>
      </c>
      <c r="J272" s="7">
        <v>0</v>
      </c>
      <c r="M272" s="8">
        <v>10</v>
      </c>
      <c r="N272" s="7">
        <v>19065</v>
      </c>
      <c r="P272" s="7">
        <v>19091231</v>
      </c>
      <c r="Q272" s="7">
        <v>19110296</v>
      </c>
      <c r="R272" s="5" t="str">
        <f>VLOOKUP($G272,Others!$E$260:$I$596,2,FALSE)</f>
        <v>Original Screenplay</v>
      </c>
      <c r="S272" s="5" t="str">
        <f>VLOOKUP($G272,Others!$E$260:$I$596,3,FALSE)</f>
        <v>Live Action</v>
      </c>
      <c r="T272" s="5" t="str">
        <f>VLOOKUP($G272,Others!$E$260:$I$596,4,FALSE)</f>
        <v>Contemporary Fiction</v>
      </c>
      <c r="U272" s="5" t="str">
        <f>IFERROR(VLOOKUP($G272,Ratings!$E$81:$I$111,5,FALSE),"None")</f>
        <v>Not Rated</v>
      </c>
      <c r="V272" s="5"/>
      <c r="X272" s="5"/>
      <c r="Y272" s="5"/>
      <c r="AA272" s="5"/>
      <c r="AB272" s="5"/>
      <c r="AC272" s="5"/>
      <c r="AG272" s="9"/>
      <c r="AH272" s="9"/>
    </row>
    <row r="273" spans="2:34" hidden="1">
      <c r="B273" s="4">
        <v>2018</v>
      </c>
      <c r="C273" s="4" t="s">
        <v>44</v>
      </c>
      <c r="D273" s="3">
        <f t="shared" si="4"/>
        <v>18</v>
      </c>
      <c r="E273" s="3" t="s">
        <v>830</v>
      </c>
      <c r="G273" s="5" t="s">
        <v>537</v>
      </c>
      <c r="H273" s="5" t="s">
        <v>831</v>
      </c>
      <c r="I273" s="5" t="s">
        <v>191</v>
      </c>
      <c r="J273" s="7">
        <v>0</v>
      </c>
      <c r="M273" s="8">
        <v>5</v>
      </c>
      <c r="N273" s="7">
        <v>0</v>
      </c>
      <c r="P273" s="7">
        <v>0</v>
      </c>
      <c r="Q273" s="7">
        <v>15241</v>
      </c>
      <c r="R273" s="5" t="str">
        <f>VLOOKUP($G273,Others!$E$260:$I$596,2,FALSE)</f>
        <v>Based on Real Life Events</v>
      </c>
      <c r="S273" s="5" t="str">
        <f>VLOOKUP($G273,Others!$E$260:$I$596,3,FALSE)</f>
        <v>Live Action</v>
      </c>
      <c r="T273" s="5" t="str">
        <f>VLOOKUP($G273,Others!$E$260:$I$596,4,FALSE)</f>
        <v>Factual</v>
      </c>
      <c r="U273" s="5" t="str">
        <f>IFERROR(VLOOKUP($G273,Ratings!$E$81:$I$111,5,FALSE),"None")</f>
        <v>Not Rated</v>
      </c>
      <c r="V273" s="5"/>
      <c r="X273" s="5"/>
      <c r="Y273" s="5"/>
      <c r="AA273" s="5"/>
      <c r="AB273" s="5"/>
      <c r="AC273" s="5"/>
      <c r="AG273" s="9"/>
      <c r="AH273" s="9"/>
    </row>
    <row r="274" spans="2:34" hidden="1">
      <c r="B274" s="4">
        <v>2018</v>
      </c>
      <c r="C274" s="4" t="s">
        <v>44</v>
      </c>
      <c r="D274" s="3">
        <f t="shared" si="4"/>
        <v>19</v>
      </c>
      <c r="E274" s="3" t="s">
        <v>832</v>
      </c>
      <c r="G274" s="5" t="s">
        <v>833</v>
      </c>
      <c r="H274" s="5" t="s">
        <v>834</v>
      </c>
      <c r="I274" s="5" t="s">
        <v>129</v>
      </c>
      <c r="J274" s="7">
        <v>0</v>
      </c>
      <c r="M274" s="8">
        <v>13</v>
      </c>
      <c r="N274" s="7">
        <v>0</v>
      </c>
      <c r="P274" s="7">
        <v>485074</v>
      </c>
      <c r="Q274" s="7">
        <v>499527</v>
      </c>
      <c r="R274" s="5" t="str">
        <f>VLOOKUP($G274,Others!$E$260:$I$596,2,FALSE)</f>
        <v>Based on Real Life Events</v>
      </c>
      <c r="S274" s="5" t="str">
        <f>VLOOKUP($G274,Others!$E$260:$I$596,3,FALSE)</f>
        <v>Live Action</v>
      </c>
      <c r="T274" s="5" t="str">
        <f>VLOOKUP($G274,Others!$E$260:$I$596,4,FALSE)</f>
        <v>Dramatization</v>
      </c>
      <c r="U274" s="5" t="str">
        <f>IFERROR(VLOOKUP($G274,Ratings!$E$81:$I$111,5,FALSE),"None")</f>
        <v>R</v>
      </c>
      <c r="V274" s="5"/>
      <c r="X274" s="5"/>
      <c r="Y274" s="5"/>
      <c r="AA274" s="5"/>
      <c r="AB274" s="5"/>
      <c r="AC274" s="5"/>
      <c r="AG274" s="9"/>
      <c r="AH274" s="9"/>
    </row>
    <row r="275" spans="2:34">
      <c r="B275" s="4">
        <v>2018</v>
      </c>
      <c r="C275" s="4" t="s">
        <v>44</v>
      </c>
      <c r="D275" s="3">
        <f t="shared" si="4"/>
        <v>20</v>
      </c>
      <c r="E275" s="55" t="s">
        <v>835</v>
      </c>
      <c r="F275" s="22" t="s">
        <v>835</v>
      </c>
      <c r="G275" s="5" t="s">
        <v>836</v>
      </c>
      <c r="H275" s="5" t="s">
        <v>626</v>
      </c>
      <c r="I275" s="39" t="s">
        <v>136</v>
      </c>
      <c r="J275" s="7">
        <f>20000000/6.7</f>
        <v>2985074.6268656715</v>
      </c>
      <c r="K275" s="7">
        <f>5000000/6.7</f>
        <v>746268.65671641787</v>
      </c>
      <c r="L275" s="7">
        <f>2750000/6.7</f>
        <v>410447.76119402982</v>
      </c>
      <c r="M275" s="41" t="s">
        <v>1501</v>
      </c>
      <c r="N275" s="7">
        <v>1012175</v>
      </c>
      <c r="O275" s="7">
        <v>13331</v>
      </c>
      <c r="P275" s="42">
        <v>1264734</v>
      </c>
      <c r="Q275" s="42">
        <v>1278065</v>
      </c>
      <c r="R275" s="39" t="s">
        <v>1399</v>
      </c>
      <c r="S275" s="39" t="s">
        <v>598</v>
      </c>
      <c r="T275" s="39" t="s">
        <v>616</v>
      </c>
      <c r="U275" s="6" t="s">
        <v>1390</v>
      </c>
      <c r="V275" s="5" t="s">
        <v>1992</v>
      </c>
      <c r="W275" s="5" t="s">
        <v>1993</v>
      </c>
      <c r="X275" s="5" t="s">
        <v>1994</v>
      </c>
      <c r="Y275" s="5" t="s">
        <v>1646</v>
      </c>
      <c r="AA275" s="5" t="s">
        <v>1995</v>
      </c>
      <c r="AB275" s="5"/>
      <c r="AC275" s="5" t="s">
        <v>1996</v>
      </c>
      <c r="AD275" s="20">
        <v>7</v>
      </c>
      <c r="AE275" s="9" t="s">
        <v>1489</v>
      </c>
      <c r="AG275" s="9"/>
      <c r="AH275" s="9"/>
    </row>
    <row r="276" spans="2:34" hidden="1">
      <c r="B276" s="4">
        <v>2018</v>
      </c>
      <c r="C276" s="4" t="s">
        <v>44</v>
      </c>
      <c r="D276" s="3">
        <f t="shared" si="4"/>
        <v>21</v>
      </c>
      <c r="E276" s="3" t="s">
        <v>837</v>
      </c>
      <c r="G276" s="5" t="s">
        <v>838</v>
      </c>
      <c r="H276" s="5" t="s">
        <v>839</v>
      </c>
      <c r="I276" s="5" t="s">
        <v>191</v>
      </c>
      <c r="J276" s="7">
        <v>0</v>
      </c>
      <c r="M276" s="8">
        <v>1</v>
      </c>
      <c r="N276" s="7">
        <v>456</v>
      </c>
      <c r="P276" s="7">
        <v>0</v>
      </c>
      <c r="Q276" s="7">
        <v>1034</v>
      </c>
      <c r="R276" s="5" t="str">
        <f>VLOOKUP($G276,Others!$E$260:$I$596,2,FALSE)</f>
        <v>Based on Real Life Events</v>
      </c>
      <c r="S276" s="5" t="str">
        <f>VLOOKUP($G276,Others!$E$260:$I$596,3,FALSE)</f>
        <v>Live Action</v>
      </c>
      <c r="T276" s="5" t="str">
        <f>VLOOKUP($G276,Others!$E$260:$I$596,4,FALSE)</f>
        <v>Factual</v>
      </c>
      <c r="U276" s="5" t="str">
        <f>IFERROR(VLOOKUP($G276,Ratings!$E$81:$I$111,5,FALSE),"None")</f>
        <v>Not Rated</v>
      </c>
      <c r="V276" s="5"/>
      <c r="X276" s="5"/>
      <c r="Y276" s="5"/>
      <c r="AA276" s="5"/>
      <c r="AB276" s="5"/>
      <c r="AC276" s="5"/>
      <c r="AG276" s="9"/>
      <c r="AH276" s="9"/>
    </row>
    <row r="277" spans="2:34" hidden="1">
      <c r="B277" s="4">
        <v>2018</v>
      </c>
      <c r="C277" s="4" t="s">
        <v>44</v>
      </c>
      <c r="D277" s="3">
        <f t="shared" si="4"/>
        <v>22</v>
      </c>
      <c r="E277" s="3" t="s">
        <v>829</v>
      </c>
      <c r="G277" s="5" t="s">
        <v>380</v>
      </c>
      <c r="H277" s="5" t="s">
        <v>840</v>
      </c>
      <c r="I277" s="5" t="s">
        <v>136</v>
      </c>
      <c r="J277" s="7">
        <v>0</v>
      </c>
      <c r="M277" s="8">
        <v>0</v>
      </c>
      <c r="N277" s="7">
        <v>0</v>
      </c>
      <c r="P277" s="7">
        <v>54663066</v>
      </c>
      <c r="Q277" s="7">
        <v>54663066</v>
      </c>
      <c r="R277" s="5">
        <f>VLOOKUP($G277,Others!$E$260:$I$596,2,FALSE)</f>
        <v>0</v>
      </c>
      <c r="S277" s="5">
        <f>VLOOKUP($G277,Others!$E$260:$I$596,3,FALSE)</f>
        <v>0</v>
      </c>
      <c r="T277" s="5" t="str">
        <f>VLOOKUP($G277,Others!$E$260:$I$596,4,FALSE)</f>
        <v>Fantasy</v>
      </c>
      <c r="U277" s="5" t="str">
        <f>IFERROR(VLOOKUP($G277,Ratings!$E$81:$I$111,5,FALSE),"None")</f>
        <v>None</v>
      </c>
      <c r="V277" s="5"/>
      <c r="X277" s="5"/>
      <c r="Y277" s="5"/>
      <c r="AA277" s="5"/>
      <c r="AB277" s="5"/>
      <c r="AC277" s="5"/>
      <c r="AG277" s="9"/>
      <c r="AH277" s="9"/>
    </row>
    <row r="278" spans="2:34" hidden="1">
      <c r="B278" s="4">
        <v>2018</v>
      </c>
      <c r="C278" s="4" t="s">
        <v>44</v>
      </c>
      <c r="D278" s="3">
        <f t="shared" si="4"/>
        <v>23</v>
      </c>
      <c r="E278" s="3" t="s">
        <v>841</v>
      </c>
      <c r="G278" s="5" t="s">
        <v>842</v>
      </c>
      <c r="H278" s="5"/>
      <c r="I278" s="5" t="s">
        <v>129</v>
      </c>
      <c r="J278" s="7">
        <v>0</v>
      </c>
      <c r="M278" s="8">
        <v>0</v>
      </c>
      <c r="N278" s="7">
        <v>0</v>
      </c>
      <c r="P278" s="7">
        <v>1637776</v>
      </c>
      <c r="Q278" s="7">
        <v>1637776</v>
      </c>
      <c r="R278" s="5" t="str">
        <f>VLOOKUP($G278,Others!$E$260:$I$596,2,FALSE)</f>
        <v>Original Screenplay</v>
      </c>
      <c r="S278" s="5" t="str">
        <f>VLOOKUP($G278,Others!$E$260:$I$596,3,FALSE)</f>
        <v>Live Action</v>
      </c>
      <c r="T278" s="5" t="str">
        <f>VLOOKUP($G278,Others!$E$260:$I$596,4,FALSE)</f>
        <v>Contemporary Fiction</v>
      </c>
      <c r="U278" s="5" t="str">
        <f>IFERROR(VLOOKUP($G278,Ratings!$E$81:$I$111,5,FALSE),"None")</f>
        <v>None</v>
      </c>
      <c r="V278" s="5"/>
      <c r="X278" s="5"/>
      <c r="Y278" s="5"/>
      <c r="AA278" s="5"/>
      <c r="AB278" s="5"/>
      <c r="AC278" s="5"/>
      <c r="AG278" s="9"/>
      <c r="AH278" s="9"/>
    </row>
    <row r="279" spans="2:34">
      <c r="B279" s="4">
        <v>2018</v>
      </c>
      <c r="C279" s="4" t="s">
        <v>44</v>
      </c>
      <c r="D279" s="3">
        <f t="shared" si="4"/>
        <v>24</v>
      </c>
      <c r="E279" s="55" t="s">
        <v>843</v>
      </c>
      <c r="F279" s="3" t="s">
        <v>843</v>
      </c>
      <c r="G279" s="5" t="s">
        <v>844</v>
      </c>
      <c r="H279" s="5" t="s">
        <v>1418</v>
      </c>
      <c r="I279" s="5" t="s">
        <v>129</v>
      </c>
      <c r="J279" s="7">
        <f>0.5*10000000/6.7</f>
        <v>746268.65671641787</v>
      </c>
      <c r="K279" s="7">
        <f>0.2*10000000/6.7</f>
        <v>298507.46268656716</v>
      </c>
      <c r="L279" s="7">
        <f>22467000/6.7</f>
        <v>3353283.5820895522</v>
      </c>
      <c r="M279" s="8">
        <v>34254</v>
      </c>
      <c r="N279" s="7">
        <v>4210000</v>
      </c>
      <c r="O279" s="7">
        <f>61088000/6.7</f>
        <v>9117611.940298507</v>
      </c>
      <c r="P279" s="7">
        <v>9796094</v>
      </c>
      <c r="Q279" s="7">
        <v>9796094</v>
      </c>
      <c r="R279" s="5" t="str">
        <f>VLOOKUP($G279,Others!$E$260:$I$596,2,FALSE)</f>
        <v>Original Screenplay</v>
      </c>
      <c r="S279" s="5" t="str">
        <f>VLOOKUP($G279,Others!$E$260:$I$596,3,FALSE)</f>
        <v>Live Action</v>
      </c>
      <c r="T279" s="5" t="str">
        <f>VLOOKUP($G279,Others!$E$260:$I$596,4,FALSE)</f>
        <v>Contemporary Fiction</v>
      </c>
      <c r="U279" s="5" t="str">
        <f>IFERROR(VLOOKUP($G279,Ratings!$E$81:$I$111,5,FALSE),"None")</f>
        <v>None</v>
      </c>
      <c r="V279" s="5" t="s">
        <v>1997</v>
      </c>
      <c r="W279" s="5" t="s">
        <v>844</v>
      </c>
      <c r="X279" s="5" t="s">
        <v>1905</v>
      </c>
      <c r="Y279" s="5" t="s">
        <v>1984</v>
      </c>
      <c r="Z279" s="5" t="s">
        <v>1998</v>
      </c>
      <c r="AA279" s="5" t="s">
        <v>1999</v>
      </c>
      <c r="AB279" s="5"/>
      <c r="AC279" s="5" t="s">
        <v>1981</v>
      </c>
      <c r="AD279" s="9">
        <v>8.4</v>
      </c>
      <c r="AE279" s="1" t="s">
        <v>1489</v>
      </c>
      <c r="AG279" s="9"/>
      <c r="AH279" s="9"/>
    </row>
    <row r="280" spans="2:34" hidden="1">
      <c r="B280" s="4">
        <v>2018</v>
      </c>
      <c r="C280" s="4" t="s">
        <v>44</v>
      </c>
      <c r="D280" s="3">
        <f t="shared" si="4"/>
        <v>25</v>
      </c>
      <c r="E280" s="3" t="s">
        <v>845</v>
      </c>
      <c r="G280" s="5" t="s">
        <v>846</v>
      </c>
      <c r="H280" s="5" t="s">
        <v>847</v>
      </c>
      <c r="I280" s="5" t="s">
        <v>191</v>
      </c>
      <c r="J280" s="7">
        <v>0</v>
      </c>
      <c r="M280" s="8">
        <v>0</v>
      </c>
      <c r="N280" s="7">
        <v>0</v>
      </c>
      <c r="P280" s="7">
        <v>0</v>
      </c>
      <c r="Q280" s="7">
        <v>0</v>
      </c>
      <c r="R280" s="5" t="str">
        <f>VLOOKUP($G280,Others!$E$260:$I$596,2,FALSE)</f>
        <v>Based on Real Life Events</v>
      </c>
      <c r="S280" s="5" t="str">
        <f>VLOOKUP($G280,Others!$E$260:$I$596,3,FALSE)</f>
        <v>Live Action</v>
      </c>
      <c r="T280" s="5" t="str">
        <f>VLOOKUP($G280,Others!$E$260:$I$596,4,FALSE)</f>
        <v>Factual</v>
      </c>
      <c r="U280" s="5" t="str">
        <f>IFERROR(VLOOKUP($G280,Ratings!$E$81:$I$111,5,FALSE),"None")</f>
        <v>None</v>
      </c>
      <c r="V280" s="5"/>
      <c r="X280" s="5"/>
      <c r="Y280" s="5"/>
      <c r="AA280" s="5"/>
      <c r="AB280" s="5"/>
      <c r="AC280" s="5"/>
      <c r="AG280" s="9"/>
      <c r="AH280" s="9"/>
    </row>
    <row r="281" spans="2:34">
      <c r="B281" s="4">
        <v>2018</v>
      </c>
      <c r="C281" s="4" t="s">
        <v>44</v>
      </c>
      <c r="D281" s="3">
        <f t="shared" si="4"/>
        <v>26</v>
      </c>
      <c r="E281" s="55" t="s">
        <v>848</v>
      </c>
      <c r="F281" s="3" t="s">
        <v>848</v>
      </c>
      <c r="G281" s="5" t="s">
        <v>849</v>
      </c>
      <c r="H281" s="5" t="s">
        <v>653</v>
      </c>
      <c r="I281" s="5" t="s">
        <v>131</v>
      </c>
      <c r="J281" s="7">
        <v>11940298</v>
      </c>
      <c r="K281" s="7">
        <v>2985074</v>
      </c>
      <c r="L281" s="7">
        <v>910447</v>
      </c>
      <c r="M281" s="8">
        <v>23262</v>
      </c>
      <c r="N281" s="7">
        <v>1519978</v>
      </c>
      <c r="O281" s="7">
        <v>2483582</v>
      </c>
      <c r="P281" s="7">
        <v>2669935</v>
      </c>
      <c r="Q281" s="7">
        <v>2669935</v>
      </c>
      <c r="R281" s="5" t="str">
        <f>VLOOKUP($G281,Others!$E$260:$I$596,2,FALSE)</f>
        <v>Original Screenplay</v>
      </c>
      <c r="S281" s="5" t="str">
        <f>VLOOKUP($G281,Others!$E$260:$I$596,3,FALSE)</f>
        <v>Live Action</v>
      </c>
      <c r="T281" s="5" t="str">
        <f>VLOOKUP($G281,Others!$E$260:$I$596,4,FALSE)</f>
        <v>Contemporary Fiction</v>
      </c>
      <c r="U281" s="5" t="str">
        <f>IFERROR(VLOOKUP($G281,Ratings!$E$81:$I$111,5,FALSE),"None")</f>
        <v>None</v>
      </c>
      <c r="V281" s="5" t="s">
        <v>2000</v>
      </c>
      <c r="W281" s="5" t="s">
        <v>2001</v>
      </c>
      <c r="X281" s="5" t="s">
        <v>2002</v>
      </c>
      <c r="Y281" s="5"/>
      <c r="AA281" s="5" t="s">
        <v>2003</v>
      </c>
      <c r="AB281" s="5"/>
      <c r="AC281" s="5" t="s">
        <v>2004</v>
      </c>
      <c r="AD281" s="9">
        <v>6.9</v>
      </c>
      <c r="AE281" s="1" t="s">
        <v>1489</v>
      </c>
      <c r="AG281" s="9"/>
      <c r="AH281" s="9"/>
    </row>
    <row r="282" spans="2:34" hidden="1">
      <c r="B282" s="4">
        <v>2018</v>
      </c>
      <c r="C282" s="4" t="s">
        <v>44</v>
      </c>
      <c r="D282" s="3">
        <f t="shared" si="4"/>
        <v>27</v>
      </c>
      <c r="E282" s="22" t="s">
        <v>2005</v>
      </c>
      <c r="G282" s="5" t="s">
        <v>851</v>
      </c>
      <c r="H282" s="5" t="s">
        <v>852</v>
      </c>
      <c r="I282" s="5" t="s">
        <v>129</v>
      </c>
      <c r="J282" s="7">
        <v>0</v>
      </c>
      <c r="K282" s="7">
        <v>18656716</v>
      </c>
      <c r="L282" s="7">
        <v>16666666</v>
      </c>
      <c r="M282" s="8">
        <v>85364</v>
      </c>
      <c r="N282" s="7">
        <v>30225482</v>
      </c>
      <c r="O282" s="7">
        <f>2.83*100000000/6.7</f>
        <v>42238805.970149256</v>
      </c>
      <c r="P282" s="7">
        <v>42238805</v>
      </c>
      <c r="Q282" s="7">
        <v>47872755</v>
      </c>
      <c r="R282" s="5" t="str">
        <f>VLOOKUP($G282,Others!$E$260:$I$596,2,FALSE)</f>
        <v>Original Screenplay</v>
      </c>
      <c r="S282" s="5" t="str">
        <f>VLOOKUP($G282,Others!$E$260:$I$596,3,FALSE)</f>
        <v>Live Action</v>
      </c>
      <c r="T282" s="5" t="str">
        <f>VLOOKUP($G282,Others!$E$260:$I$596,4,FALSE)</f>
        <v>Fantasy</v>
      </c>
      <c r="U282" s="5" t="str">
        <f>IFERROR(VLOOKUP($G282,Ratings!$E$81:$I$111,5,FALSE),"None")</f>
        <v>R</v>
      </c>
      <c r="V282" s="5" t="s">
        <v>2006</v>
      </c>
      <c r="W282" s="5" t="s">
        <v>2007</v>
      </c>
      <c r="X282" s="5" t="s">
        <v>2008</v>
      </c>
      <c r="Y282" s="5" t="s">
        <v>2009</v>
      </c>
      <c r="AA282" s="5" t="s">
        <v>2010</v>
      </c>
      <c r="AB282" s="5"/>
      <c r="AC282" s="5" t="s">
        <v>2011</v>
      </c>
      <c r="AD282" s="9">
        <v>8.6</v>
      </c>
      <c r="AE282" s="1" t="s">
        <v>1489</v>
      </c>
      <c r="AG282" s="9"/>
      <c r="AH282" s="9"/>
    </row>
    <row r="283" spans="2:34" hidden="1">
      <c r="B283" s="4">
        <v>2018</v>
      </c>
      <c r="C283" s="4" t="s">
        <v>44</v>
      </c>
      <c r="D283" s="3">
        <f t="shared" si="4"/>
        <v>28</v>
      </c>
      <c r="E283" s="22">
        <v>42740</v>
      </c>
      <c r="G283" s="5" t="s">
        <v>853</v>
      </c>
      <c r="H283" s="5" t="s">
        <v>782</v>
      </c>
      <c r="I283" s="5" t="s">
        <v>148</v>
      </c>
      <c r="J283" s="7">
        <v>0</v>
      </c>
      <c r="K283" s="7">
        <v>14925373</v>
      </c>
      <c r="L283" s="7">
        <v>14925373</v>
      </c>
      <c r="M283" s="8">
        <v>68514</v>
      </c>
      <c r="N283" s="7">
        <v>52073</v>
      </c>
      <c r="O283" s="7">
        <f>2.74*100000000/6.7</f>
        <v>40895522.388059698</v>
      </c>
      <c r="P283" s="7">
        <v>46154324</v>
      </c>
      <c r="Q283" s="7">
        <v>46154324</v>
      </c>
      <c r="R283" s="5" t="str">
        <f>VLOOKUP($G283,Others!$E$260:$I$596,2,FALSE)</f>
        <v>Original Screenplay</v>
      </c>
      <c r="S283" s="5" t="str">
        <f>VLOOKUP($G283,Others!$E$260:$I$596,3,FALSE)</f>
        <v>Multiple Production Methods</v>
      </c>
      <c r="T283" s="5" t="str">
        <f>VLOOKUP($G283,Others!$E$260:$I$596,4,FALSE)</f>
        <v>Fantasy</v>
      </c>
      <c r="U283" s="5" t="str">
        <f>IFERROR(VLOOKUP($G283,Ratings!$E$81:$I$111,5,FALSE),"None")</f>
        <v>None</v>
      </c>
      <c r="V283" s="5" t="s">
        <v>2012</v>
      </c>
      <c r="W283" s="5" t="s">
        <v>2013</v>
      </c>
      <c r="X283" s="5" t="s">
        <v>2014</v>
      </c>
      <c r="Y283" s="5" t="s">
        <v>1968</v>
      </c>
      <c r="AA283" s="5" t="s">
        <v>2015</v>
      </c>
      <c r="AB283" s="5"/>
      <c r="AC283" s="5" t="s">
        <v>2016</v>
      </c>
      <c r="AD283" s="9">
        <v>8.5</v>
      </c>
      <c r="AE283" s="1" t="s">
        <v>1489</v>
      </c>
      <c r="AG283" s="9"/>
      <c r="AH283" s="9"/>
    </row>
    <row r="284" spans="2:34" hidden="1">
      <c r="B284" s="4">
        <v>2018</v>
      </c>
      <c r="C284" s="4" t="s">
        <v>44</v>
      </c>
      <c r="D284" s="3">
        <f t="shared" si="4"/>
        <v>29</v>
      </c>
      <c r="E284" s="3" t="s">
        <v>854</v>
      </c>
      <c r="G284" s="5" t="s">
        <v>855</v>
      </c>
      <c r="H284" s="5" t="s">
        <v>764</v>
      </c>
      <c r="I284" s="5" t="s">
        <v>154</v>
      </c>
      <c r="J284" s="7">
        <v>0</v>
      </c>
      <c r="M284" s="8">
        <v>0</v>
      </c>
      <c r="N284" s="7">
        <v>0</v>
      </c>
      <c r="P284" s="7">
        <v>16668668</v>
      </c>
      <c r="Q284" s="7">
        <v>16668668</v>
      </c>
      <c r="R284" s="5" t="str">
        <f>VLOOKUP($G284,Others!$E$260:$I$596,2,FALSE)</f>
        <v>Original Screenplay</v>
      </c>
      <c r="S284" s="5" t="str">
        <f>VLOOKUP($G284,Others!$E$260:$I$596,3,FALSE)</f>
        <v>Live Action</v>
      </c>
      <c r="T284" s="5" t="str">
        <f>VLOOKUP($G284,Others!$E$260:$I$596,4,FALSE)</f>
        <v>Contemporary Fiction</v>
      </c>
      <c r="U284" s="5" t="str">
        <f>IFERROR(VLOOKUP($G284,Ratings!$E$81:$I$111,5,FALSE),"None")</f>
        <v>R</v>
      </c>
      <c r="V284" s="5"/>
      <c r="X284" s="5"/>
      <c r="Y284" s="5"/>
      <c r="AA284" s="5"/>
      <c r="AB284" s="5"/>
      <c r="AC284" s="5"/>
      <c r="AG284" s="9"/>
      <c r="AH284" s="9"/>
    </row>
    <row r="285" spans="2:34" hidden="1">
      <c r="B285" s="4">
        <v>2018</v>
      </c>
      <c r="C285" s="4" t="s">
        <v>44</v>
      </c>
      <c r="D285" s="3">
        <f t="shared" si="4"/>
        <v>30</v>
      </c>
      <c r="E285" s="3" t="s">
        <v>856</v>
      </c>
      <c r="G285" s="5" t="s">
        <v>556</v>
      </c>
      <c r="H285" s="5"/>
      <c r="I285" s="5" t="s">
        <v>129</v>
      </c>
      <c r="J285" s="7">
        <v>0</v>
      </c>
      <c r="M285" s="8">
        <v>0</v>
      </c>
      <c r="N285" s="7">
        <v>0</v>
      </c>
      <c r="P285" s="7">
        <v>0</v>
      </c>
      <c r="Q285" s="7">
        <v>0</v>
      </c>
      <c r="R285" s="5">
        <f>VLOOKUP($G285,Others!$E$260:$I$596,2,FALSE)</f>
        <v>0</v>
      </c>
      <c r="S285" s="5" t="str">
        <f>VLOOKUP($G285,Others!$E$260:$I$596,3,FALSE)</f>
        <v>Live Action</v>
      </c>
      <c r="T285" s="5" t="str">
        <f>VLOOKUP($G285,Others!$E$260:$I$596,4,FALSE)</f>
        <v>Science Fiction</v>
      </c>
      <c r="U285" s="5" t="str">
        <f>IFERROR(VLOOKUP($G285,Ratings!$E$81:$I$111,5,FALSE),"None")</f>
        <v>None</v>
      </c>
      <c r="V285" s="5"/>
      <c r="X285" s="5"/>
      <c r="Y285" s="5"/>
      <c r="AA285" s="5"/>
      <c r="AB285" s="5"/>
      <c r="AC285" s="5"/>
      <c r="AG285" s="9"/>
      <c r="AH285" s="9"/>
    </row>
    <row r="286" spans="2:34">
      <c r="B286" s="4">
        <v>2018</v>
      </c>
      <c r="C286" s="4" t="s">
        <v>44</v>
      </c>
      <c r="D286" s="3">
        <f t="shared" si="4"/>
        <v>31</v>
      </c>
      <c r="E286" s="55" t="s">
        <v>857</v>
      </c>
      <c r="F286" s="3" t="s">
        <v>857</v>
      </c>
      <c r="G286" s="5" t="s">
        <v>858</v>
      </c>
      <c r="H286" s="5" t="s">
        <v>1419</v>
      </c>
      <c r="I286" s="5" t="s">
        <v>129</v>
      </c>
      <c r="J286" s="7">
        <f>100000000/6.7</f>
        <v>14925373.134328358</v>
      </c>
      <c r="K286" s="7">
        <f>30000000/6.7</f>
        <v>4477611.940298507</v>
      </c>
      <c r="L286" s="7">
        <f>54766000/6.7</f>
        <v>8174029.8507462684</v>
      </c>
      <c r="M286" s="41">
        <v>44310</v>
      </c>
      <c r="N286" s="42">
        <v>179845</v>
      </c>
      <c r="O286" s="7">
        <f>1.47*100000000/6.7</f>
        <v>21940298.507462688</v>
      </c>
      <c r="P286" s="7">
        <v>22682660</v>
      </c>
      <c r="Q286" s="7">
        <v>22682660</v>
      </c>
      <c r="R286" s="5" t="str">
        <f>VLOOKUP($G286,Others!$E$260:$I$596,2,FALSE)</f>
        <v>Original Screenplay</v>
      </c>
      <c r="S286" s="5" t="str">
        <f>VLOOKUP($G286,Others!$E$260:$I$596,3,FALSE)</f>
        <v>Live Action</v>
      </c>
      <c r="T286" s="5" t="str">
        <f>VLOOKUP($G286,Others!$E$260:$I$596,4,FALSE)</f>
        <v>Contemporary Fiction</v>
      </c>
      <c r="U286" s="5" t="str">
        <f>IFERROR(VLOOKUP($G286,Ratings!$E$81:$I$111,5,FALSE),"None")</f>
        <v>None</v>
      </c>
      <c r="V286" s="5" t="s">
        <v>2017</v>
      </c>
      <c r="W286" s="5" t="s">
        <v>2018</v>
      </c>
      <c r="X286" s="5" t="s">
        <v>1656</v>
      </c>
      <c r="Y286" s="5" t="s">
        <v>2019</v>
      </c>
      <c r="AA286" s="5" t="s">
        <v>2020</v>
      </c>
      <c r="AB286" s="5" t="s">
        <v>2021</v>
      </c>
      <c r="AC286" s="5" t="s">
        <v>1991</v>
      </c>
      <c r="AD286" s="9">
        <v>8.6999999999999993</v>
      </c>
      <c r="AE286" s="9" t="s">
        <v>1489</v>
      </c>
      <c r="AG286" s="9"/>
      <c r="AH286" s="9"/>
    </row>
    <row r="287" spans="2:34">
      <c r="B287" s="4">
        <v>2018</v>
      </c>
      <c r="C287" s="4" t="s">
        <v>44</v>
      </c>
      <c r="D287" s="3">
        <f t="shared" si="4"/>
        <v>32</v>
      </c>
      <c r="E287" s="55" t="s">
        <v>859</v>
      </c>
      <c r="F287" s="3" t="s">
        <v>2022</v>
      </c>
      <c r="G287" s="5" t="s">
        <v>860</v>
      </c>
      <c r="H287" s="5" t="s">
        <v>1420</v>
      </c>
      <c r="I287" s="5" t="s">
        <v>129</v>
      </c>
      <c r="J287" s="7">
        <f>200000000/6.7</f>
        <v>29850746.268656716</v>
      </c>
      <c r="K287" s="7">
        <f>60000000/6.7</f>
        <v>8955223.880597014</v>
      </c>
      <c r="L287" s="7">
        <f>2.48*100000000/6.7</f>
        <v>37014925.37313433</v>
      </c>
      <c r="M287" s="41">
        <v>106873</v>
      </c>
      <c r="N287" s="42">
        <v>42160000</v>
      </c>
      <c r="O287" s="7">
        <f>6.52*100000000/6.7</f>
        <v>97313432.835820898</v>
      </c>
      <c r="P287" s="7">
        <v>103651195</v>
      </c>
      <c r="Q287" s="7">
        <v>103651195</v>
      </c>
      <c r="R287" s="5" t="str">
        <f>VLOOKUP($G287,Others!$E$260:$I$596,2,FALSE)</f>
        <v>Based on Folk Tale/Legend/Fairytale</v>
      </c>
      <c r="S287" s="5" t="str">
        <f>VLOOKUP($G287,Others!$E$260:$I$596,3,FALSE)</f>
        <v>Multiple Production Methods</v>
      </c>
      <c r="T287" s="5" t="str">
        <f>VLOOKUP($G287,Others!$E$260:$I$596,4,FALSE)</f>
        <v>Fantasy</v>
      </c>
      <c r="U287" s="5" t="str">
        <f>IFERROR(VLOOKUP($G287,Ratings!$E$81:$I$111,5,FALSE),"None")</f>
        <v>None</v>
      </c>
      <c r="V287" s="5" t="s">
        <v>2023</v>
      </c>
      <c r="W287" s="5" t="s">
        <v>2024</v>
      </c>
      <c r="X287" s="5" t="s">
        <v>2025</v>
      </c>
      <c r="Y287" s="5" t="s">
        <v>2026</v>
      </c>
      <c r="AA287" s="5" t="s">
        <v>2027</v>
      </c>
      <c r="AB287" s="5"/>
      <c r="AC287" s="5" t="s">
        <v>1911</v>
      </c>
      <c r="AD287" s="9">
        <v>7.7</v>
      </c>
      <c r="AE287" s="9" t="s">
        <v>1489</v>
      </c>
      <c r="AG287" s="9"/>
      <c r="AH287" s="9"/>
    </row>
    <row r="288" spans="2:34">
      <c r="B288" s="4">
        <v>2018</v>
      </c>
      <c r="C288" s="4" t="s">
        <v>44</v>
      </c>
      <c r="D288" s="3">
        <f t="shared" si="4"/>
        <v>33</v>
      </c>
      <c r="E288" s="55" t="s">
        <v>813</v>
      </c>
      <c r="F288" s="3" t="s">
        <v>813</v>
      </c>
      <c r="G288" s="5" t="s">
        <v>412</v>
      </c>
      <c r="H288" s="5" t="s">
        <v>861</v>
      </c>
      <c r="I288" s="5" t="s">
        <v>129</v>
      </c>
      <c r="J288" s="7">
        <v>17910447</v>
      </c>
      <c r="K288" s="7">
        <v>2985074</v>
      </c>
      <c r="L288" s="7">
        <v>2579104</v>
      </c>
      <c r="M288" s="8">
        <v>55600</v>
      </c>
      <c r="N288" s="7">
        <v>6183665</v>
      </c>
      <c r="O288" s="7">
        <v>7029850</v>
      </c>
      <c r="P288" s="7">
        <v>7835554</v>
      </c>
      <c r="Q288" s="7">
        <v>7835554</v>
      </c>
      <c r="R288" s="5" t="str">
        <f>VLOOKUP($G288,Others!$E$260:$I$596,2,FALSE)</f>
        <v>Original Screenplay</v>
      </c>
      <c r="S288" s="5" t="str">
        <f>VLOOKUP($G288,Others!$E$260:$I$596,3,FALSE)</f>
        <v>Live Action</v>
      </c>
      <c r="T288" s="5" t="str">
        <f>VLOOKUP($G288,Others!$E$260:$I$596,4,FALSE)</f>
        <v>Science Fiction</v>
      </c>
      <c r="U288" s="5" t="str">
        <f>IFERROR(VLOOKUP($G288,Ratings!$E$81:$I$111,5,FALSE),"None")</f>
        <v>None</v>
      </c>
      <c r="V288" s="5" t="s">
        <v>2028</v>
      </c>
      <c r="W288" s="5" t="s">
        <v>412</v>
      </c>
      <c r="X288" s="5" t="s">
        <v>2029</v>
      </c>
      <c r="Y288" s="5"/>
      <c r="AA288" s="5" t="s">
        <v>2030</v>
      </c>
      <c r="AB288" s="5"/>
      <c r="AC288" s="5" t="s">
        <v>861</v>
      </c>
      <c r="AD288" s="9">
        <v>7</v>
      </c>
      <c r="AE288" s="1" t="s">
        <v>1489</v>
      </c>
      <c r="AG288" s="9"/>
      <c r="AH288" s="9"/>
    </row>
    <row r="289" spans="2:34">
      <c r="B289" s="4">
        <v>2018</v>
      </c>
      <c r="C289" s="4" t="s">
        <v>44</v>
      </c>
      <c r="D289" s="3">
        <f t="shared" si="4"/>
        <v>34</v>
      </c>
      <c r="E289" s="55" t="s">
        <v>862</v>
      </c>
      <c r="F289" s="3" t="s">
        <v>862</v>
      </c>
      <c r="G289" s="5" t="s">
        <v>469</v>
      </c>
      <c r="H289" s="5" t="s">
        <v>764</v>
      </c>
      <c r="I289" s="5" t="s">
        <v>129</v>
      </c>
      <c r="J289" s="7">
        <v>65000000</v>
      </c>
      <c r="K289" s="57"/>
      <c r="M289" s="41" t="s">
        <v>1501</v>
      </c>
      <c r="N289" s="41" t="s">
        <v>1501</v>
      </c>
      <c r="P289" s="7">
        <v>516279</v>
      </c>
      <c r="Q289" s="7">
        <v>516279</v>
      </c>
      <c r="R289" s="5" t="str">
        <f>VLOOKUP($G289,Others!$E$260:$I$596,2,FALSE)</f>
        <v>Original Screenplay</v>
      </c>
      <c r="S289" s="5" t="str">
        <f>VLOOKUP($G289,Others!$E$260:$I$596,3,FALSE)</f>
        <v>Live Action</v>
      </c>
      <c r="T289" s="5" t="str">
        <f>VLOOKUP($G289,Others!$E$260:$I$596,4,FALSE)</f>
        <v>Historical Fiction</v>
      </c>
      <c r="U289" s="5" t="str">
        <f>IFERROR(VLOOKUP($G289,Ratings!$E$81:$I$111,5,FALSE),"None")</f>
        <v>R</v>
      </c>
      <c r="V289" s="39" t="s">
        <v>469</v>
      </c>
      <c r="W289" s="39" t="s">
        <v>469</v>
      </c>
      <c r="X289" s="39" t="s">
        <v>2031</v>
      </c>
      <c r="Y289" s="39" t="s">
        <v>2032</v>
      </c>
      <c r="Z289" s="50" t="s">
        <v>2033</v>
      </c>
      <c r="AA289" s="39" t="s">
        <v>2034</v>
      </c>
      <c r="AB289" s="5"/>
      <c r="AC289" s="39" t="s">
        <v>2035</v>
      </c>
      <c r="AD289" s="60" t="s">
        <v>1665</v>
      </c>
      <c r="AG289" s="9"/>
      <c r="AH289" s="9"/>
    </row>
    <row r="290" spans="2:34">
      <c r="B290" s="4">
        <v>2018</v>
      </c>
      <c r="C290" s="4" t="s">
        <v>44</v>
      </c>
      <c r="D290" s="3">
        <f t="shared" si="4"/>
        <v>35</v>
      </c>
      <c r="E290" s="55" t="s">
        <v>863</v>
      </c>
      <c r="F290" s="3" t="s">
        <v>863</v>
      </c>
      <c r="G290" s="5" t="s">
        <v>864</v>
      </c>
      <c r="H290" s="5" t="s">
        <v>596</v>
      </c>
      <c r="I290" s="5" t="s">
        <v>131</v>
      </c>
      <c r="J290" s="7">
        <v>746268</v>
      </c>
      <c r="K290" s="7">
        <v>447761</v>
      </c>
      <c r="L290" s="7">
        <v>1123880</v>
      </c>
      <c r="M290" s="8">
        <v>13309</v>
      </c>
      <c r="N290" s="7">
        <v>1920000</v>
      </c>
      <c r="O290" s="7">
        <v>3065671</v>
      </c>
      <c r="P290" s="7">
        <v>3375245</v>
      </c>
      <c r="Q290" s="7">
        <v>3375245</v>
      </c>
      <c r="R290" s="5" t="str">
        <f>VLOOKUP($G290,Others!$E$260:$I$596,2,FALSE)</f>
        <v>Original Screenplay</v>
      </c>
      <c r="S290" s="5" t="str">
        <f>VLOOKUP($G290,Others!$E$260:$I$596,3,FALSE)</f>
        <v>Live Action</v>
      </c>
      <c r="T290" s="5" t="str">
        <f>VLOOKUP($G290,Others!$E$260:$I$596,4,FALSE)</f>
        <v>Contemporary Fiction</v>
      </c>
      <c r="U290" s="5" t="str">
        <f>IFERROR(VLOOKUP($G290,Ratings!$E$81:$I$111,5,FALSE),"None")</f>
        <v>None</v>
      </c>
      <c r="V290" s="5" t="s">
        <v>2036</v>
      </c>
      <c r="W290" s="5" t="s">
        <v>2037</v>
      </c>
      <c r="X290" s="5" t="s">
        <v>2031</v>
      </c>
      <c r="Y290" s="5" t="s">
        <v>2038</v>
      </c>
      <c r="Z290" s="10" t="s">
        <v>2033</v>
      </c>
      <c r="AA290" s="5" t="s">
        <v>2039</v>
      </c>
      <c r="AB290" s="5"/>
      <c r="AC290" s="5" t="s">
        <v>1991</v>
      </c>
      <c r="AD290" s="9">
        <v>8</v>
      </c>
      <c r="AE290" s="1" t="s">
        <v>1489</v>
      </c>
      <c r="AG290" s="9"/>
      <c r="AH290" s="9"/>
    </row>
    <row r="291" spans="2:34" hidden="1">
      <c r="B291" s="4">
        <v>2018</v>
      </c>
      <c r="C291" s="4" t="s">
        <v>44</v>
      </c>
      <c r="D291" s="3">
        <f t="shared" si="4"/>
        <v>36</v>
      </c>
      <c r="E291" s="3" t="s">
        <v>865</v>
      </c>
      <c r="G291" s="5" t="s">
        <v>866</v>
      </c>
      <c r="H291" s="5" t="s">
        <v>867</v>
      </c>
      <c r="I291" s="5" t="s">
        <v>131</v>
      </c>
      <c r="J291" s="7">
        <v>0</v>
      </c>
      <c r="M291" s="8">
        <v>0</v>
      </c>
      <c r="N291" s="7">
        <v>0</v>
      </c>
      <c r="P291" s="7">
        <v>157683</v>
      </c>
      <c r="Q291" s="7">
        <v>157683</v>
      </c>
      <c r="R291" s="5" t="str">
        <f>VLOOKUP($G291,Others!$E$260:$I$596,2,FALSE)</f>
        <v>Original Screenplay</v>
      </c>
      <c r="S291" s="5" t="str">
        <f>VLOOKUP($G291,Others!$E$260:$I$596,3,FALSE)</f>
        <v>Live Action</v>
      </c>
      <c r="T291" s="5" t="str">
        <f>VLOOKUP($G291,Others!$E$260:$I$596,4,FALSE)</f>
        <v>Contemporary Fiction</v>
      </c>
      <c r="U291" s="5" t="str">
        <f>IFERROR(VLOOKUP($G291,Ratings!$E$81:$I$111,5,FALSE),"None")</f>
        <v>Not Rated</v>
      </c>
      <c r="V291" s="5"/>
      <c r="X291" s="5"/>
      <c r="Y291" s="5"/>
      <c r="AA291" s="5"/>
      <c r="AB291" s="5"/>
      <c r="AC291" s="5"/>
      <c r="AG291" s="9"/>
      <c r="AH291" s="9"/>
    </row>
    <row r="292" spans="2:34" hidden="1">
      <c r="B292" s="4">
        <v>2018</v>
      </c>
      <c r="C292" s="4" t="s">
        <v>44</v>
      </c>
      <c r="D292" s="3">
        <f t="shared" si="4"/>
        <v>37</v>
      </c>
      <c r="E292" s="3" t="s">
        <v>868</v>
      </c>
      <c r="G292" s="5" t="s">
        <v>869</v>
      </c>
      <c r="H292" s="5" t="s">
        <v>870</v>
      </c>
      <c r="I292" s="5" t="s">
        <v>127</v>
      </c>
      <c r="J292" s="7">
        <v>0</v>
      </c>
      <c r="M292" s="8">
        <v>0</v>
      </c>
      <c r="N292" s="7">
        <v>0</v>
      </c>
      <c r="P292" s="7">
        <v>84717566</v>
      </c>
      <c r="Q292" s="7">
        <v>84717566</v>
      </c>
      <c r="R292" s="5" t="str">
        <f>VLOOKUP($G292,Others!$E$260:$I$596,2,FALSE)</f>
        <v>Based on Folk Tale/Legend/Fairytale</v>
      </c>
      <c r="S292" s="5" t="str">
        <f>VLOOKUP($G292,Others!$E$260:$I$596,3,FALSE)</f>
        <v>Digital Animation</v>
      </c>
      <c r="T292" s="5" t="str">
        <f>VLOOKUP($G292,Others!$E$260:$I$596,4,FALSE)</f>
        <v>Fantasy</v>
      </c>
      <c r="U292" s="5" t="str">
        <f>IFERROR(VLOOKUP($G292,Ratings!$E$81:$I$111,5,FALSE),"None")</f>
        <v>PG-13</v>
      </c>
      <c r="V292" s="5"/>
      <c r="X292" s="5"/>
      <c r="Y292" s="5"/>
      <c r="AA292" s="5"/>
      <c r="AB292" s="5"/>
      <c r="AC292" s="5"/>
      <c r="AG292" s="9"/>
      <c r="AH292" s="9"/>
    </row>
    <row r="293" spans="2:34" hidden="1">
      <c r="B293" s="4">
        <v>2018</v>
      </c>
      <c r="C293" s="4" t="s">
        <v>44</v>
      </c>
      <c r="D293" s="3">
        <f t="shared" si="4"/>
        <v>38</v>
      </c>
      <c r="E293" s="3" t="s">
        <v>871</v>
      </c>
      <c r="G293" s="5" t="s">
        <v>433</v>
      </c>
      <c r="H293" s="5"/>
      <c r="I293" s="5" t="s">
        <v>127</v>
      </c>
      <c r="J293" s="7">
        <v>0</v>
      </c>
      <c r="M293" s="8">
        <v>0</v>
      </c>
      <c r="N293" s="7">
        <v>0</v>
      </c>
      <c r="P293" s="7">
        <v>2379961</v>
      </c>
      <c r="Q293" s="7">
        <v>2379961</v>
      </c>
      <c r="R293" s="5" t="str">
        <f>VLOOKUP($G293,Others!$E$260:$I$596,2,FALSE)</f>
        <v>Based on Comic/Graphic Novel</v>
      </c>
      <c r="S293" s="5" t="str">
        <f>VLOOKUP($G293,Others!$E$260:$I$596,3,FALSE)</f>
        <v>Digital Animation</v>
      </c>
      <c r="T293" s="5" t="str">
        <f>VLOOKUP($G293,Others!$E$260:$I$596,4,FALSE)</f>
        <v>Kids Fiction</v>
      </c>
      <c r="U293" s="5" t="str">
        <f>IFERROR(VLOOKUP($G293,Ratings!$E$81:$I$111,5,FALSE),"None")</f>
        <v>None</v>
      </c>
      <c r="V293" s="5"/>
      <c r="X293" s="5"/>
      <c r="Y293" s="5"/>
      <c r="AA293" s="5"/>
      <c r="AB293" s="5"/>
      <c r="AC293" s="5"/>
      <c r="AG293" s="9"/>
      <c r="AH293" s="9"/>
    </row>
    <row r="294" spans="2:34" hidden="1">
      <c r="B294" s="4">
        <v>2018</v>
      </c>
      <c r="C294" s="4" t="s">
        <v>44</v>
      </c>
      <c r="D294" s="3">
        <f t="shared" si="4"/>
        <v>39</v>
      </c>
      <c r="E294" s="3" t="s">
        <v>872</v>
      </c>
      <c r="G294" s="5" t="s">
        <v>873</v>
      </c>
      <c r="H294" s="5"/>
      <c r="I294" s="5" t="s">
        <v>131</v>
      </c>
      <c r="J294" s="7">
        <v>0</v>
      </c>
      <c r="M294" s="8">
        <v>0</v>
      </c>
      <c r="N294" s="7">
        <v>0</v>
      </c>
      <c r="P294" s="7">
        <v>1424520</v>
      </c>
      <c r="Q294" s="7">
        <v>1424520</v>
      </c>
      <c r="R294" s="5">
        <f>VLOOKUP($G294,Others!$E$260:$I$596,2,FALSE)</f>
        <v>0</v>
      </c>
      <c r="S294" s="5">
        <f>VLOOKUP($G294,Others!$E$260:$I$596,3,FALSE)</f>
        <v>0</v>
      </c>
      <c r="T294" s="5">
        <f>VLOOKUP($G294,Others!$E$260:$I$596,4,FALSE)</f>
        <v>0</v>
      </c>
      <c r="U294" s="5" t="str">
        <f>IFERROR(VLOOKUP($G294,Ratings!$E$81:$I$111,5,FALSE),"None")</f>
        <v>None</v>
      </c>
      <c r="V294" s="5"/>
      <c r="X294" s="5"/>
      <c r="Y294" s="5"/>
      <c r="AA294" s="5"/>
      <c r="AB294" s="5"/>
      <c r="AC294" s="5"/>
      <c r="AG294" s="9"/>
      <c r="AH294" s="9"/>
    </row>
    <row r="295" spans="2:34">
      <c r="B295" s="4">
        <v>2018</v>
      </c>
      <c r="C295" s="4" t="s">
        <v>44</v>
      </c>
      <c r="D295" s="3">
        <f t="shared" si="4"/>
        <v>40</v>
      </c>
      <c r="E295" s="55" t="s">
        <v>874</v>
      </c>
      <c r="F295" s="3" t="s">
        <v>2040</v>
      </c>
      <c r="G295" s="5" t="s">
        <v>875</v>
      </c>
      <c r="H295" s="5" t="s">
        <v>1408</v>
      </c>
      <c r="I295" s="5" t="s">
        <v>129</v>
      </c>
      <c r="J295" s="7">
        <v>14925373</v>
      </c>
      <c r="K295" s="7">
        <v>7462686</v>
      </c>
      <c r="L295" s="7">
        <v>27462686</v>
      </c>
      <c r="M295" s="8">
        <v>73896</v>
      </c>
      <c r="N295" s="7">
        <v>32200000</v>
      </c>
      <c r="O295" s="7">
        <v>72537313</v>
      </c>
      <c r="P295" s="7">
        <v>79214896</v>
      </c>
      <c r="Q295" s="7">
        <v>79214896</v>
      </c>
      <c r="R295" s="5" t="str">
        <f>VLOOKUP($G295,Others!$E$260:$I$596,2,FALSE)</f>
        <v>Original Screenplay</v>
      </c>
      <c r="S295" s="5" t="str">
        <f>VLOOKUP($G295,Others!$E$260:$I$596,3,FALSE)</f>
        <v>Live Action</v>
      </c>
      <c r="T295" s="5" t="str">
        <f>VLOOKUP($G295,Others!$E$260:$I$596,4,FALSE)</f>
        <v>Contemporary Fiction</v>
      </c>
      <c r="U295" s="5" t="str">
        <f>IFERROR(VLOOKUP($G295,Ratings!$E$81:$I$111,5,FALSE),"None")</f>
        <v>None</v>
      </c>
      <c r="V295" s="5" t="s">
        <v>2041</v>
      </c>
      <c r="W295" s="5" t="s">
        <v>2042</v>
      </c>
      <c r="X295" s="5" t="s">
        <v>1646</v>
      </c>
      <c r="Y295" s="5"/>
      <c r="AA295" s="5" t="s">
        <v>1879</v>
      </c>
      <c r="AB295" s="5"/>
      <c r="AC295" s="5" t="s">
        <v>1888</v>
      </c>
      <c r="AD295" s="9">
        <v>8.5</v>
      </c>
      <c r="AE295" s="1" t="s">
        <v>1489</v>
      </c>
      <c r="AG295" s="9"/>
      <c r="AH295" s="9"/>
    </row>
    <row r="296" spans="2:34" hidden="1">
      <c r="B296" s="4">
        <v>2018</v>
      </c>
      <c r="C296" s="4" t="s">
        <v>44</v>
      </c>
      <c r="D296" s="3">
        <f t="shared" si="4"/>
        <v>41</v>
      </c>
      <c r="E296" s="3" t="s">
        <v>876</v>
      </c>
      <c r="G296" s="5" t="s">
        <v>553</v>
      </c>
      <c r="H296" s="5" t="s">
        <v>877</v>
      </c>
      <c r="I296" s="5" t="s">
        <v>191</v>
      </c>
      <c r="J296" s="7">
        <v>0</v>
      </c>
      <c r="M296" s="8">
        <v>0</v>
      </c>
      <c r="N296" s="7">
        <v>0</v>
      </c>
      <c r="P296" s="7">
        <v>0</v>
      </c>
      <c r="Q296" s="7">
        <v>0</v>
      </c>
      <c r="R296" s="5" t="str">
        <f>VLOOKUP($G296,Others!$E$260:$I$596,2,FALSE)</f>
        <v>Based on Real Life Events</v>
      </c>
      <c r="S296" s="5" t="str">
        <f>VLOOKUP($G296,Others!$E$260:$I$596,3,FALSE)</f>
        <v>Live Action</v>
      </c>
      <c r="T296" s="5" t="str">
        <f>VLOOKUP($G296,Others!$E$260:$I$596,4,FALSE)</f>
        <v>Factual</v>
      </c>
      <c r="U296" s="5" t="str">
        <f>IFERROR(VLOOKUP($G296,Ratings!$E$81:$I$111,5,FALSE),"None")</f>
        <v>Not Rated</v>
      </c>
      <c r="V296" s="5"/>
      <c r="X296" s="5"/>
      <c r="Y296" s="5"/>
      <c r="AA296" s="5"/>
      <c r="AB296" s="5"/>
      <c r="AC296" s="5"/>
      <c r="AG296" s="9"/>
      <c r="AH296" s="9"/>
    </row>
    <row r="297" spans="2:34" hidden="1">
      <c r="B297" s="4">
        <v>2018</v>
      </c>
      <c r="C297" s="4" t="s">
        <v>44</v>
      </c>
      <c r="D297" s="3">
        <f t="shared" si="4"/>
        <v>42</v>
      </c>
      <c r="E297" s="3" t="s">
        <v>830</v>
      </c>
      <c r="G297" s="5" t="s">
        <v>878</v>
      </c>
      <c r="H297" s="5" t="s">
        <v>879</v>
      </c>
      <c r="I297" s="5" t="s">
        <v>136</v>
      </c>
      <c r="J297" s="7">
        <v>0</v>
      </c>
      <c r="M297" s="8">
        <v>0</v>
      </c>
      <c r="N297" s="7">
        <v>0</v>
      </c>
      <c r="P297" s="7">
        <v>0</v>
      </c>
      <c r="Q297" s="7">
        <v>0</v>
      </c>
      <c r="R297" s="5" t="str">
        <f>VLOOKUP($G297,Others!$E$260:$I$596,2,FALSE)</f>
        <v>Original Screenplay</v>
      </c>
      <c r="S297" s="5" t="str">
        <f>VLOOKUP($G297,Others!$E$260:$I$596,3,FALSE)</f>
        <v>Live Action</v>
      </c>
      <c r="T297" s="5" t="str">
        <f>VLOOKUP($G297,Others!$E$260:$I$596,4,FALSE)</f>
        <v>Contemporary Fiction</v>
      </c>
      <c r="U297" s="5" t="str">
        <f>IFERROR(VLOOKUP($G297,Ratings!$E$81:$I$111,5,FALSE),"None")</f>
        <v>None</v>
      </c>
      <c r="V297" s="5"/>
      <c r="X297" s="5"/>
      <c r="Y297" s="5"/>
      <c r="AA297" s="5"/>
      <c r="AB297" s="5"/>
      <c r="AC297" s="5"/>
      <c r="AG297" s="9"/>
      <c r="AH297" s="9"/>
    </row>
    <row r="298" spans="2:34">
      <c r="B298" s="4">
        <v>2018</v>
      </c>
      <c r="C298" s="4" t="s">
        <v>44</v>
      </c>
      <c r="D298" s="3">
        <f t="shared" si="4"/>
        <v>43</v>
      </c>
      <c r="E298" s="55" t="s">
        <v>880</v>
      </c>
      <c r="F298" s="3" t="s">
        <v>880</v>
      </c>
      <c r="G298" s="5" t="s">
        <v>881</v>
      </c>
      <c r="H298" s="5" t="s">
        <v>1418</v>
      </c>
      <c r="I298" s="5" t="s">
        <v>154</v>
      </c>
      <c r="J298" s="7">
        <v>14925373</v>
      </c>
      <c r="K298" s="7">
        <v>7462686</v>
      </c>
      <c r="L298" s="7">
        <v>11764179</v>
      </c>
      <c r="M298" s="8">
        <v>76993</v>
      </c>
      <c r="N298" s="7">
        <v>21549210</v>
      </c>
      <c r="O298" s="7">
        <v>31492537</v>
      </c>
      <c r="P298" s="7">
        <v>35045171</v>
      </c>
      <c r="Q298" s="7">
        <v>35045171</v>
      </c>
      <c r="R298" s="5" t="str">
        <f>VLOOKUP($G298,Others!$E$260:$I$596,2,FALSE)</f>
        <v>Based on Fiction Book/Short Story</v>
      </c>
      <c r="S298" s="5" t="str">
        <f>VLOOKUP($G298,Others!$E$260:$I$596,3,FALSE)</f>
        <v>Live Action</v>
      </c>
      <c r="T298" s="5" t="str">
        <f>VLOOKUP($G298,Others!$E$260:$I$596,4,FALSE)</f>
        <v>Contemporary Fiction</v>
      </c>
      <c r="U298" s="5" t="str">
        <f>IFERROR(VLOOKUP($G298,Ratings!$E$81:$I$111,5,FALSE),"None")</f>
        <v>None</v>
      </c>
      <c r="V298" s="5" t="s">
        <v>2043</v>
      </c>
      <c r="W298" s="5" t="s">
        <v>2044</v>
      </c>
      <c r="X298" s="5" t="s">
        <v>2045</v>
      </c>
      <c r="Y298" s="5" t="s">
        <v>2046</v>
      </c>
      <c r="AA298" s="5" t="s">
        <v>2047</v>
      </c>
      <c r="AB298" s="5"/>
      <c r="AC298" s="5" t="s">
        <v>2048</v>
      </c>
      <c r="AD298" s="9">
        <v>8.6999999999999993</v>
      </c>
      <c r="AE298" s="1" t="s">
        <v>1489</v>
      </c>
      <c r="AG298" s="9"/>
      <c r="AH298" s="9"/>
    </row>
    <row r="299" spans="2:34">
      <c r="B299" s="4">
        <v>2018</v>
      </c>
      <c r="C299" s="4" t="s">
        <v>44</v>
      </c>
      <c r="D299" s="3">
        <f t="shared" si="4"/>
        <v>44</v>
      </c>
      <c r="E299" s="55" t="s">
        <v>882</v>
      </c>
      <c r="F299" s="3" t="s">
        <v>824</v>
      </c>
      <c r="G299" s="5" t="s">
        <v>423</v>
      </c>
      <c r="H299" s="5" t="s">
        <v>1421</v>
      </c>
      <c r="I299" s="5" t="s">
        <v>127</v>
      </c>
      <c r="J299" s="7">
        <f>20000000/6.7</f>
        <v>2985074.6268656715</v>
      </c>
      <c r="K299" s="7">
        <f>5000000/6.7</f>
        <v>746268.65671641787</v>
      </c>
      <c r="L299" s="7">
        <f>9500000/6.7</f>
        <v>1417910.4477611941</v>
      </c>
      <c r="M299" s="8">
        <v>772</v>
      </c>
      <c r="N299" s="7">
        <v>192492</v>
      </c>
      <c r="O299" s="7">
        <f>25900000/6.7</f>
        <v>3865671.6417910447</v>
      </c>
      <c r="P299" s="7">
        <v>4668484</v>
      </c>
      <c r="Q299" s="7">
        <v>4668484</v>
      </c>
      <c r="R299" s="5" t="str">
        <f>VLOOKUP($G299,Others!$E$260:$I$596,2,FALSE)</f>
        <v>Original Screenplay</v>
      </c>
      <c r="S299" s="5" t="str">
        <f>VLOOKUP($G299,Others!$E$260:$I$596,3,FALSE)</f>
        <v>Digital Animation</v>
      </c>
      <c r="T299" s="5" t="str">
        <f>VLOOKUP($G299,Others!$E$260:$I$596,4,FALSE)</f>
        <v>Kids Fiction</v>
      </c>
      <c r="U299" s="5" t="str">
        <f>IFERROR(VLOOKUP($G299,Ratings!$E$81:$I$111,5,FALSE),"None")</f>
        <v>PG</v>
      </c>
      <c r="V299" s="5" t="s">
        <v>2049</v>
      </c>
      <c r="W299" s="5" t="s">
        <v>488</v>
      </c>
      <c r="X299" s="5" t="s">
        <v>2050</v>
      </c>
      <c r="Y299" s="5" t="s">
        <v>2051</v>
      </c>
      <c r="Z299" s="5" t="s">
        <v>2052</v>
      </c>
      <c r="AA299" s="5" t="s">
        <v>2053</v>
      </c>
      <c r="AB299" s="5"/>
      <c r="AC299" s="5" t="s">
        <v>2054</v>
      </c>
      <c r="AD299" s="9">
        <v>8.5</v>
      </c>
      <c r="AE299" s="1" t="s">
        <v>1489</v>
      </c>
      <c r="AG299" s="9"/>
      <c r="AH299" s="9"/>
    </row>
    <row r="300" spans="2:34" hidden="1">
      <c r="B300" s="4">
        <v>2018</v>
      </c>
      <c r="C300" s="4" t="s">
        <v>44</v>
      </c>
      <c r="D300" s="3">
        <f t="shared" si="4"/>
        <v>45</v>
      </c>
      <c r="E300" s="3" t="s">
        <v>883</v>
      </c>
      <c r="G300" s="5" t="s">
        <v>884</v>
      </c>
      <c r="H300" s="5"/>
      <c r="I300" s="5" t="s">
        <v>127</v>
      </c>
      <c r="J300" s="7">
        <v>0</v>
      </c>
      <c r="M300" s="8">
        <v>0</v>
      </c>
      <c r="N300" s="7">
        <v>0</v>
      </c>
      <c r="P300" s="7">
        <v>1689811</v>
      </c>
      <c r="Q300" s="7">
        <v>1689811</v>
      </c>
      <c r="R300" s="5" t="str">
        <f>VLOOKUP($G300,Others!$E$260:$I$596,2,FALSE)</f>
        <v>Original Screenplay</v>
      </c>
      <c r="S300" s="5" t="str">
        <f>VLOOKUP($G300,Others!$E$260:$I$596,3,FALSE)</f>
        <v>Digital Animation</v>
      </c>
      <c r="T300" s="5" t="str">
        <f>VLOOKUP($G300,Others!$E$260:$I$596,4,FALSE)</f>
        <v>Kids Fiction</v>
      </c>
      <c r="U300" s="5" t="str">
        <f>IFERROR(VLOOKUP($G300,Ratings!$E$81:$I$111,5,FALSE),"None")</f>
        <v>PG</v>
      </c>
      <c r="V300" s="5"/>
      <c r="X300" s="5"/>
      <c r="Y300" s="5"/>
      <c r="Z300" s="5"/>
      <c r="AA300" s="5"/>
      <c r="AB300" s="5"/>
      <c r="AG300" s="9"/>
      <c r="AH300" s="9"/>
    </row>
    <row r="301" spans="2:34" hidden="1">
      <c r="B301" s="4">
        <v>2018</v>
      </c>
      <c r="C301" s="4" t="s">
        <v>44</v>
      </c>
      <c r="D301" s="3">
        <f t="shared" si="4"/>
        <v>46</v>
      </c>
      <c r="E301" s="3" t="s">
        <v>886</v>
      </c>
      <c r="G301" s="5" t="s">
        <v>887</v>
      </c>
      <c r="H301" s="5"/>
      <c r="I301" s="5" t="s">
        <v>131</v>
      </c>
      <c r="J301" s="7">
        <v>0</v>
      </c>
      <c r="M301" s="8">
        <v>0</v>
      </c>
      <c r="N301" s="7">
        <v>0</v>
      </c>
      <c r="P301" s="7">
        <v>161474</v>
      </c>
      <c r="Q301" s="7">
        <v>161474</v>
      </c>
      <c r="R301" s="5">
        <f>VLOOKUP($G301,Others!$E$260:$I$596,2,FALSE)</f>
        <v>0</v>
      </c>
      <c r="S301" s="5" t="str">
        <f>VLOOKUP($G301,Others!$E$260:$I$596,3,FALSE)</f>
        <v>Live Action</v>
      </c>
      <c r="T301" s="5">
        <f>VLOOKUP($G301,Others!$E$260:$I$596,4,FALSE)</f>
        <v>0</v>
      </c>
      <c r="U301" s="5" t="str">
        <f>IFERROR(VLOOKUP($G301,Ratings!$E$81:$I$111,5,FALSE),"None")</f>
        <v>None</v>
      </c>
      <c r="V301" s="5"/>
      <c r="X301" s="5"/>
      <c r="Y301" s="5"/>
      <c r="Z301" s="5"/>
      <c r="AA301" s="5"/>
      <c r="AB301" s="5"/>
      <c r="AG301" s="9"/>
      <c r="AH301" s="9"/>
    </row>
    <row r="302" spans="2:34" hidden="1">
      <c r="B302" s="4">
        <v>2018</v>
      </c>
      <c r="C302" s="4" t="s">
        <v>44</v>
      </c>
      <c r="D302" s="3">
        <f t="shared" si="4"/>
        <v>47</v>
      </c>
      <c r="E302" s="3" t="s">
        <v>886</v>
      </c>
      <c r="G302" s="5" t="s">
        <v>888</v>
      </c>
      <c r="H302" s="5"/>
      <c r="I302" s="5" t="s">
        <v>193</v>
      </c>
      <c r="J302" s="7">
        <v>0</v>
      </c>
      <c r="M302" s="8">
        <v>0</v>
      </c>
      <c r="N302" s="7">
        <v>0</v>
      </c>
      <c r="P302" s="7">
        <v>26941</v>
      </c>
      <c r="Q302" s="7">
        <v>26941</v>
      </c>
      <c r="R302" s="5">
        <f>VLOOKUP($G302,Others!$E$260:$I$596,2,FALSE)</f>
        <v>0</v>
      </c>
      <c r="S302" s="5">
        <f>VLOOKUP($G302,Others!$E$260:$I$596,3,FALSE)</f>
        <v>0</v>
      </c>
      <c r="T302" s="5">
        <f>VLOOKUP($G302,Others!$E$260:$I$596,4,FALSE)</f>
        <v>0</v>
      </c>
      <c r="U302" s="5" t="str">
        <f>IFERROR(VLOOKUP($G302,Ratings!$E$81:$I$111,5,FALSE),"None")</f>
        <v>None</v>
      </c>
      <c r="V302" s="5"/>
      <c r="X302" s="5"/>
      <c r="Y302" s="5"/>
      <c r="Z302" s="5"/>
      <c r="AA302" s="5"/>
      <c r="AB302" s="5"/>
      <c r="AG302" s="9"/>
      <c r="AH302" s="9"/>
    </row>
    <row r="303" spans="2:34" hidden="1">
      <c r="B303" s="4">
        <v>2018</v>
      </c>
      <c r="C303" s="4" t="s">
        <v>44</v>
      </c>
      <c r="D303" s="3">
        <f t="shared" si="4"/>
        <v>48</v>
      </c>
      <c r="E303" s="3" t="s">
        <v>886</v>
      </c>
      <c r="G303" s="5" t="s">
        <v>889</v>
      </c>
      <c r="H303" s="5"/>
      <c r="I303" s="5" t="s">
        <v>253</v>
      </c>
      <c r="J303" s="7">
        <v>0</v>
      </c>
      <c r="M303" s="8">
        <v>0</v>
      </c>
      <c r="N303" s="7">
        <v>0</v>
      </c>
      <c r="P303" s="7">
        <v>100000</v>
      </c>
      <c r="Q303" s="7">
        <v>100000</v>
      </c>
      <c r="R303" s="5" t="str">
        <f>VLOOKUP($G303,Others!$E$260:$I$596,2,FALSE)</f>
        <v>Compilation</v>
      </c>
      <c r="S303" s="5" t="str">
        <f>VLOOKUP($G303,Others!$E$260:$I$596,3,FALSE)</f>
        <v>Multiple Production Methods</v>
      </c>
      <c r="T303" s="5" t="str">
        <f>VLOOKUP($G303,Others!$E$260:$I$596,4,FALSE)</f>
        <v>Multiple Creative Types</v>
      </c>
      <c r="U303" s="5" t="str">
        <f>IFERROR(VLOOKUP($G303,Ratings!$E$81:$I$111,5,FALSE),"None")</f>
        <v>None</v>
      </c>
      <c r="V303" s="5"/>
      <c r="X303" s="5"/>
      <c r="Y303" s="5"/>
      <c r="Z303" s="5"/>
      <c r="AA303" s="5"/>
      <c r="AB303" s="5"/>
      <c r="AG303" s="9"/>
      <c r="AH303" s="9"/>
    </row>
    <row r="304" spans="2:34" hidden="1">
      <c r="B304" s="4">
        <v>2018</v>
      </c>
      <c r="C304" s="4" t="s">
        <v>44</v>
      </c>
      <c r="D304" s="3">
        <f t="shared" si="4"/>
        <v>49</v>
      </c>
      <c r="E304" s="3" t="s">
        <v>886</v>
      </c>
      <c r="G304" s="5" t="s">
        <v>502</v>
      </c>
      <c r="H304" s="5"/>
      <c r="I304" s="5" t="s">
        <v>148</v>
      </c>
      <c r="J304" s="7">
        <v>0</v>
      </c>
      <c r="M304" s="8">
        <v>0</v>
      </c>
      <c r="N304" s="7">
        <v>0</v>
      </c>
      <c r="P304" s="7">
        <v>142235</v>
      </c>
      <c r="Q304" s="7">
        <v>142235</v>
      </c>
      <c r="R304" s="5">
        <f>VLOOKUP($G304,Others!$E$260:$I$596,2,FALSE)</f>
        <v>0</v>
      </c>
      <c r="S304" s="5" t="str">
        <f>VLOOKUP($G304,Others!$E$260:$I$596,3,FALSE)</f>
        <v>Live Action</v>
      </c>
      <c r="T304" s="5">
        <f>VLOOKUP($G304,Others!$E$260:$I$596,4,FALSE)</f>
        <v>0</v>
      </c>
      <c r="U304" s="5" t="str">
        <f>IFERROR(VLOOKUP($G304,Ratings!$E$81:$I$111,5,FALSE),"None")</f>
        <v>None</v>
      </c>
      <c r="V304" s="5"/>
      <c r="X304" s="5"/>
      <c r="Y304" s="5"/>
      <c r="Z304" s="5"/>
      <c r="AA304" s="5"/>
      <c r="AB304" s="5"/>
      <c r="AG304" s="9"/>
      <c r="AH304" s="9"/>
    </row>
    <row r="305" spans="2:34" hidden="1">
      <c r="B305" s="4">
        <v>2018</v>
      </c>
      <c r="C305" s="4" t="s">
        <v>44</v>
      </c>
      <c r="D305" s="3">
        <f t="shared" si="4"/>
        <v>50</v>
      </c>
      <c r="E305" s="3" t="s">
        <v>886</v>
      </c>
      <c r="G305" s="5" t="s">
        <v>890</v>
      </c>
      <c r="H305" s="5"/>
      <c r="I305" s="5" t="s">
        <v>136</v>
      </c>
      <c r="J305" s="7">
        <v>0</v>
      </c>
      <c r="M305" s="8">
        <v>0</v>
      </c>
      <c r="N305" s="7">
        <v>0</v>
      </c>
      <c r="P305" s="7">
        <v>0</v>
      </c>
      <c r="Q305" s="7">
        <v>0</v>
      </c>
      <c r="R305" s="5" t="str">
        <f>VLOOKUP($G305,Others!$E$260:$I$596,2,FALSE)</f>
        <v>Original Screenplay</v>
      </c>
      <c r="S305" s="5" t="str">
        <f>VLOOKUP($G305,Others!$E$260:$I$596,3,FALSE)</f>
        <v>Live Action</v>
      </c>
      <c r="T305" s="5" t="str">
        <f>VLOOKUP($G305,Others!$E$260:$I$596,4,FALSE)</f>
        <v>Science Fiction</v>
      </c>
      <c r="U305" s="5" t="str">
        <f>IFERROR(VLOOKUP($G305,Ratings!$E$81:$I$111,5,FALSE),"None")</f>
        <v>None</v>
      </c>
      <c r="V305" s="5"/>
      <c r="X305" s="5"/>
      <c r="Y305" s="5"/>
      <c r="Z305" s="5"/>
      <c r="AA305" s="5"/>
      <c r="AB305" s="5"/>
      <c r="AG305" s="9"/>
      <c r="AH305" s="9"/>
    </row>
    <row r="306" spans="2:34">
      <c r="B306" s="4">
        <v>2018</v>
      </c>
      <c r="C306" s="4" t="s">
        <v>44</v>
      </c>
      <c r="D306" s="3">
        <f t="shared" si="4"/>
        <v>51</v>
      </c>
      <c r="E306" s="55" t="s">
        <v>886</v>
      </c>
      <c r="F306" s="56" t="s">
        <v>2055</v>
      </c>
      <c r="G306" s="5" t="s">
        <v>891</v>
      </c>
      <c r="H306" s="39" t="s">
        <v>1501</v>
      </c>
      <c r="I306" s="5" t="s">
        <v>127</v>
      </c>
      <c r="J306" s="7">
        <f>0.1*100000000/6.7</f>
        <v>1492537.3134328357</v>
      </c>
      <c r="K306" s="57" t="s">
        <v>1411</v>
      </c>
      <c r="L306" s="7">
        <f>0.02*100000000/6.7</f>
        <v>298507.46268656716</v>
      </c>
      <c r="M306" s="8">
        <v>239</v>
      </c>
      <c r="N306" s="7">
        <v>283674</v>
      </c>
      <c r="O306" s="7">
        <f>0.05*100000000/6.7</f>
        <v>746268.65671641787</v>
      </c>
      <c r="P306" s="7">
        <v>754959</v>
      </c>
      <c r="Q306" s="7">
        <v>754959</v>
      </c>
      <c r="R306" s="39" t="s">
        <v>606</v>
      </c>
      <c r="S306" s="5" t="str">
        <f>VLOOKUP($G306,Others!$E$260:$I$596,3,FALSE)</f>
        <v>Digital Animation</v>
      </c>
      <c r="T306" s="39" t="s">
        <v>612</v>
      </c>
      <c r="U306" s="5" t="str">
        <f>IFERROR(VLOOKUP($G306,Ratings!$E$81:$I$111,5,FALSE),"None")</f>
        <v>None</v>
      </c>
      <c r="V306" s="5" t="s">
        <v>2056</v>
      </c>
      <c r="W306" s="5" t="s">
        <v>2057</v>
      </c>
      <c r="X306" s="39" t="s">
        <v>1411</v>
      </c>
      <c r="Y306" s="5"/>
      <c r="Z306" s="5" t="s">
        <v>22</v>
      </c>
      <c r="AA306" s="5" t="s">
        <v>2058</v>
      </c>
      <c r="AB306" s="5"/>
      <c r="AC306" s="5" t="s">
        <v>2059</v>
      </c>
      <c r="AD306" s="9">
        <v>8</v>
      </c>
      <c r="AE306" s="1" t="s">
        <v>1489</v>
      </c>
      <c r="AG306" s="9"/>
      <c r="AH306" s="9"/>
    </row>
    <row r="307" spans="2:34" hidden="1">
      <c r="B307" s="4">
        <v>2018</v>
      </c>
      <c r="C307" s="4" t="s">
        <v>44</v>
      </c>
      <c r="D307" s="3">
        <f t="shared" si="4"/>
        <v>52</v>
      </c>
      <c r="E307" s="3" t="s">
        <v>886</v>
      </c>
      <c r="G307" s="5" t="s">
        <v>892</v>
      </c>
      <c r="H307" s="5"/>
      <c r="I307" s="5" t="s">
        <v>191</v>
      </c>
      <c r="J307" s="7">
        <v>0</v>
      </c>
      <c r="M307" s="8">
        <v>0</v>
      </c>
      <c r="N307" s="7">
        <v>0</v>
      </c>
      <c r="P307" s="7">
        <v>26942</v>
      </c>
      <c r="Q307" s="7">
        <v>26942</v>
      </c>
      <c r="R307" s="5" t="str">
        <f>VLOOKUP($G307,Others!$E$260:$I$596,2,FALSE)</f>
        <v>Based on Real Life Events</v>
      </c>
      <c r="S307" s="5" t="str">
        <f>VLOOKUP($G307,Others!$E$260:$I$596,3,FALSE)</f>
        <v>Live Action</v>
      </c>
      <c r="T307" s="5" t="str">
        <f>VLOOKUP($G307,Others!$E$260:$I$596,4,FALSE)</f>
        <v>Factual</v>
      </c>
      <c r="U307" s="5" t="str">
        <f>IFERROR(VLOOKUP($G307,Ratings!$E$81:$I$111,5,FALSE),"None")</f>
        <v>None</v>
      </c>
      <c r="V307" s="5"/>
      <c r="X307" s="5"/>
      <c r="Y307" s="5"/>
      <c r="Z307" s="5"/>
      <c r="AA307" s="5"/>
      <c r="AB307" s="5"/>
      <c r="AC307" s="5"/>
      <c r="AG307" s="9"/>
      <c r="AH307" s="9"/>
    </row>
    <row r="308" spans="2:34" hidden="1">
      <c r="B308" s="4">
        <v>2018</v>
      </c>
      <c r="C308" s="4" t="s">
        <v>44</v>
      </c>
      <c r="D308" s="3">
        <f t="shared" si="4"/>
        <v>53</v>
      </c>
      <c r="E308" s="3" t="s">
        <v>886</v>
      </c>
      <c r="G308" s="5" t="s">
        <v>893</v>
      </c>
      <c r="H308" s="5"/>
      <c r="I308" s="5" t="s">
        <v>131</v>
      </c>
      <c r="J308" s="7">
        <v>0</v>
      </c>
      <c r="M308" s="8">
        <v>0</v>
      </c>
      <c r="N308" s="7">
        <v>0</v>
      </c>
      <c r="P308" s="7">
        <v>287404</v>
      </c>
      <c r="Q308" s="7">
        <v>287404</v>
      </c>
      <c r="R308" s="5">
        <f>VLOOKUP($G308,Others!$E$260:$I$596,2,FALSE)</f>
        <v>0</v>
      </c>
      <c r="S308" s="5" t="str">
        <f>VLOOKUP($G308,Others!$E$260:$I$596,3,FALSE)</f>
        <v>Live Action</v>
      </c>
      <c r="T308" s="5" t="str">
        <f>VLOOKUP($G308,Others!$E$260:$I$596,4,FALSE)</f>
        <v>Contemporary Fiction</v>
      </c>
      <c r="U308" s="5" t="str">
        <f>IFERROR(VLOOKUP($G308,Ratings!$E$81:$I$111,5,FALSE),"None")</f>
        <v>None</v>
      </c>
      <c r="V308" s="5"/>
      <c r="X308" s="5"/>
      <c r="Y308" s="5"/>
      <c r="Z308" s="5"/>
      <c r="AA308" s="5"/>
      <c r="AB308" s="5"/>
      <c r="AC308" s="5"/>
      <c r="AG308" s="9"/>
      <c r="AH308" s="9"/>
    </row>
    <row r="309" spans="2:34" hidden="1">
      <c r="B309" s="4">
        <v>2018</v>
      </c>
      <c r="C309" s="4" t="s">
        <v>44</v>
      </c>
      <c r="D309" s="3">
        <f t="shared" si="4"/>
        <v>54</v>
      </c>
      <c r="E309" s="3" t="s">
        <v>886</v>
      </c>
      <c r="G309" s="5" t="s">
        <v>894</v>
      </c>
      <c r="H309" s="5"/>
      <c r="I309" s="5" t="s">
        <v>131</v>
      </c>
      <c r="J309" s="7">
        <v>0</v>
      </c>
      <c r="M309" s="8">
        <v>0</v>
      </c>
      <c r="N309" s="7">
        <v>0</v>
      </c>
      <c r="P309" s="7">
        <v>61616</v>
      </c>
      <c r="Q309" s="7">
        <v>61616</v>
      </c>
      <c r="R309" s="5" t="str">
        <f>VLOOKUP($G309,Others!$E$260:$I$596,2,FALSE)</f>
        <v>Based on Real Life Events</v>
      </c>
      <c r="S309" s="5" t="str">
        <f>VLOOKUP($G309,Others!$E$260:$I$596,3,FALSE)</f>
        <v>Live Action</v>
      </c>
      <c r="T309" s="5" t="str">
        <f>VLOOKUP($G309,Others!$E$260:$I$596,4,FALSE)</f>
        <v>Dramatization</v>
      </c>
      <c r="U309" s="5" t="str">
        <f>IFERROR(VLOOKUP($G309,Ratings!$E$81:$I$111,5,FALSE),"None")</f>
        <v>None</v>
      </c>
      <c r="V309" s="5"/>
      <c r="X309" s="5"/>
      <c r="Y309" s="5"/>
      <c r="Z309" s="5"/>
      <c r="AA309" s="5"/>
      <c r="AB309" s="5"/>
      <c r="AC309" s="5"/>
      <c r="AG309" s="9"/>
      <c r="AH309" s="9"/>
    </row>
    <row r="310" spans="2:34" hidden="1">
      <c r="B310" s="4">
        <v>2018</v>
      </c>
      <c r="C310" s="4" t="s">
        <v>44</v>
      </c>
      <c r="D310" s="3">
        <f t="shared" si="4"/>
        <v>55</v>
      </c>
      <c r="E310" s="3" t="s">
        <v>886</v>
      </c>
      <c r="G310" s="5" t="s">
        <v>895</v>
      </c>
      <c r="H310" s="5"/>
      <c r="I310" s="5" t="s">
        <v>129</v>
      </c>
      <c r="J310" s="7">
        <v>0</v>
      </c>
      <c r="M310" s="8">
        <v>0</v>
      </c>
      <c r="N310" s="7">
        <v>0</v>
      </c>
      <c r="P310" s="7">
        <v>14651659</v>
      </c>
      <c r="Q310" s="7">
        <v>14651659</v>
      </c>
      <c r="R310" s="5">
        <f>VLOOKUP($G310,Others!$E$260:$I$596,2,FALSE)</f>
        <v>0</v>
      </c>
      <c r="S310" s="5" t="str">
        <f>VLOOKUP($G310,Others!$E$260:$I$596,3,FALSE)</f>
        <v>Live Action</v>
      </c>
      <c r="T310" s="5">
        <f>VLOOKUP($G310,Others!$E$260:$I$596,4,FALSE)</f>
        <v>0</v>
      </c>
      <c r="U310" s="5" t="str">
        <f>IFERROR(VLOOKUP($G310,Ratings!$E$81:$I$111,5,FALSE),"None")</f>
        <v>None</v>
      </c>
      <c r="V310" s="5"/>
      <c r="X310" s="5"/>
      <c r="Y310" s="5"/>
      <c r="Z310" s="5"/>
      <c r="AA310" s="5"/>
      <c r="AB310" s="5"/>
      <c r="AC310" s="5"/>
      <c r="AG310" s="9"/>
      <c r="AH310" s="9"/>
    </row>
    <row r="311" spans="2:34" hidden="1">
      <c r="B311" s="4">
        <v>2018</v>
      </c>
      <c r="C311" s="4" t="s">
        <v>44</v>
      </c>
      <c r="D311" s="3">
        <f t="shared" si="4"/>
        <v>56</v>
      </c>
      <c r="E311" s="3" t="s">
        <v>886</v>
      </c>
      <c r="G311" s="5" t="s">
        <v>896</v>
      </c>
      <c r="H311" s="5"/>
      <c r="I311" s="5" t="s">
        <v>129</v>
      </c>
      <c r="J311" s="7">
        <v>0</v>
      </c>
      <c r="M311" s="8">
        <v>0</v>
      </c>
      <c r="N311" s="7">
        <v>0</v>
      </c>
      <c r="P311" s="7">
        <v>4013</v>
      </c>
      <c r="Q311" s="7">
        <v>4013</v>
      </c>
      <c r="R311" s="5" t="str">
        <f>VLOOKUP($G311,Others!$E$260:$I$596,2,FALSE)</f>
        <v>Based on Folk Tale/Legend/Fairytale</v>
      </c>
      <c r="S311" s="5" t="str">
        <f>VLOOKUP($G311,Others!$E$260:$I$596,3,FALSE)</f>
        <v>Live Action</v>
      </c>
      <c r="T311" s="5" t="str">
        <f>VLOOKUP($G311,Others!$E$260:$I$596,4,FALSE)</f>
        <v>Fantasy</v>
      </c>
      <c r="U311" s="5" t="str">
        <f>IFERROR(VLOOKUP($G311,Ratings!$E$81:$I$111,5,FALSE),"None")</f>
        <v>None</v>
      </c>
      <c r="V311" s="5"/>
      <c r="X311" s="5"/>
      <c r="Y311" s="5"/>
      <c r="Z311" s="5"/>
      <c r="AA311" s="5"/>
      <c r="AB311" s="5"/>
      <c r="AC311" s="5"/>
      <c r="AG311" s="9"/>
      <c r="AH311" s="9"/>
    </row>
    <row r="312" spans="2:34" hidden="1">
      <c r="B312" s="4">
        <v>2018</v>
      </c>
      <c r="C312" s="4" t="s">
        <v>44</v>
      </c>
      <c r="D312" s="3">
        <f t="shared" si="4"/>
        <v>57</v>
      </c>
      <c r="E312" s="3" t="s">
        <v>886</v>
      </c>
      <c r="G312" s="5" t="s">
        <v>897</v>
      </c>
      <c r="H312" s="5"/>
      <c r="I312" s="5" t="s">
        <v>127</v>
      </c>
      <c r="J312" s="7">
        <v>0</v>
      </c>
      <c r="M312" s="8">
        <v>0</v>
      </c>
      <c r="N312" s="7">
        <v>0</v>
      </c>
      <c r="P312" s="7">
        <v>265272</v>
      </c>
      <c r="Q312" s="7">
        <v>265272</v>
      </c>
      <c r="R312" s="5">
        <f>VLOOKUP($G312,Others!$E$260:$I$596,2,FALSE)</f>
        <v>0</v>
      </c>
      <c r="S312" s="5" t="str">
        <f>VLOOKUP($G312,Others!$E$260:$I$596,3,FALSE)</f>
        <v>Digital Animation</v>
      </c>
      <c r="T312" s="5" t="str">
        <f>VLOOKUP($G312,Others!$E$260:$I$596,4,FALSE)</f>
        <v>Fantasy</v>
      </c>
      <c r="U312" s="5" t="str">
        <f>IFERROR(VLOOKUP($G312,Ratings!$E$81:$I$111,5,FALSE),"None")</f>
        <v>None</v>
      </c>
      <c r="V312" s="5"/>
      <c r="X312" s="5"/>
      <c r="Y312" s="5"/>
      <c r="Z312" s="5"/>
      <c r="AA312" s="5"/>
      <c r="AB312" s="5"/>
      <c r="AC312" s="5"/>
      <c r="AG312" s="9"/>
      <c r="AH312" s="9"/>
    </row>
    <row r="313" spans="2:34" hidden="1">
      <c r="B313" s="4">
        <v>2018</v>
      </c>
      <c r="C313" s="4" t="s">
        <v>44</v>
      </c>
      <c r="D313" s="3">
        <f t="shared" si="4"/>
        <v>58</v>
      </c>
      <c r="E313" s="3" t="s">
        <v>886</v>
      </c>
      <c r="G313" s="5" t="s">
        <v>898</v>
      </c>
      <c r="H313" s="5"/>
      <c r="I313" s="5" t="s">
        <v>131</v>
      </c>
      <c r="J313" s="7">
        <v>0</v>
      </c>
      <c r="M313" s="8">
        <v>0</v>
      </c>
      <c r="N313" s="7">
        <v>0</v>
      </c>
      <c r="P313" s="7">
        <v>11688</v>
      </c>
      <c r="Q313" s="7">
        <v>11688</v>
      </c>
      <c r="R313" s="5">
        <f>VLOOKUP($G313,Others!$E$260:$I$596,2,FALSE)</f>
        <v>0</v>
      </c>
      <c r="S313" s="5">
        <f>VLOOKUP($G313,Others!$E$260:$I$596,3,FALSE)</f>
        <v>0</v>
      </c>
      <c r="T313" s="5">
        <f>VLOOKUP($G313,Others!$E$260:$I$596,4,FALSE)</f>
        <v>0</v>
      </c>
      <c r="U313" s="5" t="str">
        <f>IFERROR(VLOOKUP($G313,Ratings!$E$81:$I$111,5,FALSE),"None")</f>
        <v>None</v>
      </c>
      <c r="V313" s="5"/>
      <c r="X313" s="5"/>
      <c r="Y313" s="5"/>
      <c r="Z313" s="5"/>
      <c r="AA313" s="5"/>
      <c r="AB313" s="5"/>
      <c r="AC313" s="5"/>
      <c r="AG313" s="9"/>
      <c r="AH313" s="9"/>
    </row>
    <row r="314" spans="2:34" hidden="1">
      <c r="B314" s="4">
        <v>2018</v>
      </c>
      <c r="C314" s="4" t="s">
        <v>44</v>
      </c>
      <c r="D314" s="3">
        <f t="shared" si="4"/>
        <v>59</v>
      </c>
      <c r="E314" s="3" t="s">
        <v>886</v>
      </c>
      <c r="G314" s="5" t="s">
        <v>899</v>
      </c>
      <c r="H314" s="5"/>
      <c r="I314" s="5" t="s">
        <v>127</v>
      </c>
      <c r="J314" s="7">
        <v>0</v>
      </c>
      <c r="M314" s="8">
        <v>0</v>
      </c>
      <c r="N314" s="7">
        <v>0</v>
      </c>
      <c r="P314" s="7">
        <v>296807</v>
      </c>
      <c r="Q314" s="7">
        <v>296807</v>
      </c>
      <c r="R314" s="5">
        <f>VLOOKUP($G314,Others!$E$260:$I$596,2,FALSE)</f>
        <v>0</v>
      </c>
      <c r="S314" s="5" t="str">
        <f>VLOOKUP($G314,Others!$E$260:$I$596,3,FALSE)</f>
        <v>Digital Animation</v>
      </c>
      <c r="T314" s="5" t="str">
        <f>VLOOKUP($G314,Others!$E$260:$I$596,4,FALSE)</f>
        <v>Fantasy</v>
      </c>
      <c r="U314" s="5" t="str">
        <f>IFERROR(VLOOKUP($G314,Ratings!$E$81:$I$111,5,FALSE),"None")</f>
        <v>None</v>
      </c>
      <c r="V314" s="5"/>
      <c r="X314" s="5"/>
      <c r="Y314" s="5"/>
      <c r="Z314" s="5"/>
      <c r="AA314" s="5"/>
      <c r="AB314" s="5"/>
      <c r="AC314" s="5"/>
      <c r="AG314" s="9"/>
      <c r="AH314" s="9"/>
    </row>
    <row r="315" spans="2:34" hidden="1">
      <c r="B315" s="4">
        <v>2018</v>
      </c>
      <c r="C315" s="4" t="s">
        <v>44</v>
      </c>
      <c r="D315" s="3">
        <f t="shared" si="4"/>
        <v>60</v>
      </c>
      <c r="E315" s="3" t="s">
        <v>886</v>
      </c>
      <c r="G315" s="5" t="s">
        <v>900</v>
      </c>
      <c r="H315" s="5"/>
      <c r="J315" s="7">
        <v>0</v>
      </c>
      <c r="M315" s="8">
        <v>0</v>
      </c>
      <c r="N315" s="7">
        <v>0</v>
      </c>
      <c r="P315" s="7">
        <v>10981</v>
      </c>
      <c r="Q315" s="7">
        <v>10981</v>
      </c>
      <c r="R315" s="5">
        <f>VLOOKUP($G315,Others!$E$260:$I$596,2,FALSE)</f>
        <v>0</v>
      </c>
      <c r="S315" s="5">
        <f>VLOOKUP($G315,Others!$E$260:$I$596,3,FALSE)</f>
        <v>0</v>
      </c>
      <c r="T315" s="5">
        <f>VLOOKUP($G315,Others!$E$260:$I$596,4,FALSE)</f>
        <v>0</v>
      </c>
      <c r="U315" s="5" t="str">
        <f>IFERROR(VLOOKUP($G315,Ratings!$E$81:$I$111,5,FALSE),"None")</f>
        <v>None</v>
      </c>
      <c r="V315" s="5"/>
      <c r="X315" s="5"/>
      <c r="Y315" s="5"/>
      <c r="Z315" s="5"/>
      <c r="AA315" s="5"/>
      <c r="AB315" s="5"/>
      <c r="AC315" s="5"/>
      <c r="AG315" s="9"/>
      <c r="AH315" s="9"/>
    </row>
    <row r="316" spans="2:34" hidden="1">
      <c r="B316" s="4">
        <v>2018</v>
      </c>
      <c r="C316" s="4" t="s">
        <v>44</v>
      </c>
      <c r="D316" s="3">
        <f t="shared" si="4"/>
        <v>61</v>
      </c>
      <c r="E316" s="3" t="s">
        <v>886</v>
      </c>
      <c r="G316" s="5" t="s">
        <v>901</v>
      </c>
      <c r="H316" s="5"/>
      <c r="J316" s="7">
        <v>0</v>
      </c>
      <c r="M316" s="8">
        <v>0</v>
      </c>
      <c r="N316" s="7">
        <v>0</v>
      </c>
      <c r="P316" s="7">
        <v>190536</v>
      </c>
      <c r="Q316" s="7">
        <v>190536</v>
      </c>
      <c r="R316" s="5" t="str">
        <f>VLOOKUP($G316,Others!$E$260:$I$596,2,FALSE)</f>
        <v>Original Screenplay</v>
      </c>
      <c r="S316" s="5" t="str">
        <f>VLOOKUP($G316,Others!$E$260:$I$596,3,FALSE)</f>
        <v>Digital Animation</v>
      </c>
      <c r="T316" s="5">
        <f>VLOOKUP($G316,Others!$E$260:$I$596,4,FALSE)</f>
        <v>0</v>
      </c>
      <c r="U316" s="5" t="str">
        <f>IFERROR(VLOOKUP($G316,Ratings!$E$81:$I$111,5,FALSE),"None")</f>
        <v>None</v>
      </c>
      <c r="V316" s="5"/>
      <c r="X316" s="5"/>
      <c r="Y316" s="5"/>
      <c r="Z316" s="5"/>
      <c r="AA316" s="5"/>
      <c r="AB316" s="5"/>
      <c r="AC316" s="5"/>
      <c r="AG316" s="9"/>
      <c r="AH316" s="9"/>
    </row>
    <row r="317" spans="2:34" hidden="1">
      <c r="B317" s="4">
        <v>2018</v>
      </c>
      <c r="C317" s="4" t="s">
        <v>44</v>
      </c>
      <c r="D317" s="3">
        <f t="shared" si="4"/>
        <v>62</v>
      </c>
      <c r="E317" s="3" t="s">
        <v>886</v>
      </c>
      <c r="G317" s="5" t="s">
        <v>902</v>
      </c>
      <c r="H317" s="5"/>
      <c r="I317" s="5" t="s">
        <v>131</v>
      </c>
      <c r="J317" s="7">
        <v>0</v>
      </c>
      <c r="M317" s="8">
        <v>0</v>
      </c>
      <c r="N317" s="7">
        <v>0</v>
      </c>
      <c r="P317" s="7">
        <v>35189</v>
      </c>
      <c r="Q317" s="7">
        <v>35189</v>
      </c>
      <c r="R317" s="5">
        <f>VLOOKUP($G317,Others!$E$260:$I$596,2,FALSE)</f>
        <v>0</v>
      </c>
      <c r="S317" s="5">
        <f>VLOOKUP($G317,Others!$E$260:$I$596,3,FALSE)</f>
        <v>0</v>
      </c>
      <c r="T317" s="5">
        <f>VLOOKUP($G317,Others!$E$260:$I$596,4,FALSE)</f>
        <v>0</v>
      </c>
      <c r="U317" s="5" t="str">
        <f>IFERROR(VLOOKUP($G317,Ratings!$E$81:$I$111,5,FALSE),"None")</f>
        <v>None</v>
      </c>
      <c r="V317" s="5"/>
      <c r="X317" s="5"/>
      <c r="Y317" s="5"/>
      <c r="Z317" s="5"/>
      <c r="AA317" s="5"/>
      <c r="AB317" s="5"/>
      <c r="AC317" s="5"/>
      <c r="AG317" s="9"/>
      <c r="AH317" s="9"/>
    </row>
    <row r="318" spans="2:34" hidden="1">
      <c r="B318" s="4">
        <v>2018</v>
      </c>
      <c r="C318" s="4" t="s">
        <v>44</v>
      </c>
      <c r="D318" s="3">
        <f t="shared" si="4"/>
        <v>63</v>
      </c>
      <c r="E318" s="3" t="s">
        <v>886</v>
      </c>
      <c r="G318" s="5" t="s">
        <v>903</v>
      </c>
      <c r="H318" s="5"/>
      <c r="I318" s="5" t="s">
        <v>253</v>
      </c>
      <c r="J318" s="7">
        <v>0</v>
      </c>
      <c r="M318" s="8">
        <v>0</v>
      </c>
      <c r="N318" s="7">
        <v>0</v>
      </c>
      <c r="P318" s="7">
        <v>1000000</v>
      </c>
      <c r="Q318" s="7">
        <v>1000000</v>
      </c>
      <c r="R318" s="5" t="str">
        <f>VLOOKUP($G318,Others!$E$260:$I$596,2,FALSE)</f>
        <v>Compilation</v>
      </c>
      <c r="S318" s="5" t="str">
        <f>VLOOKUP($G318,Others!$E$260:$I$596,3,FALSE)</f>
        <v>Multiple Production Methods</v>
      </c>
      <c r="T318" s="5" t="str">
        <f>VLOOKUP($G318,Others!$E$260:$I$596,4,FALSE)</f>
        <v>Multiple Creative Types</v>
      </c>
      <c r="U318" s="5" t="str">
        <f>IFERROR(VLOOKUP($G318,Ratings!$E$81:$I$111,5,FALSE),"None")</f>
        <v>None</v>
      </c>
      <c r="V318" s="5"/>
      <c r="X318" s="5"/>
      <c r="Y318" s="5"/>
      <c r="Z318" s="5"/>
      <c r="AA318" s="5"/>
      <c r="AB318" s="5"/>
      <c r="AC318" s="5"/>
      <c r="AG318" s="9"/>
      <c r="AH318" s="9"/>
    </row>
    <row r="319" spans="2:34" hidden="1">
      <c r="B319" s="4">
        <v>2018</v>
      </c>
      <c r="C319" s="4" t="s">
        <v>44</v>
      </c>
      <c r="D319" s="3">
        <f t="shared" si="4"/>
        <v>64</v>
      </c>
      <c r="E319" s="3" t="s">
        <v>886</v>
      </c>
      <c r="G319" s="5" t="s">
        <v>904</v>
      </c>
      <c r="H319" s="5"/>
      <c r="I319" s="5" t="s">
        <v>127</v>
      </c>
      <c r="J319" s="7">
        <v>0</v>
      </c>
      <c r="M319" s="8">
        <v>0</v>
      </c>
      <c r="N319" s="7">
        <v>0</v>
      </c>
      <c r="P319" s="7">
        <v>1476950</v>
      </c>
      <c r="Q319" s="7">
        <v>1476950</v>
      </c>
      <c r="R319" s="5" t="str">
        <f>VLOOKUP($G319,Others!$E$260:$I$596,2,FALSE)</f>
        <v>Original Screenplay</v>
      </c>
      <c r="S319" s="5" t="str">
        <f>VLOOKUP($G319,Others!$E$260:$I$596,3,FALSE)</f>
        <v>Digital Animation</v>
      </c>
      <c r="T319" s="5" t="str">
        <f>VLOOKUP($G319,Others!$E$260:$I$596,4,FALSE)</f>
        <v>Kids Fiction</v>
      </c>
      <c r="U319" s="5" t="str">
        <f>IFERROR(VLOOKUP($G319,Ratings!$E$81:$I$111,5,FALSE),"None")</f>
        <v>None</v>
      </c>
      <c r="V319" s="5"/>
      <c r="X319" s="5"/>
      <c r="Y319" s="5"/>
      <c r="Z319" s="5"/>
      <c r="AA319" s="5"/>
      <c r="AB319" s="5"/>
      <c r="AC319" s="5"/>
      <c r="AG319" s="9"/>
      <c r="AH319" s="9"/>
    </row>
    <row r="320" spans="2:34" hidden="1">
      <c r="B320" s="4">
        <v>2018</v>
      </c>
      <c r="C320" s="4" t="s">
        <v>44</v>
      </c>
      <c r="D320" s="3">
        <f t="shared" si="4"/>
        <v>65</v>
      </c>
      <c r="E320" s="3" t="s">
        <v>886</v>
      </c>
      <c r="G320" s="5" t="s">
        <v>905</v>
      </c>
      <c r="H320" s="5"/>
      <c r="I320" s="5" t="s">
        <v>127</v>
      </c>
      <c r="J320" s="7">
        <v>0</v>
      </c>
      <c r="M320" s="8">
        <v>0</v>
      </c>
      <c r="N320" s="7">
        <v>0</v>
      </c>
      <c r="P320" s="7">
        <v>137155</v>
      </c>
      <c r="Q320" s="7">
        <v>137155</v>
      </c>
      <c r="R320" s="5">
        <f>VLOOKUP($G320,Others!$E$260:$I$596,2,FALSE)</f>
        <v>0</v>
      </c>
      <c r="S320" s="5" t="str">
        <f>VLOOKUP($G320,Others!$E$260:$I$596,3,FALSE)</f>
        <v>Digital Animation</v>
      </c>
      <c r="T320" s="5">
        <f>VLOOKUP($G320,Others!$E$260:$I$596,4,FALSE)</f>
        <v>0</v>
      </c>
      <c r="U320" s="5" t="str">
        <f>IFERROR(VLOOKUP($G320,Ratings!$E$81:$I$111,5,FALSE),"None")</f>
        <v>None</v>
      </c>
      <c r="V320" s="5"/>
      <c r="X320" s="5"/>
      <c r="Y320" s="5"/>
      <c r="Z320" s="5"/>
      <c r="AA320" s="5"/>
      <c r="AB320" s="5"/>
      <c r="AC320" s="5"/>
      <c r="AG320" s="9"/>
      <c r="AH320" s="9"/>
    </row>
    <row r="321" spans="1:34" s="2" customFormat="1">
      <c r="A321" s="3"/>
      <c r="B321" s="4">
        <v>2018</v>
      </c>
      <c r="C321" s="4" t="s">
        <v>44</v>
      </c>
      <c r="D321" s="3">
        <f t="shared" si="4"/>
        <v>66</v>
      </c>
      <c r="E321" s="55" t="s">
        <v>886</v>
      </c>
      <c r="F321" s="3" t="s">
        <v>2060</v>
      </c>
      <c r="G321" s="5" t="s">
        <v>906</v>
      </c>
      <c r="H321" s="5" t="s">
        <v>1422</v>
      </c>
      <c r="I321" s="5" t="s">
        <v>127</v>
      </c>
      <c r="J321" s="7">
        <f>10000000/6.7</f>
        <v>1492537.3134328357</v>
      </c>
      <c r="K321" s="7">
        <f>5000000/6.7</f>
        <v>746268.65671641787</v>
      </c>
      <c r="L321" s="7">
        <f>2260000/6.7</f>
        <v>337313.43283582089</v>
      </c>
      <c r="M321" s="41" t="s">
        <v>1501</v>
      </c>
      <c r="N321" s="7">
        <v>101150</v>
      </c>
      <c r="O321" s="7">
        <f>6150000/6.7</f>
        <v>917910.44776119397</v>
      </c>
      <c r="P321" s="7">
        <v>1021930</v>
      </c>
      <c r="Q321" s="7">
        <v>1021930</v>
      </c>
      <c r="R321" s="39" t="s">
        <v>606</v>
      </c>
      <c r="S321" s="5" t="str">
        <f>VLOOKUP($G321,Others!$E$260:$I$596,3,FALSE)</f>
        <v>Digital Animation</v>
      </c>
      <c r="T321" s="5" t="str">
        <f>VLOOKUP($G321,Others!$E$260:$I$596,4,FALSE)</f>
        <v>Factual</v>
      </c>
      <c r="U321" s="5" t="str">
        <f>IFERROR(VLOOKUP($G321,Ratings!$E$81:$I$111,5,FALSE),"None")</f>
        <v>None</v>
      </c>
      <c r="V321" s="5" t="s">
        <v>2061</v>
      </c>
      <c r="W321" s="5" t="s">
        <v>906</v>
      </c>
      <c r="X321" s="39" t="s">
        <v>1411</v>
      </c>
      <c r="Y321" s="5"/>
      <c r="Z321" s="5"/>
      <c r="AA321" s="5" t="s">
        <v>2062</v>
      </c>
      <c r="AB321" s="5"/>
      <c r="AC321" s="5" t="s">
        <v>2063</v>
      </c>
      <c r="AD321" s="2">
        <v>6.8</v>
      </c>
      <c r="AE321" s="1" t="s">
        <v>1489</v>
      </c>
    </row>
    <row r="322" spans="1:34" hidden="1">
      <c r="B322" s="4">
        <v>2018</v>
      </c>
      <c r="C322" s="4" t="s">
        <v>44</v>
      </c>
      <c r="D322" s="3">
        <f t="shared" ref="D322:D385" si="5">D321+1</f>
        <v>67</v>
      </c>
      <c r="E322" s="3" t="s">
        <v>886</v>
      </c>
      <c r="G322" s="5" t="s">
        <v>907</v>
      </c>
      <c r="H322" s="5"/>
      <c r="J322" s="7">
        <v>0</v>
      </c>
      <c r="M322" s="8">
        <v>0</v>
      </c>
      <c r="N322" s="7">
        <v>0</v>
      </c>
      <c r="P322" s="7">
        <v>220000</v>
      </c>
      <c r="Q322" s="7">
        <v>220000</v>
      </c>
      <c r="R322" s="5">
        <f>VLOOKUP($G322,Others!$E$260:$I$596,2,FALSE)</f>
        <v>0</v>
      </c>
      <c r="S322" s="5">
        <f>VLOOKUP($G322,Others!$E$260:$I$596,3,FALSE)</f>
        <v>0</v>
      </c>
      <c r="T322" s="5">
        <f>VLOOKUP($G322,Others!$E$260:$I$596,4,FALSE)</f>
        <v>0</v>
      </c>
      <c r="U322" s="5" t="str">
        <f>IFERROR(VLOOKUP($G322,Ratings!$E$81:$I$111,5,FALSE),"None")</f>
        <v>None</v>
      </c>
      <c r="V322" s="5"/>
      <c r="X322" s="5"/>
      <c r="Y322" s="5"/>
      <c r="Z322" s="5"/>
      <c r="AA322" s="5"/>
      <c r="AB322" s="5"/>
      <c r="AC322" s="5"/>
      <c r="AG322" s="9"/>
      <c r="AH322" s="9"/>
    </row>
    <row r="323" spans="1:34" hidden="1">
      <c r="B323" s="4">
        <v>2018</v>
      </c>
      <c r="C323" s="4" t="s">
        <v>44</v>
      </c>
      <c r="D323" s="3">
        <f t="shared" si="5"/>
        <v>68</v>
      </c>
      <c r="E323" s="3" t="s">
        <v>886</v>
      </c>
      <c r="G323" s="5" t="s">
        <v>908</v>
      </c>
      <c r="H323" s="5"/>
      <c r="I323" s="5" t="s">
        <v>129</v>
      </c>
      <c r="J323" s="7">
        <v>0</v>
      </c>
      <c r="M323" s="8">
        <v>0</v>
      </c>
      <c r="N323" s="7">
        <v>0</v>
      </c>
      <c r="P323" s="7">
        <v>134540</v>
      </c>
      <c r="Q323" s="7">
        <v>134540</v>
      </c>
      <c r="R323" s="5" t="str">
        <f>VLOOKUP($G323,Others!$E$260:$I$596,2,FALSE)</f>
        <v>Original Screenplay</v>
      </c>
      <c r="S323" s="5" t="str">
        <f>VLOOKUP($G323,Others!$E$260:$I$596,3,FALSE)</f>
        <v>Live Action</v>
      </c>
      <c r="T323" s="5" t="str">
        <f>VLOOKUP($G323,Others!$E$260:$I$596,4,FALSE)</f>
        <v>Contemporary Fiction</v>
      </c>
      <c r="U323" s="5" t="str">
        <f>IFERROR(VLOOKUP($G323,Ratings!$E$81:$I$111,5,FALSE),"None")</f>
        <v>None</v>
      </c>
      <c r="V323" s="5"/>
      <c r="X323" s="5"/>
      <c r="Y323" s="5"/>
      <c r="Z323" s="5"/>
      <c r="AA323" s="5"/>
      <c r="AB323" s="5"/>
      <c r="AC323" s="5"/>
      <c r="AG323" s="9"/>
      <c r="AH323" s="9"/>
    </row>
    <row r="324" spans="1:34" hidden="1">
      <c r="B324" s="4">
        <v>2018</v>
      </c>
      <c r="C324" s="4" t="s">
        <v>44</v>
      </c>
      <c r="D324" s="3">
        <f t="shared" si="5"/>
        <v>69</v>
      </c>
      <c r="E324" s="3" t="s">
        <v>886</v>
      </c>
      <c r="G324" s="5" t="s">
        <v>909</v>
      </c>
      <c r="H324" s="5"/>
      <c r="J324" s="7">
        <v>0</v>
      </c>
      <c r="M324" s="8">
        <v>0</v>
      </c>
      <c r="N324" s="7">
        <v>0</v>
      </c>
      <c r="P324" s="7">
        <v>45773</v>
      </c>
      <c r="Q324" s="7">
        <v>45773</v>
      </c>
      <c r="R324" s="5" t="str">
        <f>VLOOKUP($G324,Others!$E$260:$I$596,2,FALSE)</f>
        <v>Original Screenplay</v>
      </c>
      <c r="S324" s="5" t="str">
        <f>VLOOKUP($G324,Others!$E$260:$I$596,3,FALSE)</f>
        <v>Live Action</v>
      </c>
      <c r="T324" s="5">
        <f>VLOOKUP($G324,Others!$E$260:$I$596,4,FALSE)</f>
        <v>0</v>
      </c>
      <c r="U324" s="5" t="str">
        <f>IFERROR(VLOOKUP($G324,Ratings!$E$81:$I$111,5,FALSE),"None")</f>
        <v>None</v>
      </c>
      <c r="V324" s="5"/>
      <c r="X324" s="5"/>
      <c r="Y324" s="5"/>
      <c r="Z324" s="5"/>
      <c r="AA324" s="5"/>
      <c r="AB324" s="5"/>
      <c r="AC324" s="5"/>
      <c r="AG324" s="9"/>
      <c r="AH324" s="9"/>
    </row>
    <row r="325" spans="1:34" hidden="1">
      <c r="B325" s="4">
        <v>2018</v>
      </c>
      <c r="C325" s="4" t="s">
        <v>44</v>
      </c>
      <c r="D325" s="3">
        <f t="shared" si="5"/>
        <v>70</v>
      </c>
      <c r="E325" s="3" t="s">
        <v>886</v>
      </c>
      <c r="G325" s="5" t="s">
        <v>910</v>
      </c>
      <c r="H325" s="5"/>
      <c r="I325" s="5" t="s">
        <v>127</v>
      </c>
      <c r="J325" s="7">
        <v>0</v>
      </c>
      <c r="M325" s="8">
        <v>0</v>
      </c>
      <c r="N325" s="7">
        <v>0</v>
      </c>
      <c r="P325" s="7">
        <v>22542</v>
      </c>
      <c r="Q325" s="7">
        <v>22542</v>
      </c>
      <c r="R325" s="5" t="str">
        <f>VLOOKUP($G325,Others!$E$260:$I$596,2,FALSE)</f>
        <v>Original Screenplay</v>
      </c>
      <c r="S325" s="5" t="str">
        <f>VLOOKUP($G325,Others!$E$260:$I$596,3,FALSE)</f>
        <v>Digital Animation</v>
      </c>
      <c r="T325" s="5" t="str">
        <f>VLOOKUP($G325,Others!$E$260:$I$596,4,FALSE)</f>
        <v>Kids Fiction</v>
      </c>
      <c r="U325" s="5" t="str">
        <f>IFERROR(VLOOKUP($G325,Ratings!$E$81:$I$111,5,FALSE),"None")</f>
        <v>None</v>
      </c>
      <c r="V325" s="5"/>
      <c r="X325" s="5"/>
      <c r="Y325" s="5"/>
      <c r="Z325" s="5"/>
      <c r="AA325" s="5"/>
      <c r="AB325" s="5"/>
      <c r="AC325" s="5"/>
      <c r="AG325" s="9"/>
      <c r="AH325" s="9"/>
    </row>
    <row r="326" spans="1:34" hidden="1">
      <c r="B326" s="4">
        <v>2018</v>
      </c>
      <c r="C326" s="4" t="s">
        <v>44</v>
      </c>
      <c r="D326" s="3">
        <f t="shared" si="5"/>
        <v>71</v>
      </c>
      <c r="E326" s="3" t="s">
        <v>886</v>
      </c>
      <c r="G326" s="5" t="s">
        <v>911</v>
      </c>
      <c r="H326" s="5"/>
      <c r="I326" s="5" t="s">
        <v>127</v>
      </c>
      <c r="J326" s="7">
        <v>0</v>
      </c>
      <c r="M326" s="8">
        <v>0</v>
      </c>
      <c r="N326" s="7">
        <v>0</v>
      </c>
      <c r="P326" s="7">
        <v>1970000</v>
      </c>
      <c r="Q326" s="7">
        <v>1970000</v>
      </c>
      <c r="R326" s="5" t="str">
        <f>VLOOKUP($G326,Others!$E$260:$I$596,2,FALSE)</f>
        <v>Original Screenplay</v>
      </c>
      <c r="S326" s="5" t="str">
        <f>VLOOKUP($G326,Others!$E$260:$I$596,3,FALSE)</f>
        <v>Digital Animation</v>
      </c>
      <c r="T326" s="5" t="str">
        <f>VLOOKUP($G326,Others!$E$260:$I$596,4,FALSE)</f>
        <v>Kids Fiction</v>
      </c>
      <c r="U326" s="5" t="str">
        <f>IFERROR(VLOOKUP($G326,Ratings!$E$81:$I$111,5,FALSE),"None")</f>
        <v>None</v>
      </c>
      <c r="V326" s="5"/>
      <c r="X326" s="5"/>
      <c r="Y326" s="5"/>
      <c r="Z326" s="5"/>
      <c r="AA326" s="5"/>
      <c r="AB326" s="5"/>
      <c r="AC326" s="5"/>
      <c r="AG326" s="9"/>
      <c r="AH326" s="9"/>
    </row>
    <row r="327" spans="1:34" hidden="1">
      <c r="B327" s="4">
        <v>2018</v>
      </c>
      <c r="C327" s="4" t="s">
        <v>44</v>
      </c>
      <c r="D327" s="3">
        <f t="shared" si="5"/>
        <v>72</v>
      </c>
      <c r="E327" s="3" t="s">
        <v>886</v>
      </c>
      <c r="G327" s="5" t="s">
        <v>912</v>
      </c>
      <c r="H327" s="5"/>
      <c r="I327" s="5" t="s">
        <v>131</v>
      </c>
      <c r="J327" s="7">
        <v>0</v>
      </c>
      <c r="M327" s="8">
        <v>0</v>
      </c>
      <c r="N327" s="7">
        <v>0</v>
      </c>
      <c r="P327" s="7">
        <v>676981</v>
      </c>
      <c r="Q327" s="7">
        <v>676981</v>
      </c>
      <c r="R327" s="5">
        <f>VLOOKUP($G327,Others!$E$260:$I$596,2,FALSE)</f>
        <v>0</v>
      </c>
      <c r="S327" s="5" t="str">
        <f>VLOOKUP($G327,Others!$E$260:$I$596,3,FALSE)</f>
        <v>Live Action</v>
      </c>
      <c r="T327" s="5">
        <f>VLOOKUP($G327,Others!$E$260:$I$596,4,FALSE)</f>
        <v>0</v>
      </c>
      <c r="U327" s="5" t="str">
        <f>IFERROR(VLOOKUP($G327,Ratings!$E$81:$I$111,5,FALSE),"None")</f>
        <v>None</v>
      </c>
      <c r="V327" s="5"/>
      <c r="X327" s="5"/>
      <c r="Y327" s="5"/>
      <c r="Z327" s="5"/>
      <c r="AA327" s="5"/>
      <c r="AB327" s="5"/>
      <c r="AC327" s="5"/>
      <c r="AG327" s="9"/>
      <c r="AH327" s="9"/>
    </row>
    <row r="328" spans="1:34" hidden="1">
      <c r="B328" s="4">
        <v>2018</v>
      </c>
      <c r="C328" s="4" t="s">
        <v>44</v>
      </c>
      <c r="D328" s="3">
        <f t="shared" si="5"/>
        <v>73</v>
      </c>
      <c r="E328" s="3" t="s">
        <v>886</v>
      </c>
      <c r="G328" s="5" t="s">
        <v>381</v>
      </c>
      <c r="H328" s="5"/>
      <c r="I328" s="5" t="s">
        <v>131</v>
      </c>
      <c r="J328" s="7">
        <v>0</v>
      </c>
      <c r="M328" s="8">
        <v>0</v>
      </c>
      <c r="N328" s="7">
        <v>0</v>
      </c>
      <c r="P328" s="7">
        <v>51955230</v>
      </c>
      <c r="Q328" s="7">
        <v>51955230</v>
      </c>
      <c r="R328" s="5" t="str">
        <f>VLOOKUP($G328,Others!$E$260:$I$596,2,FALSE)</f>
        <v>Based on TV</v>
      </c>
      <c r="S328" s="5" t="str">
        <f>VLOOKUP($G328,Others!$E$260:$I$596,3,FALSE)</f>
        <v>Live Action</v>
      </c>
      <c r="T328" s="5" t="str">
        <f>VLOOKUP($G328,Others!$E$260:$I$596,4,FALSE)</f>
        <v>Contemporary Fiction</v>
      </c>
      <c r="U328" s="5" t="str">
        <f>IFERROR(VLOOKUP($G328,Ratings!$E$81:$I$111,5,FALSE),"None")</f>
        <v>None</v>
      </c>
      <c r="V328" s="5"/>
      <c r="X328" s="5"/>
      <c r="Y328" s="5"/>
      <c r="Z328" s="5"/>
      <c r="AA328" s="5"/>
      <c r="AB328" s="5"/>
      <c r="AC328" s="5"/>
      <c r="AG328" s="9"/>
      <c r="AH328" s="9"/>
    </row>
    <row r="329" spans="1:34" hidden="1">
      <c r="B329" s="4">
        <v>2018</v>
      </c>
      <c r="C329" s="4" t="s">
        <v>44</v>
      </c>
      <c r="D329" s="3">
        <f t="shared" si="5"/>
        <v>74</v>
      </c>
      <c r="E329" s="3" t="s">
        <v>886</v>
      </c>
      <c r="G329" s="5" t="s">
        <v>913</v>
      </c>
      <c r="H329" s="5"/>
      <c r="J329" s="7">
        <v>0</v>
      </c>
      <c r="M329" s="8">
        <v>0</v>
      </c>
      <c r="N329" s="7">
        <v>0</v>
      </c>
      <c r="P329" s="7">
        <v>1307365</v>
      </c>
      <c r="Q329" s="7">
        <v>1307365</v>
      </c>
      <c r="R329" s="5">
        <f>VLOOKUP($G329,Others!$E$260:$I$596,2,FALSE)</f>
        <v>0</v>
      </c>
      <c r="S329" s="5">
        <f>VLOOKUP($G329,Others!$E$260:$I$596,3,FALSE)</f>
        <v>0</v>
      </c>
      <c r="T329" s="5">
        <f>VLOOKUP($G329,Others!$E$260:$I$596,4,FALSE)</f>
        <v>0</v>
      </c>
      <c r="U329" s="5" t="str">
        <f>IFERROR(VLOOKUP($G329,Ratings!$E$81:$I$111,5,FALSE),"None")</f>
        <v>None</v>
      </c>
      <c r="V329" s="5"/>
      <c r="X329" s="5"/>
      <c r="Y329" s="5"/>
      <c r="Z329" s="5"/>
      <c r="AA329" s="5"/>
      <c r="AB329" s="5"/>
      <c r="AC329" s="5"/>
      <c r="AG329" s="9"/>
      <c r="AH329" s="9"/>
    </row>
    <row r="330" spans="1:34" hidden="1">
      <c r="B330" s="4">
        <v>2018</v>
      </c>
      <c r="C330" s="4" t="s">
        <v>44</v>
      </c>
      <c r="D330" s="3">
        <f t="shared" si="5"/>
        <v>75</v>
      </c>
      <c r="E330" s="3" t="s">
        <v>886</v>
      </c>
      <c r="G330" s="5" t="s">
        <v>914</v>
      </c>
      <c r="H330" s="5"/>
      <c r="I330" s="5" t="s">
        <v>127</v>
      </c>
      <c r="J330" s="7">
        <v>0</v>
      </c>
      <c r="M330" s="8">
        <v>0</v>
      </c>
      <c r="N330" s="7">
        <v>0</v>
      </c>
      <c r="P330" s="7">
        <v>390928</v>
      </c>
      <c r="Q330" s="7">
        <v>390928</v>
      </c>
      <c r="R330" s="5" t="str">
        <f>VLOOKUP($G330,Others!$E$260:$I$596,2,FALSE)</f>
        <v>Original Screenplay</v>
      </c>
      <c r="S330" s="5" t="str">
        <f>VLOOKUP($G330,Others!$E$260:$I$596,3,FALSE)</f>
        <v>Digital Animation</v>
      </c>
      <c r="T330" s="5" t="str">
        <f>VLOOKUP($G330,Others!$E$260:$I$596,4,FALSE)</f>
        <v>Kids Fiction</v>
      </c>
      <c r="U330" s="5" t="str">
        <f>IFERROR(VLOOKUP($G330,Ratings!$E$81:$I$111,5,FALSE),"None")</f>
        <v>None</v>
      </c>
      <c r="V330" s="5"/>
      <c r="X330" s="5"/>
      <c r="Y330" s="5"/>
      <c r="Z330" s="5"/>
      <c r="AA330" s="5"/>
      <c r="AB330" s="5"/>
      <c r="AC330" s="5"/>
      <c r="AG330" s="9"/>
      <c r="AH330" s="9"/>
    </row>
    <row r="331" spans="1:34" hidden="1">
      <c r="B331" s="4">
        <v>2018</v>
      </c>
      <c r="C331" s="4" t="s">
        <v>44</v>
      </c>
      <c r="D331" s="3">
        <f t="shared" si="5"/>
        <v>76</v>
      </c>
      <c r="E331" s="3" t="s">
        <v>886</v>
      </c>
      <c r="G331" s="5" t="s">
        <v>915</v>
      </c>
      <c r="H331" s="5"/>
      <c r="I331" s="5" t="s">
        <v>129</v>
      </c>
      <c r="J331" s="7">
        <v>0</v>
      </c>
      <c r="M331" s="8">
        <v>0</v>
      </c>
      <c r="N331" s="7">
        <v>0</v>
      </c>
      <c r="P331" s="7">
        <v>3257</v>
      </c>
      <c r="Q331" s="7">
        <v>3257</v>
      </c>
      <c r="R331" s="5">
        <f>VLOOKUP($G331,Others!$E$260:$I$596,2,FALSE)</f>
        <v>0</v>
      </c>
      <c r="S331" s="5" t="str">
        <f>VLOOKUP($G331,Others!$E$260:$I$596,3,FALSE)</f>
        <v>Live Action</v>
      </c>
      <c r="T331" s="5">
        <f>VLOOKUP($G331,Others!$E$260:$I$596,4,FALSE)</f>
        <v>0</v>
      </c>
      <c r="U331" s="5" t="str">
        <f>IFERROR(VLOOKUP($G331,Ratings!$E$81:$I$111,5,FALSE),"None")</f>
        <v>None</v>
      </c>
      <c r="V331" s="5"/>
      <c r="X331" s="5"/>
      <c r="Y331" s="5"/>
      <c r="Z331" s="5"/>
      <c r="AA331" s="5"/>
      <c r="AB331" s="5"/>
      <c r="AC331" s="5"/>
      <c r="AG331" s="9"/>
      <c r="AH331" s="9"/>
    </row>
    <row r="332" spans="1:34" hidden="1">
      <c r="B332" s="4">
        <v>2018</v>
      </c>
      <c r="C332" s="4" t="s">
        <v>44</v>
      </c>
      <c r="D332" s="3">
        <f t="shared" si="5"/>
        <v>77</v>
      </c>
      <c r="E332" s="3" t="s">
        <v>886</v>
      </c>
      <c r="G332" s="5" t="s">
        <v>916</v>
      </c>
      <c r="H332" s="5"/>
      <c r="I332" s="5" t="s">
        <v>131</v>
      </c>
      <c r="J332" s="7">
        <v>0</v>
      </c>
      <c r="M332" s="8">
        <v>0</v>
      </c>
      <c r="N332" s="7">
        <v>0</v>
      </c>
      <c r="P332" s="7">
        <v>35630</v>
      </c>
      <c r="Q332" s="7">
        <v>35630</v>
      </c>
      <c r="R332" s="5">
        <f>VLOOKUP($G332,Others!$E$260:$I$596,2,FALSE)</f>
        <v>0</v>
      </c>
      <c r="S332" s="5">
        <f>VLOOKUP($G332,Others!$E$260:$I$596,3,FALSE)</f>
        <v>0</v>
      </c>
      <c r="T332" s="5">
        <f>VLOOKUP($G332,Others!$E$260:$I$596,4,FALSE)</f>
        <v>0</v>
      </c>
      <c r="U332" s="5" t="str">
        <f>IFERROR(VLOOKUP($G332,Ratings!$E$81:$I$111,5,FALSE),"None")</f>
        <v>None</v>
      </c>
      <c r="V332" s="5"/>
      <c r="X332" s="5"/>
      <c r="Y332" s="5"/>
      <c r="Z332" s="5"/>
      <c r="AA332" s="5"/>
      <c r="AB332" s="5"/>
      <c r="AC332" s="5"/>
      <c r="AG332" s="9"/>
      <c r="AH332" s="9"/>
    </row>
    <row r="333" spans="1:34" hidden="1">
      <c r="B333" s="4">
        <v>2018</v>
      </c>
      <c r="C333" s="4" t="s">
        <v>44</v>
      </c>
      <c r="D333" s="3">
        <f t="shared" si="5"/>
        <v>78</v>
      </c>
      <c r="E333" s="3" t="s">
        <v>886</v>
      </c>
      <c r="G333" s="5" t="s">
        <v>917</v>
      </c>
      <c r="H333" s="5"/>
      <c r="I333" s="5" t="s">
        <v>127</v>
      </c>
      <c r="J333" s="7">
        <v>0</v>
      </c>
      <c r="M333" s="8">
        <v>0</v>
      </c>
      <c r="N333" s="7">
        <v>0</v>
      </c>
      <c r="P333" s="7">
        <v>744017</v>
      </c>
      <c r="Q333" s="7">
        <v>744017</v>
      </c>
      <c r="R333" s="5" t="str">
        <f>VLOOKUP($G333,Others!$E$260:$I$596,2,FALSE)</f>
        <v>Original Screenplay</v>
      </c>
      <c r="S333" s="5" t="str">
        <f>VLOOKUP($G333,Others!$E$260:$I$596,3,FALSE)</f>
        <v>Digital Animation</v>
      </c>
      <c r="T333" s="5" t="str">
        <f>VLOOKUP($G333,Others!$E$260:$I$596,4,FALSE)</f>
        <v>Kids Fiction</v>
      </c>
      <c r="U333" s="5" t="str">
        <f>IFERROR(VLOOKUP($G333,Ratings!$E$81:$I$111,5,FALSE),"None")</f>
        <v>None</v>
      </c>
      <c r="V333" s="5"/>
      <c r="X333" s="5"/>
      <c r="Y333" s="5"/>
      <c r="Z333" s="5"/>
      <c r="AA333" s="5"/>
      <c r="AB333" s="5"/>
      <c r="AC333" s="5"/>
      <c r="AG333" s="9"/>
      <c r="AH333" s="9"/>
    </row>
    <row r="334" spans="1:34" hidden="1">
      <c r="B334" s="4">
        <v>2018</v>
      </c>
      <c r="C334" s="4" t="s">
        <v>44</v>
      </c>
      <c r="D334" s="3">
        <f t="shared" si="5"/>
        <v>79</v>
      </c>
      <c r="E334" s="3" t="s">
        <v>886</v>
      </c>
      <c r="G334" s="5" t="s">
        <v>918</v>
      </c>
      <c r="H334" s="5"/>
      <c r="I334" s="5" t="s">
        <v>131</v>
      </c>
      <c r="J334" s="7">
        <v>0</v>
      </c>
      <c r="M334" s="8">
        <v>0</v>
      </c>
      <c r="N334" s="7">
        <v>0</v>
      </c>
      <c r="P334" s="7">
        <v>29725</v>
      </c>
      <c r="Q334" s="7">
        <v>29725</v>
      </c>
      <c r="R334" s="5">
        <f>VLOOKUP($G334,Others!$E$260:$I$596,2,FALSE)</f>
        <v>0</v>
      </c>
      <c r="S334" s="5">
        <f>VLOOKUP($G334,Others!$E$260:$I$596,3,FALSE)</f>
        <v>0</v>
      </c>
      <c r="T334" s="5">
        <f>VLOOKUP($G334,Others!$E$260:$I$596,4,FALSE)</f>
        <v>0</v>
      </c>
      <c r="U334" s="5" t="str">
        <f>IFERROR(VLOOKUP($G334,Ratings!$E$81:$I$111,5,FALSE),"None")</f>
        <v>None</v>
      </c>
      <c r="V334" s="5"/>
      <c r="X334" s="5"/>
      <c r="Y334" s="5"/>
      <c r="Z334" s="5"/>
      <c r="AA334" s="5"/>
      <c r="AB334" s="5"/>
      <c r="AC334" s="5"/>
      <c r="AG334" s="9"/>
      <c r="AH334" s="9"/>
    </row>
    <row r="335" spans="1:34" ht="15">
      <c r="B335" s="4">
        <v>2018</v>
      </c>
      <c r="C335" s="4" t="s">
        <v>44</v>
      </c>
      <c r="D335" s="3">
        <f t="shared" si="5"/>
        <v>80</v>
      </c>
      <c r="E335" s="55" t="s">
        <v>886</v>
      </c>
      <c r="F335" s="3" t="s">
        <v>2064</v>
      </c>
      <c r="G335" s="5" t="s">
        <v>919</v>
      </c>
      <c r="H335" s="5" t="s">
        <v>1422</v>
      </c>
      <c r="I335" s="39" t="s">
        <v>1402</v>
      </c>
      <c r="J335" s="7">
        <f>10000000/6.7</f>
        <v>1492537.3134328357</v>
      </c>
      <c r="K335" s="7">
        <f>5000000/6.7</f>
        <v>746268.65671641787</v>
      </c>
      <c r="L335" s="7">
        <f>7090000/6.7</f>
        <v>1058208.9552238805</v>
      </c>
      <c r="M335" s="8">
        <v>20274</v>
      </c>
      <c r="N335" s="7">
        <v>2580000</v>
      </c>
      <c r="O335" s="7">
        <f>19320000/6.7</f>
        <v>2883582.0895522386</v>
      </c>
      <c r="P335" s="7">
        <v>3161317</v>
      </c>
      <c r="Q335" s="7">
        <v>3161317</v>
      </c>
      <c r="R335" s="5" t="str">
        <f>VLOOKUP($G335,Others!$E$260:$I$596,2,FALSE)</f>
        <v>Original Screenplay</v>
      </c>
      <c r="S335" s="5" t="str">
        <f>VLOOKUP($G335,Others!$E$260:$I$596,3,FALSE)</f>
        <v>Digital Animation</v>
      </c>
      <c r="T335" s="5" t="str">
        <f>VLOOKUP($G335,Others!$E$260:$I$596,4,FALSE)</f>
        <v>Kids Fiction</v>
      </c>
      <c r="U335" s="5" t="str">
        <f>IFERROR(VLOOKUP($G335,Ratings!$E$81:$I$111,5,FALSE),"None")</f>
        <v>None</v>
      </c>
      <c r="V335" s="45" t="s">
        <v>2065</v>
      </c>
      <c r="W335" s="5" t="s">
        <v>919</v>
      </c>
      <c r="X335" s="39" t="s">
        <v>1411</v>
      </c>
      <c r="Y335" s="5"/>
      <c r="Z335" s="5"/>
      <c r="AA335" s="5" t="s">
        <v>2066</v>
      </c>
      <c r="AB335" s="5"/>
      <c r="AC335" s="5" t="s">
        <v>2067</v>
      </c>
      <c r="AD335" s="9">
        <v>7.9</v>
      </c>
      <c r="AE335" s="1" t="s">
        <v>1489</v>
      </c>
      <c r="AG335" s="9"/>
      <c r="AH335" s="9"/>
    </row>
    <row r="336" spans="1:34" hidden="1">
      <c r="B336" s="4">
        <v>2018</v>
      </c>
      <c r="C336" s="4" t="s">
        <v>44</v>
      </c>
      <c r="D336" s="3">
        <f t="shared" si="5"/>
        <v>81</v>
      </c>
      <c r="E336" s="3" t="s">
        <v>886</v>
      </c>
      <c r="G336" s="5" t="s">
        <v>920</v>
      </c>
      <c r="H336" s="5"/>
      <c r="I336" s="5" t="s">
        <v>127</v>
      </c>
      <c r="J336" s="7">
        <v>0</v>
      </c>
      <c r="M336" s="8">
        <v>0</v>
      </c>
      <c r="N336" s="7">
        <v>0</v>
      </c>
      <c r="P336" s="7">
        <v>23130468</v>
      </c>
      <c r="Q336" s="7">
        <v>23130468</v>
      </c>
      <c r="R336" s="5" t="str">
        <f>VLOOKUP($G336,Others!$E$260:$I$596,2,FALSE)</f>
        <v>Original Screenplay</v>
      </c>
      <c r="S336" s="5" t="str">
        <f>VLOOKUP($G336,Others!$E$260:$I$596,3,FALSE)</f>
        <v>Digital Animation</v>
      </c>
      <c r="T336" s="5">
        <f>VLOOKUP($G336,Others!$E$260:$I$596,4,FALSE)</f>
        <v>0</v>
      </c>
      <c r="U336" s="5" t="str">
        <f>IFERROR(VLOOKUP($G336,Ratings!$E$81:$I$111,5,FALSE),"None")</f>
        <v>None</v>
      </c>
      <c r="V336" s="5"/>
      <c r="X336" s="5"/>
      <c r="Y336" s="5"/>
      <c r="Z336" s="5"/>
      <c r="AA336" s="5"/>
      <c r="AB336" s="5"/>
      <c r="AC336" s="5"/>
      <c r="AG336" s="9"/>
      <c r="AH336" s="9"/>
    </row>
    <row r="337" spans="2:34" hidden="1">
      <c r="B337" s="4">
        <v>2018</v>
      </c>
      <c r="C337" s="4" t="s">
        <v>44</v>
      </c>
      <c r="D337" s="3">
        <f t="shared" si="5"/>
        <v>82</v>
      </c>
      <c r="E337" s="3" t="s">
        <v>886</v>
      </c>
      <c r="G337" s="5" t="s">
        <v>921</v>
      </c>
      <c r="H337" s="5"/>
      <c r="I337" s="5" t="s">
        <v>127</v>
      </c>
      <c r="J337" s="7">
        <v>0</v>
      </c>
      <c r="M337" s="8">
        <v>0</v>
      </c>
      <c r="N337" s="7">
        <v>0</v>
      </c>
      <c r="P337" s="7">
        <v>301159</v>
      </c>
      <c r="Q337" s="7">
        <v>301159</v>
      </c>
      <c r="R337" s="5">
        <f>VLOOKUP($G337,Others!$E$260:$I$596,2,FALSE)</f>
        <v>0</v>
      </c>
      <c r="S337" s="5" t="str">
        <f>VLOOKUP($G337,Others!$E$260:$I$596,3,FALSE)</f>
        <v>Digital Animation</v>
      </c>
      <c r="T337" s="5">
        <f>VLOOKUP($G337,Others!$E$260:$I$596,4,FALSE)</f>
        <v>0</v>
      </c>
      <c r="U337" s="5" t="str">
        <f>IFERROR(VLOOKUP($G337,Ratings!$E$81:$I$111,5,FALSE),"None")</f>
        <v>None</v>
      </c>
      <c r="V337" s="5"/>
      <c r="X337" s="5"/>
      <c r="Y337" s="5"/>
      <c r="Z337" s="5"/>
      <c r="AA337" s="5"/>
      <c r="AB337" s="5"/>
      <c r="AC337" s="5"/>
      <c r="AG337" s="9"/>
      <c r="AH337" s="9"/>
    </row>
    <row r="338" spans="2:34">
      <c r="B338" s="4">
        <v>2019</v>
      </c>
      <c r="C338" s="4" t="s">
        <v>44</v>
      </c>
      <c r="D338" s="3">
        <f t="shared" si="5"/>
        <v>83</v>
      </c>
      <c r="E338" s="55" t="s">
        <v>886</v>
      </c>
      <c r="F338" s="3" t="s">
        <v>2068</v>
      </c>
      <c r="G338" s="5" t="s">
        <v>247</v>
      </c>
      <c r="H338" s="5" t="s">
        <v>1409</v>
      </c>
      <c r="I338" s="5" t="s">
        <v>191</v>
      </c>
      <c r="J338" s="7">
        <f>0.1*100000000/6.7</f>
        <v>1492537.3134328357</v>
      </c>
      <c r="K338" s="57" t="s">
        <v>1411</v>
      </c>
      <c r="L338" s="7">
        <f>0.02*100000000/6.7</f>
        <v>298507.46268656716</v>
      </c>
      <c r="M338" s="41" t="s">
        <v>1501</v>
      </c>
      <c r="N338" s="7">
        <v>67346</v>
      </c>
      <c r="O338" s="7">
        <f>0.07*100000000/6.7</f>
        <v>1044776.1194029852</v>
      </c>
      <c r="P338" s="7">
        <v>1250000</v>
      </c>
      <c r="Q338" s="7">
        <v>1250000</v>
      </c>
      <c r="R338" s="5" t="str">
        <f>VLOOKUP($G338,Others!$E$260:$I$596,2,FALSE)</f>
        <v>Original Screenplay</v>
      </c>
      <c r="S338" s="5" t="str">
        <f>VLOOKUP($G338,Others!$E$260:$I$596,3,FALSE)</f>
        <v>Live Action</v>
      </c>
      <c r="T338" s="5" t="str">
        <f>VLOOKUP($G338,Others!$E$260:$I$596,4,FALSE)</f>
        <v>Factual</v>
      </c>
      <c r="U338" s="5" t="str">
        <f>IFERROR(VLOOKUP($G338,Ratings!$E$81:$I$111,5,FALSE),"None")</f>
        <v>None</v>
      </c>
      <c r="V338" s="5" t="s">
        <v>2069</v>
      </c>
      <c r="W338" s="5" t="s">
        <v>247</v>
      </c>
      <c r="X338" s="39" t="s">
        <v>2070</v>
      </c>
      <c r="Y338" s="39" t="s">
        <v>2071</v>
      </c>
      <c r="Z338" s="5"/>
      <c r="AA338" s="5" t="s">
        <v>2072</v>
      </c>
      <c r="AB338" s="5"/>
      <c r="AC338" s="5" t="s">
        <v>2073</v>
      </c>
      <c r="AD338" s="9">
        <v>9.1999999999999993</v>
      </c>
      <c r="AE338" s="1" t="s">
        <v>1489</v>
      </c>
      <c r="AG338" s="9"/>
      <c r="AH338" s="9"/>
    </row>
    <row r="339" spans="2:34" hidden="1">
      <c r="B339" s="4">
        <v>2018</v>
      </c>
      <c r="C339" s="4" t="s">
        <v>44</v>
      </c>
      <c r="D339" s="3">
        <f t="shared" si="5"/>
        <v>84</v>
      </c>
      <c r="E339" s="3" t="s">
        <v>886</v>
      </c>
      <c r="G339" s="5" t="s">
        <v>475</v>
      </c>
      <c r="H339" s="5"/>
      <c r="I339" s="5" t="s">
        <v>131</v>
      </c>
      <c r="J339" s="7">
        <v>0</v>
      </c>
      <c r="M339" s="8">
        <v>0</v>
      </c>
      <c r="N339" s="7">
        <v>0</v>
      </c>
      <c r="P339" s="7">
        <v>408244</v>
      </c>
      <c r="Q339" s="7">
        <v>408244</v>
      </c>
      <c r="R339" s="5" t="str">
        <f>VLOOKUP($G339,Others!$E$260:$I$596,2,FALSE)</f>
        <v>Original Screenplay</v>
      </c>
      <c r="S339" s="5" t="str">
        <f>VLOOKUP($G339,Others!$E$260:$I$596,3,FALSE)</f>
        <v>Digital Animation</v>
      </c>
      <c r="T339" s="5" t="str">
        <f>VLOOKUP($G339,Others!$E$260:$I$596,4,FALSE)</f>
        <v>Contemporary Fiction</v>
      </c>
      <c r="U339" s="5" t="str">
        <f>IFERROR(VLOOKUP($G339,Ratings!$E$81:$I$111,5,FALSE),"None")</f>
        <v>None</v>
      </c>
      <c r="V339" s="5"/>
      <c r="X339" s="5"/>
      <c r="Y339" s="5"/>
      <c r="Z339" s="5"/>
      <c r="AA339" s="5"/>
      <c r="AB339" s="5"/>
      <c r="AC339" s="5"/>
      <c r="AG339" s="9"/>
      <c r="AH339" s="9"/>
    </row>
    <row r="340" spans="2:34" hidden="1">
      <c r="B340" s="4">
        <v>2018</v>
      </c>
      <c r="C340" s="4" t="s">
        <v>44</v>
      </c>
      <c r="D340" s="3">
        <f t="shared" si="5"/>
        <v>85</v>
      </c>
      <c r="E340" s="3" t="s">
        <v>886</v>
      </c>
      <c r="G340" s="5" t="s">
        <v>922</v>
      </c>
      <c r="H340" s="5"/>
      <c r="I340" s="5" t="s">
        <v>131</v>
      </c>
      <c r="J340" s="7">
        <v>0</v>
      </c>
      <c r="M340" s="8">
        <v>0</v>
      </c>
      <c r="N340" s="7">
        <v>0</v>
      </c>
      <c r="P340" s="7">
        <v>23493</v>
      </c>
      <c r="Q340" s="7">
        <v>23493</v>
      </c>
      <c r="R340" s="5">
        <f>VLOOKUP($G340,Others!$E$260:$I$596,2,FALSE)</f>
        <v>0</v>
      </c>
      <c r="S340" s="5">
        <f>VLOOKUP($G340,Others!$E$260:$I$596,3,FALSE)</f>
        <v>0</v>
      </c>
      <c r="T340" s="5">
        <f>VLOOKUP($G340,Others!$E$260:$I$596,4,FALSE)</f>
        <v>0</v>
      </c>
      <c r="U340" s="5" t="str">
        <f>IFERROR(VLOOKUP($G340,Ratings!$E$81:$I$111,5,FALSE),"None")</f>
        <v>None</v>
      </c>
      <c r="V340" s="5"/>
      <c r="X340" s="5"/>
      <c r="Y340" s="5"/>
      <c r="Z340" s="5"/>
      <c r="AA340" s="5"/>
      <c r="AB340" s="5"/>
      <c r="AC340" s="5"/>
      <c r="AG340" s="9"/>
      <c r="AH340" s="9"/>
    </row>
    <row r="341" spans="2:34" hidden="1">
      <c r="B341" s="4">
        <v>2018</v>
      </c>
      <c r="C341" s="4" t="s">
        <v>44</v>
      </c>
      <c r="D341" s="3">
        <f t="shared" si="5"/>
        <v>86</v>
      </c>
      <c r="E341" s="3" t="s">
        <v>886</v>
      </c>
      <c r="G341" s="5" t="s">
        <v>923</v>
      </c>
      <c r="H341" s="5"/>
      <c r="I341" s="5" t="s">
        <v>136</v>
      </c>
      <c r="J341" s="7">
        <v>0</v>
      </c>
      <c r="M341" s="8">
        <v>0</v>
      </c>
      <c r="N341" s="7">
        <v>0</v>
      </c>
      <c r="P341" s="7">
        <v>1431283</v>
      </c>
      <c r="Q341" s="7">
        <v>1431283</v>
      </c>
      <c r="R341" s="5" t="str">
        <f>VLOOKUP($G341,Others!$E$260:$I$596,2,FALSE)</f>
        <v>Original Screenplay</v>
      </c>
      <c r="S341" s="5" t="str">
        <f>VLOOKUP($G341,Others!$E$260:$I$596,3,FALSE)</f>
        <v>Live Action</v>
      </c>
      <c r="T341" s="5" t="str">
        <f>VLOOKUP($G341,Others!$E$260:$I$596,4,FALSE)</f>
        <v>Contemporary Fiction</v>
      </c>
      <c r="U341" s="5" t="str">
        <f>IFERROR(VLOOKUP($G341,Ratings!$E$81:$I$111,5,FALSE),"None")</f>
        <v>None</v>
      </c>
      <c r="V341" s="5"/>
      <c r="X341" s="5"/>
      <c r="Y341" s="5"/>
      <c r="Z341" s="5"/>
      <c r="AA341" s="5"/>
      <c r="AB341" s="5"/>
      <c r="AC341" s="5"/>
      <c r="AG341" s="9"/>
      <c r="AH341" s="9"/>
    </row>
    <row r="342" spans="2:34" hidden="1">
      <c r="B342" s="4">
        <v>2018</v>
      </c>
      <c r="C342" s="4" t="s">
        <v>44</v>
      </c>
      <c r="D342" s="3">
        <f t="shared" si="5"/>
        <v>87</v>
      </c>
      <c r="E342" s="3" t="s">
        <v>886</v>
      </c>
      <c r="G342" s="5" t="s">
        <v>924</v>
      </c>
      <c r="H342" s="5"/>
      <c r="I342" s="5" t="s">
        <v>131</v>
      </c>
      <c r="J342" s="7">
        <v>0</v>
      </c>
      <c r="M342" s="8">
        <v>0</v>
      </c>
      <c r="N342" s="7">
        <v>0</v>
      </c>
      <c r="P342" s="7">
        <v>1546530</v>
      </c>
      <c r="Q342" s="7">
        <v>1546530</v>
      </c>
      <c r="R342" s="5">
        <f>VLOOKUP($G342,Others!$E$260:$I$596,2,FALSE)</f>
        <v>0</v>
      </c>
      <c r="S342" s="5">
        <f>VLOOKUP($G342,Others!$E$260:$I$596,3,FALSE)</f>
        <v>0</v>
      </c>
      <c r="T342" s="5">
        <f>VLOOKUP($G342,Others!$E$260:$I$596,4,FALSE)</f>
        <v>0</v>
      </c>
      <c r="U342" s="5" t="str">
        <f>IFERROR(VLOOKUP($G342,Ratings!$E$81:$I$111,5,FALSE),"None")</f>
        <v>None</v>
      </c>
      <c r="V342" s="5"/>
      <c r="X342" s="5"/>
      <c r="Y342" s="5"/>
      <c r="Z342" s="5"/>
      <c r="AA342" s="5"/>
      <c r="AB342" s="5"/>
      <c r="AC342" s="5"/>
      <c r="AG342" s="9"/>
      <c r="AH342" s="9"/>
    </row>
    <row r="343" spans="2:34" hidden="1">
      <c r="B343" s="4">
        <v>2018</v>
      </c>
      <c r="C343" s="4" t="s">
        <v>44</v>
      </c>
      <c r="D343" s="3">
        <f t="shared" si="5"/>
        <v>88</v>
      </c>
      <c r="E343" s="3" t="s">
        <v>886</v>
      </c>
      <c r="G343" s="5" t="s">
        <v>494</v>
      </c>
      <c r="H343" s="5"/>
      <c r="I343" s="5" t="s">
        <v>193</v>
      </c>
      <c r="J343" s="7">
        <v>0</v>
      </c>
      <c r="M343" s="8">
        <v>0</v>
      </c>
      <c r="N343" s="7">
        <v>0</v>
      </c>
      <c r="P343" s="7">
        <v>190532</v>
      </c>
      <c r="Q343" s="7">
        <v>190532</v>
      </c>
      <c r="R343" s="5">
        <f>VLOOKUP($G343,Others!$E$260:$I$596,2,FALSE)</f>
        <v>0</v>
      </c>
      <c r="S343" s="5" t="str">
        <f>VLOOKUP($G343,Others!$E$260:$I$596,3,FALSE)</f>
        <v>Live Action</v>
      </c>
      <c r="T343" s="5">
        <f>VLOOKUP($G343,Others!$E$260:$I$596,4,FALSE)</f>
        <v>0</v>
      </c>
      <c r="U343" s="5" t="str">
        <f>IFERROR(VLOOKUP($G343,Ratings!$E$81:$I$111,5,FALSE),"None")</f>
        <v>None</v>
      </c>
      <c r="V343" s="5"/>
      <c r="X343" s="5"/>
      <c r="Y343" s="5"/>
      <c r="Z343" s="5"/>
      <c r="AA343" s="5"/>
      <c r="AB343" s="5"/>
      <c r="AC343" s="5"/>
      <c r="AG343" s="9"/>
      <c r="AH343" s="9"/>
    </row>
    <row r="344" spans="2:34" hidden="1">
      <c r="B344" s="4">
        <v>2018</v>
      </c>
      <c r="C344" s="4" t="s">
        <v>44</v>
      </c>
      <c r="D344" s="3">
        <f t="shared" si="5"/>
        <v>89</v>
      </c>
      <c r="E344" s="3" t="s">
        <v>886</v>
      </c>
      <c r="G344" s="5" t="s">
        <v>489</v>
      </c>
      <c r="H344" s="5"/>
      <c r="I344" s="5" t="s">
        <v>136</v>
      </c>
      <c r="J344" s="7">
        <v>0</v>
      </c>
      <c r="M344" s="8">
        <v>0</v>
      </c>
      <c r="N344" s="7">
        <v>0</v>
      </c>
      <c r="P344" s="7">
        <v>213273</v>
      </c>
      <c r="Q344" s="7">
        <v>213273</v>
      </c>
      <c r="R344" s="5">
        <f>VLOOKUP($G344,Others!$E$260:$I$596,2,FALSE)</f>
        <v>0</v>
      </c>
      <c r="S344" s="5" t="str">
        <f>VLOOKUP($G344,Others!$E$260:$I$596,3,FALSE)</f>
        <v>Live Action</v>
      </c>
      <c r="T344" s="5" t="str">
        <f>VLOOKUP($G344,Others!$E$260:$I$596,4,FALSE)</f>
        <v>Contemporary Fiction</v>
      </c>
      <c r="U344" s="5" t="str">
        <f>IFERROR(VLOOKUP($G344,Ratings!$E$81:$I$111,5,FALSE),"None")</f>
        <v>None</v>
      </c>
      <c r="V344" s="5"/>
      <c r="X344" s="5"/>
      <c r="Y344" s="5"/>
      <c r="Z344" s="5"/>
      <c r="AA344" s="5"/>
      <c r="AB344" s="5"/>
      <c r="AC344" s="5"/>
      <c r="AG344" s="9"/>
      <c r="AH344" s="9"/>
    </row>
    <row r="345" spans="2:34" hidden="1">
      <c r="B345" s="4">
        <v>2018</v>
      </c>
      <c r="C345" s="4" t="s">
        <v>44</v>
      </c>
      <c r="D345" s="3">
        <f t="shared" si="5"/>
        <v>90</v>
      </c>
      <c r="E345" s="3" t="s">
        <v>886</v>
      </c>
      <c r="G345" s="5" t="s">
        <v>927</v>
      </c>
      <c r="H345" s="5"/>
      <c r="I345" s="5" t="s">
        <v>191</v>
      </c>
      <c r="J345" s="7">
        <v>0</v>
      </c>
      <c r="M345" s="8">
        <v>0</v>
      </c>
      <c r="N345" s="7">
        <v>0</v>
      </c>
      <c r="P345" s="7">
        <v>1420000</v>
      </c>
      <c r="Q345" s="7">
        <v>1420000</v>
      </c>
      <c r="R345" s="5" t="str">
        <f>VLOOKUP($G345,Others!$E$260:$I$596,2,FALSE)</f>
        <v>Based on Real Life Events</v>
      </c>
      <c r="S345" s="5" t="str">
        <f>VLOOKUP($G345,Others!$E$260:$I$596,3,FALSE)</f>
        <v>Live Action</v>
      </c>
      <c r="T345" s="5" t="str">
        <f>VLOOKUP($G345,Others!$E$260:$I$596,4,FALSE)</f>
        <v>Factual</v>
      </c>
      <c r="U345" s="5" t="str">
        <f>IFERROR(VLOOKUP($G345,Ratings!$E$81:$I$111,5,FALSE),"None")</f>
        <v>None</v>
      </c>
      <c r="V345" s="5"/>
      <c r="X345" s="5"/>
      <c r="Y345" s="5"/>
      <c r="Z345" s="5"/>
      <c r="AA345" s="5"/>
      <c r="AB345" s="5"/>
      <c r="AC345" s="5"/>
      <c r="AG345" s="9"/>
      <c r="AH345" s="9"/>
    </row>
    <row r="346" spans="2:34" hidden="1">
      <c r="B346" s="4">
        <v>2018</v>
      </c>
      <c r="C346" s="4" t="s">
        <v>44</v>
      </c>
      <c r="D346" s="3">
        <f t="shared" si="5"/>
        <v>91</v>
      </c>
      <c r="E346" s="3" t="s">
        <v>886</v>
      </c>
      <c r="G346" s="5" t="s">
        <v>928</v>
      </c>
      <c r="H346" s="5"/>
      <c r="I346" s="5" t="s">
        <v>129</v>
      </c>
      <c r="J346" s="7">
        <v>0</v>
      </c>
      <c r="M346" s="8">
        <v>0</v>
      </c>
      <c r="N346" s="7">
        <v>0</v>
      </c>
      <c r="P346" s="7">
        <v>7053</v>
      </c>
      <c r="Q346" s="7">
        <v>7053</v>
      </c>
      <c r="R346" s="5">
        <f>VLOOKUP($G346,Others!$E$260:$I$596,2,FALSE)</f>
        <v>0</v>
      </c>
      <c r="S346" s="5" t="str">
        <f>VLOOKUP($G346,Others!$E$260:$I$596,3,FALSE)</f>
        <v>Live Action</v>
      </c>
      <c r="T346" s="5">
        <f>VLOOKUP($G346,Others!$E$260:$I$596,4,FALSE)</f>
        <v>0</v>
      </c>
      <c r="U346" s="5" t="str">
        <f>IFERROR(VLOOKUP($G346,Ratings!$E$81:$I$111,5,FALSE),"None")</f>
        <v>None</v>
      </c>
      <c r="V346" s="5"/>
      <c r="X346" s="5"/>
      <c r="Y346" s="5"/>
      <c r="Z346" s="5"/>
      <c r="AA346" s="5"/>
      <c r="AB346" s="5"/>
      <c r="AC346" s="5"/>
      <c r="AG346" s="9"/>
      <c r="AH346" s="9"/>
    </row>
    <row r="347" spans="2:34" hidden="1">
      <c r="B347" s="4">
        <v>2018</v>
      </c>
      <c r="C347" s="4" t="s">
        <v>44</v>
      </c>
      <c r="D347" s="3">
        <f t="shared" si="5"/>
        <v>92</v>
      </c>
      <c r="E347" s="3" t="s">
        <v>886</v>
      </c>
      <c r="G347" s="5" t="s">
        <v>479</v>
      </c>
      <c r="H347" s="5"/>
      <c r="I347" s="5" t="s">
        <v>193</v>
      </c>
      <c r="J347" s="7">
        <v>0</v>
      </c>
      <c r="M347" s="8">
        <v>0</v>
      </c>
      <c r="N347" s="7">
        <v>0</v>
      </c>
      <c r="P347" s="7">
        <v>363597</v>
      </c>
      <c r="Q347" s="7">
        <v>363597</v>
      </c>
      <c r="R347" s="5">
        <f>VLOOKUP($G347,Others!$E$260:$I$596,2,FALSE)</f>
        <v>0</v>
      </c>
      <c r="S347" s="5">
        <f>VLOOKUP($G347,Others!$E$260:$I$596,3,FALSE)</f>
        <v>0</v>
      </c>
      <c r="T347" s="5">
        <f>VLOOKUP($G347,Others!$E$260:$I$596,4,FALSE)</f>
        <v>0</v>
      </c>
      <c r="U347" s="5" t="str">
        <f>IFERROR(VLOOKUP($G347,Ratings!$E$81:$I$111,5,FALSE),"None")</f>
        <v>None</v>
      </c>
      <c r="V347" s="5"/>
      <c r="X347" s="5"/>
      <c r="Y347" s="5"/>
      <c r="Z347" s="5"/>
      <c r="AA347" s="5"/>
      <c r="AB347" s="5"/>
      <c r="AC347" s="5"/>
      <c r="AG347" s="9"/>
      <c r="AH347" s="9"/>
    </row>
    <row r="348" spans="2:34" hidden="1">
      <c r="B348" s="4">
        <v>2018</v>
      </c>
      <c r="C348" s="4" t="s">
        <v>44</v>
      </c>
      <c r="D348" s="3">
        <f t="shared" si="5"/>
        <v>93</v>
      </c>
      <c r="E348" s="3" t="s">
        <v>886</v>
      </c>
      <c r="G348" s="5" t="s">
        <v>929</v>
      </c>
      <c r="H348" s="5"/>
      <c r="I348" s="5" t="s">
        <v>127</v>
      </c>
      <c r="J348" s="7">
        <v>0</v>
      </c>
      <c r="M348" s="8">
        <v>0</v>
      </c>
      <c r="N348" s="7">
        <v>0</v>
      </c>
      <c r="P348" s="7">
        <v>29343</v>
      </c>
      <c r="Q348" s="7">
        <v>29343</v>
      </c>
      <c r="R348" s="5">
        <f>VLOOKUP($G348,Others!$E$260:$I$596,2,FALSE)</f>
        <v>0</v>
      </c>
      <c r="S348" s="5" t="str">
        <f>VLOOKUP($G348,Others!$E$260:$I$596,3,FALSE)</f>
        <v>Digital Animation</v>
      </c>
      <c r="T348" s="5">
        <f>VLOOKUP($G348,Others!$E$260:$I$596,4,FALSE)</f>
        <v>0</v>
      </c>
      <c r="U348" s="5" t="str">
        <f>IFERROR(VLOOKUP($G348,Ratings!$E$81:$I$111,5,FALSE),"None")</f>
        <v>None</v>
      </c>
      <c r="V348" s="5"/>
      <c r="X348" s="5"/>
      <c r="Y348" s="5"/>
      <c r="Z348" s="5"/>
      <c r="AA348" s="5"/>
      <c r="AB348" s="5"/>
      <c r="AC348" s="5"/>
      <c r="AG348" s="9"/>
      <c r="AH348" s="9"/>
    </row>
    <row r="349" spans="2:34" hidden="1">
      <c r="B349" s="4">
        <v>2018</v>
      </c>
      <c r="C349" s="4" t="s">
        <v>44</v>
      </c>
      <c r="D349" s="3">
        <f t="shared" si="5"/>
        <v>94</v>
      </c>
      <c r="E349" s="3" t="s">
        <v>886</v>
      </c>
      <c r="G349" s="5" t="s">
        <v>285</v>
      </c>
      <c r="H349" s="5"/>
      <c r="I349" s="5" t="s">
        <v>193</v>
      </c>
      <c r="J349" s="7">
        <v>0</v>
      </c>
      <c r="M349" s="8">
        <v>0</v>
      </c>
      <c r="N349" s="7">
        <v>0</v>
      </c>
      <c r="P349" s="7">
        <v>276486</v>
      </c>
      <c r="Q349" s="7">
        <v>276486</v>
      </c>
      <c r="R349" s="5">
        <f>VLOOKUP($G349,Others!$E$260:$I$596,2,FALSE)</f>
        <v>0</v>
      </c>
      <c r="S349" s="5" t="str">
        <f>VLOOKUP($G349,Others!$E$260:$I$596,3,FALSE)</f>
        <v>Live Action</v>
      </c>
      <c r="T349" s="5">
        <f>VLOOKUP($G349,Others!$E$260:$I$596,4,FALSE)</f>
        <v>0</v>
      </c>
      <c r="U349" s="5" t="str">
        <f>IFERROR(VLOOKUP($G349,Ratings!$E$81:$I$111,5,FALSE),"None")</f>
        <v>None</v>
      </c>
      <c r="V349" s="5"/>
      <c r="X349" s="5"/>
      <c r="Y349" s="5"/>
      <c r="Z349" s="5"/>
      <c r="AA349" s="5"/>
      <c r="AB349" s="5"/>
      <c r="AC349" s="5"/>
      <c r="AG349" s="9"/>
      <c r="AH349" s="9"/>
    </row>
    <row r="350" spans="2:34">
      <c r="B350" s="4">
        <v>2018</v>
      </c>
      <c r="C350" s="4" t="s">
        <v>44</v>
      </c>
      <c r="D350" s="3">
        <f t="shared" si="5"/>
        <v>95</v>
      </c>
      <c r="E350" s="55" t="s">
        <v>886</v>
      </c>
      <c r="F350" s="3" t="s">
        <v>2074</v>
      </c>
      <c r="G350" s="5" t="s">
        <v>456</v>
      </c>
      <c r="H350" s="5" t="s">
        <v>1423</v>
      </c>
      <c r="I350" s="5" t="s">
        <v>127</v>
      </c>
      <c r="J350" s="7">
        <f>20000000/6.7</f>
        <v>2985074.6268656715</v>
      </c>
      <c r="K350" s="7">
        <f>8000000/6.7</f>
        <v>1194029.8507462686</v>
      </c>
      <c r="L350" s="7">
        <f>1630000/6.7</f>
        <v>243283.58208955222</v>
      </c>
      <c r="M350" s="8">
        <v>14704</v>
      </c>
      <c r="N350" s="7">
        <v>470000</v>
      </c>
      <c r="O350" s="7">
        <f>4450000/6.7</f>
        <v>664179.10447761195</v>
      </c>
      <c r="P350" s="7">
        <v>726371</v>
      </c>
      <c r="Q350" s="7">
        <v>726371</v>
      </c>
      <c r="R350" s="5" t="str">
        <f>VLOOKUP($G350,Others!$E$260:$I$596,2,FALSE)</f>
        <v>Original Screenplay</v>
      </c>
      <c r="S350" s="5" t="str">
        <f>VLOOKUP($G350,Others!$E$260:$I$596,3,FALSE)</f>
        <v>Digital Animation</v>
      </c>
      <c r="T350" s="5" t="str">
        <f>VLOOKUP($G350,Others!$E$260:$I$596,4,FALSE)</f>
        <v>Kids Fiction</v>
      </c>
      <c r="U350" s="5" t="str">
        <f>IFERROR(VLOOKUP($G350,Ratings!$E$81:$I$111,5,FALSE),"None")</f>
        <v>None</v>
      </c>
      <c r="V350" s="5" t="s">
        <v>2075</v>
      </c>
      <c r="W350" s="5" t="s">
        <v>456</v>
      </c>
      <c r="X350" s="5" t="s">
        <v>2076</v>
      </c>
      <c r="Y350" s="5" t="s">
        <v>2077</v>
      </c>
      <c r="Z350" s="5" t="s">
        <v>2078</v>
      </c>
      <c r="AA350" s="5" t="s">
        <v>2079</v>
      </c>
      <c r="AB350" s="5"/>
      <c r="AC350" s="5" t="s">
        <v>2080</v>
      </c>
      <c r="AD350" s="9">
        <v>8</v>
      </c>
      <c r="AE350" s="1" t="s">
        <v>1489</v>
      </c>
      <c r="AG350" s="9"/>
      <c r="AH350" s="9"/>
    </row>
    <row r="351" spans="2:34" hidden="1">
      <c r="B351" s="4">
        <v>2018</v>
      </c>
      <c r="C351" s="4" t="s">
        <v>44</v>
      </c>
      <c r="D351" s="3">
        <f t="shared" si="5"/>
        <v>96</v>
      </c>
      <c r="E351" s="3" t="s">
        <v>886</v>
      </c>
      <c r="G351" s="5" t="s">
        <v>930</v>
      </c>
      <c r="H351" s="5"/>
      <c r="I351" s="5" t="s">
        <v>127</v>
      </c>
      <c r="J351" s="7">
        <v>0</v>
      </c>
      <c r="M351" s="8">
        <v>0</v>
      </c>
      <c r="N351" s="7">
        <v>0</v>
      </c>
      <c r="P351" s="7">
        <v>740000</v>
      </c>
      <c r="Q351" s="7">
        <v>740000</v>
      </c>
      <c r="R351" s="5" t="str">
        <f>VLOOKUP($G351,Others!$E$260:$I$596,2,FALSE)</f>
        <v>Original Screenplay</v>
      </c>
      <c r="S351" s="5" t="str">
        <f>VLOOKUP($G351,Others!$E$260:$I$596,3,FALSE)</f>
        <v>Digital Animation</v>
      </c>
      <c r="T351" s="5" t="str">
        <f>VLOOKUP($G351,Others!$E$260:$I$596,4,FALSE)</f>
        <v>Kids Fiction</v>
      </c>
      <c r="U351" s="5" t="str">
        <f>IFERROR(VLOOKUP($G351,Ratings!$E$81:$I$111,5,FALSE),"None")</f>
        <v>None</v>
      </c>
      <c r="V351" s="5"/>
      <c r="X351" s="5"/>
      <c r="Y351" s="5"/>
      <c r="Z351" s="5"/>
      <c r="AA351" s="5"/>
      <c r="AB351" s="5"/>
      <c r="AC351" s="5"/>
      <c r="AG351" s="9"/>
      <c r="AH351" s="9"/>
    </row>
    <row r="352" spans="2:34" hidden="1">
      <c r="B352" s="4">
        <v>2018</v>
      </c>
      <c r="C352" s="4" t="s">
        <v>44</v>
      </c>
      <c r="D352" s="3">
        <f t="shared" si="5"/>
        <v>97</v>
      </c>
      <c r="E352" s="3" t="s">
        <v>886</v>
      </c>
      <c r="G352" s="5" t="s">
        <v>931</v>
      </c>
      <c r="H352" s="5"/>
      <c r="I352" s="5" t="s">
        <v>154</v>
      </c>
      <c r="J352" s="7">
        <v>0</v>
      </c>
      <c r="M352" s="8">
        <v>0</v>
      </c>
      <c r="N352" s="7">
        <v>0</v>
      </c>
      <c r="P352" s="7">
        <v>661229</v>
      </c>
      <c r="Q352" s="7">
        <v>661229</v>
      </c>
      <c r="R352" s="5">
        <f>VLOOKUP($G352,Others!$E$260:$I$596,2,FALSE)</f>
        <v>0</v>
      </c>
      <c r="S352" s="5" t="str">
        <f>VLOOKUP($G352,Others!$E$260:$I$596,3,FALSE)</f>
        <v>Live Action</v>
      </c>
      <c r="T352" s="5">
        <f>VLOOKUP($G352,Others!$E$260:$I$596,4,FALSE)</f>
        <v>0</v>
      </c>
      <c r="U352" s="5" t="str">
        <f>IFERROR(VLOOKUP($G352,Ratings!$E$81:$I$111,5,FALSE),"None")</f>
        <v>None</v>
      </c>
      <c r="V352" s="5"/>
      <c r="X352" s="5"/>
      <c r="Y352" s="5"/>
      <c r="Z352" s="5"/>
      <c r="AA352" s="5"/>
      <c r="AB352" s="5"/>
      <c r="AC352" s="5"/>
      <c r="AG352" s="9"/>
      <c r="AH352" s="9"/>
    </row>
    <row r="353" spans="2:34" hidden="1">
      <c r="B353" s="4">
        <v>2018</v>
      </c>
      <c r="C353" s="4" t="s">
        <v>44</v>
      </c>
      <c r="D353" s="3">
        <f t="shared" si="5"/>
        <v>98</v>
      </c>
      <c r="E353" s="3" t="s">
        <v>886</v>
      </c>
      <c r="G353" s="5" t="s">
        <v>339</v>
      </c>
      <c r="H353" s="5"/>
      <c r="I353" s="5" t="s">
        <v>129</v>
      </c>
      <c r="J353" s="7">
        <v>0</v>
      </c>
      <c r="M353" s="8">
        <v>0</v>
      </c>
      <c r="N353" s="7">
        <v>0</v>
      </c>
      <c r="P353" s="7">
        <v>11263</v>
      </c>
      <c r="Q353" s="7">
        <v>11263</v>
      </c>
      <c r="R353" s="5">
        <f>VLOOKUP($G353,Others!$E$260:$I$596,2,FALSE)</f>
        <v>0</v>
      </c>
      <c r="S353" s="5" t="str">
        <f>VLOOKUP($G353,Others!$E$260:$I$596,3,FALSE)</f>
        <v>Live Action</v>
      </c>
      <c r="T353" s="5">
        <f>VLOOKUP($G353,Others!$E$260:$I$596,4,FALSE)</f>
        <v>0</v>
      </c>
      <c r="U353" s="5" t="str">
        <f>IFERROR(VLOOKUP($G353,Ratings!$E$81:$I$111,5,FALSE),"None")</f>
        <v>None</v>
      </c>
      <c r="V353" s="5"/>
      <c r="X353" s="5"/>
      <c r="Y353" s="5"/>
      <c r="Z353" s="5"/>
      <c r="AA353" s="5"/>
      <c r="AB353" s="5"/>
      <c r="AC353" s="5"/>
      <c r="AG353" s="9"/>
      <c r="AH353" s="9"/>
    </row>
    <row r="354" spans="2:34" hidden="1">
      <c r="B354" s="4">
        <v>2018</v>
      </c>
      <c r="C354" s="4" t="s">
        <v>44</v>
      </c>
      <c r="D354" s="3">
        <f t="shared" si="5"/>
        <v>99</v>
      </c>
      <c r="E354" s="3" t="s">
        <v>886</v>
      </c>
      <c r="G354" s="5" t="s">
        <v>522</v>
      </c>
      <c r="H354" s="5"/>
      <c r="I354" s="5" t="s">
        <v>131</v>
      </c>
      <c r="J354" s="7">
        <v>0</v>
      </c>
      <c r="M354" s="8">
        <v>0</v>
      </c>
      <c r="N354" s="7">
        <v>0</v>
      </c>
      <c r="P354" s="7">
        <v>46380</v>
      </c>
      <c r="Q354" s="7">
        <v>46380</v>
      </c>
      <c r="R354" s="5" t="str">
        <f>VLOOKUP($G354,Others!$E$260:$I$596,2,FALSE)</f>
        <v>Based on Real Life Events</v>
      </c>
      <c r="S354" s="5" t="str">
        <f>VLOOKUP($G354,Others!$E$260:$I$596,3,FALSE)</f>
        <v>Live Action</v>
      </c>
      <c r="T354" s="5" t="str">
        <f>VLOOKUP($G354,Others!$E$260:$I$596,4,FALSE)</f>
        <v>Dramatization</v>
      </c>
      <c r="U354" s="5" t="str">
        <f>IFERROR(VLOOKUP($G354,Ratings!$E$81:$I$111,5,FALSE),"None")</f>
        <v>None</v>
      </c>
      <c r="V354" s="5"/>
      <c r="X354" s="5"/>
      <c r="Y354" s="5"/>
      <c r="Z354" s="5"/>
      <c r="AA354" s="5"/>
      <c r="AB354" s="5"/>
      <c r="AC354" s="5"/>
      <c r="AG354" s="9"/>
      <c r="AH354" s="9"/>
    </row>
    <row r="355" spans="2:34" hidden="1">
      <c r="B355" s="4">
        <v>2018</v>
      </c>
      <c r="C355" s="4" t="s">
        <v>44</v>
      </c>
      <c r="D355" s="3">
        <f t="shared" si="5"/>
        <v>100</v>
      </c>
      <c r="E355" s="3" t="s">
        <v>886</v>
      </c>
      <c r="G355" s="5" t="s">
        <v>480</v>
      </c>
      <c r="H355" s="5"/>
      <c r="I355" s="5" t="s">
        <v>193</v>
      </c>
      <c r="J355" s="7">
        <v>0</v>
      </c>
      <c r="M355" s="8">
        <v>0</v>
      </c>
      <c r="N355" s="7">
        <v>0</v>
      </c>
      <c r="P355" s="7">
        <v>342389</v>
      </c>
      <c r="Q355" s="7">
        <v>342389</v>
      </c>
      <c r="R355" s="5">
        <f>VLOOKUP($G355,Others!$E$260:$I$596,2,FALSE)</f>
        <v>0</v>
      </c>
      <c r="S355" s="5" t="str">
        <f>VLOOKUP($G355,Others!$E$260:$I$596,3,FALSE)</f>
        <v>Live Action</v>
      </c>
      <c r="T355" s="5">
        <f>VLOOKUP($G355,Others!$E$260:$I$596,4,FALSE)</f>
        <v>0</v>
      </c>
      <c r="U355" s="5" t="str">
        <f>IFERROR(VLOOKUP($G355,Ratings!$E$81:$I$111,5,FALSE),"None")</f>
        <v>None</v>
      </c>
      <c r="V355" s="5"/>
      <c r="X355" s="5"/>
      <c r="Y355" s="5"/>
      <c r="Z355" s="5"/>
      <c r="AA355" s="5"/>
      <c r="AB355" s="5"/>
      <c r="AC355" s="5"/>
      <c r="AG355" s="9"/>
      <c r="AH355" s="9"/>
    </row>
    <row r="356" spans="2:34" hidden="1">
      <c r="B356" s="4">
        <v>2018</v>
      </c>
      <c r="C356" s="4" t="s">
        <v>44</v>
      </c>
      <c r="D356" s="3">
        <f t="shared" si="5"/>
        <v>101</v>
      </c>
      <c r="E356" s="3" t="s">
        <v>886</v>
      </c>
      <c r="G356" s="5" t="s">
        <v>932</v>
      </c>
      <c r="H356" s="5"/>
      <c r="I356" s="5" t="s">
        <v>129</v>
      </c>
      <c r="J356" s="7">
        <v>0</v>
      </c>
      <c r="M356" s="8">
        <v>0</v>
      </c>
      <c r="N356" s="7">
        <v>0</v>
      </c>
      <c r="P356" s="7">
        <v>3604</v>
      </c>
      <c r="Q356" s="7">
        <v>3604</v>
      </c>
      <c r="R356" s="5" t="str">
        <f>VLOOKUP($G356,Others!$E$260:$I$596,2,FALSE)</f>
        <v>Original Screenplay</v>
      </c>
      <c r="S356" s="5" t="str">
        <f>VLOOKUP($G356,Others!$E$260:$I$596,3,FALSE)</f>
        <v>Live Action</v>
      </c>
      <c r="T356" s="5" t="str">
        <f>VLOOKUP($G356,Others!$E$260:$I$596,4,FALSE)</f>
        <v>Fantasy</v>
      </c>
      <c r="U356" s="5" t="str">
        <f>IFERROR(VLOOKUP($G356,Ratings!$E$81:$I$111,5,FALSE),"None")</f>
        <v>None</v>
      </c>
      <c r="V356" s="5"/>
      <c r="X356" s="5"/>
      <c r="Y356" s="5"/>
      <c r="Z356" s="5"/>
      <c r="AA356" s="5"/>
      <c r="AB356" s="5"/>
      <c r="AC356" s="5"/>
      <c r="AG356" s="9"/>
      <c r="AH356" s="9"/>
    </row>
    <row r="357" spans="2:34" hidden="1">
      <c r="B357" s="4">
        <v>2018</v>
      </c>
      <c r="C357" s="4" t="s">
        <v>44</v>
      </c>
      <c r="D357" s="3">
        <f t="shared" si="5"/>
        <v>102</v>
      </c>
      <c r="E357" s="3" t="s">
        <v>886</v>
      </c>
      <c r="G357" s="5" t="s">
        <v>459</v>
      </c>
      <c r="H357" s="5"/>
      <c r="I357" s="5" t="s">
        <v>127</v>
      </c>
      <c r="J357" s="7">
        <v>0</v>
      </c>
      <c r="M357" s="8">
        <v>0</v>
      </c>
      <c r="N357" s="7">
        <v>0</v>
      </c>
      <c r="P357" s="7">
        <v>695621</v>
      </c>
      <c r="Q357" s="7">
        <v>695621</v>
      </c>
      <c r="R357" s="5" t="str">
        <f>VLOOKUP($G357,Others!$E$260:$I$596,2,FALSE)</f>
        <v>Original Screenplay</v>
      </c>
      <c r="S357" s="5" t="str">
        <f>VLOOKUP($G357,Others!$E$260:$I$596,3,FALSE)</f>
        <v>Digital Animation</v>
      </c>
      <c r="T357" s="5" t="str">
        <f>VLOOKUP($G357,Others!$E$260:$I$596,4,FALSE)</f>
        <v>Kids Fiction</v>
      </c>
      <c r="U357" s="5" t="str">
        <f>IFERROR(VLOOKUP($G357,Ratings!$E$81:$I$111,5,FALSE),"None")</f>
        <v>None</v>
      </c>
      <c r="V357" s="5"/>
      <c r="X357" s="5"/>
      <c r="Y357" s="5"/>
      <c r="Z357" s="5"/>
      <c r="AA357" s="5"/>
      <c r="AB357" s="5"/>
      <c r="AC357" s="5"/>
      <c r="AG357" s="9"/>
      <c r="AH357" s="9"/>
    </row>
    <row r="358" spans="2:34" hidden="1">
      <c r="B358" s="4">
        <v>2018</v>
      </c>
      <c r="C358" s="4" t="s">
        <v>44</v>
      </c>
      <c r="D358" s="3">
        <f t="shared" si="5"/>
        <v>103</v>
      </c>
      <c r="E358" s="3" t="s">
        <v>886</v>
      </c>
      <c r="G358" s="5" t="s">
        <v>481</v>
      </c>
      <c r="H358" s="5"/>
      <c r="I358" s="5" t="s">
        <v>193</v>
      </c>
      <c r="J358" s="7">
        <v>0</v>
      </c>
      <c r="M358" s="8">
        <v>0</v>
      </c>
      <c r="N358" s="7">
        <v>0</v>
      </c>
      <c r="P358" s="7">
        <v>326131</v>
      </c>
      <c r="Q358" s="7">
        <v>326131</v>
      </c>
      <c r="R358" s="5">
        <f>VLOOKUP($G358,Others!$E$260:$I$596,2,FALSE)</f>
        <v>0</v>
      </c>
      <c r="S358" s="5" t="str">
        <f>VLOOKUP($G358,Others!$E$260:$I$596,3,FALSE)</f>
        <v>Live Action</v>
      </c>
      <c r="T358" s="5">
        <f>VLOOKUP($G358,Others!$E$260:$I$596,4,FALSE)</f>
        <v>0</v>
      </c>
      <c r="U358" s="5" t="str">
        <f>IFERROR(VLOOKUP($G358,Ratings!$E$81:$I$111,5,FALSE),"None")</f>
        <v>None</v>
      </c>
      <c r="V358" s="5"/>
      <c r="X358" s="5"/>
      <c r="Y358" s="5"/>
      <c r="Z358" s="5"/>
      <c r="AA358" s="5"/>
      <c r="AB358" s="5"/>
      <c r="AC358" s="5"/>
      <c r="AG358" s="9"/>
      <c r="AH358" s="9"/>
    </row>
    <row r="359" spans="2:34" hidden="1">
      <c r="B359" s="4">
        <v>2018</v>
      </c>
      <c r="C359" s="4" t="s">
        <v>44</v>
      </c>
      <c r="D359" s="3">
        <f t="shared" si="5"/>
        <v>104</v>
      </c>
      <c r="E359" s="3" t="s">
        <v>886</v>
      </c>
      <c r="G359" s="5" t="s">
        <v>933</v>
      </c>
      <c r="H359" s="5"/>
      <c r="I359" s="5" t="s">
        <v>127</v>
      </c>
      <c r="J359" s="7">
        <v>0</v>
      </c>
      <c r="M359" s="8">
        <v>0</v>
      </c>
      <c r="N359" s="7">
        <v>0</v>
      </c>
      <c r="P359" s="7">
        <v>4129689</v>
      </c>
      <c r="Q359" s="7">
        <v>4129689</v>
      </c>
      <c r="R359" s="5" t="str">
        <f>VLOOKUP($G359,Others!$E$260:$I$596,2,FALSE)</f>
        <v>Original Screenplay</v>
      </c>
      <c r="S359" s="5" t="str">
        <f>VLOOKUP($G359,Others!$E$260:$I$596,3,FALSE)</f>
        <v>Digital Animation</v>
      </c>
      <c r="T359" s="5" t="str">
        <f>VLOOKUP($G359,Others!$E$260:$I$596,4,FALSE)</f>
        <v>Kids Fiction</v>
      </c>
      <c r="U359" s="5" t="str">
        <f>IFERROR(VLOOKUP($G359,Ratings!$E$81:$I$111,5,FALSE),"None")</f>
        <v>None</v>
      </c>
      <c r="V359" s="5"/>
      <c r="X359" s="5"/>
      <c r="Y359" s="5"/>
      <c r="Z359" s="5"/>
      <c r="AA359" s="5"/>
      <c r="AB359" s="5"/>
      <c r="AC359" s="5"/>
      <c r="AG359" s="9"/>
      <c r="AH359" s="9"/>
    </row>
    <row r="360" spans="2:34" hidden="1">
      <c r="B360" s="4">
        <v>2018</v>
      </c>
      <c r="C360" s="4" t="s">
        <v>44</v>
      </c>
      <c r="D360" s="3">
        <f t="shared" si="5"/>
        <v>105</v>
      </c>
      <c r="E360" s="3" t="s">
        <v>886</v>
      </c>
      <c r="G360" s="5" t="s">
        <v>934</v>
      </c>
      <c r="H360" s="5"/>
      <c r="I360" s="5" t="s">
        <v>154</v>
      </c>
      <c r="J360" s="7">
        <v>0</v>
      </c>
      <c r="M360" s="8">
        <v>0</v>
      </c>
      <c r="N360" s="7">
        <v>0</v>
      </c>
      <c r="P360" s="7">
        <v>468683</v>
      </c>
      <c r="Q360" s="7">
        <v>468683</v>
      </c>
      <c r="R360" s="5">
        <f>VLOOKUP($G360,Others!$E$260:$I$596,2,FALSE)</f>
        <v>0</v>
      </c>
      <c r="S360" s="5">
        <f>VLOOKUP($G360,Others!$E$260:$I$596,3,FALSE)</f>
        <v>0</v>
      </c>
      <c r="T360" s="5">
        <f>VLOOKUP($G360,Others!$E$260:$I$596,4,FALSE)</f>
        <v>0</v>
      </c>
      <c r="U360" s="5" t="str">
        <f>IFERROR(VLOOKUP($G360,Ratings!$E$81:$I$111,5,FALSE),"None")</f>
        <v>None</v>
      </c>
      <c r="V360" s="5"/>
      <c r="X360" s="5"/>
      <c r="Y360" s="5"/>
      <c r="Z360" s="5"/>
      <c r="AA360" s="5"/>
      <c r="AB360" s="5"/>
      <c r="AC360" s="5"/>
      <c r="AG360" s="9"/>
      <c r="AH360" s="9"/>
    </row>
    <row r="361" spans="2:34" hidden="1">
      <c r="B361" s="4">
        <v>2018</v>
      </c>
      <c r="C361" s="4" t="s">
        <v>44</v>
      </c>
      <c r="D361" s="3">
        <f t="shared" si="5"/>
        <v>106</v>
      </c>
      <c r="E361" s="3" t="s">
        <v>886</v>
      </c>
      <c r="G361" s="5" t="s">
        <v>935</v>
      </c>
      <c r="H361" s="5"/>
      <c r="I361" s="5" t="s">
        <v>127</v>
      </c>
      <c r="J361" s="7">
        <v>0</v>
      </c>
      <c r="M361" s="8">
        <v>0</v>
      </c>
      <c r="N361" s="7">
        <v>0</v>
      </c>
      <c r="P361" s="7">
        <v>45521268</v>
      </c>
      <c r="Q361" s="7">
        <v>45521268</v>
      </c>
      <c r="R361" s="5" t="str">
        <f>VLOOKUP($G361,Others!$E$260:$I$596,2,FALSE)</f>
        <v>Original Screenplay</v>
      </c>
      <c r="S361" s="5" t="str">
        <f>VLOOKUP($G361,Others!$E$260:$I$596,3,FALSE)</f>
        <v>Digital Animation</v>
      </c>
      <c r="T361" s="5">
        <f>VLOOKUP($G361,Others!$E$260:$I$596,4,FALSE)</f>
        <v>0</v>
      </c>
      <c r="U361" s="5" t="str">
        <f>IFERROR(VLOOKUP($G361,Ratings!$E$81:$I$111,5,FALSE),"None")</f>
        <v>None</v>
      </c>
      <c r="V361" s="5"/>
      <c r="X361" s="5"/>
      <c r="Y361" s="5"/>
      <c r="Z361" s="5"/>
      <c r="AA361" s="5"/>
      <c r="AB361" s="5"/>
      <c r="AC361" s="5"/>
      <c r="AG361" s="9"/>
      <c r="AH361" s="9"/>
    </row>
    <row r="362" spans="2:34" hidden="1">
      <c r="B362" s="4">
        <v>2018</v>
      </c>
      <c r="C362" s="4" t="s">
        <v>44</v>
      </c>
      <c r="D362" s="3">
        <f t="shared" si="5"/>
        <v>107</v>
      </c>
      <c r="E362" s="3" t="s">
        <v>886</v>
      </c>
      <c r="G362" s="5" t="s">
        <v>335</v>
      </c>
      <c r="H362" s="5"/>
      <c r="I362" s="5" t="s">
        <v>148</v>
      </c>
      <c r="J362" s="7">
        <v>0</v>
      </c>
      <c r="M362" s="8">
        <v>0</v>
      </c>
      <c r="N362" s="7">
        <v>0</v>
      </c>
      <c r="P362" s="7">
        <v>15410</v>
      </c>
      <c r="Q362" s="7">
        <v>15410</v>
      </c>
      <c r="R362" s="5" t="str">
        <f>VLOOKUP($G362,Others!$E$260:$I$596,2,FALSE)</f>
        <v>Original Screenplay</v>
      </c>
      <c r="S362" s="5" t="str">
        <f>VLOOKUP($G362,Others!$E$260:$I$596,3,FALSE)</f>
        <v>Live Action</v>
      </c>
      <c r="T362" s="5" t="str">
        <f>VLOOKUP($G362,Others!$E$260:$I$596,4,FALSE)</f>
        <v>Contemporary Fiction</v>
      </c>
      <c r="U362" s="5" t="str">
        <f>IFERROR(VLOOKUP($G362,Ratings!$E$81:$I$111,5,FALSE),"None")</f>
        <v>None</v>
      </c>
      <c r="V362" s="5"/>
      <c r="X362" s="5"/>
      <c r="Y362" s="5"/>
      <c r="Z362" s="5"/>
      <c r="AA362" s="5"/>
      <c r="AB362" s="5"/>
      <c r="AC362" s="5"/>
      <c r="AG362" s="9"/>
      <c r="AH362" s="9"/>
    </row>
    <row r="363" spans="2:34">
      <c r="B363" s="4">
        <v>2018</v>
      </c>
      <c r="C363" s="4" t="s">
        <v>44</v>
      </c>
      <c r="D363" s="3">
        <f t="shared" si="5"/>
        <v>108</v>
      </c>
      <c r="E363" s="55" t="s">
        <v>886</v>
      </c>
      <c r="F363" s="3" t="s">
        <v>832</v>
      </c>
      <c r="G363" s="5" t="s">
        <v>460</v>
      </c>
      <c r="H363" s="5" t="s">
        <v>1424</v>
      </c>
      <c r="I363" s="5" t="s">
        <v>1403</v>
      </c>
      <c r="J363" s="7">
        <f>10000000/6.7</f>
        <v>1492537.3134328357</v>
      </c>
      <c r="K363" s="7">
        <f>8000000/6.7</f>
        <v>1194029.8507462686</v>
      </c>
      <c r="L363" s="7">
        <f>1530000/6.7</f>
        <v>228358.20895522388</v>
      </c>
      <c r="M363" s="8">
        <v>11527</v>
      </c>
      <c r="N363" s="7">
        <v>500000</v>
      </c>
      <c r="O363" s="7">
        <f>4180000/6.7</f>
        <v>623880.59701492533</v>
      </c>
      <c r="P363" s="7">
        <v>688869</v>
      </c>
      <c r="Q363" s="7">
        <v>688869</v>
      </c>
      <c r="R363" s="39" t="s">
        <v>606</v>
      </c>
      <c r="S363" s="5" t="str">
        <f>VLOOKUP($G363,Others!$E$260:$I$596,3,FALSE)</f>
        <v>Live Action</v>
      </c>
      <c r="T363" s="5" t="str">
        <f>VLOOKUP($G363,Others!$E$260:$I$596,4,FALSE)</f>
        <v>Contemporary Fiction</v>
      </c>
      <c r="U363" s="5" t="str">
        <f>IFERROR(VLOOKUP($G363,Ratings!$E$81:$I$111,5,FALSE),"None")</f>
        <v>None</v>
      </c>
      <c r="V363" s="5" t="s">
        <v>2081</v>
      </c>
      <c r="W363" s="5" t="s">
        <v>460</v>
      </c>
      <c r="X363" s="5" t="s">
        <v>2082</v>
      </c>
      <c r="Y363" s="5" t="s">
        <v>2083</v>
      </c>
      <c r="Z363" s="5"/>
      <c r="AA363" s="5" t="s">
        <v>2084</v>
      </c>
      <c r="AB363" s="5"/>
      <c r="AC363" s="5" t="s">
        <v>2085</v>
      </c>
      <c r="AD363" s="9">
        <v>7.6</v>
      </c>
      <c r="AE363" s="1" t="s">
        <v>1489</v>
      </c>
      <c r="AG363" s="9"/>
      <c r="AH363" s="9"/>
    </row>
    <row r="364" spans="2:34" hidden="1">
      <c r="B364" s="4">
        <v>2018</v>
      </c>
      <c r="C364" s="4" t="s">
        <v>44</v>
      </c>
      <c r="D364" s="3">
        <f t="shared" si="5"/>
        <v>109</v>
      </c>
      <c r="E364" s="3" t="s">
        <v>886</v>
      </c>
      <c r="G364" s="5" t="s">
        <v>936</v>
      </c>
      <c r="H364" s="5"/>
      <c r="I364" s="5" t="s">
        <v>154</v>
      </c>
      <c r="J364" s="7">
        <v>0</v>
      </c>
      <c r="M364" s="8">
        <v>0</v>
      </c>
      <c r="N364" s="7">
        <v>0</v>
      </c>
      <c r="P364" s="7">
        <v>210967</v>
      </c>
      <c r="Q364" s="7">
        <v>210967</v>
      </c>
      <c r="R364" s="5">
        <f>VLOOKUP($G364,Others!$E$260:$I$596,2,FALSE)</f>
        <v>0</v>
      </c>
      <c r="S364" s="5" t="str">
        <f>VLOOKUP($G364,Others!$E$260:$I$596,3,FALSE)</f>
        <v>Live Action</v>
      </c>
      <c r="T364" s="5">
        <f>VLOOKUP($G364,Others!$E$260:$I$596,4,FALSE)</f>
        <v>0</v>
      </c>
      <c r="U364" s="5" t="str">
        <f>IFERROR(VLOOKUP($G364,Ratings!$E$81:$I$111,5,FALSE),"None")</f>
        <v>None</v>
      </c>
      <c r="V364" s="5"/>
      <c r="X364" s="5"/>
      <c r="Y364" s="5"/>
      <c r="Z364" s="5"/>
      <c r="AA364" s="5"/>
      <c r="AB364" s="5"/>
      <c r="AC364" s="5"/>
      <c r="AG364" s="9"/>
      <c r="AH364" s="9"/>
    </row>
    <row r="365" spans="2:34" hidden="1">
      <c r="B365" s="4">
        <v>2018</v>
      </c>
      <c r="C365" s="4" t="s">
        <v>44</v>
      </c>
      <c r="D365" s="3">
        <f t="shared" si="5"/>
        <v>110</v>
      </c>
      <c r="E365" s="3" t="s">
        <v>886</v>
      </c>
      <c r="G365" s="5" t="s">
        <v>937</v>
      </c>
      <c r="H365" s="5"/>
      <c r="I365" s="5" t="s">
        <v>129</v>
      </c>
      <c r="J365" s="7">
        <v>0</v>
      </c>
      <c r="M365" s="8">
        <v>0</v>
      </c>
      <c r="N365" s="7">
        <v>0</v>
      </c>
      <c r="P365" s="7">
        <v>12185</v>
      </c>
      <c r="Q365" s="7">
        <v>12185</v>
      </c>
      <c r="R365" s="5">
        <f>VLOOKUP($G365,Others!$E$260:$I$596,2,FALSE)</f>
        <v>0</v>
      </c>
      <c r="S365" s="5" t="str">
        <f>VLOOKUP($G365,Others!$E$260:$I$596,3,FALSE)</f>
        <v>Live Action</v>
      </c>
      <c r="T365" s="5">
        <f>VLOOKUP($G365,Others!$E$260:$I$596,4,FALSE)</f>
        <v>0</v>
      </c>
      <c r="U365" s="5" t="str">
        <f>IFERROR(VLOOKUP($G365,Ratings!$E$81:$I$111,5,FALSE),"None")</f>
        <v>None</v>
      </c>
      <c r="V365" s="5"/>
      <c r="X365" s="5"/>
      <c r="Y365" s="5"/>
      <c r="Z365" s="5"/>
      <c r="AA365" s="5"/>
      <c r="AB365" s="5"/>
      <c r="AC365" s="5"/>
      <c r="AG365" s="9"/>
      <c r="AH365" s="9"/>
    </row>
    <row r="366" spans="2:34" hidden="1">
      <c r="B366" s="4">
        <v>2018</v>
      </c>
      <c r="C366" s="4" t="s">
        <v>44</v>
      </c>
      <c r="D366" s="3">
        <f t="shared" si="5"/>
        <v>111</v>
      </c>
      <c r="E366" s="3" t="s">
        <v>886</v>
      </c>
      <c r="G366" s="5" t="s">
        <v>278</v>
      </c>
      <c r="H366" s="5"/>
      <c r="I366" s="5" t="s">
        <v>154</v>
      </c>
      <c r="J366" s="7">
        <v>0</v>
      </c>
      <c r="M366" s="8">
        <v>0</v>
      </c>
      <c r="N366" s="7">
        <v>0</v>
      </c>
      <c r="P366" s="7">
        <v>435861</v>
      </c>
      <c r="Q366" s="7">
        <v>435861</v>
      </c>
      <c r="R366" s="5">
        <f>VLOOKUP($G366,Others!$E$260:$I$596,2,FALSE)</f>
        <v>0</v>
      </c>
      <c r="S366" s="5" t="str">
        <f>VLOOKUP($G366,Others!$E$260:$I$596,3,FALSE)</f>
        <v>Live Action</v>
      </c>
      <c r="T366" s="5" t="str">
        <f>VLOOKUP($G366,Others!$E$260:$I$596,4,FALSE)</f>
        <v>Contemporary Fiction</v>
      </c>
      <c r="U366" s="5" t="str">
        <f>IFERROR(VLOOKUP($G366,Ratings!$E$81:$I$111,5,FALSE),"None")</f>
        <v>None</v>
      </c>
      <c r="V366" s="5"/>
      <c r="X366" s="5"/>
      <c r="Y366" s="5"/>
      <c r="Z366" s="5"/>
      <c r="AA366" s="5"/>
      <c r="AB366" s="5"/>
      <c r="AC366" s="5"/>
      <c r="AG366" s="9"/>
      <c r="AH366" s="9"/>
    </row>
    <row r="367" spans="2:34" hidden="1">
      <c r="B367" s="4">
        <v>2018</v>
      </c>
      <c r="C367" s="4" t="s">
        <v>44</v>
      </c>
      <c r="D367" s="3">
        <f t="shared" si="5"/>
        <v>112</v>
      </c>
      <c r="E367" s="3" t="s">
        <v>886</v>
      </c>
      <c r="G367" s="5" t="s">
        <v>541</v>
      </c>
      <c r="H367" s="5"/>
      <c r="I367" s="5" t="s">
        <v>148</v>
      </c>
      <c r="J367" s="7">
        <v>0</v>
      </c>
      <c r="M367" s="8">
        <v>0</v>
      </c>
      <c r="N367" s="7">
        <v>0</v>
      </c>
      <c r="P367" s="7">
        <v>12751</v>
      </c>
      <c r="Q367" s="7">
        <v>12751</v>
      </c>
      <c r="R367" s="5">
        <f>VLOOKUP($G367,Others!$E$260:$I$596,2,FALSE)</f>
        <v>0</v>
      </c>
      <c r="S367" s="5" t="str">
        <f>VLOOKUP($G367,Others!$E$260:$I$596,3,FALSE)</f>
        <v>Live Action</v>
      </c>
      <c r="T367" s="5" t="str">
        <f>VLOOKUP($G367,Others!$E$260:$I$596,4,FALSE)</f>
        <v>Contemporary Fiction</v>
      </c>
      <c r="U367" s="5" t="str">
        <f>IFERROR(VLOOKUP($G367,Ratings!$E$81:$I$111,5,FALSE),"None")</f>
        <v>None</v>
      </c>
      <c r="V367" s="5"/>
      <c r="X367" s="5"/>
      <c r="Y367" s="5"/>
      <c r="Z367" s="5"/>
      <c r="AA367" s="5"/>
      <c r="AB367" s="5"/>
      <c r="AC367" s="5"/>
      <c r="AG367" s="9"/>
      <c r="AH367" s="9"/>
    </row>
    <row r="368" spans="2:34" hidden="1">
      <c r="B368" s="4">
        <v>2018</v>
      </c>
      <c r="C368" s="4" t="s">
        <v>44</v>
      </c>
      <c r="D368" s="3">
        <f t="shared" si="5"/>
        <v>113</v>
      </c>
      <c r="E368" s="3" t="s">
        <v>886</v>
      </c>
      <c r="G368" s="5" t="s">
        <v>398</v>
      </c>
      <c r="H368" s="5"/>
      <c r="I368" s="5" t="s">
        <v>131</v>
      </c>
      <c r="J368" s="7">
        <v>0</v>
      </c>
      <c r="M368" s="8">
        <v>0</v>
      </c>
      <c r="N368" s="7">
        <v>0</v>
      </c>
      <c r="P368" s="7">
        <v>12104346</v>
      </c>
      <c r="Q368" s="7">
        <v>12104346</v>
      </c>
      <c r="R368" s="5" t="str">
        <f>VLOOKUP($G368,Others!$E$260:$I$596,2,FALSE)</f>
        <v>Based on Comic/Graphic Novel</v>
      </c>
      <c r="S368" s="5" t="str">
        <f>VLOOKUP($G368,Others!$E$260:$I$596,3,FALSE)</f>
        <v>Digital Animation</v>
      </c>
      <c r="T368" s="5" t="str">
        <f>VLOOKUP($G368,Others!$E$260:$I$596,4,FALSE)</f>
        <v>Contemporary Fiction</v>
      </c>
      <c r="U368" s="5" t="str">
        <f>IFERROR(VLOOKUP($G368,Ratings!$E$81:$I$111,5,FALSE),"None")</f>
        <v>None</v>
      </c>
      <c r="V368" s="5"/>
      <c r="X368" s="5"/>
      <c r="Y368" s="5"/>
      <c r="Z368" s="5"/>
      <c r="AA368" s="5"/>
      <c r="AB368" s="5"/>
      <c r="AC368" s="5"/>
      <c r="AG368" s="9"/>
      <c r="AH368" s="9"/>
    </row>
    <row r="369" spans="1:34" hidden="1">
      <c r="B369" s="4">
        <v>2018</v>
      </c>
      <c r="C369" s="4" t="s">
        <v>44</v>
      </c>
      <c r="D369" s="3">
        <f t="shared" si="5"/>
        <v>114</v>
      </c>
      <c r="E369" s="3" t="s">
        <v>886</v>
      </c>
      <c r="G369" s="5" t="s">
        <v>938</v>
      </c>
      <c r="H369" s="5"/>
      <c r="I369" s="5" t="s">
        <v>154</v>
      </c>
      <c r="J369" s="7">
        <v>0</v>
      </c>
      <c r="M369" s="8">
        <v>0</v>
      </c>
      <c r="N369" s="7">
        <v>0</v>
      </c>
      <c r="P369" s="7">
        <v>128296</v>
      </c>
      <c r="Q369" s="7">
        <v>128296</v>
      </c>
      <c r="R369" s="5">
        <f>VLOOKUP($G369,Others!$E$260:$I$596,2,FALSE)</f>
        <v>0</v>
      </c>
      <c r="S369" s="5" t="str">
        <f>VLOOKUP($G369,Others!$E$260:$I$596,3,FALSE)</f>
        <v>Live Action</v>
      </c>
      <c r="T369" s="5">
        <f>VLOOKUP($G369,Others!$E$260:$I$596,4,FALSE)</f>
        <v>0</v>
      </c>
      <c r="U369" s="5" t="str">
        <f>IFERROR(VLOOKUP($G369,Ratings!$E$81:$I$111,5,FALSE),"None")</f>
        <v>None</v>
      </c>
      <c r="V369" s="5"/>
      <c r="X369" s="5"/>
      <c r="Y369" s="5"/>
      <c r="Z369" s="5"/>
      <c r="AA369" s="5"/>
      <c r="AB369" s="5"/>
      <c r="AC369" s="5"/>
      <c r="AG369" s="9"/>
      <c r="AH369" s="9"/>
    </row>
    <row r="370" spans="1:34" hidden="1">
      <c r="B370" s="4">
        <v>2018</v>
      </c>
      <c r="C370" s="4" t="s">
        <v>44</v>
      </c>
      <c r="D370" s="3">
        <f t="shared" si="5"/>
        <v>115</v>
      </c>
      <c r="E370" s="3" t="s">
        <v>886</v>
      </c>
      <c r="G370" s="5" t="s">
        <v>939</v>
      </c>
      <c r="H370" s="5"/>
      <c r="J370" s="7">
        <v>0</v>
      </c>
      <c r="M370" s="8">
        <v>0</v>
      </c>
      <c r="N370" s="7">
        <v>0</v>
      </c>
      <c r="P370" s="7">
        <v>114006</v>
      </c>
      <c r="Q370" s="7">
        <v>114006</v>
      </c>
      <c r="R370" s="5">
        <f>VLOOKUP($G370,Others!$E$260:$I$596,2,FALSE)</f>
        <v>0</v>
      </c>
      <c r="S370" s="5" t="str">
        <f>VLOOKUP($G370,Others!$E$260:$I$596,3,FALSE)</f>
        <v>Digital Animation</v>
      </c>
      <c r="T370" s="5">
        <f>VLOOKUP($G370,Others!$E$260:$I$596,4,FALSE)</f>
        <v>0</v>
      </c>
      <c r="U370" s="5" t="str">
        <f>IFERROR(VLOOKUP($G370,Ratings!$E$81:$I$111,5,FALSE),"None")</f>
        <v>None</v>
      </c>
      <c r="V370" s="5"/>
      <c r="X370" s="5"/>
      <c r="Y370" s="5"/>
      <c r="Z370" s="5"/>
      <c r="AA370" s="5"/>
      <c r="AB370" s="5"/>
      <c r="AC370" s="5"/>
      <c r="AG370" s="9"/>
      <c r="AH370" s="9"/>
    </row>
    <row r="371" spans="1:34" hidden="1">
      <c r="B371" s="4">
        <v>2018</v>
      </c>
      <c r="C371" s="4" t="s">
        <v>44</v>
      </c>
      <c r="D371" s="3">
        <f t="shared" si="5"/>
        <v>116</v>
      </c>
      <c r="E371" s="3" t="s">
        <v>886</v>
      </c>
      <c r="G371" s="5" t="s">
        <v>485</v>
      </c>
      <c r="H371" s="5"/>
      <c r="I371" s="5" t="s">
        <v>154</v>
      </c>
      <c r="J371" s="7">
        <v>0</v>
      </c>
      <c r="M371" s="8">
        <v>0</v>
      </c>
      <c r="N371" s="7">
        <v>0</v>
      </c>
      <c r="P371" s="7">
        <v>287293</v>
      </c>
      <c r="Q371" s="7">
        <v>287293</v>
      </c>
      <c r="R371" s="5">
        <f>VLOOKUP($G371,Others!$E$260:$I$596,2,FALSE)</f>
        <v>0</v>
      </c>
      <c r="S371" s="5" t="str">
        <f>VLOOKUP($G371,Others!$E$260:$I$596,3,FALSE)</f>
        <v>Live Action</v>
      </c>
      <c r="T371" s="5">
        <f>VLOOKUP($G371,Others!$E$260:$I$596,4,FALSE)</f>
        <v>0</v>
      </c>
      <c r="U371" s="5" t="str">
        <f>IFERROR(VLOOKUP($G371,Ratings!$E$81:$I$111,5,FALSE),"None")</f>
        <v>None</v>
      </c>
      <c r="V371" s="5"/>
      <c r="X371" s="5"/>
      <c r="Y371" s="5"/>
      <c r="Z371" s="5"/>
      <c r="AA371" s="5"/>
      <c r="AB371" s="5"/>
      <c r="AC371" s="5"/>
      <c r="AG371" s="9"/>
      <c r="AH371" s="9"/>
    </row>
    <row r="372" spans="1:34" hidden="1">
      <c r="B372" s="4">
        <v>2018</v>
      </c>
      <c r="C372" s="4" t="s">
        <v>44</v>
      </c>
      <c r="D372" s="3">
        <f t="shared" si="5"/>
        <v>117</v>
      </c>
      <c r="E372" s="3" t="s">
        <v>886</v>
      </c>
      <c r="G372" s="5" t="s">
        <v>940</v>
      </c>
      <c r="H372" s="5"/>
      <c r="I372" s="5" t="s">
        <v>131</v>
      </c>
      <c r="J372" s="7">
        <v>0</v>
      </c>
      <c r="M372" s="8">
        <v>0</v>
      </c>
      <c r="N372" s="7">
        <v>0</v>
      </c>
      <c r="P372" s="7">
        <v>640000</v>
      </c>
      <c r="Q372" s="7">
        <v>640000</v>
      </c>
      <c r="R372" s="5" t="str">
        <f>VLOOKUP($G372,Others!$E$260:$I$596,2,FALSE)</f>
        <v>Original Screenplay</v>
      </c>
      <c r="S372" s="5" t="str">
        <f>VLOOKUP($G372,Others!$E$260:$I$596,3,FALSE)</f>
        <v>Live Action</v>
      </c>
      <c r="T372" s="5">
        <f>VLOOKUP($G372,Others!$E$260:$I$596,4,FALSE)</f>
        <v>0</v>
      </c>
      <c r="U372" s="5" t="str">
        <f>IFERROR(VLOOKUP($G372,Ratings!$E$81:$I$111,5,FALSE),"None")</f>
        <v>None</v>
      </c>
      <c r="V372" s="5"/>
      <c r="X372" s="5"/>
      <c r="Y372" s="5"/>
      <c r="Z372" s="5"/>
      <c r="AA372" s="5"/>
      <c r="AB372" s="5"/>
      <c r="AC372" s="5"/>
      <c r="AG372" s="9"/>
      <c r="AH372" s="9"/>
    </row>
    <row r="373" spans="1:34" s="2" customFormat="1" hidden="1">
      <c r="A373" s="3"/>
      <c r="B373" s="4">
        <v>2018</v>
      </c>
      <c r="C373" s="4" t="s">
        <v>44</v>
      </c>
      <c r="D373" s="3">
        <f t="shared" si="5"/>
        <v>118</v>
      </c>
      <c r="E373" s="16" t="s">
        <v>886</v>
      </c>
      <c r="F373" s="16"/>
      <c r="G373" s="18" t="s">
        <v>941</v>
      </c>
      <c r="H373" s="5"/>
      <c r="I373" s="18" t="s">
        <v>127</v>
      </c>
      <c r="J373" s="19">
        <v>0</v>
      </c>
      <c r="K373" s="19"/>
      <c r="L373" s="19"/>
      <c r="M373" s="23">
        <v>0</v>
      </c>
      <c r="N373" s="19">
        <v>0</v>
      </c>
      <c r="O373" s="19"/>
      <c r="P373" s="19">
        <v>5484138</v>
      </c>
      <c r="Q373" s="19">
        <v>5484138</v>
      </c>
      <c r="R373" s="5" t="str">
        <f>VLOOKUP($G373,Others!$E$260:$I$596,2,FALSE)</f>
        <v>Based on Fiction Book/Short Story</v>
      </c>
      <c r="S373" s="5" t="str">
        <f>VLOOKUP($G373,Others!$E$260:$I$596,3,FALSE)</f>
        <v>Digital Animation</v>
      </c>
      <c r="T373" s="5" t="str">
        <f>VLOOKUP($G373,Others!$E$260:$I$596,4,FALSE)</f>
        <v>Kids Fiction</v>
      </c>
      <c r="U373" s="5" t="str">
        <f>IFERROR(VLOOKUP($G373,Ratings!$E$81:$I$111,5,FALSE),"None")</f>
        <v>None</v>
      </c>
      <c r="V373" s="5"/>
      <c r="W373" s="5"/>
      <c r="X373" s="5"/>
      <c r="Y373" s="5"/>
      <c r="Z373" s="5"/>
      <c r="AA373" s="5"/>
      <c r="AB373" s="5"/>
      <c r="AC373" s="5"/>
    </row>
    <row r="374" spans="1:34" hidden="1">
      <c r="B374" s="4">
        <v>2018</v>
      </c>
      <c r="C374" s="4" t="s">
        <v>44</v>
      </c>
      <c r="D374" s="3">
        <f t="shared" si="5"/>
        <v>119</v>
      </c>
      <c r="E374" s="3" t="s">
        <v>886</v>
      </c>
      <c r="G374" s="5" t="s">
        <v>942</v>
      </c>
      <c r="H374" s="5"/>
      <c r="I374" s="5" t="s">
        <v>131</v>
      </c>
      <c r="J374" s="7">
        <v>0</v>
      </c>
      <c r="M374" s="8">
        <v>0</v>
      </c>
      <c r="N374" s="7">
        <v>0</v>
      </c>
      <c r="P374" s="7">
        <v>41259</v>
      </c>
      <c r="Q374" s="7">
        <v>41259</v>
      </c>
      <c r="R374" s="5">
        <f>VLOOKUP($G374,Others!$E$260:$I$596,2,FALSE)</f>
        <v>0</v>
      </c>
      <c r="S374" s="5">
        <f>VLOOKUP($G374,Others!$E$260:$I$596,3,FALSE)</f>
        <v>0</v>
      </c>
      <c r="T374" s="5">
        <f>VLOOKUP($G374,Others!$E$260:$I$596,4,FALSE)</f>
        <v>0</v>
      </c>
      <c r="U374" s="5" t="str">
        <f>IFERROR(VLOOKUP($G374,Ratings!$E$81:$I$111,5,FALSE),"None")</f>
        <v>None</v>
      </c>
      <c r="V374" s="5"/>
      <c r="X374" s="5"/>
      <c r="Y374" s="5"/>
      <c r="Z374" s="5"/>
      <c r="AA374" s="5"/>
      <c r="AB374" s="5"/>
      <c r="AC374" s="5"/>
      <c r="AG374" s="9"/>
      <c r="AH374" s="9"/>
    </row>
    <row r="375" spans="1:34" hidden="1">
      <c r="B375" s="4">
        <v>2018</v>
      </c>
      <c r="C375" s="4" t="s">
        <v>44</v>
      </c>
      <c r="D375" s="3">
        <f t="shared" si="5"/>
        <v>120</v>
      </c>
      <c r="E375" s="3" t="s">
        <v>886</v>
      </c>
      <c r="G375" s="5" t="s">
        <v>943</v>
      </c>
      <c r="H375" s="5"/>
      <c r="I375" s="5" t="s">
        <v>193</v>
      </c>
      <c r="J375" s="7">
        <v>0</v>
      </c>
      <c r="M375" s="8">
        <v>0</v>
      </c>
      <c r="N375" s="7">
        <v>0</v>
      </c>
      <c r="P375" s="7">
        <v>145250</v>
      </c>
      <c r="Q375" s="7">
        <v>145250</v>
      </c>
      <c r="R375" s="5">
        <f>VLOOKUP($G375,Others!$E$260:$I$596,2,FALSE)</f>
        <v>0</v>
      </c>
      <c r="S375" s="5">
        <f>VLOOKUP($G375,Others!$E$260:$I$596,3,FALSE)</f>
        <v>0</v>
      </c>
      <c r="T375" s="5">
        <f>VLOOKUP($G375,Others!$E$260:$I$596,4,FALSE)</f>
        <v>0</v>
      </c>
      <c r="U375" s="5" t="str">
        <f>IFERROR(VLOOKUP($G375,Ratings!$E$81:$I$111,5,FALSE),"None")</f>
        <v>None</v>
      </c>
      <c r="V375" s="5"/>
      <c r="X375" s="5"/>
      <c r="Y375" s="5"/>
      <c r="Z375" s="5"/>
      <c r="AA375" s="5"/>
      <c r="AB375" s="5"/>
      <c r="AC375" s="5"/>
      <c r="AG375" s="9"/>
      <c r="AH375" s="9"/>
    </row>
    <row r="376" spans="1:34" hidden="1">
      <c r="B376" s="4">
        <v>2018</v>
      </c>
      <c r="C376" s="4" t="s">
        <v>44</v>
      </c>
      <c r="D376" s="3">
        <f t="shared" si="5"/>
        <v>121</v>
      </c>
      <c r="E376" s="3" t="s">
        <v>886</v>
      </c>
      <c r="G376" s="5" t="s">
        <v>944</v>
      </c>
      <c r="H376" s="5"/>
      <c r="I376" s="5" t="s">
        <v>127</v>
      </c>
      <c r="J376" s="7">
        <v>0</v>
      </c>
      <c r="M376" s="8">
        <v>0</v>
      </c>
      <c r="N376" s="7">
        <v>0</v>
      </c>
      <c r="P376" s="7">
        <v>312295</v>
      </c>
      <c r="Q376" s="7">
        <v>312295</v>
      </c>
      <c r="R376" s="5" t="str">
        <f>VLOOKUP($G376,Others!$E$260:$I$596,2,FALSE)</f>
        <v>Original Screenplay</v>
      </c>
      <c r="S376" s="5" t="str">
        <f>VLOOKUP($G376,Others!$E$260:$I$596,3,FALSE)</f>
        <v>Digital Animation</v>
      </c>
      <c r="T376" s="5" t="str">
        <f>VLOOKUP($G376,Others!$E$260:$I$596,4,FALSE)</f>
        <v>Fantasy</v>
      </c>
      <c r="U376" s="5" t="str">
        <f>IFERROR(VLOOKUP($G376,Ratings!$E$81:$I$111,5,FALSE),"None")</f>
        <v>None</v>
      </c>
      <c r="V376" s="5"/>
      <c r="X376" s="5"/>
      <c r="Y376" s="5"/>
      <c r="Z376" s="5"/>
      <c r="AA376" s="5"/>
      <c r="AB376" s="5"/>
      <c r="AC376" s="5"/>
      <c r="AG376" s="9"/>
      <c r="AH376" s="9"/>
    </row>
    <row r="377" spans="1:34" hidden="1">
      <c r="B377" s="4">
        <v>2018</v>
      </c>
      <c r="C377" s="4" t="s">
        <v>44</v>
      </c>
      <c r="D377" s="3">
        <f t="shared" si="5"/>
        <v>122</v>
      </c>
      <c r="E377" s="3" t="s">
        <v>886</v>
      </c>
      <c r="G377" s="5" t="s">
        <v>945</v>
      </c>
      <c r="H377" s="5"/>
      <c r="I377" s="5" t="s">
        <v>136</v>
      </c>
      <c r="J377" s="7">
        <v>0</v>
      </c>
      <c r="M377" s="8">
        <v>0</v>
      </c>
      <c r="N377" s="7">
        <v>0</v>
      </c>
      <c r="P377" s="7">
        <v>9135</v>
      </c>
      <c r="Q377" s="7">
        <v>9135</v>
      </c>
      <c r="R377" s="5">
        <f>VLOOKUP($G377,Others!$E$260:$I$596,2,FALSE)</f>
        <v>0</v>
      </c>
      <c r="S377" s="5" t="str">
        <f>VLOOKUP($G377,Others!$E$260:$I$596,3,FALSE)</f>
        <v>Live Action</v>
      </c>
      <c r="T377" s="5">
        <f>VLOOKUP($G377,Others!$E$260:$I$596,4,FALSE)</f>
        <v>0</v>
      </c>
      <c r="U377" s="5" t="str">
        <f>IFERROR(VLOOKUP($G377,Ratings!$E$81:$I$111,5,FALSE),"None")</f>
        <v>None</v>
      </c>
      <c r="V377" s="5"/>
      <c r="X377" s="5"/>
      <c r="Y377" s="5"/>
      <c r="Z377" s="5"/>
      <c r="AA377" s="5"/>
      <c r="AB377" s="5"/>
      <c r="AC377" s="5"/>
      <c r="AG377" s="9"/>
      <c r="AH377" s="9"/>
    </row>
    <row r="378" spans="1:34" hidden="1">
      <c r="B378" s="4">
        <v>2018</v>
      </c>
      <c r="C378" s="4" t="s">
        <v>44</v>
      </c>
      <c r="D378" s="3">
        <f t="shared" si="5"/>
        <v>123</v>
      </c>
      <c r="E378" s="3" t="s">
        <v>886</v>
      </c>
      <c r="G378" s="5" t="s">
        <v>946</v>
      </c>
      <c r="H378" s="5"/>
      <c r="J378" s="7">
        <v>0</v>
      </c>
      <c r="M378" s="8">
        <v>0</v>
      </c>
      <c r="N378" s="7">
        <v>0</v>
      </c>
      <c r="P378" s="7">
        <v>1494779</v>
      </c>
      <c r="Q378" s="7">
        <v>1494779</v>
      </c>
      <c r="R378" s="5" t="str">
        <f>VLOOKUP($G378,Others!$E$260:$I$596,2,FALSE)</f>
        <v>Original Screenplay</v>
      </c>
      <c r="S378" s="5" t="str">
        <f>VLOOKUP($G378,Others!$E$260:$I$596,3,FALSE)</f>
        <v>Digital Animation</v>
      </c>
      <c r="T378" s="5">
        <f>VLOOKUP($G378,Others!$E$260:$I$596,4,FALSE)</f>
        <v>0</v>
      </c>
      <c r="U378" s="5" t="str">
        <f>IFERROR(VLOOKUP($G378,Ratings!$E$81:$I$111,5,FALSE),"None")</f>
        <v>None</v>
      </c>
      <c r="V378" s="5"/>
      <c r="X378" s="5"/>
      <c r="Y378" s="5"/>
      <c r="Z378" s="5"/>
      <c r="AA378" s="5"/>
      <c r="AB378" s="5"/>
      <c r="AC378" s="5"/>
      <c r="AG378" s="9"/>
      <c r="AH378" s="9"/>
    </row>
    <row r="379" spans="1:34">
      <c r="B379" s="4">
        <v>2019</v>
      </c>
      <c r="C379" s="4" t="s">
        <v>44</v>
      </c>
      <c r="D379" s="3">
        <f t="shared" si="5"/>
        <v>124</v>
      </c>
      <c r="E379" s="55" t="s">
        <v>886</v>
      </c>
      <c r="F379" s="3" t="s">
        <v>2086</v>
      </c>
      <c r="G379" s="5" t="s">
        <v>257</v>
      </c>
      <c r="H379" s="5" t="s">
        <v>1425</v>
      </c>
      <c r="I379" s="5" t="s">
        <v>193</v>
      </c>
      <c r="J379" s="7">
        <f>0.05*100000000/6.7</f>
        <v>746268.65671641787</v>
      </c>
      <c r="K379" s="57" t="s">
        <v>1411</v>
      </c>
      <c r="L379" s="7">
        <f>0.02*100000000/6.7</f>
        <v>298507.46268656716</v>
      </c>
      <c r="M379" s="41" t="s">
        <v>1501</v>
      </c>
      <c r="N379" s="7">
        <v>283109</v>
      </c>
      <c r="O379" s="7">
        <f>0.05*100000000/6.7</f>
        <v>746268.65671641787</v>
      </c>
      <c r="P379" s="7">
        <v>787747</v>
      </c>
      <c r="Q379" s="7">
        <v>787747</v>
      </c>
      <c r="R379" s="5" t="str">
        <f>VLOOKUP($G379,Others!$E$260:$I$596,2,FALSE)</f>
        <v>Original Screenplay</v>
      </c>
      <c r="S379" s="5" t="str">
        <f>VLOOKUP($G379,Others!$E$260:$I$596,3,FALSE)</f>
        <v>Multiple Production Methods</v>
      </c>
      <c r="T379" s="5" t="str">
        <f>VLOOKUP($G379,Others!$E$260:$I$596,4,FALSE)</f>
        <v>Contemporary Fiction</v>
      </c>
      <c r="U379" s="5" t="str">
        <f>IFERROR(VLOOKUP($G379,Ratings!$E$81:$I$111,5,FALSE),"None")</f>
        <v>None</v>
      </c>
      <c r="V379" s="5" t="s">
        <v>2087</v>
      </c>
      <c r="W379" s="5" t="s">
        <v>2088</v>
      </c>
      <c r="X379" s="5" t="s">
        <v>2089</v>
      </c>
      <c r="Y379" s="5" t="s">
        <v>2090</v>
      </c>
      <c r="Z379" s="5"/>
      <c r="AA379" s="5" t="s">
        <v>2091</v>
      </c>
      <c r="AB379" s="5"/>
      <c r="AC379" s="5" t="s">
        <v>2092</v>
      </c>
      <c r="AD379" s="9">
        <v>4.7</v>
      </c>
      <c r="AE379" s="1" t="s">
        <v>1489</v>
      </c>
      <c r="AG379" s="9"/>
      <c r="AH379" s="9"/>
    </row>
    <row r="380" spans="1:34">
      <c r="B380" s="4">
        <v>2018</v>
      </c>
      <c r="C380" s="4" t="s">
        <v>44</v>
      </c>
      <c r="D380" s="3">
        <f t="shared" si="5"/>
        <v>125</v>
      </c>
      <c r="E380" s="55" t="s">
        <v>886</v>
      </c>
      <c r="F380" s="3" t="s">
        <v>832</v>
      </c>
      <c r="G380" s="5" t="s">
        <v>464</v>
      </c>
      <c r="H380" s="5" t="s">
        <v>1426</v>
      </c>
      <c r="I380" s="5" t="s">
        <v>131</v>
      </c>
      <c r="J380" s="7">
        <f>30000000/6.7</f>
        <v>4477611.940298507</v>
      </c>
      <c r="K380" s="7">
        <f>20000000/6.7</f>
        <v>2985074.6268656715</v>
      </c>
      <c r="L380" s="7">
        <f>1400000/6.7</f>
        <v>208955.22388059701</v>
      </c>
      <c r="M380" s="41" t="s">
        <v>1501</v>
      </c>
      <c r="N380" s="42">
        <v>475952</v>
      </c>
      <c r="O380" s="7">
        <f>3830000/6.7</f>
        <v>571641.7910447761</v>
      </c>
      <c r="P380" s="7">
        <v>625975</v>
      </c>
      <c r="Q380" s="7">
        <v>625975</v>
      </c>
      <c r="R380" s="39" t="s">
        <v>606</v>
      </c>
      <c r="S380" s="5" t="str">
        <f>VLOOKUP($G380,Others!$E$260:$I$596,3,FALSE)</f>
        <v>Live Action</v>
      </c>
      <c r="T380" s="5">
        <f>VLOOKUP($G380,Others!$E$260:$I$596,4,FALSE)</f>
        <v>0</v>
      </c>
      <c r="U380" s="5" t="str">
        <f>IFERROR(VLOOKUP($G380,Ratings!$E$81:$I$111,5,FALSE),"None")</f>
        <v>None</v>
      </c>
      <c r="V380" s="5" t="s">
        <v>2093</v>
      </c>
      <c r="W380" s="5" t="s">
        <v>2094</v>
      </c>
      <c r="X380" s="5" t="s">
        <v>2095</v>
      </c>
      <c r="Y380" s="5"/>
      <c r="Z380" s="5"/>
      <c r="AA380" s="5" t="s">
        <v>2096</v>
      </c>
      <c r="AB380" s="5"/>
      <c r="AC380" s="5" t="s">
        <v>2097</v>
      </c>
      <c r="AD380" s="9">
        <v>7.1</v>
      </c>
      <c r="AE380" s="9" t="s">
        <v>1489</v>
      </c>
      <c r="AG380" s="9"/>
      <c r="AH380" s="9"/>
    </row>
    <row r="381" spans="1:34" hidden="1">
      <c r="B381" s="4">
        <v>2018</v>
      </c>
      <c r="C381" s="4" t="s">
        <v>44</v>
      </c>
      <c r="D381" s="3">
        <f t="shared" si="5"/>
        <v>126</v>
      </c>
      <c r="E381" s="3" t="s">
        <v>886</v>
      </c>
      <c r="G381" s="5" t="s">
        <v>342</v>
      </c>
      <c r="H381" s="5"/>
      <c r="I381" s="5" t="s">
        <v>131</v>
      </c>
      <c r="J381" s="7">
        <v>0</v>
      </c>
      <c r="M381" s="8">
        <v>0</v>
      </c>
      <c r="N381" s="7">
        <v>0</v>
      </c>
      <c r="P381" s="7">
        <v>10608</v>
      </c>
      <c r="Q381" s="7">
        <v>10608</v>
      </c>
      <c r="R381" s="5">
        <f>VLOOKUP($G381,Others!$E$260:$I$596,2,FALSE)</f>
        <v>0</v>
      </c>
      <c r="S381" s="5" t="str">
        <f>VLOOKUP($G381,Others!$E$260:$I$596,3,FALSE)</f>
        <v>Live Action</v>
      </c>
      <c r="T381" s="5" t="str">
        <f>VLOOKUP($G381,Others!$E$260:$I$596,4,FALSE)</f>
        <v>Contemporary Fiction</v>
      </c>
      <c r="U381" s="5" t="str">
        <f>IFERROR(VLOOKUP($G381,Ratings!$E$81:$I$111,5,FALSE),"None")</f>
        <v>None</v>
      </c>
      <c r="V381" s="5"/>
      <c r="X381" s="5"/>
      <c r="Y381" s="5"/>
      <c r="Z381" s="5"/>
      <c r="AA381" s="5"/>
      <c r="AB381" s="5"/>
      <c r="AC381" s="5"/>
      <c r="AG381" s="9"/>
      <c r="AH381" s="9"/>
    </row>
    <row r="382" spans="1:34" hidden="1">
      <c r="B382" s="4">
        <v>2018</v>
      </c>
      <c r="C382" s="4" t="s">
        <v>44</v>
      </c>
      <c r="D382" s="3">
        <f t="shared" si="5"/>
        <v>127</v>
      </c>
      <c r="E382" s="3" t="s">
        <v>886</v>
      </c>
      <c r="G382" s="5" t="s">
        <v>947</v>
      </c>
      <c r="H382" s="5"/>
      <c r="I382" s="5" t="s">
        <v>131</v>
      </c>
      <c r="J382" s="7">
        <v>0</v>
      </c>
      <c r="M382" s="8">
        <v>0</v>
      </c>
      <c r="N382" s="7">
        <v>0</v>
      </c>
      <c r="P382" s="7">
        <v>11386</v>
      </c>
      <c r="Q382" s="7">
        <v>11386</v>
      </c>
      <c r="R382" s="5" t="str">
        <f>VLOOKUP($G382,Others!$E$260:$I$596,2,FALSE)</f>
        <v>Original Screenplay</v>
      </c>
      <c r="S382" s="5" t="str">
        <f>VLOOKUP($G382,Others!$E$260:$I$596,3,FALSE)</f>
        <v>Live Action</v>
      </c>
      <c r="T382" s="5" t="str">
        <f>VLOOKUP($G382,Others!$E$260:$I$596,4,FALSE)</f>
        <v>Kids Fiction</v>
      </c>
      <c r="U382" s="5" t="str">
        <f>IFERROR(VLOOKUP($G382,Ratings!$E$81:$I$111,5,FALSE),"None")</f>
        <v>None</v>
      </c>
      <c r="V382" s="5"/>
      <c r="X382" s="5"/>
      <c r="Y382" s="5"/>
      <c r="Z382" s="5"/>
      <c r="AA382" s="5"/>
      <c r="AB382" s="5"/>
      <c r="AC382" s="5"/>
      <c r="AG382" s="9"/>
      <c r="AH382" s="9"/>
    </row>
    <row r="383" spans="1:34">
      <c r="B383" s="4">
        <v>2019</v>
      </c>
      <c r="C383" s="4" t="s">
        <v>44</v>
      </c>
      <c r="D383" s="3">
        <f t="shared" si="5"/>
        <v>128</v>
      </c>
      <c r="E383" s="55" t="s">
        <v>886</v>
      </c>
      <c r="F383" s="3" t="s">
        <v>621</v>
      </c>
      <c r="G383" s="5" t="s">
        <v>244</v>
      </c>
      <c r="H383" s="39" t="s">
        <v>1501</v>
      </c>
      <c r="I383" s="5" t="s">
        <v>127</v>
      </c>
      <c r="J383" s="7">
        <f>0.1*100000000/6.7</f>
        <v>1492537.3134328357</v>
      </c>
      <c r="K383" s="57" t="s">
        <v>1411</v>
      </c>
      <c r="L383" s="7">
        <f>0.04*100000000/6.7</f>
        <v>597014.92537313432</v>
      </c>
      <c r="M383" s="8">
        <v>13290</v>
      </c>
      <c r="N383" s="7">
        <v>1000000</v>
      </c>
      <c r="O383" s="7">
        <f>0.1*100000000/6.7</f>
        <v>1492537.3134328357</v>
      </c>
      <c r="P383" s="7">
        <v>1456558</v>
      </c>
      <c r="Q383" s="7">
        <v>1456558</v>
      </c>
      <c r="R383" s="5" t="str">
        <f>VLOOKUP($G383,Others!$E$260:$I$596,2,FALSE)</f>
        <v>Original Screenplay</v>
      </c>
      <c r="S383" s="5" t="str">
        <f>VLOOKUP($G383,Others!$E$260:$I$596,3,FALSE)</f>
        <v>Digital Animation</v>
      </c>
      <c r="T383" s="5" t="str">
        <f>VLOOKUP($G383,Others!$E$260:$I$596,4,FALSE)</f>
        <v>Kids Fiction</v>
      </c>
      <c r="U383" s="5" t="str">
        <f>IFERROR(VLOOKUP($G383,Ratings!$E$81:$I$111,5,FALSE),"None")</f>
        <v>None</v>
      </c>
      <c r="V383" s="5" t="s">
        <v>2098</v>
      </c>
      <c r="W383" s="5" t="s">
        <v>244</v>
      </c>
      <c r="X383" s="5" t="s">
        <v>2099</v>
      </c>
      <c r="Y383" s="5"/>
      <c r="Z383" s="5"/>
      <c r="AA383" s="5" t="s">
        <v>2100</v>
      </c>
      <c r="AB383" s="5"/>
      <c r="AC383" s="5" t="s">
        <v>2101</v>
      </c>
      <c r="AD383" s="9">
        <v>7.7</v>
      </c>
      <c r="AE383" s="1" t="s">
        <v>1489</v>
      </c>
      <c r="AG383" s="9"/>
      <c r="AH383" s="9"/>
    </row>
    <row r="384" spans="1:34" hidden="1">
      <c r="B384" s="4">
        <v>2018</v>
      </c>
      <c r="C384" s="4" t="s">
        <v>44</v>
      </c>
      <c r="D384" s="3">
        <f t="shared" si="5"/>
        <v>129</v>
      </c>
      <c r="E384" s="3" t="s">
        <v>886</v>
      </c>
      <c r="G384" s="5" t="s">
        <v>948</v>
      </c>
      <c r="H384" s="5"/>
      <c r="I384" s="5" t="s">
        <v>127</v>
      </c>
      <c r="J384" s="7">
        <v>0</v>
      </c>
      <c r="M384" s="8">
        <v>0</v>
      </c>
      <c r="N384" s="7">
        <v>0</v>
      </c>
      <c r="P384" s="7">
        <v>26102</v>
      </c>
      <c r="Q384" s="7">
        <v>26102</v>
      </c>
      <c r="R384" s="5">
        <f>VLOOKUP($G384,Others!$E$260:$I$596,2,FALSE)</f>
        <v>0</v>
      </c>
      <c r="S384" s="5" t="str">
        <f>VLOOKUP($G384,Others!$E$260:$I$596,3,FALSE)</f>
        <v>Live Action</v>
      </c>
      <c r="T384" s="5">
        <f>VLOOKUP($G384,Others!$E$260:$I$596,4,FALSE)</f>
        <v>0</v>
      </c>
      <c r="U384" s="5" t="str">
        <f>IFERROR(VLOOKUP($G384,Ratings!$E$81:$I$111,5,FALSE),"None")</f>
        <v>None</v>
      </c>
      <c r="V384" s="5"/>
      <c r="X384" s="5"/>
      <c r="Y384" s="5"/>
      <c r="Z384" s="5"/>
      <c r="AA384" s="5"/>
      <c r="AB384" s="5"/>
      <c r="AC384" s="5"/>
      <c r="AG384" s="9"/>
      <c r="AH384" s="9"/>
    </row>
    <row r="385" spans="2:34" hidden="1">
      <c r="B385" s="4">
        <v>2018</v>
      </c>
      <c r="C385" s="4" t="s">
        <v>44</v>
      </c>
      <c r="D385" s="3">
        <f t="shared" si="5"/>
        <v>130</v>
      </c>
      <c r="E385" s="3" t="s">
        <v>886</v>
      </c>
      <c r="G385" s="5" t="s">
        <v>321</v>
      </c>
      <c r="H385" s="5"/>
      <c r="I385" s="5" t="s">
        <v>131</v>
      </c>
      <c r="J385" s="7">
        <v>0</v>
      </c>
      <c r="M385" s="8">
        <v>0</v>
      </c>
      <c r="N385" s="7">
        <v>0</v>
      </c>
      <c r="P385" s="7">
        <v>42815</v>
      </c>
      <c r="Q385" s="7">
        <v>42815</v>
      </c>
      <c r="R385" s="5">
        <f>VLOOKUP($G385,Others!$E$260:$I$596,2,FALSE)</f>
        <v>0</v>
      </c>
      <c r="S385" s="5" t="str">
        <f>VLOOKUP($G385,Others!$E$260:$I$596,3,FALSE)</f>
        <v>Live Action</v>
      </c>
      <c r="T385" s="5">
        <f>VLOOKUP($G385,Others!$E$260:$I$596,4,FALSE)</f>
        <v>0</v>
      </c>
      <c r="U385" s="5" t="str">
        <f>IFERROR(VLOOKUP($G385,Ratings!$E$81:$I$111,5,FALSE),"None")</f>
        <v>None</v>
      </c>
      <c r="V385" s="5"/>
      <c r="X385" s="5"/>
      <c r="Y385" s="5"/>
      <c r="Z385" s="5"/>
      <c r="AA385" s="5"/>
      <c r="AB385" s="5"/>
      <c r="AC385" s="5"/>
      <c r="AG385" s="9"/>
      <c r="AH385" s="9"/>
    </row>
    <row r="386" spans="2:34" hidden="1">
      <c r="B386" s="4">
        <v>2018</v>
      </c>
      <c r="C386" s="4" t="s">
        <v>44</v>
      </c>
      <c r="D386" s="3">
        <f t="shared" ref="D386:D449" si="6">D385+1</f>
        <v>131</v>
      </c>
      <c r="E386" s="3" t="s">
        <v>886</v>
      </c>
      <c r="G386" s="5" t="s">
        <v>396</v>
      </c>
      <c r="H386" s="5"/>
      <c r="I386" s="5" t="s">
        <v>127</v>
      </c>
      <c r="J386" s="7">
        <v>0</v>
      </c>
      <c r="M386" s="8">
        <v>0</v>
      </c>
      <c r="N386" s="7">
        <v>0</v>
      </c>
      <c r="P386" s="7">
        <v>15382225</v>
      </c>
      <c r="Q386" s="7">
        <v>15382225</v>
      </c>
      <c r="R386" s="5" t="str">
        <f>VLOOKUP($G386,Others!$E$260:$I$596,2,FALSE)</f>
        <v>Original Screenplay</v>
      </c>
      <c r="S386" s="5" t="str">
        <f>VLOOKUP($G386,Others!$E$260:$I$596,3,FALSE)</f>
        <v>Digital Animation</v>
      </c>
      <c r="T386" s="5" t="str">
        <f>VLOOKUP($G386,Others!$E$260:$I$596,4,FALSE)</f>
        <v>Kids Fiction</v>
      </c>
      <c r="U386" s="5" t="str">
        <f>IFERROR(VLOOKUP($G386,Ratings!$E$81:$I$111,5,FALSE),"None")</f>
        <v>None</v>
      </c>
      <c r="V386" s="5"/>
      <c r="X386" s="5"/>
      <c r="Y386" s="5"/>
      <c r="Z386" s="5"/>
      <c r="AA386" s="5"/>
      <c r="AB386" s="5"/>
      <c r="AC386" s="5"/>
      <c r="AG386" s="9"/>
      <c r="AH386" s="9"/>
    </row>
    <row r="387" spans="2:34" hidden="1">
      <c r="B387" s="4">
        <v>2018</v>
      </c>
      <c r="C387" s="4" t="s">
        <v>44</v>
      </c>
      <c r="D387" s="3">
        <f t="shared" si="6"/>
        <v>132</v>
      </c>
      <c r="E387" s="3" t="s">
        <v>886</v>
      </c>
      <c r="G387" s="5" t="s">
        <v>949</v>
      </c>
      <c r="H387" s="5"/>
      <c r="I387" s="5" t="s">
        <v>191</v>
      </c>
      <c r="J387" s="7">
        <v>0</v>
      </c>
      <c r="M387" s="8">
        <v>0</v>
      </c>
      <c r="N387" s="7">
        <v>0</v>
      </c>
      <c r="P387" s="7">
        <v>2890000</v>
      </c>
      <c r="Q387" s="7">
        <v>2890000</v>
      </c>
      <c r="R387" s="5">
        <f>VLOOKUP($G387,Others!$E$260:$I$596,2,FALSE)</f>
        <v>0</v>
      </c>
      <c r="S387" s="5">
        <f>VLOOKUP($G387,Others!$E$260:$I$596,3,FALSE)</f>
        <v>0</v>
      </c>
      <c r="T387" s="5" t="str">
        <f>VLOOKUP($G387,Others!$E$260:$I$596,4,FALSE)</f>
        <v>Factual</v>
      </c>
      <c r="U387" s="5" t="str">
        <f>IFERROR(VLOOKUP($G387,Ratings!$E$81:$I$111,5,FALSE),"None")</f>
        <v>None</v>
      </c>
      <c r="V387" s="5"/>
      <c r="X387" s="5"/>
      <c r="Y387" s="5"/>
      <c r="Z387" s="5"/>
      <c r="AA387" s="5"/>
      <c r="AB387" s="5"/>
      <c r="AC387" s="5"/>
      <c r="AG387" s="9"/>
      <c r="AH387" s="9"/>
    </row>
    <row r="388" spans="2:34" hidden="1">
      <c r="B388" s="4">
        <v>2018</v>
      </c>
      <c r="C388" s="4" t="s">
        <v>44</v>
      </c>
      <c r="D388" s="3">
        <f t="shared" si="6"/>
        <v>133</v>
      </c>
      <c r="E388" s="3" t="s">
        <v>886</v>
      </c>
      <c r="G388" s="5" t="s">
        <v>950</v>
      </c>
      <c r="H388" s="5"/>
      <c r="I388" s="5" t="s">
        <v>191</v>
      </c>
      <c r="J388" s="7">
        <v>0</v>
      </c>
      <c r="M388" s="8">
        <v>0</v>
      </c>
      <c r="N388" s="7">
        <v>0</v>
      </c>
      <c r="P388" s="7">
        <v>0</v>
      </c>
      <c r="Q388" s="7">
        <v>0</v>
      </c>
      <c r="R388" s="5" t="str">
        <f>VLOOKUP($G388,Others!$E$260:$I$596,2,FALSE)</f>
        <v>Based on Real Life Events</v>
      </c>
      <c r="S388" s="5" t="str">
        <f>VLOOKUP($G388,Others!$E$260:$I$596,3,FALSE)</f>
        <v>Live Action</v>
      </c>
      <c r="T388" s="5" t="str">
        <f>VLOOKUP($G388,Others!$E$260:$I$596,4,FALSE)</f>
        <v>Factual</v>
      </c>
      <c r="U388" s="5" t="str">
        <f>IFERROR(VLOOKUP($G388,Ratings!$E$81:$I$111,5,FALSE),"None")</f>
        <v>None</v>
      </c>
      <c r="V388" s="5"/>
      <c r="X388" s="5"/>
      <c r="Y388" s="5"/>
      <c r="Z388" s="5"/>
      <c r="AA388" s="5"/>
      <c r="AB388" s="5"/>
      <c r="AC388" s="5"/>
      <c r="AG388" s="9"/>
      <c r="AH388" s="9"/>
    </row>
    <row r="389" spans="2:34" hidden="1">
      <c r="B389" s="4">
        <v>2018</v>
      </c>
      <c r="C389" s="4" t="s">
        <v>44</v>
      </c>
      <c r="D389" s="3">
        <f t="shared" si="6"/>
        <v>134</v>
      </c>
      <c r="E389" s="3" t="s">
        <v>886</v>
      </c>
      <c r="G389" s="5" t="s">
        <v>403</v>
      </c>
      <c r="H389" s="5"/>
      <c r="I389" s="5" t="s">
        <v>136</v>
      </c>
      <c r="J389" s="7">
        <v>0</v>
      </c>
      <c r="M389" s="8">
        <v>0</v>
      </c>
      <c r="N389" s="7">
        <v>0</v>
      </c>
      <c r="P389" s="7">
        <v>11440000</v>
      </c>
      <c r="Q389" s="7">
        <v>11440000</v>
      </c>
      <c r="R389" s="5" t="str">
        <f>VLOOKUP($G389,Others!$E$260:$I$596,2,FALSE)</f>
        <v>Original Screenplay</v>
      </c>
      <c r="S389" s="5" t="str">
        <f>VLOOKUP($G389,Others!$E$260:$I$596,3,FALSE)</f>
        <v>Digital Animation</v>
      </c>
      <c r="T389" s="5" t="str">
        <f>VLOOKUP($G389,Others!$E$260:$I$596,4,FALSE)</f>
        <v>Kids Fiction</v>
      </c>
      <c r="U389" s="5" t="str">
        <f>IFERROR(VLOOKUP($G389,Ratings!$E$81:$I$111,5,FALSE),"None")</f>
        <v>None</v>
      </c>
      <c r="V389" s="5"/>
      <c r="X389" s="5"/>
      <c r="Y389" s="5"/>
      <c r="Z389" s="5"/>
      <c r="AA389" s="5"/>
      <c r="AB389" s="5"/>
      <c r="AC389" s="5"/>
      <c r="AG389" s="9"/>
      <c r="AH389" s="9"/>
    </row>
    <row r="390" spans="2:34" hidden="1">
      <c r="B390" s="4">
        <v>2018</v>
      </c>
      <c r="C390" s="4" t="s">
        <v>44</v>
      </c>
      <c r="D390" s="3">
        <f t="shared" si="6"/>
        <v>135</v>
      </c>
      <c r="E390" s="3" t="s">
        <v>886</v>
      </c>
      <c r="G390" s="5" t="s">
        <v>951</v>
      </c>
      <c r="H390" s="5"/>
      <c r="I390" s="5" t="s">
        <v>127</v>
      </c>
      <c r="J390" s="7">
        <v>0</v>
      </c>
      <c r="M390" s="8">
        <v>0</v>
      </c>
      <c r="N390" s="7">
        <v>0</v>
      </c>
      <c r="P390" s="7">
        <v>220000</v>
      </c>
      <c r="Q390" s="7">
        <v>220000</v>
      </c>
      <c r="R390" s="5" t="str">
        <f>VLOOKUP($G390,Others!$E$260:$I$596,2,FALSE)</f>
        <v>Original Screenplay</v>
      </c>
      <c r="S390" s="5" t="str">
        <f>VLOOKUP($G390,Others!$E$260:$I$596,3,FALSE)</f>
        <v>Live Action</v>
      </c>
      <c r="T390" s="5" t="str">
        <f>VLOOKUP($G390,Others!$E$260:$I$596,4,FALSE)</f>
        <v>Contemporary Fiction</v>
      </c>
      <c r="U390" s="5" t="str">
        <f>IFERROR(VLOOKUP($G390,Ratings!$E$81:$I$111,5,FALSE),"None")</f>
        <v>None</v>
      </c>
      <c r="V390" s="5"/>
      <c r="X390" s="5"/>
      <c r="Y390" s="5"/>
      <c r="Z390" s="5"/>
      <c r="AA390" s="5"/>
      <c r="AB390" s="5"/>
      <c r="AC390" s="5"/>
      <c r="AG390" s="9"/>
      <c r="AH390" s="9"/>
    </row>
    <row r="391" spans="2:34" hidden="1">
      <c r="B391" s="4">
        <v>2018</v>
      </c>
      <c r="C391" s="4" t="s">
        <v>44</v>
      </c>
      <c r="D391" s="3">
        <f t="shared" si="6"/>
        <v>136</v>
      </c>
      <c r="E391" s="3" t="s">
        <v>886</v>
      </c>
      <c r="G391" s="5" t="s">
        <v>954</v>
      </c>
      <c r="H391" s="5"/>
      <c r="I391" s="5" t="s">
        <v>131</v>
      </c>
      <c r="J391" s="7">
        <v>0</v>
      </c>
      <c r="M391" s="8">
        <v>0</v>
      </c>
      <c r="N391" s="7">
        <v>0</v>
      </c>
      <c r="P391" s="7">
        <v>210000</v>
      </c>
      <c r="Q391" s="7">
        <v>210000</v>
      </c>
      <c r="R391" s="5">
        <f>VLOOKUP($G391,Others!$E$260:$I$596,2,FALSE)</f>
        <v>0</v>
      </c>
      <c r="S391" s="5" t="str">
        <f>VLOOKUP($G391,Others!$E$260:$I$596,3,FALSE)</f>
        <v>Live Action</v>
      </c>
      <c r="T391" s="5" t="str">
        <f>VLOOKUP($G391,Others!$E$260:$I$596,4,FALSE)</f>
        <v>Contemporary Fiction</v>
      </c>
      <c r="U391" s="5" t="str">
        <f>IFERROR(VLOOKUP($G391,Ratings!$E$81:$I$111,5,FALSE),"None")</f>
        <v>None</v>
      </c>
      <c r="V391" s="5"/>
      <c r="X391" s="5"/>
      <c r="Y391" s="5"/>
      <c r="Z391" s="5"/>
      <c r="AA391" s="5"/>
      <c r="AB391" s="5"/>
      <c r="AC391" s="5"/>
      <c r="AG391" s="9"/>
      <c r="AH391" s="9"/>
    </row>
    <row r="392" spans="2:34" hidden="1">
      <c r="B392" s="4">
        <v>2018</v>
      </c>
      <c r="C392" s="4" t="s">
        <v>44</v>
      </c>
      <c r="D392" s="3">
        <f t="shared" si="6"/>
        <v>137</v>
      </c>
      <c r="E392" s="3" t="s">
        <v>886</v>
      </c>
      <c r="G392" s="5" t="s">
        <v>955</v>
      </c>
      <c r="H392" s="5"/>
      <c r="I392" s="5" t="s">
        <v>131</v>
      </c>
      <c r="J392" s="7">
        <v>0</v>
      </c>
      <c r="M392" s="8">
        <v>0</v>
      </c>
      <c r="N392" s="7">
        <v>0</v>
      </c>
      <c r="P392" s="7">
        <v>29637</v>
      </c>
      <c r="Q392" s="7">
        <v>29637</v>
      </c>
      <c r="R392" s="5">
        <f>VLOOKUP($G392,Others!$E$260:$I$596,2,FALSE)</f>
        <v>0</v>
      </c>
      <c r="S392" s="5" t="str">
        <f>VLOOKUP($G392,Others!$E$260:$I$596,3,FALSE)</f>
        <v>Live Action</v>
      </c>
      <c r="T392" s="5">
        <f>VLOOKUP($G392,Others!$E$260:$I$596,4,FALSE)</f>
        <v>0</v>
      </c>
      <c r="U392" s="5" t="str">
        <f>IFERROR(VLOOKUP($G392,Ratings!$E$81:$I$111,5,FALSE),"None")</f>
        <v>None</v>
      </c>
      <c r="V392" s="5"/>
      <c r="X392" s="5"/>
      <c r="Y392" s="5"/>
      <c r="Z392" s="5"/>
      <c r="AA392" s="5"/>
      <c r="AB392" s="5"/>
      <c r="AC392" s="5"/>
      <c r="AG392" s="9"/>
      <c r="AH392" s="9"/>
    </row>
    <row r="393" spans="2:34" hidden="1">
      <c r="B393" s="4">
        <v>2018</v>
      </c>
      <c r="C393" s="4" t="s">
        <v>44</v>
      </c>
      <c r="D393" s="3">
        <f t="shared" si="6"/>
        <v>138</v>
      </c>
      <c r="E393" s="3" t="s">
        <v>886</v>
      </c>
      <c r="G393" s="5" t="s">
        <v>956</v>
      </c>
      <c r="H393" s="5"/>
      <c r="J393" s="7">
        <v>0</v>
      </c>
      <c r="M393" s="8">
        <v>0</v>
      </c>
      <c r="N393" s="7">
        <v>0</v>
      </c>
      <c r="P393" s="7">
        <v>779255</v>
      </c>
      <c r="Q393" s="7">
        <v>779255</v>
      </c>
      <c r="R393" s="5" t="str">
        <f>VLOOKUP($G393,Others!$E$260:$I$596,2,FALSE)</f>
        <v>Original Screenplay</v>
      </c>
      <c r="S393" s="5" t="str">
        <f>VLOOKUP($G393,Others!$E$260:$I$596,3,FALSE)</f>
        <v>Digital Animation</v>
      </c>
      <c r="T393" s="5">
        <f>VLOOKUP($G393,Others!$E$260:$I$596,4,FALSE)</f>
        <v>0</v>
      </c>
      <c r="U393" s="5" t="str">
        <f>IFERROR(VLOOKUP($G393,Ratings!$E$81:$I$111,5,FALSE),"None")</f>
        <v>None</v>
      </c>
      <c r="V393" s="5"/>
      <c r="X393" s="5"/>
      <c r="Y393" s="5"/>
      <c r="Z393" s="5"/>
      <c r="AA393" s="5"/>
      <c r="AB393" s="5"/>
      <c r="AC393" s="5"/>
      <c r="AG393" s="9"/>
      <c r="AH393" s="9"/>
    </row>
    <row r="394" spans="2:34" hidden="1">
      <c r="B394" s="4">
        <v>2018</v>
      </c>
      <c r="C394" s="4" t="s">
        <v>44</v>
      </c>
      <c r="D394" s="3">
        <f t="shared" si="6"/>
        <v>139</v>
      </c>
      <c r="E394" s="3" t="s">
        <v>886</v>
      </c>
      <c r="G394" s="5" t="s">
        <v>957</v>
      </c>
      <c r="H394" s="5"/>
      <c r="I394" s="5" t="s">
        <v>127</v>
      </c>
      <c r="J394" s="7">
        <v>0</v>
      </c>
      <c r="M394" s="8">
        <v>0</v>
      </c>
      <c r="N394" s="7">
        <v>0</v>
      </c>
      <c r="P394" s="7">
        <v>9484078</v>
      </c>
      <c r="Q394" s="7">
        <v>9484078</v>
      </c>
      <c r="R394" s="5" t="str">
        <f>VLOOKUP($G394,Others!$E$260:$I$596,2,FALSE)</f>
        <v>Based on Fiction Book/Short Story</v>
      </c>
      <c r="S394" s="5" t="str">
        <f>VLOOKUP($G394,Others!$E$260:$I$596,3,FALSE)</f>
        <v>Digital Animation</v>
      </c>
      <c r="T394" s="5" t="str">
        <f>VLOOKUP($G394,Others!$E$260:$I$596,4,FALSE)</f>
        <v>Kids Fiction</v>
      </c>
      <c r="U394" s="5" t="str">
        <f>IFERROR(VLOOKUP($G394,Ratings!$E$81:$I$111,5,FALSE),"None")</f>
        <v>None</v>
      </c>
      <c r="V394" s="5"/>
      <c r="X394" s="5"/>
      <c r="Y394" s="5"/>
      <c r="Z394" s="5"/>
      <c r="AA394" s="5"/>
      <c r="AB394" s="5"/>
      <c r="AC394" s="5"/>
      <c r="AG394" s="9"/>
      <c r="AH394" s="9"/>
    </row>
    <row r="395" spans="2:34" hidden="1">
      <c r="B395" s="4">
        <v>2018</v>
      </c>
      <c r="C395" s="4" t="s">
        <v>44</v>
      </c>
      <c r="D395" s="3">
        <f t="shared" si="6"/>
        <v>140</v>
      </c>
      <c r="E395" s="3" t="s">
        <v>886</v>
      </c>
      <c r="G395" s="5" t="s">
        <v>472</v>
      </c>
      <c r="H395" s="5"/>
      <c r="I395" s="5" t="s">
        <v>193</v>
      </c>
      <c r="J395" s="7">
        <v>0</v>
      </c>
      <c r="M395" s="8">
        <v>0</v>
      </c>
      <c r="N395" s="7">
        <v>0</v>
      </c>
      <c r="P395" s="7">
        <v>475322</v>
      </c>
      <c r="Q395" s="7">
        <v>475322</v>
      </c>
      <c r="R395" s="5">
        <f>VLOOKUP($G395,Others!$E$260:$I$596,2,FALSE)</f>
        <v>0</v>
      </c>
      <c r="S395" s="5" t="str">
        <f>VLOOKUP($G395,Others!$E$260:$I$596,3,FALSE)</f>
        <v>Live Action</v>
      </c>
      <c r="T395" s="5" t="str">
        <f>VLOOKUP($G395,Others!$E$260:$I$596,4,FALSE)</f>
        <v>Contemporary Fiction</v>
      </c>
      <c r="U395" s="5" t="str">
        <f>IFERROR(VLOOKUP($G395,Ratings!$E$81:$I$111,5,FALSE),"None")</f>
        <v>None</v>
      </c>
      <c r="V395" s="5"/>
      <c r="X395" s="5"/>
      <c r="Y395" s="5"/>
      <c r="Z395" s="5"/>
      <c r="AA395" s="5"/>
      <c r="AB395" s="5"/>
      <c r="AC395" s="5"/>
      <c r="AG395" s="9"/>
      <c r="AH395" s="9"/>
    </row>
    <row r="396" spans="2:34" hidden="1">
      <c r="B396" s="4">
        <v>2018</v>
      </c>
      <c r="C396" s="4" t="s">
        <v>44</v>
      </c>
      <c r="D396" s="3">
        <f t="shared" si="6"/>
        <v>141</v>
      </c>
      <c r="E396" s="3" t="s">
        <v>886</v>
      </c>
      <c r="G396" s="5" t="s">
        <v>958</v>
      </c>
      <c r="H396" s="5"/>
      <c r="I396" s="5" t="s">
        <v>131</v>
      </c>
      <c r="J396" s="7">
        <v>0</v>
      </c>
      <c r="M396" s="8">
        <v>0</v>
      </c>
      <c r="N396" s="7">
        <v>0</v>
      </c>
      <c r="P396" s="7">
        <v>4984</v>
      </c>
      <c r="Q396" s="7">
        <v>4984</v>
      </c>
      <c r="R396" s="5">
        <f>VLOOKUP($G396,Others!$E$260:$I$596,2,FALSE)</f>
        <v>0</v>
      </c>
      <c r="S396" s="5" t="str">
        <f>VLOOKUP($G396,Others!$E$260:$I$596,3,FALSE)</f>
        <v>Live Action</v>
      </c>
      <c r="T396" s="5">
        <f>VLOOKUP($G396,Others!$E$260:$I$596,4,FALSE)</f>
        <v>0</v>
      </c>
      <c r="U396" s="5" t="str">
        <f>IFERROR(VLOOKUP($G396,Ratings!$E$81:$I$111,5,FALSE),"None")</f>
        <v>None</v>
      </c>
      <c r="V396" s="5"/>
      <c r="X396" s="5"/>
      <c r="Y396" s="5"/>
      <c r="Z396" s="5"/>
      <c r="AA396" s="5"/>
      <c r="AB396" s="5"/>
      <c r="AC396" s="5"/>
      <c r="AG396" s="9"/>
      <c r="AH396" s="9"/>
    </row>
    <row r="397" spans="2:34" hidden="1">
      <c r="B397" s="4">
        <v>2018</v>
      </c>
      <c r="C397" s="4" t="s">
        <v>44</v>
      </c>
      <c r="D397" s="3">
        <f t="shared" si="6"/>
        <v>142</v>
      </c>
      <c r="E397" s="3" t="s">
        <v>886</v>
      </c>
      <c r="G397" s="5" t="s">
        <v>478</v>
      </c>
      <c r="H397" s="5"/>
      <c r="I397" s="5" t="s">
        <v>193</v>
      </c>
      <c r="J397" s="7">
        <v>0</v>
      </c>
      <c r="M397" s="8">
        <v>0</v>
      </c>
      <c r="N397" s="7">
        <v>0</v>
      </c>
      <c r="P397" s="7">
        <v>367754</v>
      </c>
      <c r="Q397" s="7">
        <v>367754</v>
      </c>
      <c r="R397" s="5" t="str">
        <f>VLOOKUP($G397,Others!$E$260:$I$596,2,FALSE)</f>
        <v>Original Screenplay</v>
      </c>
      <c r="S397" s="5" t="str">
        <f>VLOOKUP($G397,Others!$E$260:$I$596,3,FALSE)</f>
        <v>Live Action</v>
      </c>
      <c r="T397" s="5" t="str">
        <f>VLOOKUP($G397,Others!$E$260:$I$596,4,FALSE)</f>
        <v>Contemporary Fiction</v>
      </c>
      <c r="U397" s="5" t="str">
        <f>IFERROR(VLOOKUP($G397,Ratings!$E$81:$I$111,5,FALSE),"None")</f>
        <v>None</v>
      </c>
      <c r="V397" s="5"/>
      <c r="X397" s="5"/>
      <c r="Y397" s="5"/>
      <c r="Z397" s="5"/>
      <c r="AA397" s="5"/>
      <c r="AB397" s="5"/>
      <c r="AC397" s="5"/>
      <c r="AG397" s="9"/>
      <c r="AH397" s="9"/>
    </row>
    <row r="398" spans="2:34" hidden="1">
      <c r="B398" s="4">
        <v>2018</v>
      </c>
      <c r="C398" s="4" t="s">
        <v>44</v>
      </c>
      <c r="D398" s="3">
        <f t="shared" si="6"/>
        <v>143</v>
      </c>
      <c r="E398" s="3" t="s">
        <v>886</v>
      </c>
      <c r="G398" s="5" t="s">
        <v>291</v>
      </c>
      <c r="H398" s="5"/>
      <c r="I398" s="5" t="s">
        <v>148</v>
      </c>
      <c r="J398" s="7">
        <v>0</v>
      </c>
      <c r="M398" s="8">
        <v>0</v>
      </c>
      <c r="N398" s="7">
        <v>0</v>
      </c>
      <c r="P398" s="7">
        <v>202339</v>
      </c>
      <c r="Q398" s="7">
        <v>202339</v>
      </c>
      <c r="R398" s="5" t="str">
        <f>VLOOKUP($G398,Others!$E$260:$I$596,2,FALSE)</f>
        <v>Original Screenplay</v>
      </c>
      <c r="S398" s="5" t="str">
        <f>VLOOKUP($G398,Others!$E$260:$I$596,3,FALSE)</f>
        <v>Live Action</v>
      </c>
      <c r="T398" s="5">
        <f>VLOOKUP($G398,Others!$E$260:$I$596,4,FALSE)</f>
        <v>0</v>
      </c>
      <c r="U398" s="5" t="str">
        <f>IFERROR(VLOOKUP($G398,Ratings!$E$81:$I$111,5,FALSE),"None")</f>
        <v>None</v>
      </c>
      <c r="V398" s="5"/>
      <c r="X398" s="5"/>
      <c r="Y398" s="5"/>
      <c r="Z398" s="5"/>
      <c r="AA398" s="5"/>
      <c r="AB398" s="5"/>
      <c r="AC398" s="5"/>
      <c r="AG398" s="9"/>
      <c r="AH398" s="9"/>
    </row>
    <row r="399" spans="2:34" hidden="1">
      <c r="B399" s="4">
        <v>2018</v>
      </c>
      <c r="C399" s="4" t="s">
        <v>44</v>
      </c>
      <c r="D399" s="3">
        <f t="shared" si="6"/>
        <v>144</v>
      </c>
      <c r="E399" s="3" t="s">
        <v>886</v>
      </c>
      <c r="G399" s="5" t="s">
        <v>468</v>
      </c>
      <c r="H399" s="5"/>
      <c r="I399" s="5" t="s">
        <v>264</v>
      </c>
      <c r="J399" s="7">
        <v>0</v>
      </c>
      <c r="M399" s="8">
        <v>0</v>
      </c>
      <c r="N399" s="7">
        <v>0</v>
      </c>
      <c r="P399" s="7">
        <v>518385</v>
      </c>
      <c r="Q399" s="7">
        <v>518385</v>
      </c>
      <c r="R399" s="5">
        <f>VLOOKUP($G399,Others!$E$260:$I$596,2,FALSE)</f>
        <v>0</v>
      </c>
      <c r="S399" s="5" t="str">
        <f>VLOOKUP($G399,Others!$E$260:$I$596,3,FALSE)</f>
        <v>Live Action</v>
      </c>
      <c r="T399" s="5" t="str">
        <f>VLOOKUP($G399,Others!$E$260:$I$596,4,FALSE)</f>
        <v>Contemporary Fiction</v>
      </c>
      <c r="U399" s="5" t="str">
        <f>IFERROR(VLOOKUP($G399,Ratings!$E$81:$I$111,5,FALSE),"None")</f>
        <v>None</v>
      </c>
      <c r="V399" s="5"/>
      <c r="X399" s="5"/>
      <c r="Y399" s="5"/>
      <c r="Z399" s="5"/>
      <c r="AA399" s="5"/>
      <c r="AB399" s="5"/>
      <c r="AC399" s="5"/>
      <c r="AG399" s="9"/>
      <c r="AH399" s="9"/>
    </row>
    <row r="400" spans="2:34">
      <c r="B400" s="4">
        <v>2019</v>
      </c>
      <c r="C400" s="4" t="s">
        <v>44</v>
      </c>
      <c r="D400" s="3">
        <f t="shared" si="6"/>
        <v>145</v>
      </c>
      <c r="E400" s="55" t="s">
        <v>886</v>
      </c>
      <c r="F400" s="3" t="s">
        <v>2102</v>
      </c>
      <c r="G400" s="5" t="s">
        <v>184</v>
      </c>
      <c r="H400" s="5" t="s">
        <v>1410</v>
      </c>
      <c r="I400" s="5" t="s">
        <v>136</v>
      </c>
      <c r="J400" s="7">
        <v>15000000</v>
      </c>
      <c r="K400" s="57"/>
      <c r="L400" s="7">
        <v>3134328</v>
      </c>
      <c r="M400" s="8">
        <v>113484</v>
      </c>
      <c r="N400" s="7">
        <v>8370000</v>
      </c>
      <c r="O400" s="7">
        <v>9402985</v>
      </c>
      <c r="P400" s="7">
        <v>9345649</v>
      </c>
      <c r="Q400" s="7">
        <v>9345649</v>
      </c>
      <c r="R400" s="5" t="str">
        <f>VLOOKUP($G400,Others!$E$260:$I$596,2,FALSE)</f>
        <v>Original Screenplay</v>
      </c>
      <c r="S400" s="5" t="str">
        <f>VLOOKUP($G400,Others!$E$260:$I$596,3,FALSE)</f>
        <v>Live Action</v>
      </c>
      <c r="T400" s="5" t="str">
        <f>VLOOKUP($G400,Others!$E$260:$I$596,4,FALSE)</f>
        <v>Contemporary Fiction</v>
      </c>
      <c r="U400" s="5" t="str">
        <f>IFERROR(VLOOKUP($G400,Ratings!$E$81:$I$111,5,FALSE),"None")</f>
        <v>None</v>
      </c>
      <c r="V400" s="5" t="s">
        <v>2103</v>
      </c>
      <c r="W400" s="5" t="s">
        <v>2104</v>
      </c>
      <c r="X400" s="5" t="s">
        <v>2105</v>
      </c>
      <c r="Y400" s="5"/>
      <c r="Z400" s="5"/>
      <c r="AA400" s="5" t="s">
        <v>2106</v>
      </c>
      <c r="AB400" s="5"/>
      <c r="AC400" s="5" t="s">
        <v>1948</v>
      </c>
      <c r="AD400" s="9">
        <v>6.3</v>
      </c>
      <c r="AE400" s="1" t="s">
        <v>1489</v>
      </c>
      <c r="AG400" s="9"/>
      <c r="AH400" s="9"/>
    </row>
    <row r="401" spans="2:34" hidden="1">
      <c r="B401" s="4">
        <v>2018</v>
      </c>
      <c r="C401" s="4" t="s">
        <v>44</v>
      </c>
      <c r="D401" s="3">
        <f t="shared" si="6"/>
        <v>146</v>
      </c>
      <c r="E401" s="3" t="s">
        <v>886</v>
      </c>
      <c r="G401" s="5" t="s">
        <v>527</v>
      </c>
      <c r="H401" s="5"/>
      <c r="I401" s="5" t="s">
        <v>131</v>
      </c>
      <c r="J401" s="7">
        <v>0</v>
      </c>
      <c r="M401" s="8">
        <v>0</v>
      </c>
      <c r="N401" s="7">
        <v>0</v>
      </c>
      <c r="P401" s="7">
        <v>30744</v>
      </c>
      <c r="Q401" s="7">
        <v>30744</v>
      </c>
      <c r="R401" s="5">
        <f>VLOOKUP($G401,Others!$E$260:$I$596,2,FALSE)</f>
        <v>0</v>
      </c>
      <c r="S401" s="5" t="str">
        <f>VLOOKUP($G401,Others!$E$260:$I$596,3,FALSE)</f>
        <v>Live Action</v>
      </c>
      <c r="T401" s="5">
        <f>VLOOKUP($G401,Others!$E$260:$I$596,4,FALSE)</f>
        <v>0</v>
      </c>
      <c r="U401" s="5" t="str">
        <f>IFERROR(VLOOKUP($G401,Ratings!$E$81:$I$111,5,FALSE),"None")</f>
        <v>None</v>
      </c>
      <c r="V401" s="5"/>
      <c r="X401" s="5"/>
      <c r="Y401" s="5"/>
      <c r="Z401" s="5"/>
      <c r="AA401" s="5"/>
      <c r="AB401" s="5"/>
      <c r="AC401" s="5"/>
      <c r="AG401" s="9"/>
      <c r="AH401" s="9"/>
    </row>
    <row r="402" spans="2:34" hidden="1">
      <c r="B402" s="4">
        <v>2018</v>
      </c>
      <c r="C402" s="4" t="s">
        <v>44</v>
      </c>
      <c r="D402" s="3">
        <f t="shared" si="6"/>
        <v>147</v>
      </c>
      <c r="E402" s="3" t="s">
        <v>886</v>
      </c>
      <c r="G402" s="5" t="s">
        <v>544</v>
      </c>
      <c r="H402" s="5"/>
      <c r="I402" s="5" t="s">
        <v>131</v>
      </c>
      <c r="J402" s="7">
        <v>0</v>
      </c>
      <c r="M402" s="8">
        <v>0</v>
      </c>
      <c r="N402" s="7">
        <v>0</v>
      </c>
      <c r="P402" s="7">
        <v>7898</v>
      </c>
      <c r="Q402" s="7">
        <v>7898</v>
      </c>
      <c r="R402" s="5">
        <f>VLOOKUP($G402,Others!$E$260:$I$596,2,FALSE)</f>
        <v>0</v>
      </c>
      <c r="S402" s="5" t="str">
        <f>VLOOKUP($G402,Others!$E$260:$I$596,3,FALSE)</f>
        <v>Live Action</v>
      </c>
      <c r="T402" s="5" t="str">
        <f>VLOOKUP($G402,Others!$E$260:$I$596,4,FALSE)</f>
        <v>Contemporary Fiction</v>
      </c>
      <c r="U402" s="5" t="str">
        <f>IFERROR(VLOOKUP($G402,Ratings!$E$81:$I$111,5,FALSE),"None")</f>
        <v>None</v>
      </c>
      <c r="V402" s="5"/>
      <c r="X402" s="5"/>
      <c r="Y402" s="5"/>
      <c r="Z402" s="5"/>
      <c r="AA402" s="5"/>
      <c r="AB402" s="5"/>
      <c r="AC402" s="5"/>
      <c r="AG402" s="9"/>
      <c r="AH402" s="9"/>
    </row>
    <row r="403" spans="2:34" hidden="1">
      <c r="B403" s="4">
        <v>2018</v>
      </c>
      <c r="C403" s="4" t="s">
        <v>44</v>
      </c>
      <c r="D403" s="3">
        <f t="shared" si="6"/>
        <v>148</v>
      </c>
      <c r="E403" s="3" t="s">
        <v>886</v>
      </c>
      <c r="G403" s="5" t="s">
        <v>516</v>
      </c>
      <c r="H403" s="5"/>
      <c r="I403" s="5" t="s">
        <v>148</v>
      </c>
      <c r="J403" s="7">
        <v>0</v>
      </c>
      <c r="M403" s="8">
        <v>0</v>
      </c>
      <c r="N403" s="7">
        <v>0</v>
      </c>
      <c r="P403" s="7">
        <v>65446</v>
      </c>
      <c r="Q403" s="7">
        <v>65446</v>
      </c>
      <c r="R403" s="5" t="str">
        <f>VLOOKUP($G403,Others!$E$260:$I$596,2,FALSE)</f>
        <v>Original Screenplay</v>
      </c>
      <c r="S403" s="5" t="str">
        <f>VLOOKUP($G403,Others!$E$260:$I$596,3,FALSE)</f>
        <v>Live Action</v>
      </c>
      <c r="T403" s="5">
        <f>VLOOKUP($G403,Others!$E$260:$I$596,4,FALSE)</f>
        <v>0</v>
      </c>
      <c r="U403" s="5" t="str">
        <f>IFERROR(VLOOKUP($G403,Ratings!$E$81:$I$111,5,FALSE),"None")</f>
        <v>None</v>
      </c>
      <c r="V403" s="5"/>
      <c r="X403" s="5"/>
      <c r="Y403" s="5"/>
      <c r="Z403" s="5"/>
      <c r="AA403" s="5"/>
      <c r="AB403" s="5"/>
      <c r="AC403" s="5"/>
      <c r="AG403" s="9"/>
      <c r="AH403" s="9"/>
    </row>
    <row r="404" spans="2:34" hidden="1">
      <c r="B404" s="4">
        <v>2018</v>
      </c>
      <c r="C404" s="4" t="s">
        <v>44</v>
      </c>
      <c r="D404" s="3">
        <f t="shared" si="6"/>
        <v>149</v>
      </c>
      <c r="E404" s="3" t="s">
        <v>886</v>
      </c>
      <c r="G404" s="5" t="s">
        <v>524</v>
      </c>
      <c r="H404" s="5"/>
      <c r="I404" s="5" t="s">
        <v>154</v>
      </c>
      <c r="J404" s="7">
        <v>0</v>
      </c>
      <c r="M404" s="8">
        <v>0</v>
      </c>
      <c r="N404" s="7">
        <v>0</v>
      </c>
      <c r="P404" s="7">
        <v>40417</v>
      </c>
      <c r="Q404" s="7">
        <v>40417</v>
      </c>
      <c r="R404" s="5">
        <f>VLOOKUP($G404,Others!$E$260:$I$596,2,FALSE)</f>
        <v>0</v>
      </c>
      <c r="S404" s="5" t="str">
        <f>VLOOKUP($G404,Others!$E$260:$I$596,3,FALSE)</f>
        <v>Live Action</v>
      </c>
      <c r="T404" s="5" t="str">
        <f>VLOOKUP($G404,Others!$E$260:$I$596,4,FALSE)</f>
        <v>Science Fiction</v>
      </c>
      <c r="U404" s="5" t="str">
        <f>IFERROR(VLOOKUP($G404,Ratings!$E$81:$I$111,5,FALSE),"None")</f>
        <v>None</v>
      </c>
      <c r="V404" s="5"/>
      <c r="X404" s="5"/>
      <c r="Y404" s="5"/>
      <c r="Z404" s="5"/>
      <c r="AA404" s="5"/>
      <c r="AB404" s="5"/>
      <c r="AC404" s="5"/>
      <c r="AG404" s="9"/>
      <c r="AH404" s="9"/>
    </row>
    <row r="405" spans="2:34">
      <c r="B405" s="4">
        <v>2018</v>
      </c>
      <c r="C405" s="4" t="s">
        <v>44</v>
      </c>
      <c r="D405" s="3">
        <f t="shared" si="6"/>
        <v>150</v>
      </c>
      <c r="E405" s="55" t="s">
        <v>886</v>
      </c>
      <c r="F405" s="3" t="s">
        <v>623</v>
      </c>
      <c r="G405" s="5" t="s">
        <v>259</v>
      </c>
      <c r="H405" s="5" t="s">
        <v>1427</v>
      </c>
      <c r="I405" s="5" t="s">
        <v>131</v>
      </c>
      <c r="J405" s="7">
        <f>0.3*100000000/6.7</f>
        <v>4477611.940298507</v>
      </c>
      <c r="K405" s="57" t="s">
        <v>1411</v>
      </c>
      <c r="L405" s="7">
        <f>0.02*100000000/6.7</f>
        <v>298507.46268656716</v>
      </c>
      <c r="M405" s="41" t="s">
        <v>1501</v>
      </c>
      <c r="N405" s="7">
        <v>570216</v>
      </c>
      <c r="O405" s="7">
        <f>0.05*100000000/6.7</f>
        <v>746268.65671641787</v>
      </c>
      <c r="P405" s="7">
        <v>738015</v>
      </c>
      <c r="Q405" s="7">
        <v>738015</v>
      </c>
      <c r="R405" s="5" t="str">
        <f>VLOOKUP($G405,Others!$E$260:$I$596,2,FALSE)</f>
        <v>Original Screenplay</v>
      </c>
      <c r="S405" s="5" t="str">
        <f>VLOOKUP($G405,Others!$E$260:$I$596,3,FALSE)</f>
        <v>Live Action</v>
      </c>
      <c r="T405" s="5" t="str">
        <f>VLOOKUP($G405,Others!$E$260:$I$596,4,FALSE)</f>
        <v>Contemporary Fiction</v>
      </c>
      <c r="U405" s="5" t="str">
        <f>IFERROR(VLOOKUP($G405,Ratings!$E$81:$I$111,5,FALSE),"None")</f>
        <v>None</v>
      </c>
      <c r="V405" s="5" t="s">
        <v>2107</v>
      </c>
      <c r="W405" s="5" t="s">
        <v>2108</v>
      </c>
      <c r="X405" s="5" t="s">
        <v>2109</v>
      </c>
      <c r="Y405" s="5" t="s">
        <v>2110</v>
      </c>
      <c r="Z405" s="5" t="s">
        <v>2111</v>
      </c>
      <c r="AA405" s="5" t="s">
        <v>2112</v>
      </c>
      <c r="AB405" s="5"/>
      <c r="AC405" s="5" t="s">
        <v>2113</v>
      </c>
      <c r="AD405" s="9">
        <v>7.8</v>
      </c>
      <c r="AE405" s="1" t="s">
        <v>1489</v>
      </c>
      <c r="AG405" s="9"/>
      <c r="AH405" s="9"/>
    </row>
    <row r="406" spans="2:34">
      <c r="B406" s="4">
        <v>2019</v>
      </c>
      <c r="C406" s="4" t="s">
        <v>44</v>
      </c>
      <c r="D406" s="3">
        <f t="shared" si="6"/>
        <v>151</v>
      </c>
      <c r="E406" s="55" t="s">
        <v>886</v>
      </c>
      <c r="F406" s="3" t="s">
        <v>2114</v>
      </c>
      <c r="G406" s="5" t="s">
        <v>214</v>
      </c>
      <c r="H406" s="5" t="s">
        <v>1419</v>
      </c>
      <c r="I406" s="5" t="s">
        <v>131</v>
      </c>
      <c r="J406" s="7">
        <f>0.4*100000000/6.7</f>
        <v>5970149.253731343</v>
      </c>
      <c r="K406" s="57" t="s">
        <v>1411</v>
      </c>
      <c r="L406" s="7">
        <f>0.08*100000000/6.7</f>
        <v>1194029.8507462686</v>
      </c>
      <c r="M406" s="8">
        <v>73241</v>
      </c>
      <c r="N406" s="7">
        <v>2920000</v>
      </c>
      <c r="O406" s="7">
        <f>0.23*100000000/6.7</f>
        <v>3432835.8208955224</v>
      </c>
      <c r="P406" s="7">
        <v>3493631</v>
      </c>
      <c r="Q406" s="7">
        <v>3493631</v>
      </c>
      <c r="R406" s="5" t="str">
        <f>VLOOKUP($G406,Others!$E$260:$I$596,2,FALSE)</f>
        <v>Original Screenplay</v>
      </c>
      <c r="S406" s="5" t="str">
        <f>VLOOKUP($G406,Others!$E$260:$I$596,3,FALSE)</f>
        <v>Live Action</v>
      </c>
      <c r="T406" s="5" t="str">
        <f>VLOOKUP($G406,Others!$E$260:$I$596,4,FALSE)</f>
        <v>Contemporary Fiction</v>
      </c>
      <c r="U406" s="5" t="str">
        <f>IFERROR(VLOOKUP($G406,Ratings!$E$81:$I$111,5,FALSE),"None")</f>
        <v>None</v>
      </c>
      <c r="V406" s="5" t="s">
        <v>2115</v>
      </c>
      <c r="W406" s="5" t="s">
        <v>2116</v>
      </c>
      <c r="X406" s="5" t="s">
        <v>2117</v>
      </c>
      <c r="Y406" s="5" t="s">
        <v>2118</v>
      </c>
      <c r="Z406" s="5"/>
      <c r="AA406" s="5" t="s">
        <v>2119</v>
      </c>
      <c r="AB406" s="5"/>
      <c r="AC406" s="5" t="s">
        <v>1948</v>
      </c>
      <c r="AD406" s="9">
        <v>7.7</v>
      </c>
      <c r="AE406" s="1" t="s">
        <v>1489</v>
      </c>
      <c r="AG406" s="9"/>
      <c r="AH406" s="9"/>
    </row>
    <row r="407" spans="2:34" hidden="1">
      <c r="B407" s="4">
        <v>2018</v>
      </c>
      <c r="C407" s="4" t="s">
        <v>44</v>
      </c>
      <c r="D407" s="3">
        <f t="shared" si="6"/>
        <v>152</v>
      </c>
      <c r="E407" s="3" t="s">
        <v>886</v>
      </c>
      <c r="G407" s="5" t="s">
        <v>959</v>
      </c>
      <c r="H407" s="5"/>
      <c r="J407" s="7">
        <v>0</v>
      </c>
      <c r="M407" s="8">
        <v>0</v>
      </c>
      <c r="N407" s="7">
        <v>0</v>
      </c>
      <c r="P407" s="7">
        <v>4979</v>
      </c>
      <c r="Q407" s="7">
        <v>4979</v>
      </c>
      <c r="R407" s="5" t="str">
        <f>VLOOKUP($G407,Others!$E$260:$I$596,2,FALSE)</f>
        <v>Original Screenplay</v>
      </c>
      <c r="S407" s="5" t="str">
        <f>VLOOKUP($G407,Others!$E$260:$I$596,3,FALSE)</f>
        <v>Digital Animation</v>
      </c>
      <c r="T407" s="5" t="str">
        <f>VLOOKUP($G407,Others!$E$260:$I$596,4,FALSE)</f>
        <v>Kids Fiction</v>
      </c>
      <c r="U407" s="5" t="str">
        <f>IFERROR(VLOOKUP($G407,Ratings!$E$81:$I$111,5,FALSE),"None")</f>
        <v>None</v>
      </c>
      <c r="V407" s="5"/>
      <c r="X407" s="5"/>
      <c r="Y407" s="5"/>
      <c r="Z407" s="5"/>
      <c r="AA407" s="5"/>
      <c r="AB407" s="5"/>
      <c r="AC407" s="5"/>
      <c r="AG407" s="9"/>
      <c r="AH407" s="9"/>
    </row>
    <row r="408" spans="2:34" hidden="1">
      <c r="B408" s="4">
        <v>2018</v>
      </c>
      <c r="C408" s="4" t="s">
        <v>44</v>
      </c>
      <c r="D408" s="3">
        <f t="shared" si="6"/>
        <v>153</v>
      </c>
      <c r="E408" s="3" t="s">
        <v>886</v>
      </c>
      <c r="G408" s="5" t="s">
        <v>960</v>
      </c>
      <c r="H408" s="5"/>
      <c r="I408" s="5" t="s">
        <v>193</v>
      </c>
      <c r="J408" s="7">
        <v>0</v>
      </c>
      <c r="M408" s="8">
        <v>0</v>
      </c>
      <c r="N408" s="7">
        <v>0</v>
      </c>
      <c r="P408" s="7">
        <v>202398</v>
      </c>
      <c r="Q408" s="7">
        <v>202398</v>
      </c>
      <c r="R408" s="5">
        <f>VLOOKUP($G408,Others!$E$260:$I$596,2,FALSE)</f>
        <v>0</v>
      </c>
      <c r="S408" s="5" t="str">
        <f>VLOOKUP($G408,Others!$E$260:$I$596,3,FALSE)</f>
        <v>Live Action</v>
      </c>
      <c r="T408" s="5" t="str">
        <f>VLOOKUP($G408,Others!$E$260:$I$596,4,FALSE)</f>
        <v>Fantasy</v>
      </c>
      <c r="U408" s="5" t="str">
        <f>IFERROR(VLOOKUP($G408,Ratings!$E$81:$I$111,5,FALSE),"None")</f>
        <v>None</v>
      </c>
      <c r="V408" s="5"/>
      <c r="X408" s="5"/>
      <c r="Y408" s="5"/>
      <c r="Z408" s="5"/>
      <c r="AA408" s="5"/>
      <c r="AB408" s="5"/>
      <c r="AC408" s="5"/>
      <c r="AG408" s="9"/>
      <c r="AH408" s="9"/>
    </row>
    <row r="409" spans="2:34" hidden="1">
      <c r="B409" s="4">
        <v>2018</v>
      </c>
      <c r="C409" s="4" t="s">
        <v>44</v>
      </c>
      <c r="D409" s="3">
        <f t="shared" si="6"/>
        <v>154</v>
      </c>
      <c r="E409" s="3" t="s">
        <v>886</v>
      </c>
      <c r="G409" s="5" t="s">
        <v>437</v>
      </c>
      <c r="H409" s="5"/>
      <c r="I409" s="5" t="s">
        <v>131</v>
      </c>
      <c r="J409" s="7">
        <v>0</v>
      </c>
      <c r="M409" s="8">
        <v>0</v>
      </c>
      <c r="N409" s="7">
        <v>0</v>
      </c>
      <c r="P409" s="7">
        <v>1440000</v>
      </c>
      <c r="Q409" s="7">
        <v>1440000</v>
      </c>
      <c r="R409" s="5" t="str">
        <f>VLOOKUP($G409,Others!$E$260:$I$596,2,FALSE)</f>
        <v>Original Screenplay</v>
      </c>
      <c r="S409" s="5" t="str">
        <f>VLOOKUP($G409,Others!$E$260:$I$596,3,FALSE)</f>
        <v>Live Action</v>
      </c>
      <c r="T409" s="5">
        <f>VLOOKUP($G409,Others!$E$260:$I$596,4,FALSE)</f>
        <v>0</v>
      </c>
      <c r="U409" s="5" t="str">
        <f>IFERROR(VLOOKUP($G409,Ratings!$E$81:$I$111,5,FALSE),"None")</f>
        <v>None</v>
      </c>
      <c r="V409" s="5"/>
      <c r="X409" s="5"/>
      <c r="Y409" s="5"/>
      <c r="Z409" s="5"/>
      <c r="AA409" s="5"/>
      <c r="AB409" s="5"/>
      <c r="AC409" s="5"/>
      <c r="AG409" s="9"/>
      <c r="AH409" s="9"/>
    </row>
    <row r="410" spans="2:34" hidden="1">
      <c r="B410" s="4">
        <v>2018</v>
      </c>
      <c r="C410" s="4" t="s">
        <v>44</v>
      </c>
      <c r="D410" s="3">
        <f t="shared" si="6"/>
        <v>155</v>
      </c>
      <c r="E410" s="3" t="s">
        <v>886</v>
      </c>
      <c r="G410" s="5" t="s">
        <v>361</v>
      </c>
      <c r="H410" s="5"/>
      <c r="I410" s="5" t="s">
        <v>148</v>
      </c>
      <c r="J410" s="7">
        <v>0</v>
      </c>
      <c r="M410" s="8">
        <v>0</v>
      </c>
      <c r="N410" s="7">
        <v>0</v>
      </c>
      <c r="P410" s="7">
        <v>366961920</v>
      </c>
      <c r="Q410" s="7">
        <v>366961920</v>
      </c>
      <c r="R410" s="5" t="str">
        <f>VLOOKUP($G410,Others!$E$260:$I$596,2,FALSE)</f>
        <v>Original Screenplay</v>
      </c>
      <c r="S410" s="5" t="str">
        <f>VLOOKUP($G410,Others!$E$260:$I$596,3,FALSE)</f>
        <v>Live Action</v>
      </c>
      <c r="T410" s="5" t="str">
        <f>VLOOKUP($G410,Others!$E$260:$I$596,4,FALSE)</f>
        <v>Contemporary Fiction</v>
      </c>
      <c r="U410" s="5" t="str">
        <f>IFERROR(VLOOKUP($G410,Ratings!$E$81:$I$111,5,FALSE),"None")</f>
        <v>None</v>
      </c>
      <c r="V410" s="5"/>
      <c r="X410" s="5"/>
      <c r="Y410" s="5"/>
      <c r="Z410" s="5"/>
      <c r="AA410" s="5"/>
      <c r="AB410" s="5"/>
      <c r="AC410" s="5"/>
      <c r="AG410" s="9"/>
      <c r="AH410" s="9"/>
    </row>
    <row r="411" spans="2:34" hidden="1">
      <c r="B411" s="4">
        <v>2018</v>
      </c>
      <c r="C411" s="4" t="s">
        <v>44</v>
      </c>
      <c r="D411" s="3">
        <f t="shared" si="6"/>
        <v>156</v>
      </c>
      <c r="E411" s="3" t="s">
        <v>886</v>
      </c>
      <c r="G411" s="5" t="s">
        <v>288</v>
      </c>
      <c r="H411" s="5"/>
      <c r="I411" s="5" t="s">
        <v>136</v>
      </c>
      <c r="J411" s="7">
        <v>0</v>
      </c>
      <c r="M411" s="8">
        <v>0</v>
      </c>
      <c r="N411" s="7">
        <v>0</v>
      </c>
      <c r="P411" s="7">
        <v>223188</v>
      </c>
      <c r="Q411" s="7">
        <v>223188</v>
      </c>
      <c r="R411" s="5" t="str">
        <f>VLOOKUP($G411,Others!$E$260:$I$596,2,FALSE)</f>
        <v>Original Screenplay</v>
      </c>
      <c r="S411" s="5" t="str">
        <f>VLOOKUP($G411,Others!$E$260:$I$596,3,FALSE)</f>
        <v>Live Action</v>
      </c>
      <c r="T411" s="5" t="str">
        <f>VLOOKUP($G411,Others!$E$260:$I$596,4,FALSE)</f>
        <v>Contemporary Fiction</v>
      </c>
      <c r="U411" s="5" t="str">
        <f>IFERROR(VLOOKUP($G411,Ratings!$E$81:$I$111,5,FALSE),"None")</f>
        <v>None</v>
      </c>
      <c r="V411" s="5"/>
      <c r="X411" s="5"/>
      <c r="Y411" s="5"/>
      <c r="Z411" s="5"/>
      <c r="AA411" s="5"/>
      <c r="AB411" s="5"/>
      <c r="AC411" s="5"/>
      <c r="AG411" s="9"/>
      <c r="AH411" s="9"/>
    </row>
    <row r="412" spans="2:34" hidden="1">
      <c r="B412" s="4">
        <v>2018</v>
      </c>
      <c r="C412" s="4" t="s">
        <v>44</v>
      </c>
      <c r="D412" s="3">
        <f t="shared" si="6"/>
        <v>157</v>
      </c>
      <c r="E412" s="3" t="s">
        <v>886</v>
      </c>
      <c r="G412" s="5" t="s">
        <v>345</v>
      </c>
      <c r="H412" s="5"/>
      <c r="I412" s="5" t="s">
        <v>129</v>
      </c>
      <c r="J412" s="7">
        <v>0</v>
      </c>
      <c r="M412" s="8">
        <v>0</v>
      </c>
      <c r="N412" s="7">
        <v>0</v>
      </c>
      <c r="P412" s="7">
        <v>6534</v>
      </c>
      <c r="Q412" s="7">
        <v>6534</v>
      </c>
      <c r="R412" s="5">
        <f>VLOOKUP($G412,Others!$E$260:$I$596,2,FALSE)</f>
        <v>0</v>
      </c>
      <c r="S412" s="5">
        <f>VLOOKUP($G412,Others!$E$260:$I$596,3,FALSE)</f>
        <v>0</v>
      </c>
      <c r="T412" s="5">
        <f>VLOOKUP($G412,Others!$E$260:$I$596,4,FALSE)</f>
        <v>0</v>
      </c>
      <c r="U412" s="5" t="str">
        <f>IFERROR(VLOOKUP($G412,Ratings!$E$81:$I$111,5,FALSE),"None")</f>
        <v>None</v>
      </c>
      <c r="V412" s="5"/>
      <c r="X412" s="5"/>
      <c r="Y412" s="5"/>
      <c r="Z412" s="5"/>
      <c r="AA412" s="5"/>
      <c r="AB412" s="5"/>
      <c r="AC412" s="5"/>
      <c r="AG412" s="9"/>
      <c r="AH412" s="9"/>
    </row>
    <row r="413" spans="2:34" hidden="1">
      <c r="B413" s="4">
        <v>2018</v>
      </c>
      <c r="C413" s="4" t="s">
        <v>44</v>
      </c>
      <c r="D413" s="3">
        <f t="shared" si="6"/>
        <v>158</v>
      </c>
      <c r="E413" s="3" t="s">
        <v>886</v>
      </c>
      <c r="G413" s="5" t="s">
        <v>441</v>
      </c>
      <c r="H413" s="5"/>
      <c r="I413" s="5" t="s">
        <v>131</v>
      </c>
      <c r="J413" s="7">
        <v>0</v>
      </c>
      <c r="M413" s="8">
        <v>0</v>
      </c>
      <c r="N413" s="7">
        <v>0</v>
      </c>
      <c r="P413" s="7">
        <v>1371255</v>
      </c>
      <c r="Q413" s="7">
        <v>1371255</v>
      </c>
      <c r="R413" s="5">
        <f>VLOOKUP($G413,Others!$E$260:$I$596,2,FALSE)</f>
        <v>0</v>
      </c>
      <c r="S413" s="5">
        <f>VLOOKUP($G413,Others!$E$260:$I$596,3,FALSE)</f>
        <v>0</v>
      </c>
      <c r="T413" s="5">
        <f>VLOOKUP($G413,Others!$E$260:$I$596,4,FALSE)</f>
        <v>0</v>
      </c>
      <c r="U413" s="5" t="str">
        <f>IFERROR(VLOOKUP($G413,Ratings!$E$81:$I$111,5,FALSE),"None")</f>
        <v>None</v>
      </c>
      <c r="V413" s="5"/>
      <c r="X413" s="5"/>
      <c r="Y413" s="5"/>
      <c r="Z413" s="5"/>
      <c r="AA413" s="5"/>
      <c r="AB413" s="5"/>
      <c r="AC413" s="5"/>
      <c r="AG413" s="9"/>
      <c r="AH413" s="9"/>
    </row>
    <row r="414" spans="2:34" hidden="1">
      <c r="B414" s="4">
        <v>2018</v>
      </c>
      <c r="C414" s="4" t="s">
        <v>44</v>
      </c>
      <c r="D414" s="3">
        <f t="shared" si="6"/>
        <v>159</v>
      </c>
      <c r="E414" s="3" t="s">
        <v>886</v>
      </c>
      <c r="G414" s="5" t="s">
        <v>525</v>
      </c>
      <c r="H414" s="5"/>
      <c r="I414" s="5" t="s">
        <v>131</v>
      </c>
      <c r="J414" s="7">
        <v>0</v>
      </c>
      <c r="M414" s="8">
        <v>0</v>
      </c>
      <c r="N414" s="7">
        <v>0</v>
      </c>
      <c r="P414" s="7">
        <v>37853</v>
      </c>
      <c r="Q414" s="7">
        <v>37853</v>
      </c>
      <c r="R414" s="5" t="str">
        <f>VLOOKUP($G414,Others!$E$260:$I$596,2,FALSE)</f>
        <v>Original Screenplay</v>
      </c>
      <c r="S414" s="5" t="str">
        <f>VLOOKUP($G414,Others!$E$260:$I$596,3,FALSE)</f>
        <v>Live Action</v>
      </c>
      <c r="T414" s="5" t="str">
        <f>VLOOKUP($G414,Others!$E$260:$I$596,4,FALSE)</f>
        <v>Fantasy</v>
      </c>
      <c r="U414" s="5" t="str">
        <f>IFERROR(VLOOKUP($G414,Ratings!$E$81:$I$111,5,FALSE),"None")</f>
        <v>None</v>
      </c>
      <c r="V414" s="5"/>
      <c r="X414" s="5"/>
      <c r="Y414" s="5"/>
      <c r="Z414" s="5"/>
      <c r="AA414" s="5"/>
      <c r="AB414" s="5"/>
      <c r="AC414" s="5"/>
      <c r="AG414" s="9"/>
      <c r="AH414" s="9"/>
    </row>
    <row r="415" spans="2:34" hidden="1">
      <c r="B415" s="4">
        <v>2018</v>
      </c>
      <c r="C415" s="4" t="s">
        <v>44</v>
      </c>
      <c r="D415" s="3">
        <f t="shared" si="6"/>
        <v>160</v>
      </c>
      <c r="E415" s="3" t="s">
        <v>886</v>
      </c>
      <c r="G415" s="5" t="s">
        <v>428</v>
      </c>
      <c r="H415" s="5"/>
      <c r="I415" s="5" t="s">
        <v>131</v>
      </c>
      <c r="J415" s="7">
        <v>0</v>
      </c>
      <c r="M415" s="8">
        <v>0</v>
      </c>
      <c r="N415" s="7">
        <v>0</v>
      </c>
      <c r="P415" s="7">
        <v>3004460</v>
      </c>
      <c r="Q415" s="7">
        <v>3004460</v>
      </c>
      <c r="R415" s="5" t="str">
        <f>VLOOKUP($G415,Others!$E$260:$I$596,2,FALSE)</f>
        <v>Original Screenplay</v>
      </c>
      <c r="S415" s="5" t="str">
        <f>VLOOKUP($G415,Others!$E$260:$I$596,3,FALSE)</f>
        <v>Live Action</v>
      </c>
      <c r="T415" s="5" t="str">
        <f>VLOOKUP($G415,Others!$E$260:$I$596,4,FALSE)</f>
        <v>Contemporary Fiction</v>
      </c>
      <c r="U415" s="5" t="str">
        <f>IFERROR(VLOOKUP($G415,Ratings!$E$81:$I$111,5,FALSE),"None")</f>
        <v>None</v>
      </c>
      <c r="V415" s="5"/>
      <c r="X415" s="5"/>
      <c r="Y415" s="5"/>
      <c r="Z415" s="5"/>
      <c r="AA415" s="5"/>
      <c r="AB415" s="5"/>
      <c r="AC415" s="5"/>
      <c r="AG415" s="9"/>
      <c r="AH415" s="9"/>
    </row>
    <row r="416" spans="2:34" hidden="1">
      <c r="B416" s="4">
        <v>2018</v>
      </c>
      <c r="C416" s="4" t="s">
        <v>44</v>
      </c>
      <c r="D416" s="3">
        <f t="shared" si="6"/>
        <v>161</v>
      </c>
      <c r="E416" s="3" t="s">
        <v>886</v>
      </c>
      <c r="G416" s="5" t="s">
        <v>961</v>
      </c>
      <c r="H416" s="5"/>
      <c r="I416" s="5" t="s">
        <v>127</v>
      </c>
      <c r="J416" s="7">
        <v>0</v>
      </c>
      <c r="M416" s="8">
        <v>0</v>
      </c>
      <c r="N416" s="7">
        <v>0</v>
      </c>
      <c r="P416" s="7">
        <v>256787</v>
      </c>
      <c r="Q416" s="7">
        <v>256787</v>
      </c>
      <c r="R416" s="5" t="str">
        <f>VLOOKUP($G416,Others!$E$260:$I$596,2,FALSE)</f>
        <v>Original Screenplay</v>
      </c>
      <c r="S416" s="5" t="str">
        <f>VLOOKUP($G416,Others!$E$260:$I$596,3,FALSE)</f>
        <v>Digital Animation</v>
      </c>
      <c r="T416" s="5">
        <f>VLOOKUP($G416,Others!$E$260:$I$596,4,FALSE)</f>
        <v>0</v>
      </c>
      <c r="U416" s="5" t="str">
        <f>IFERROR(VLOOKUP($G416,Ratings!$E$81:$I$111,5,FALSE),"None")</f>
        <v>None</v>
      </c>
      <c r="V416" s="5"/>
      <c r="X416" s="5"/>
      <c r="Y416" s="5"/>
      <c r="Z416" s="5"/>
      <c r="AA416" s="5"/>
      <c r="AB416" s="5"/>
      <c r="AC416" s="5"/>
      <c r="AG416" s="9"/>
      <c r="AH416" s="9"/>
    </row>
    <row r="417" spans="2:34" hidden="1">
      <c r="B417" s="4">
        <v>2018</v>
      </c>
      <c r="C417" s="4" t="s">
        <v>44</v>
      </c>
      <c r="D417" s="3">
        <f t="shared" si="6"/>
        <v>162</v>
      </c>
      <c r="E417" s="3" t="s">
        <v>886</v>
      </c>
      <c r="G417" s="5" t="s">
        <v>962</v>
      </c>
      <c r="H417" s="5"/>
      <c r="I417" s="5" t="s">
        <v>131</v>
      </c>
      <c r="J417" s="7">
        <v>0</v>
      </c>
      <c r="M417" s="8">
        <v>0</v>
      </c>
      <c r="N417" s="7">
        <v>0</v>
      </c>
      <c r="P417" s="7">
        <v>34759</v>
      </c>
      <c r="Q417" s="7">
        <v>34759</v>
      </c>
      <c r="R417" s="5">
        <f>VLOOKUP($G417,Others!$E$260:$I$596,2,FALSE)</f>
        <v>0</v>
      </c>
      <c r="S417" s="5" t="str">
        <f>VLOOKUP($G417,Others!$E$260:$I$596,3,FALSE)</f>
        <v>Live Action</v>
      </c>
      <c r="T417" s="5">
        <f>VLOOKUP($G417,Others!$E$260:$I$596,4,FALSE)</f>
        <v>0</v>
      </c>
      <c r="U417" s="5" t="str">
        <f>IFERROR(VLOOKUP($G417,Ratings!$E$81:$I$111,5,FALSE),"None")</f>
        <v>None</v>
      </c>
      <c r="V417" s="5"/>
      <c r="X417" s="5"/>
      <c r="Y417" s="5"/>
      <c r="Z417" s="5"/>
      <c r="AA417" s="5"/>
      <c r="AB417" s="5"/>
      <c r="AC417" s="5"/>
      <c r="AG417" s="9"/>
      <c r="AH417" s="9"/>
    </row>
    <row r="418" spans="2:34" hidden="1">
      <c r="B418" s="4">
        <v>2018</v>
      </c>
      <c r="C418" s="4" t="s">
        <v>44</v>
      </c>
      <c r="D418" s="3">
        <f t="shared" si="6"/>
        <v>163</v>
      </c>
      <c r="E418" s="3" t="s">
        <v>886</v>
      </c>
      <c r="G418" s="5" t="s">
        <v>440</v>
      </c>
      <c r="H418" s="5"/>
      <c r="I418" s="5" t="s">
        <v>148</v>
      </c>
      <c r="J418" s="7">
        <v>0</v>
      </c>
      <c r="M418" s="8">
        <v>0</v>
      </c>
      <c r="N418" s="7">
        <v>0</v>
      </c>
      <c r="P418" s="7">
        <v>1380000</v>
      </c>
      <c r="Q418" s="7">
        <v>1380000</v>
      </c>
      <c r="R418" s="5" t="str">
        <f>VLOOKUP($G418,Others!$E$260:$I$596,2,FALSE)</f>
        <v>Original Screenplay</v>
      </c>
      <c r="S418" s="5" t="str">
        <f>VLOOKUP($G418,Others!$E$260:$I$596,3,FALSE)</f>
        <v>Live Action</v>
      </c>
      <c r="T418" s="5" t="str">
        <f>VLOOKUP($G418,Others!$E$260:$I$596,4,FALSE)</f>
        <v>Contemporary Fiction</v>
      </c>
      <c r="U418" s="5" t="str">
        <f>IFERROR(VLOOKUP($G418,Ratings!$E$81:$I$111,5,FALSE),"None")</f>
        <v>None</v>
      </c>
      <c r="V418" s="5"/>
      <c r="X418" s="5"/>
      <c r="Y418" s="5"/>
      <c r="Z418" s="5"/>
      <c r="AA418" s="5"/>
      <c r="AB418" s="5"/>
      <c r="AC418" s="5"/>
      <c r="AG418" s="9"/>
      <c r="AH418" s="9"/>
    </row>
    <row r="419" spans="2:34" hidden="1">
      <c r="B419" s="4">
        <v>2018</v>
      </c>
      <c r="C419" s="4" t="s">
        <v>44</v>
      </c>
      <c r="D419" s="3">
        <f t="shared" si="6"/>
        <v>164</v>
      </c>
      <c r="E419" s="3" t="s">
        <v>886</v>
      </c>
      <c r="G419" s="5" t="s">
        <v>963</v>
      </c>
      <c r="H419" s="5"/>
      <c r="I419" s="5" t="s">
        <v>191</v>
      </c>
      <c r="J419" s="7">
        <v>0</v>
      </c>
      <c r="M419" s="8">
        <v>0</v>
      </c>
      <c r="N419" s="7">
        <v>0</v>
      </c>
      <c r="P419" s="7">
        <v>33862</v>
      </c>
      <c r="Q419" s="7">
        <v>33862</v>
      </c>
      <c r="R419" s="5" t="str">
        <f>VLOOKUP($G419,Others!$E$260:$I$596,2,FALSE)</f>
        <v>Based on Real Life Events</v>
      </c>
      <c r="S419" s="5" t="str">
        <f>VLOOKUP($G419,Others!$E$260:$I$596,3,FALSE)</f>
        <v>Live Action</v>
      </c>
      <c r="T419" s="5" t="str">
        <f>VLOOKUP($G419,Others!$E$260:$I$596,4,FALSE)</f>
        <v>Factual</v>
      </c>
      <c r="U419" s="5" t="str">
        <f>IFERROR(VLOOKUP($G419,Ratings!$E$81:$I$111,5,FALSE),"None")</f>
        <v>None</v>
      </c>
      <c r="V419" s="5"/>
      <c r="X419" s="5"/>
      <c r="Y419" s="5"/>
      <c r="Z419" s="5"/>
      <c r="AA419" s="5"/>
      <c r="AB419" s="5"/>
      <c r="AC419" s="5"/>
      <c r="AG419" s="9"/>
      <c r="AH419" s="9"/>
    </row>
    <row r="420" spans="2:34" hidden="1">
      <c r="B420" s="4">
        <v>2018</v>
      </c>
      <c r="C420" s="4" t="s">
        <v>44</v>
      </c>
      <c r="D420" s="3">
        <f t="shared" si="6"/>
        <v>165</v>
      </c>
      <c r="E420" s="3" t="s">
        <v>886</v>
      </c>
      <c r="G420" s="5" t="s">
        <v>203</v>
      </c>
      <c r="H420" s="5"/>
      <c r="I420" s="5" t="s">
        <v>129</v>
      </c>
      <c r="J420" s="7">
        <v>0</v>
      </c>
      <c r="M420" s="8">
        <v>0</v>
      </c>
      <c r="N420" s="7">
        <v>0</v>
      </c>
      <c r="P420" s="7">
        <v>5755641</v>
      </c>
      <c r="Q420" s="7">
        <v>5755641</v>
      </c>
      <c r="R420" s="5" t="str">
        <f>VLOOKUP($G420,Others!$E$260:$I$596,2,FALSE)</f>
        <v>Original Screenplay</v>
      </c>
      <c r="S420" s="5" t="str">
        <f>VLOOKUP($G420,Others!$E$260:$I$596,3,FALSE)</f>
        <v>Digital Animation</v>
      </c>
      <c r="T420" s="5" t="str">
        <f>VLOOKUP($G420,Others!$E$260:$I$596,4,FALSE)</f>
        <v>Science Fiction</v>
      </c>
      <c r="U420" s="5" t="str">
        <f>IFERROR(VLOOKUP($G420,Ratings!$E$81:$I$111,5,FALSE),"None")</f>
        <v>None</v>
      </c>
      <c r="V420" s="5"/>
      <c r="X420" s="5"/>
      <c r="Y420" s="5"/>
      <c r="Z420" s="5"/>
      <c r="AA420" s="5"/>
      <c r="AB420" s="5"/>
      <c r="AC420" s="5"/>
      <c r="AG420" s="9"/>
      <c r="AH420" s="9"/>
    </row>
    <row r="421" spans="2:34" hidden="1">
      <c r="B421" s="4">
        <v>2018</v>
      </c>
      <c r="C421" s="4" t="s">
        <v>44</v>
      </c>
      <c r="D421" s="3">
        <f t="shared" si="6"/>
        <v>166</v>
      </c>
      <c r="E421" s="3" t="s">
        <v>886</v>
      </c>
      <c r="G421" s="5" t="s">
        <v>326</v>
      </c>
      <c r="H421" s="5"/>
      <c r="I421" s="5" t="s">
        <v>129</v>
      </c>
      <c r="J421" s="7">
        <v>0</v>
      </c>
      <c r="M421" s="8">
        <v>0</v>
      </c>
      <c r="N421" s="7">
        <v>0</v>
      </c>
      <c r="P421" s="7">
        <v>24930</v>
      </c>
      <c r="Q421" s="7">
        <v>24930</v>
      </c>
      <c r="R421" s="5">
        <f>VLOOKUP($G421,Others!$E$260:$I$596,2,FALSE)</f>
        <v>0</v>
      </c>
      <c r="S421" s="5" t="str">
        <f>VLOOKUP($G421,Others!$E$260:$I$596,3,FALSE)</f>
        <v>Live Action</v>
      </c>
      <c r="T421" s="5">
        <f>VLOOKUP($G421,Others!$E$260:$I$596,4,FALSE)</f>
        <v>0</v>
      </c>
      <c r="U421" s="5" t="str">
        <f>IFERROR(VLOOKUP($G421,Ratings!$E$81:$I$111,5,FALSE),"None")</f>
        <v>None</v>
      </c>
      <c r="V421" s="5"/>
      <c r="X421" s="5"/>
      <c r="Y421" s="5"/>
      <c r="Z421" s="5"/>
      <c r="AA421" s="5"/>
      <c r="AB421" s="5"/>
      <c r="AC421" s="5"/>
      <c r="AG421" s="9"/>
      <c r="AH421" s="9"/>
    </row>
    <row r="422" spans="2:34" hidden="1">
      <c r="B422" s="4">
        <v>2018</v>
      </c>
      <c r="C422" s="4" t="s">
        <v>44</v>
      </c>
      <c r="D422" s="3">
        <f t="shared" si="6"/>
        <v>167</v>
      </c>
      <c r="E422" s="3" t="s">
        <v>886</v>
      </c>
      <c r="G422" s="5" t="s">
        <v>374</v>
      </c>
      <c r="H422" s="5"/>
      <c r="I422" s="5" t="s">
        <v>136</v>
      </c>
      <c r="J422" s="7">
        <v>0</v>
      </c>
      <c r="M422" s="8">
        <v>0</v>
      </c>
      <c r="N422" s="7">
        <v>0</v>
      </c>
      <c r="P422" s="7">
        <v>86876449</v>
      </c>
      <c r="Q422" s="7">
        <v>86876449</v>
      </c>
      <c r="R422" s="5">
        <f>VLOOKUP($G422,Others!$E$260:$I$596,2,FALSE)</f>
        <v>0</v>
      </c>
      <c r="S422" s="5" t="str">
        <f>VLOOKUP($G422,Others!$E$260:$I$596,3,FALSE)</f>
        <v>Live Action</v>
      </c>
      <c r="T422" s="5" t="str">
        <f>VLOOKUP($G422,Others!$E$260:$I$596,4,FALSE)</f>
        <v>Contemporary Fiction</v>
      </c>
      <c r="U422" s="5" t="str">
        <f>IFERROR(VLOOKUP($G422,Ratings!$E$81:$I$111,5,FALSE),"None")</f>
        <v>None</v>
      </c>
      <c r="V422" s="5"/>
      <c r="X422" s="5"/>
      <c r="Y422" s="5"/>
      <c r="Z422" s="5"/>
      <c r="AA422" s="5"/>
      <c r="AB422" s="5"/>
      <c r="AC422" s="5"/>
      <c r="AG422" s="9"/>
      <c r="AH422" s="9"/>
    </row>
    <row r="423" spans="2:34">
      <c r="B423" s="4">
        <v>2018</v>
      </c>
      <c r="C423" s="4" t="s">
        <v>44</v>
      </c>
      <c r="D423" s="3">
        <f t="shared" si="6"/>
        <v>168</v>
      </c>
      <c r="E423" s="55" t="s">
        <v>886</v>
      </c>
      <c r="F423" s="56" t="s">
        <v>825</v>
      </c>
      <c r="G423" s="5" t="s">
        <v>363</v>
      </c>
      <c r="H423" s="5" t="s">
        <v>1428</v>
      </c>
      <c r="I423" s="5" t="s">
        <v>148</v>
      </c>
      <c r="J423" s="7">
        <v>11940298</v>
      </c>
      <c r="K423" s="7">
        <v>8955223</v>
      </c>
      <c r="L423" s="7">
        <v>73134328</v>
      </c>
      <c r="M423" s="8">
        <v>163093</v>
      </c>
      <c r="N423" s="7">
        <v>88210000</v>
      </c>
      <c r="O423" s="7">
        <v>189104477</v>
      </c>
      <c r="P423" s="7">
        <v>209221328</v>
      </c>
      <c r="Q423" s="7">
        <v>209221328</v>
      </c>
      <c r="R423" s="39" t="s">
        <v>606</v>
      </c>
      <c r="S423" s="5" t="str">
        <f>VLOOKUP($G423,Others!$E$260:$I$596,3,FALSE)</f>
        <v>Live Action</v>
      </c>
      <c r="T423" s="5" t="str">
        <f>VLOOKUP($G423,Others!$E$260:$I$596,4,FALSE)</f>
        <v>Contemporary Fiction</v>
      </c>
      <c r="U423" s="5" t="str">
        <f>IFERROR(VLOOKUP($G423,Ratings!$E$81:$I$111,5,FALSE),"None")</f>
        <v>None</v>
      </c>
      <c r="V423" s="5" t="s">
        <v>2120</v>
      </c>
      <c r="W423" s="5" t="s">
        <v>2121</v>
      </c>
      <c r="X423" s="5" t="s">
        <v>1963</v>
      </c>
      <c r="Y423" s="5" t="s">
        <v>2122</v>
      </c>
      <c r="Z423" s="5"/>
      <c r="AA423" s="5" t="s">
        <v>2123</v>
      </c>
      <c r="AB423" s="5"/>
      <c r="AC423" s="5" t="s">
        <v>1420</v>
      </c>
      <c r="AD423" s="9">
        <v>8.3000000000000007</v>
      </c>
      <c r="AE423" s="1" t="s">
        <v>1489</v>
      </c>
      <c r="AG423" s="9"/>
      <c r="AH423" s="9"/>
    </row>
    <row r="424" spans="2:34" hidden="1">
      <c r="B424" s="4">
        <v>2018</v>
      </c>
      <c r="C424" s="4" t="s">
        <v>44</v>
      </c>
      <c r="D424" s="3">
        <f t="shared" si="6"/>
        <v>169</v>
      </c>
      <c r="E424" s="3" t="s">
        <v>886</v>
      </c>
      <c r="G424" s="5" t="s">
        <v>385</v>
      </c>
      <c r="H424" s="5"/>
      <c r="I424" s="5" t="s">
        <v>136</v>
      </c>
      <c r="J424" s="7">
        <v>0</v>
      </c>
      <c r="M424" s="8">
        <v>0</v>
      </c>
      <c r="N424" s="7">
        <v>0</v>
      </c>
      <c r="P424" s="7">
        <v>37516290</v>
      </c>
      <c r="Q424" s="7">
        <v>37516290</v>
      </c>
      <c r="R424" s="5" t="str">
        <f>VLOOKUP($G424,Others!$E$260:$I$596,2,FALSE)</f>
        <v>Original Screenplay</v>
      </c>
      <c r="S424" s="5" t="str">
        <f>VLOOKUP($G424,Others!$E$260:$I$596,3,FALSE)</f>
        <v>Live Action</v>
      </c>
      <c r="T424" s="5" t="str">
        <f>VLOOKUP($G424,Others!$E$260:$I$596,4,FALSE)</f>
        <v>Contemporary Fiction</v>
      </c>
      <c r="U424" s="5" t="str">
        <f>IFERROR(VLOOKUP($G424,Ratings!$E$81:$I$111,5,FALSE),"None")</f>
        <v>None</v>
      </c>
      <c r="V424" s="5"/>
      <c r="X424" s="5"/>
      <c r="Y424" s="5"/>
      <c r="Z424" s="5"/>
      <c r="AA424" s="5"/>
      <c r="AB424" s="5"/>
      <c r="AC424" s="5"/>
      <c r="AG424" s="9"/>
      <c r="AH424" s="9"/>
    </row>
    <row r="425" spans="2:34" hidden="1">
      <c r="B425" s="4">
        <v>2018</v>
      </c>
      <c r="C425" s="4" t="s">
        <v>44</v>
      </c>
      <c r="D425" s="3">
        <f t="shared" si="6"/>
        <v>170</v>
      </c>
      <c r="E425" s="3" t="s">
        <v>886</v>
      </c>
      <c r="G425" s="5" t="s">
        <v>964</v>
      </c>
      <c r="H425" s="5"/>
      <c r="I425" s="5" t="s">
        <v>131</v>
      </c>
      <c r="J425" s="7">
        <v>0</v>
      </c>
      <c r="M425" s="8">
        <v>0</v>
      </c>
      <c r="N425" s="7">
        <v>0</v>
      </c>
      <c r="P425" s="7">
        <v>157047</v>
      </c>
      <c r="Q425" s="7">
        <v>157047</v>
      </c>
      <c r="R425" s="5">
        <f>VLOOKUP($G425,Others!$E$260:$I$596,2,FALSE)</f>
        <v>0</v>
      </c>
      <c r="S425" s="5" t="str">
        <f>VLOOKUP($G425,Others!$E$260:$I$596,3,FALSE)</f>
        <v>Live Action</v>
      </c>
      <c r="T425" s="5">
        <f>VLOOKUP($G425,Others!$E$260:$I$596,4,FALSE)</f>
        <v>0</v>
      </c>
      <c r="U425" s="5" t="str">
        <f>IFERROR(VLOOKUP($G425,Ratings!$E$81:$I$111,5,FALSE),"None")</f>
        <v>None</v>
      </c>
      <c r="V425" s="5"/>
      <c r="X425" s="5"/>
      <c r="Y425" s="5"/>
      <c r="Z425" s="5"/>
      <c r="AA425" s="5"/>
      <c r="AB425" s="5"/>
      <c r="AC425" s="5"/>
      <c r="AG425" s="9"/>
      <c r="AH425" s="9"/>
    </row>
    <row r="426" spans="2:34" hidden="1">
      <c r="B426" s="4">
        <v>2018</v>
      </c>
      <c r="C426" s="4" t="s">
        <v>44</v>
      </c>
      <c r="D426" s="3">
        <f t="shared" si="6"/>
        <v>171</v>
      </c>
      <c r="E426" s="3" t="s">
        <v>886</v>
      </c>
      <c r="G426" s="5" t="s">
        <v>145</v>
      </c>
      <c r="H426" s="5"/>
      <c r="I426" s="5" t="s">
        <v>127</v>
      </c>
      <c r="J426" s="7">
        <v>0</v>
      </c>
      <c r="M426" s="8">
        <v>0</v>
      </c>
      <c r="N426" s="7">
        <v>0</v>
      </c>
      <c r="P426" s="7">
        <v>107906177</v>
      </c>
      <c r="Q426" s="7">
        <v>107906177</v>
      </c>
      <c r="R426" s="5" t="str">
        <f>VLOOKUP($G426,Others!$E$260:$I$596,2,FALSE)</f>
        <v>Original Screenplay</v>
      </c>
      <c r="S426" s="5" t="str">
        <f>VLOOKUP($G426,Others!$E$260:$I$596,3,FALSE)</f>
        <v>Digital Animation</v>
      </c>
      <c r="T426" s="5" t="str">
        <f>VLOOKUP($G426,Others!$E$260:$I$596,4,FALSE)</f>
        <v>Kids Fiction</v>
      </c>
      <c r="U426" s="5" t="str">
        <f>IFERROR(VLOOKUP($G426,Ratings!$E$81:$I$111,5,FALSE),"None")</f>
        <v>None</v>
      </c>
      <c r="V426" s="5"/>
      <c r="X426" s="5"/>
      <c r="Y426" s="5"/>
      <c r="Z426" s="5"/>
      <c r="AA426" s="5"/>
      <c r="AB426" s="5"/>
      <c r="AC426" s="5"/>
      <c r="AG426" s="9"/>
      <c r="AH426" s="9"/>
    </row>
    <row r="427" spans="2:34">
      <c r="B427" s="4">
        <v>2019</v>
      </c>
      <c r="C427" s="4" t="s">
        <v>44</v>
      </c>
      <c r="D427" s="3">
        <f t="shared" si="6"/>
        <v>172</v>
      </c>
      <c r="E427" s="55" t="s">
        <v>886</v>
      </c>
      <c r="F427" s="3" t="s">
        <v>2124</v>
      </c>
      <c r="G427" s="5" t="s">
        <v>149</v>
      </c>
      <c r="H427" s="5" t="s">
        <v>1429</v>
      </c>
      <c r="I427" s="5" t="s">
        <v>136</v>
      </c>
      <c r="J427" s="7">
        <v>4500000</v>
      </c>
      <c r="K427" s="57" t="s">
        <v>1411</v>
      </c>
      <c r="L427" s="7">
        <v>32835821</v>
      </c>
      <c r="M427" s="8">
        <v>2345</v>
      </c>
      <c r="N427" s="7">
        <v>12836295</v>
      </c>
      <c r="O427" s="7">
        <v>93134328</v>
      </c>
      <c r="P427" s="7">
        <v>92796952</v>
      </c>
      <c r="Q427" s="7">
        <v>92796952</v>
      </c>
      <c r="R427" s="5" t="str">
        <f>VLOOKUP($G427,Others!$E$260:$I$596,2,FALSE)</f>
        <v>Original Screenplay</v>
      </c>
      <c r="S427" s="5" t="str">
        <f>VLOOKUP($G427,Others!$E$260:$I$596,3,FALSE)</f>
        <v>Live Action</v>
      </c>
      <c r="T427" s="5" t="str">
        <f>VLOOKUP($G427,Others!$E$260:$I$596,4,FALSE)</f>
        <v>Contemporary Fiction</v>
      </c>
      <c r="U427" s="5" t="str">
        <f>IFERROR(VLOOKUP($G427,Ratings!$E$81:$I$111,5,FALSE),"None")</f>
        <v>None</v>
      </c>
      <c r="V427" s="5" t="s">
        <v>2125</v>
      </c>
      <c r="W427" s="5" t="s">
        <v>2126</v>
      </c>
      <c r="X427" s="5" t="s">
        <v>1946</v>
      </c>
      <c r="Y427" s="5" t="s">
        <v>2127</v>
      </c>
      <c r="Z427" s="5" t="s">
        <v>2128</v>
      </c>
      <c r="AA427" s="5" t="s">
        <v>2129</v>
      </c>
      <c r="AB427" s="5"/>
      <c r="AC427" s="5" t="s">
        <v>1417</v>
      </c>
      <c r="AD427" s="9">
        <v>8</v>
      </c>
      <c r="AE427" s="1" t="s">
        <v>1489</v>
      </c>
      <c r="AG427" s="9"/>
      <c r="AH427" s="9"/>
    </row>
    <row r="428" spans="2:34" hidden="1">
      <c r="B428" s="4">
        <v>2018</v>
      </c>
      <c r="C428" s="4" t="s">
        <v>44</v>
      </c>
      <c r="D428" s="3">
        <f t="shared" si="6"/>
        <v>173</v>
      </c>
      <c r="E428" s="3" t="s">
        <v>886</v>
      </c>
      <c r="G428" s="5" t="s">
        <v>965</v>
      </c>
      <c r="H428" s="5"/>
      <c r="I428" s="5" t="s">
        <v>193</v>
      </c>
      <c r="J428" s="7">
        <v>0</v>
      </c>
      <c r="M428" s="8">
        <v>0</v>
      </c>
      <c r="N428" s="7">
        <v>0</v>
      </c>
      <c r="P428" s="7">
        <v>311586</v>
      </c>
      <c r="Q428" s="7">
        <v>311586</v>
      </c>
      <c r="R428" s="5">
        <f>VLOOKUP($G428,Others!$E$260:$I$596,2,FALSE)</f>
        <v>0</v>
      </c>
      <c r="S428" s="5" t="str">
        <f>VLOOKUP($G428,Others!$E$260:$I$596,3,FALSE)</f>
        <v>Live Action</v>
      </c>
      <c r="T428" s="5">
        <f>VLOOKUP($G428,Others!$E$260:$I$596,4,FALSE)</f>
        <v>0</v>
      </c>
      <c r="U428" s="5" t="str">
        <f>IFERROR(VLOOKUP($G428,Ratings!$E$81:$I$111,5,FALSE),"None")</f>
        <v>None</v>
      </c>
      <c r="V428" s="5"/>
      <c r="X428" s="5"/>
      <c r="Y428" s="5"/>
      <c r="Z428" s="5"/>
      <c r="AA428" s="5"/>
      <c r="AB428" s="5"/>
      <c r="AC428" s="5"/>
      <c r="AG428" s="9"/>
      <c r="AH428" s="9"/>
    </row>
    <row r="429" spans="2:34" hidden="1">
      <c r="B429" s="4">
        <v>2018</v>
      </c>
      <c r="C429" s="4" t="s">
        <v>44</v>
      </c>
      <c r="D429" s="3">
        <f t="shared" si="6"/>
        <v>174</v>
      </c>
      <c r="E429" s="3" t="s">
        <v>886</v>
      </c>
      <c r="G429" s="5" t="s">
        <v>546</v>
      </c>
      <c r="H429" s="5"/>
      <c r="I429" s="5" t="s">
        <v>131</v>
      </c>
      <c r="J429" s="7">
        <v>0</v>
      </c>
      <c r="M429" s="8">
        <v>0</v>
      </c>
      <c r="N429" s="7">
        <v>0</v>
      </c>
      <c r="P429" s="7">
        <v>6057</v>
      </c>
      <c r="Q429" s="7">
        <v>6057</v>
      </c>
      <c r="R429" s="5">
        <f>VLOOKUP($G429,Others!$E$260:$I$596,2,FALSE)</f>
        <v>0</v>
      </c>
      <c r="S429" s="5" t="str">
        <f>VLOOKUP($G429,Others!$E$260:$I$596,3,FALSE)</f>
        <v>Live Action</v>
      </c>
      <c r="T429" s="5">
        <f>VLOOKUP($G429,Others!$E$260:$I$596,4,FALSE)</f>
        <v>0</v>
      </c>
      <c r="U429" s="5" t="str">
        <f>IFERROR(VLOOKUP($G429,Ratings!$E$81:$I$111,5,FALSE),"None")</f>
        <v>None</v>
      </c>
      <c r="V429" s="5"/>
      <c r="X429" s="5"/>
      <c r="Y429" s="5"/>
      <c r="Z429" s="5"/>
      <c r="AA429" s="5"/>
      <c r="AB429" s="5"/>
      <c r="AC429" s="5"/>
      <c r="AG429" s="9"/>
      <c r="AH429" s="9"/>
    </row>
    <row r="430" spans="2:34" hidden="1">
      <c r="B430" s="4">
        <v>2018</v>
      </c>
      <c r="C430" s="4" t="s">
        <v>44</v>
      </c>
      <c r="D430" s="3">
        <f t="shared" si="6"/>
        <v>175</v>
      </c>
      <c r="E430" s="3" t="s">
        <v>886</v>
      </c>
      <c r="G430" s="5" t="s">
        <v>484</v>
      </c>
      <c r="H430" s="5"/>
      <c r="I430" s="5" t="s">
        <v>131</v>
      </c>
      <c r="J430" s="7">
        <v>0</v>
      </c>
      <c r="M430" s="8">
        <v>0</v>
      </c>
      <c r="N430" s="7">
        <v>0</v>
      </c>
      <c r="P430" s="7">
        <v>299510</v>
      </c>
      <c r="Q430" s="7">
        <v>299510</v>
      </c>
      <c r="R430" s="5" t="str">
        <f>VLOOKUP($G430,Others!$E$260:$I$596,2,FALSE)</f>
        <v>Original Screenplay</v>
      </c>
      <c r="S430" s="5" t="str">
        <f>VLOOKUP($G430,Others!$E$260:$I$596,3,FALSE)</f>
        <v>Live Action</v>
      </c>
      <c r="T430" s="5" t="str">
        <f>VLOOKUP($G430,Others!$E$260:$I$596,4,FALSE)</f>
        <v>Fantasy</v>
      </c>
      <c r="U430" s="5" t="str">
        <f>IFERROR(VLOOKUP($G430,Ratings!$E$81:$I$111,5,FALSE),"None")</f>
        <v>None</v>
      </c>
      <c r="V430" s="5"/>
      <c r="X430" s="5"/>
      <c r="Y430" s="5"/>
      <c r="Z430" s="5"/>
      <c r="AA430" s="5"/>
      <c r="AB430" s="5"/>
      <c r="AC430" s="5"/>
      <c r="AG430" s="9"/>
      <c r="AH430" s="9"/>
    </row>
    <row r="431" spans="2:34" hidden="1">
      <c r="B431" s="4">
        <v>2018</v>
      </c>
      <c r="C431" s="4" t="s">
        <v>44</v>
      </c>
      <c r="D431" s="3">
        <f t="shared" si="6"/>
        <v>176</v>
      </c>
      <c r="E431" s="3" t="s">
        <v>886</v>
      </c>
      <c r="G431" s="5" t="s">
        <v>476</v>
      </c>
      <c r="H431" s="5"/>
      <c r="I431" s="5" t="s">
        <v>131</v>
      </c>
      <c r="J431" s="7">
        <v>0</v>
      </c>
      <c r="M431" s="8">
        <v>0</v>
      </c>
      <c r="N431" s="7">
        <v>0</v>
      </c>
      <c r="P431" s="7">
        <v>399868</v>
      </c>
      <c r="Q431" s="7">
        <v>399868</v>
      </c>
      <c r="R431" s="5" t="str">
        <f>VLOOKUP($G431,Others!$E$260:$I$596,2,FALSE)</f>
        <v>Original Screenplay</v>
      </c>
      <c r="S431" s="5" t="str">
        <f>VLOOKUP($G431,Others!$E$260:$I$596,3,FALSE)</f>
        <v>Live Action</v>
      </c>
      <c r="T431" s="5" t="str">
        <f>VLOOKUP($G431,Others!$E$260:$I$596,4,FALSE)</f>
        <v>Historical Fiction</v>
      </c>
      <c r="U431" s="5" t="str">
        <f>IFERROR(VLOOKUP($G431,Ratings!$E$81:$I$111,5,FALSE),"None")</f>
        <v>None</v>
      </c>
      <c r="V431" s="5"/>
      <c r="X431" s="5"/>
      <c r="Y431" s="5"/>
      <c r="Z431" s="5"/>
      <c r="AA431" s="5"/>
      <c r="AB431" s="5"/>
      <c r="AC431" s="5"/>
      <c r="AG431" s="9"/>
      <c r="AH431" s="9"/>
    </row>
    <row r="432" spans="2:34" hidden="1">
      <c r="B432" s="4">
        <v>2018</v>
      </c>
      <c r="C432" s="4" t="s">
        <v>44</v>
      </c>
      <c r="D432" s="3">
        <f t="shared" si="6"/>
        <v>177</v>
      </c>
      <c r="E432" s="3" t="s">
        <v>886</v>
      </c>
      <c r="G432" s="5" t="s">
        <v>966</v>
      </c>
      <c r="H432" s="5"/>
      <c r="I432" s="5" t="s">
        <v>131</v>
      </c>
      <c r="J432" s="7">
        <v>0</v>
      </c>
      <c r="M432" s="8">
        <v>0</v>
      </c>
      <c r="N432" s="7">
        <v>0</v>
      </c>
      <c r="P432" s="7">
        <v>156248</v>
      </c>
      <c r="Q432" s="7">
        <v>156248</v>
      </c>
      <c r="R432" s="5">
        <f>VLOOKUP($G432,Others!$E$260:$I$596,2,FALSE)</f>
        <v>0</v>
      </c>
      <c r="S432" s="5" t="str">
        <f>VLOOKUP($G432,Others!$E$260:$I$596,3,FALSE)</f>
        <v>Live Action</v>
      </c>
      <c r="T432" s="5">
        <f>VLOOKUP($G432,Others!$E$260:$I$596,4,FALSE)</f>
        <v>0</v>
      </c>
      <c r="U432" s="5" t="str">
        <f>IFERROR(VLOOKUP($G432,Ratings!$E$81:$I$111,5,FALSE),"None")</f>
        <v>None</v>
      </c>
      <c r="V432" s="5"/>
      <c r="X432" s="5"/>
      <c r="Y432" s="5"/>
      <c r="Z432" s="5"/>
      <c r="AA432" s="5"/>
      <c r="AB432" s="5"/>
      <c r="AC432" s="5"/>
      <c r="AG432" s="9"/>
      <c r="AH432" s="9"/>
    </row>
    <row r="433" spans="2:34" hidden="1">
      <c r="B433" s="4">
        <v>2018</v>
      </c>
      <c r="C433" s="4" t="s">
        <v>44</v>
      </c>
      <c r="D433" s="3">
        <f t="shared" si="6"/>
        <v>178</v>
      </c>
      <c r="E433" s="3" t="s">
        <v>886</v>
      </c>
      <c r="G433" s="5" t="s">
        <v>549</v>
      </c>
      <c r="H433" s="5"/>
      <c r="I433" s="5" t="s">
        <v>136</v>
      </c>
      <c r="J433" s="7">
        <v>0</v>
      </c>
      <c r="M433" s="8">
        <v>0</v>
      </c>
      <c r="N433" s="7">
        <v>0</v>
      </c>
      <c r="P433" s="7">
        <v>4995</v>
      </c>
      <c r="Q433" s="7">
        <v>4995</v>
      </c>
      <c r="R433" s="5">
        <f>VLOOKUP($G433,Others!$E$260:$I$596,2,FALSE)</f>
        <v>0</v>
      </c>
      <c r="S433" s="5" t="str">
        <f>VLOOKUP($G433,Others!$E$260:$I$596,3,FALSE)</f>
        <v>Live Action</v>
      </c>
      <c r="T433" s="5" t="str">
        <f>VLOOKUP($G433,Others!$E$260:$I$596,4,FALSE)</f>
        <v>Contemporary Fiction</v>
      </c>
      <c r="U433" s="5" t="str">
        <f>IFERROR(VLOOKUP($G433,Ratings!$E$81:$I$111,5,FALSE),"None")</f>
        <v>None</v>
      </c>
      <c r="V433" s="5"/>
      <c r="X433" s="5"/>
      <c r="Y433" s="5"/>
      <c r="Z433" s="5"/>
      <c r="AA433" s="5"/>
      <c r="AB433" s="5"/>
      <c r="AC433" s="5"/>
      <c r="AG433" s="9"/>
      <c r="AH433" s="9"/>
    </row>
    <row r="434" spans="2:34" hidden="1">
      <c r="B434" s="4">
        <v>2018</v>
      </c>
      <c r="C434" s="4" t="s">
        <v>44</v>
      </c>
      <c r="D434" s="3">
        <f t="shared" si="6"/>
        <v>179</v>
      </c>
      <c r="E434" s="3" t="s">
        <v>886</v>
      </c>
      <c r="G434" s="5" t="s">
        <v>967</v>
      </c>
      <c r="H434" s="5"/>
      <c r="I434" s="5" t="s">
        <v>154</v>
      </c>
      <c r="J434" s="7">
        <v>0</v>
      </c>
      <c r="M434" s="8">
        <v>0</v>
      </c>
      <c r="N434" s="7">
        <v>0</v>
      </c>
      <c r="P434" s="7">
        <v>36375</v>
      </c>
      <c r="Q434" s="7">
        <v>36375</v>
      </c>
      <c r="R434" s="5">
        <f>VLOOKUP($G434,Others!$E$260:$I$596,2,FALSE)</f>
        <v>0</v>
      </c>
      <c r="S434" s="5" t="str">
        <f>VLOOKUP($G434,Others!$E$260:$I$596,3,FALSE)</f>
        <v>Live Action</v>
      </c>
      <c r="T434" s="5">
        <f>VLOOKUP($G434,Others!$E$260:$I$596,4,FALSE)</f>
        <v>0</v>
      </c>
      <c r="U434" s="5" t="str">
        <f>IFERROR(VLOOKUP($G434,Ratings!$E$81:$I$111,5,FALSE),"None")</f>
        <v>None</v>
      </c>
      <c r="V434" s="5"/>
      <c r="X434" s="5"/>
      <c r="Y434" s="5"/>
      <c r="Z434" s="5"/>
      <c r="AA434" s="5"/>
      <c r="AB434" s="5"/>
      <c r="AC434" s="5"/>
      <c r="AG434" s="9"/>
      <c r="AH434" s="9"/>
    </row>
    <row r="435" spans="2:34" hidden="1">
      <c r="B435" s="4">
        <v>2018</v>
      </c>
      <c r="C435" s="4" t="s">
        <v>44</v>
      </c>
      <c r="D435" s="3">
        <f t="shared" si="6"/>
        <v>180</v>
      </c>
      <c r="E435" s="3" t="s">
        <v>886</v>
      </c>
      <c r="G435" s="5" t="s">
        <v>474</v>
      </c>
      <c r="H435" s="5"/>
      <c r="I435" s="5" t="s">
        <v>131</v>
      </c>
      <c r="J435" s="7">
        <v>0</v>
      </c>
      <c r="M435" s="8">
        <v>0</v>
      </c>
      <c r="N435" s="7">
        <v>0</v>
      </c>
      <c r="P435" s="7">
        <v>447191</v>
      </c>
      <c r="Q435" s="7">
        <v>447191</v>
      </c>
      <c r="R435" s="5">
        <f>VLOOKUP($G435,Others!$E$260:$I$596,2,FALSE)</f>
        <v>0</v>
      </c>
      <c r="S435" s="5" t="str">
        <f>VLOOKUP($G435,Others!$E$260:$I$596,3,FALSE)</f>
        <v>Live Action</v>
      </c>
      <c r="T435" s="5">
        <f>VLOOKUP($G435,Others!$E$260:$I$596,4,FALSE)</f>
        <v>0</v>
      </c>
      <c r="U435" s="5" t="str">
        <f>IFERROR(VLOOKUP($G435,Ratings!$E$81:$I$111,5,FALSE),"None")</f>
        <v>None</v>
      </c>
      <c r="V435" s="5"/>
      <c r="X435" s="5"/>
      <c r="Y435" s="5"/>
      <c r="Z435" s="5"/>
      <c r="AA435" s="5"/>
      <c r="AB435" s="5"/>
      <c r="AC435" s="5"/>
      <c r="AG435" s="9"/>
      <c r="AH435" s="9"/>
    </row>
    <row r="436" spans="2:34" hidden="1">
      <c r="B436" s="4">
        <v>2018</v>
      </c>
      <c r="C436" s="4" t="s">
        <v>44</v>
      </c>
      <c r="D436" s="3">
        <f t="shared" si="6"/>
        <v>181</v>
      </c>
      <c r="E436" s="3" t="s">
        <v>886</v>
      </c>
      <c r="G436" s="5" t="s">
        <v>473</v>
      </c>
      <c r="H436" s="5"/>
      <c r="I436" s="5" t="s">
        <v>148</v>
      </c>
      <c r="J436" s="7">
        <v>0</v>
      </c>
      <c r="M436" s="8">
        <v>0</v>
      </c>
      <c r="N436" s="7">
        <v>0</v>
      </c>
      <c r="P436" s="7">
        <v>457137</v>
      </c>
      <c r="Q436" s="7">
        <v>457137</v>
      </c>
      <c r="R436" s="5">
        <f>VLOOKUP($G436,Others!$E$260:$I$596,2,FALSE)</f>
        <v>0</v>
      </c>
      <c r="S436" s="5" t="str">
        <f>VLOOKUP($G436,Others!$E$260:$I$596,3,FALSE)</f>
        <v>Live Action</v>
      </c>
      <c r="T436" s="5">
        <f>VLOOKUP($G436,Others!$E$260:$I$596,4,FALSE)</f>
        <v>0</v>
      </c>
      <c r="U436" s="5" t="str">
        <f>IFERROR(VLOOKUP($G436,Ratings!$E$81:$I$111,5,FALSE),"None")</f>
        <v>None</v>
      </c>
      <c r="V436" s="5"/>
      <c r="X436" s="5"/>
      <c r="Y436" s="5"/>
      <c r="Z436" s="5"/>
      <c r="AA436" s="5"/>
      <c r="AB436" s="5"/>
      <c r="AC436" s="5"/>
      <c r="AG436" s="9"/>
      <c r="AH436" s="9"/>
    </row>
    <row r="437" spans="2:34" hidden="1">
      <c r="B437" s="4">
        <v>2018</v>
      </c>
      <c r="C437" s="4" t="s">
        <v>44</v>
      </c>
      <c r="D437" s="3">
        <f t="shared" si="6"/>
        <v>182</v>
      </c>
      <c r="E437" s="3" t="s">
        <v>886</v>
      </c>
      <c r="G437" s="5" t="s">
        <v>551</v>
      </c>
      <c r="H437" s="5"/>
      <c r="I437" s="5" t="s">
        <v>131</v>
      </c>
      <c r="J437" s="7">
        <v>0</v>
      </c>
      <c r="M437" s="8">
        <v>0</v>
      </c>
      <c r="N437" s="7">
        <v>0</v>
      </c>
      <c r="P437" s="7">
        <v>2198</v>
      </c>
      <c r="Q437" s="7">
        <v>2198</v>
      </c>
      <c r="R437" s="5">
        <f>VLOOKUP($G437,Others!$E$260:$I$596,2,FALSE)</f>
        <v>0</v>
      </c>
      <c r="S437" s="5" t="str">
        <f>VLOOKUP($G437,Others!$E$260:$I$596,3,FALSE)</f>
        <v>Live Action</v>
      </c>
      <c r="T437" s="5" t="str">
        <f>VLOOKUP($G437,Others!$E$260:$I$596,4,FALSE)</f>
        <v>Contemporary Fiction</v>
      </c>
      <c r="U437" s="5" t="str">
        <f>IFERROR(VLOOKUP($G437,Ratings!$E$81:$I$111,5,FALSE),"None")</f>
        <v>None</v>
      </c>
      <c r="V437" s="5"/>
      <c r="X437" s="5"/>
      <c r="Y437" s="5"/>
      <c r="Z437" s="5"/>
      <c r="AA437" s="5"/>
      <c r="AB437" s="5"/>
      <c r="AC437" s="5"/>
      <c r="AG437" s="9"/>
      <c r="AH437" s="9"/>
    </row>
    <row r="438" spans="2:34" hidden="1">
      <c r="B438" s="4">
        <v>2018</v>
      </c>
      <c r="C438" s="4" t="s">
        <v>44</v>
      </c>
      <c r="D438" s="3">
        <f t="shared" si="6"/>
        <v>183</v>
      </c>
      <c r="E438" s="3" t="s">
        <v>886</v>
      </c>
      <c r="G438" s="5" t="s">
        <v>968</v>
      </c>
      <c r="H438" s="5"/>
      <c r="I438" s="5" t="s">
        <v>131</v>
      </c>
      <c r="J438" s="7">
        <v>0</v>
      </c>
      <c r="M438" s="8">
        <v>0</v>
      </c>
      <c r="N438" s="7">
        <v>0</v>
      </c>
      <c r="P438" s="7">
        <v>208209</v>
      </c>
      <c r="Q438" s="7">
        <v>208209</v>
      </c>
      <c r="R438" s="5">
        <f>VLOOKUP($G438,Others!$E$260:$I$596,2,FALSE)</f>
        <v>0</v>
      </c>
      <c r="S438" s="5" t="str">
        <f>VLOOKUP($G438,Others!$E$260:$I$596,3,FALSE)</f>
        <v>Live Action</v>
      </c>
      <c r="T438" s="5">
        <f>VLOOKUP($G438,Others!$E$260:$I$596,4,FALSE)</f>
        <v>0</v>
      </c>
      <c r="U438" s="5" t="str">
        <f>IFERROR(VLOOKUP($G438,Ratings!$E$81:$I$111,5,FALSE),"None")</f>
        <v>None</v>
      </c>
      <c r="V438" s="5"/>
      <c r="X438" s="5"/>
      <c r="Y438" s="5"/>
      <c r="Z438" s="5"/>
      <c r="AA438" s="5"/>
      <c r="AB438" s="5"/>
      <c r="AC438" s="5"/>
      <c r="AG438" s="9"/>
      <c r="AH438" s="9"/>
    </row>
    <row r="439" spans="2:34" hidden="1">
      <c r="B439" s="4">
        <v>2018</v>
      </c>
      <c r="C439" s="4" t="s">
        <v>44</v>
      </c>
      <c r="D439" s="3">
        <f t="shared" si="6"/>
        <v>184</v>
      </c>
      <c r="E439" s="3" t="s">
        <v>886</v>
      </c>
      <c r="G439" s="5" t="s">
        <v>511</v>
      </c>
      <c r="H439" s="5"/>
      <c r="I439" s="5" t="s">
        <v>154</v>
      </c>
      <c r="J439" s="7">
        <v>0</v>
      </c>
      <c r="M439" s="8">
        <v>0</v>
      </c>
      <c r="N439" s="7">
        <v>0</v>
      </c>
      <c r="P439" s="7">
        <v>92673</v>
      </c>
      <c r="Q439" s="7">
        <v>92673</v>
      </c>
      <c r="R439" s="5">
        <f>VLOOKUP($G439,Others!$E$260:$I$596,2,FALSE)</f>
        <v>0</v>
      </c>
      <c r="S439" s="5" t="str">
        <f>VLOOKUP($G439,Others!$E$260:$I$596,3,FALSE)</f>
        <v>Live Action</v>
      </c>
      <c r="T439" s="5" t="str">
        <f>VLOOKUP($G439,Others!$E$260:$I$596,4,FALSE)</f>
        <v>Contemporary Fiction</v>
      </c>
      <c r="U439" s="5" t="str">
        <f>IFERROR(VLOOKUP($G439,Ratings!$E$81:$I$111,5,FALSE),"None")</f>
        <v>None</v>
      </c>
      <c r="V439" s="5"/>
      <c r="X439" s="5"/>
      <c r="Y439" s="5"/>
      <c r="Z439" s="5"/>
      <c r="AA439" s="5"/>
      <c r="AB439" s="5"/>
      <c r="AC439" s="5"/>
      <c r="AG439" s="9"/>
      <c r="AH439" s="9"/>
    </row>
    <row r="440" spans="2:34">
      <c r="B440" s="4">
        <v>2018</v>
      </c>
      <c r="C440" s="4" t="s">
        <v>44</v>
      </c>
      <c r="D440" s="3">
        <f t="shared" si="6"/>
        <v>185</v>
      </c>
      <c r="E440" s="55" t="s">
        <v>886</v>
      </c>
      <c r="F440" s="56" t="s">
        <v>2114</v>
      </c>
      <c r="G440" s="5" t="s">
        <v>232</v>
      </c>
      <c r="H440" s="5" t="s">
        <v>1430</v>
      </c>
      <c r="I440" s="5" t="s">
        <v>136</v>
      </c>
      <c r="J440" s="7">
        <f>0.4*100000000/6.7</f>
        <v>5970149.253731343</v>
      </c>
      <c r="K440" s="57" t="s">
        <v>1411</v>
      </c>
      <c r="L440" s="7">
        <f>0.06*100000000/6.7</f>
        <v>895522.38805970142</v>
      </c>
      <c r="M440" s="8">
        <v>48798</v>
      </c>
      <c r="N440" s="7">
        <v>2190000</v>
      </c>
      <c r="O440" s="7">
        <f>0.17*100000000/6.7</f>
        <v>2537313.4328358206</v>
      </c>
      <c r="P440" s="7">
        <v>2415054</v>
      </c>
      <c r="Q440" s="7">
        <v>2415054</v>
      </c>
      <c r="R440" s="5" t="str">
        <f>VLOOKUP($G440,Others!$E$260:$I$596,2,FALSE)</f>
        <v>Original Screenplay</v>
      </c>
      <c r="S440" s="5" t="str">
        <f>VLOOKUP($G440,Others!$E$260:$I$596,3,FALSE)</f>
        <v>Live Action</v>
      </c>
      <c r="T440" s="5" t="str">
        <f>VLOOKUP($G440,Others!$E$260:$I$596,4,FALSE)</f>
        <v>Contemporary Fiction</v>
      </c>
      <c r="U440" s="5" t="str">
        <f>IFERROR(VLOOKUP($G440,Ratings!$E$81:$I$111,5,FALSE),"None")</f>
        <v>None</v>
      </c>
      <c r="V440" s="5" t="s">
        <v>2130</v>
      </c>
      <c r="W440" s="5" t="s">
        <v>2131</v>
      </c>
      <c r="X440" s="5" t="s">
        <v>1994</v>
      </c>
      <c r="Y440" s="5" t="s">
        <v>2132</v>
      </c>
      <c r="Z440" s="5" t="s">
        <v>2133</v>
      </c>
      <c r="AA440" s="5" t="s">
        <v>1994</v>
      </c>
      <c r="AB440" s="5"/>
      <c r="AC440" s="5" t="s">
        <v>2134</v>
      </c>
      <c r="AD440" s="9">
        <v>6.2</v>
      </c>
      <c r="AE440" s="1" t="s">
        <v>1489</v>
      </c>
      <c r="AG440" s="9"/>
      <c r="AH440" s="9"/>
    </row>
    <row r="441" spans="2:34" hidden="1">
      <c r="B441" s="4">
        <v>2018</v>
      </c>
      <c r="C441" s="4" t="s">
        <v>44</v>
      </c>
      <c r="D441" s="3">
        <f t="shared" si="6"/>
        <v>186</v>
      </c>
      <c r="E441" s="3" t="s">
        <v>886</v>
      </c>
      <c r="G441" s="5" t="s">
        <v>969</v>
      </c>
      <c r="H441" s="5"/>
      <c r="I441" s="5" t="s">
        <v>136</v>
      </c>
      <c r="J441" s="7">
        <v>0</v>
      </c>
      <c r="M441" s="8">
        <v>0</v>
      </c>
      <c r="N441" s="7">
        <v>0</v>
      </c>
      <c r="P441" s="7">
        <v>49227</v>
      </c>
      <c r="Q441" s="7">
        <v>49227</v>
      </c>
      <c r="R441" s="5">
        <f>VLOOKUP($G441,Others!$E$260:$I$596,2,FALSE)</f>
        <v>0</v>
      </c>
      <c r="S441" s="5" t="str">
        <f>VLOOKUP($G441,Others!$E$260:$I$596,3,FALSE)</f>
        <v>Live Action</v>
      </c>
      <c r="T441" s="5">
        <f>VLOOKUP($G441,Others!$E$260:$I$596,4,FALSE)</f>
        <v>0</v>
      </c>
      <c r="U441" s="5" t="str">
        <f>IFERROR(VLOOKUP($G441,Ratings!$E$81:$I$111,5,FALSE),"None")</f>
        <v>None</v>
      </c>
      <c r="V441" s="5"/>
      <c r="X441" s="5"/>
      <c r="Y441" s="5"/>
      <c r="Z441" s="5"/>
      <c r="AA441" s="5"/>
      <c r="AB441" s="5"/>
      <c r="AC441" s="5"/>
      <c r="AG441" s="9"/>
      <c r="AH441" s="9"/>
    </row>
    <row r="442" spans="2:34" hidden="1">
      <c r="B442" s="4">
        <v>2018</v>
      </c>
      <c r="C442" s="4" t="s">
        <v>44</v>
      </c>
      <c r="D442" s="3">
        <f t="shared" si="6"/>
        <v>187</v>
      </c>
      <c r="E442" s="3" t="s">
        <v>886</v>
      </c>
      <c r="G442" s="5" t="s">
        <v>970</v>
      </c>
      <c r="H442" s="5"/>
      <c r="I442" s="5" t="s">
        <v>154</v>
      </c>
      <c r="J442" s="7">
        <v>0</v>
      </c>
      <c r="M442" s="8">
        <v>0</v>
      </c>
      <c r="N442" s="7">
        <v>0</v>
      </c>
      <c r="P442" s="7">
        <v>36540</v>
      </c>
      <c r="Q442" s="7">
        <v>36540</v>
      </c>
      <c r="R442" s="5" t="str">
        <f>VLOOKUP($G442,Others!$E$260:$I$596,2,FALSE)</f>
        <v>Original Screenplay</v>
      </c>
      <c r="S442" s="5" t="str">
        <f>VLOOKUP($G442,Others!$E$260:$I$596,3,FALSE)</f>
        <v>Live Action</v>
      </c>
      <c r="T442" s="5">
        <f>VLOOKUP($G442,Others!$E$260:$I$596,4,FALSE)</f>
        <v>0</v>
      </c>
      <c r="U442" s="5" t="str">
        <f>IFERROR(VLOOKUP($G442,Ratings!$E$81:$I$111,5,FALSE),"None")</f>
        <v>None</v>
      </c>
      <c r="V442" s="5"/>
      <c r="X442" s="5"/>
      <c r="Y442" s="5"/>
      <c r="Z442" s="5"/>
      <c r="AA442" s="5"/>
      <c r="AB442" s="5"/>
      <c r="AC442" s="5"/>
      <c r="AG442" s="9"/>
      <c r="AH442" s="9"/>
    </row>
    <row r="443" spans="2:34" hidden="1">
      <c r="B443" s="4">
        <v>2018</v>
      </c>
      <c r="C443" s="4" t="s">
        <v>44</v>
      </c>
      <c r="D443" s="3">
        <f t="shared" si="6"/>
        <v>188</v>
      </c>
      <c r="E443" s="3" t="s">
        <v>886</v>
      </c>
      <c r="G443" s="5" t="s">
        <v>971</v>
      </c>
      <c r="H443" s="5"/>
      <c r="J443" s="7">
        <v>0</v>
      </c>
      <c r="M443" s="8">
        <v>0</v>
      </c>
      <c r="N443" s="7">
        <v>0</v>
      </c>
      <c r="P443" s="7">
        <v>32279</v>
      </c>
      <c r="Q443" s="7">
        <v>32279</v>
      </c>
      <c r="R443" s="5">
        <f>VLOOKUP($G443,Others!$E$260:$I$596,2,FALSE)</f>
        <v>0</v>
      </c>
      <c r="S443" s="5">
        <f>VLOOKUP($G443,Others!$E$260:$I$596,3,FALSE)</f>
        <v>0</v>
      </c>
      <c r="T443" s="5">
        <f>VLOOKUP($G443,Others!$E$260:$I$596,4,FALSE)</f>
        <v>0</v>
      </c>
      <c r="U443" s="5" t="str">
        <f>IFERROR(VLOOKUP($G443,Ratings!$E$81:$I$111,5,FALSE),"None")</f>
        <v>None</v>
      </c>
      <c r="V443" s="5"/>
      <c r="X443" s="5"/>
      <c r="Y443" s="5"/>
      <c r="Z443" s="5"/>
      <c r="AA443" s="5"/>
      <c r="AB443" s="5"/>
      <c r="AC443" s="5"/>
      <c r="AG443" s="9"/>
      <c r="AH443" s="9"/>
    </row>
    <row r="444" spans="2:34" hidden="1">
      <c r="B444" s="4">
        <v>2018</v>
      </c>
      <c r="C444" s="4" t="s">
        <v>44</v>
      </c>
      <c r="D444" s="3">
        <f t="shared" si="6"/>
        <v>189</v>
      </c>
      <c r="E444" s="3" t="s">
        <v>886</v>
      </c>
      <c r="G444" s="5" t="s">
        <v>972</v>
      </c>
      <c r="H444" s="5"/>
      <c r="I444" s="5" t="s">
        <v>191</v>
      </c>
      <c r="J444" s="7">
        <v>0</v>
      </c>
      <c r="M444" s="8">
        <v>0</v>
      </c>
      <c r="N444" s="7">
        <v>0</v>
      </c>
      <c r="P444" s="7">
        <v>16915</v>
      </c>
      <c r="Q444" s="7">
        <v>16915</v>
      </c>
      <c r="R444" s="5" t="str">
        <f>VLOOKUP($G444,Others!$E$260:$I$596,2,FALSE)</f>
        <v>Based on Real Life Events</v>
      </c>
      <c r="S444" s="5" t="str">
        <f>VLOOKUP($G444,Others!$E$260:$I$596,3,FALSE)</f>
        <v>Live Action</v>
      </c>
      <c r="T444" s="5" t="str">
        <f>VLOOKUP($G444,Others!$E$260:$I$596,4,FALSE)</f>
        <v>Factual</v>
      </c>
      <c r="U444" s="5" t="str">
        <f>IFERROR(VLOOKUP($G444,Ratings!$E$81:$I$111,5,FALSE),"None")</f>
        <v>None</v>
      </c>
      <c r="V444" s="5"/>
      <c r="X444" s="5"/>
      <c r="Y444" s="5"/>
      <c r="Z444" s="5"/>
      <c r="AA444" s="5"/>
      <c r="AB444" s="5"/>
      <c r="AC444" s="5"/>
      <c r="AG444" s="9"/>
      <c r="AH444" s="9"/>
    </row>
    <row r="445" spans="2:34" hidden="1">
      <c r="B445" s="4">
        <v>2018</v>
      </c>
      <c r="C445" s="4" t="s">
        <v>44</v>
      </c>
      <c r="D445" s="3">
        <f t="shared" si="6"/>
        <v>190</v>
      </c>
      <c r="E445" s="3" t="s">
        <v>886</v>
      </c>
      <c r="G445" s="5" t="s">
        <v>540</v>
      </c>
      <c r="H445" s="5"/>
      <c r="I445" s="5" t="s">
        <v>136</v>
      </c>
      <c r="J445" s="7">
        <v>0</v>
      </c>
      <c r="M445" s="8">
        <v>0</v>
      </c>
      <c r="N445" s="7">
        <v>0</v>
      </c>
      <c r="P445" s="7">
        <v>14496</v>
      </c>
      <c r="Q445" s="7">
        <v>14496</v>
      </c>
      <c r="R445" s="5">
        <f>VLOOKUP($G445,Others!$E$260:$I$596,2,FALSE)</f>
        <v>0</v>
      </c>
      <c r="S445" s="5" t="str">
        <f>VLOOKUP($G445,Others!$E$260:$I$596,3,FALSE)</f>
        <v>Live Action</v>
      </c>
      <c r="T445" s="5">
        <f>VLOOKUP($G445,Others!$E$260:$I$596,4,FALSE)</f>
        <v>0</v>
      </c>
      <c r="U445" s="5" t="str">
        <f>IFERROR(VLOOKUP($G445,Ratings!$E$81:$I$111,5,FALSE),"None")</f>
        <v>None</v>
      </c>
      <c r="V445" s="5"/>
      <c r="X445" s="5"/>
      <c r="Y445" s="5"/>
      <c r="Z445" s="5"/>
      <c r="AA445" s="5"/>
      <c r="AB445" s="5"/>
      <c r="AC445" s="5"/>
      <c r="AG445" s="9"/>
      <c r="AH445" s="9"/>
    </row>
    <row r="446" spans="2:34">
      <c r="B446" s="4">
        <v>2019</v>
      </c>
      <c r="C446" s="4" t="s">
        <v>44</v>
      </c>
      <c r="D446" s="3">
        <f t="shared" si="6"/>
        <v>191</v>
      </c>
      <c r="E446" s="55" t="s">
        <v>886</v>
      </c>
      <c r="F446" s="3" t="s">
        <v>632</v>
      </c>
      <c r="G446" s="5" t="s">
        <v>194</v>
      </c>
      <c r="H446" s="5" t="s">
        <v>1431</v>
      </c>
      <c r="I446" s="5" t="s">
        <v>148</v>
      </c>
      <c r="J446" s="7">
        <f>1.2*100000000/6.7</f>
        <v>17910447.761194028</v>
      </c>
      <c r="K446" s="57" t="s">
        <v>1411</v>
      </c>
      <c r="L446" s="7">
        <f>0.17*100000000/6.7</f>
        <v>2537313.4328358206</v>
      </c>
      <c r="M446" s="8">
        <v>46956</v>
      </c>
      <c r="N446" s="7">
        <v>3960000</v>
      </c>
      <c r="O446" s="7">
        <v>7462686</v>
      </c>
      <c r="P446" s="7">
        <v>7322128</v>
      </c>
      <c r="Q446" s="7">
        <v>7322128</v>
      </c>
      <c r="R446" s="39" t="s">
        <v>606</v>
      </c>
      <c r="S446" s="5" t="str">
        <f>VLOOKUP($G446,Others!$E$260:$I$596,3,FALSE)</f>
        <v>Live Action</v>
      </c>
      <c r="T446" s="5">
        <f>VLOOKUP($G446,Others!$E$260:$I$596,4,FALSE)</f>
        <v>0</v>
      </c>
      <c r="U446" s="5" t="str">
        <f>IFERROR(VLOOKUP($G446,Ratings!$E$81:$I$111,5,FALSE),"None")</f>
        <v>None</v>
      </c>
      <c r="V446" s="5" t="s">
        <v>2135</v>
      </c>
      <c r="W446" s="5" t="s">
        <v>2136</v>
      </c>
      <c r="X446" s="5" t="s">
        <v>1962</v>
      </c>
      <c r="Y446" s="5" t="s">
        <v>2137</v>
      </c>
      <c r="Z446" s="5"/>
      <c r="AA446" s="5" t="s">
        <v>2138</v>
      </c>
      <c r="AB446" s="5"/>
      <c r="AC446" s="5" t="s">
        <v>2139</v>
      </c>
      <c r="AD446" s="9">
        <v>8.4</v>
      </c>
      <c r="AE446" s="1" t="s">
        <v>1489</v>
      </c>
      <c r="AG446" s="9"/>
      <c r="AH446" s="9"/>
    </row>
    <row r="447" spans="2:34" hidden="1">
      <c r="B447" s="4">
        <v>2018</v>
      </c>
      <c r="C447" s="4" t="s">
        <v>44</v>
      </c>
      <c r="D447" s="3">
        <f t="shared" si="6"/>
        <v>192</v>
      </c>
      <c r="E447" s="3" t="s">
        <v>886</v>
      </c>
      <c r="G447" s="5" t="s">
        <v>973</v>
      </c>
      <c r="H447" s="5"/>
      <c r="I447" s="5" t="s">
        <v>131</v>
      </c>
      <c r="J447" s="7">
        <v>0</v>
      </c>
      <c r="M447" s="8">
        <v>0</v>
      </c>
      <c r="N447" s="7">
        <v>0</v>
      </c>
      <c r="P447" s="7">
        <v>62950</v>
      </c>
      <c r="Q447" s="7">
        <v>62950</v>
      </c>
      <c r="R447" s="5">
        <f>VLOOKUP($G447,Others!$E$260:$I$596,2,FALSE)</f>
        <v>0</v>
      </c>
      <c r="S447" s="5">
        <f>VLOOKUP($G447,Others!$E$260:$I$596,3,FALSE)</f>
        <v>0</v>
      </c>
      <c r="T447" s="5">
        <f>VLOOKUP($G447,Others!$E$260:$I$596,4,FALSE)</f>
        <v>0</v>
      </c>
      <c r="U447" s="5" t="str">
        <f>IFERROR(VLOOKUP($G447,Ratings!$E$81:$I$111,5,FALSE),"None")</f>
        <v>None</v>
      </c>
      <c r="V447" s="5"/>
      <c r="X447" s="5"/>
      <c r="Y447" s="5"/>
      <c r="Z447" s="5"/>
      <c r="AA447" s="5"/>
      <c r="AB447" s="5"/>
      <c r="AC447" s="5"/>
      <c r="AG447" s="9"/>
      <c r="AH447" s="9"/>
    </row>
    <row r="448" spans="2:34" hidden="1">
      <c r="B448" s="4">
        <v>2018</v>
      </c>
      <c r="C448" s="4" t="s">
        <v>44</v>
      </c>
      <c r="D448" s="3">
        <f t="shared" si="6"/>
        <v>193</v>
      </c>
      <c r="E448" s="3" t="s">
        <v>886</v>
      </c>
      <c r="G448" s="5" t="s">
        <v>347</v>
      </c>
      <c r="H448" s="5"/>
      <c r="I448" s="5" t="s">
        <v>131</v>
      </c>
      <c r="J448" s="7">
        <v>0</v>
      </c>
      <c r="M448" s="8">
        <v>0</v>
      </c>
      <c r="N448" s="7">
        <v>0</v>
      </c>
      <c r="P448" s="7">
        <v>2508</v>
      </c>
      <c r="Q448" s="7">
        <v>2508</v>
      </c>
      <c r="R448" s="5" t="str">
        <f>VLOOKUP($G448,Others!$E$260:$I$596,2,FALSE)</f>
        <v>Original Screenplay</v>
      </c>
      <c r="S448" s="5" t="str">
        <f>VLOOKUP($G448,Others!$E$260:$I$596,3,FALSE)</f>
        <v>Live Action</v>
      </c>
      <c r="T448" s="5">
        <f>VLOOKUP($G448,Others!$E$260:$I$596,4,FALSE)</f>
        <v>0</v>
      </c>
      <c r="U448" s="5" t="str">
        <f>IFERROR(VLOOKUP($G448,Ratings!$E$81:$I$111,5,FALSE),"None")</f>
        <v>None</v>
      </c>
      <c r="V448" s="5"/>
      <c r="X448" s="5"/>
      <c r="Y448" s="5"/>
      <c r="Z448" s="5"/>
      <c r="AA448" s="5"/>
      <c r="AB448" s="5"/>
      <c r="AC448" s="5"/>
      <c r="AG448" s="9"/>
      <c r="AH448" s="9"/>
    </row>
    <row r="449" spans="1:34" hidden="1">
      <c r="B449" s="4">
        <v>2018</v>
      </c>
      <c r="C449" s="4" t="s">
        <v>44</v>
      </c>
      <c r="D449" s="3">
        <f t="shared" si="6"/>
        <v>194</v>
      </c>
      <c r="E449" s="3" t="s">
        <v>886</v>
      </c>
      <c r="G449" s="5" t="s">
        <v>370</v>
      </c>
      <c r="H449" s="5"/>
      <c r="I449" s="5" t="s">
        <v>131</v>
      </c>
      <c r="J449" s="7">
        <v>0</v>
      </c>
      <c r="M449" s="8">
        <v>0</v>
      </c>
      <c r="N449" s="7">
        <v>0</v>
      </c>
      <c r="P449" s="7">
        <v>94951615</v>
      </c>
      <c r="Q449" s="7">
        <v>94951615</v>
      </c>
      <c r="R449" s="5" t="str">
        <f>VLOOKUP($G449,Others!$E$260:$I$596,2,FALSE)</f>
        <v>Original Screenplay</v>
      </c>
      <c r="S449" s="5" t="str">
        <f>VLOOKUP($G449,Others!$E$260:$I$596,3,FALSE)</f>
        <v>Live Action</v>
      </c>
      <c r="T449" s="5">
        <f>VLOOKUP($G449,Others!$E$260:$I$596,4,FALSE)</f>
        <v>0</v>
      </c>
      <c r="U449" s="5" t="str">
        <f>IFERROR(VLOOKUP($G449,Ratings!$E$81:$I$111,5,FALSE),"None")</f>
        <v>None</v>
      </c>
      <c r="V449" s="5"/>
      <c r="X449" s="5"/>
      <c r="Y449" s="5"/>
      <c r="Z449" s="5"/>
      <c r="AA449" s="5"/>
      <c r="AB449" s="5"/>
      <c r="AC449" s="5"/>
      <c r="AG449" s="9"/>
      <c r="AH449" s="9"/>
    </row>
    <row r="450" spans="1:34" hidden="1">
      <c r="B450" s="4">
        <v>2018</v>
      </c>
      <c r="C450" s="4" t="s">
        <v>44</v>
      </c>
      <c r="D450" s="3">
        <f t="shared" ref="D450:D513" si="7">D449+1</f>
        <v>195</v>
      </c>
      <c r="E450" s="3" t="s">
        <v>886</v>
      </c>
      <c r="G450" s="5" t="s">
        <v>974</v>
      </c>
      <c r="H450" s="5"/>
      <c r="J450" s="7">
        <v>0</v>
      </c>
      <c r="M450" s="8">
        <v>0</v>
      </c>
      <c r="N450" s="7">
        <v>0</v>
      </c>
      <c r="P450" s="7">
        <v>70589</v>
      </c>
      <c r="Q450" s="7">
        <v>70589</v>
      </c>
      <c r="R450" s="5">
        <f>VLOOKUP($G450,Others!$E$260:$I$596,2,FALSE)</f>
        <v>0</v>
      </c>
      <c r="S450" s="5">
        <f>VLOOKUP($G450,Others!$E$260:$I$596,3,FALSE)</f>
        <v>0</v>
      </c>
      <c r="T450" s="5">
        <f>VLOOKUP($G450,Others!$E$260:$I$596,4,FALSE)</f>
        <v>0</v>
      </c>
      <c r="U450" s="5" t="str">
        <f>IFERROR(VLOOKUP($G450,Ratings!$E$81:$I$111,5,FALSE),"None")</f>
        <v>None</v>
      </c>
      <c r="V450" s="5"/>
      <c r="X450" s="5"/>
      <c r="Y450" s="5"/>
      <c r="Z450" s="5"/>
      <c r="AA450" s="5"/>
      <c r="AB450" s="5"/>
      <c r="AC450" s="5"/>
      <c r="AG450" s="9"/>
      <c r="AH450" s="9"/>
    </row>
    <row r="451" spans="1:34" s="2" customFormat="1" hidden="1">
      <c r="A451" s="24"/>
      <c r="B451" s="25">
        <v>2018</v>
      </c>
      <c r="C451" s="25" t="s">
        <v>44</v>
      </c>
      <c r="D451" s="24">
        <f t="shared" si="7"/>
        <v>196</v>
      </c>
      <c r="E451" s="16" t="s">
        <v>886</v>
      </c>
      <c r="F451" s="16"/>
      <c r="G451" s="18" t="s">
        <v>421</v>
      </c>
      <c r="H451" s="5" t="s">
        <v>1432</v>
      </c>
      <c r="I451" s="18" t="s">
        <v>127</v>
      </c>
      <c r="J451" s="19"/>
      <c r="K451" s="19"/>
      <c r="L451" s="19"/>
      <c r="M451" s="23" t="s">
        <v>1411</v>
      </c>
      <c r="N451" s="19" t="s">
        <v>1411</v>
      </c>
      <c r="O451" s="19"/>
      <c r="P451" s="19">
        <v>5160000</v>
      </c>
      <c r="Q451" s="19">
        <v>5160000</v>
      </c>
      <c r="R451" s="5" t="str">
        <f>VLOOKUP($G451,Others!$E$260:$I$596,2,FALSE)</f>
        <v>Based on Folk Tale/Legend/Fairytale</v>
      </c>
      <c r="S451" s="5" t="str">
        <f>VLOOKUP($G451,Others!$E$260:$I$596,3,FALSE)</f>
        <v>Digital Animation</v>
      </c>
      <c r="T451" s="5" t="str">
        <f>VLOOKUP($G451,Others!$E$260:$I$596,4,FALSE)</f>
        <v>Fantasy</v>
      </c>
      <c r="U451" s="5" t="str">
        <f>IFERROR(VLOOKUP($G451,Ratings!$E$81:$I$111,5,FALSE),"None")</f>
        <v>None</v>
      </c>
      <c r="V451" s="5" t="s">
        <v>2140</v>
      </c>
      <c r="W451" s="5" t="s">
        <v>941</v>
      </c>
      <c r="X451" s="5"/>
      <c r="Y451" s="5"/>
      <c r="Z451" s="5"/>
      <c r="AA451" s="5" t="s">
        <v>2141</v>
      </c>
      <c r="AB451" s="5"/>
      <c r="AC451" s="5" t="s">
        <v>2142</v>
      </c>
      <c r="AD451" s="2">
        <v>8.3000000000000007</v>
      </c>
      <c r="AE451" s="1" t="s">
        <v>1489</v>
      </c>
    </row>
    <row r="452" spans="1:34" ht="15">
      <c r="B452" s="4">
        <v>2017</v>
      </c>
      <c r="C452" s="4" t="s">
        <v>44</v>
      </c>
      <c r="D452" s="3">
        <f t="shared" si="7"/>
        <v>197</v>
      </c>
      <c r="E452" s="55" t="s">
        <v>975</v>
      </c>
      <c r="F452" s="3" t="s">
        <v>1896</v>
      </c>
      <c r="G452" s="5" t="s">
        <v>976</v>
      </c>
      <c r="H452" s="5" t="s">
        <v>1433</v>
      </c>
      <c r="I452" s="5" t="s">
        <v>131</v>
      </c>
      <c r="J452" s="7">
        <f>80000000/6.7</f>
        <v>11940298.507462686</v>
      </c>
      <c r="K452" s="7">
        <f>30000000/6.7</f>
        <v>4477611.940298507</v>
      </c>
      <c r="L452" s="7">
        <f>10620000/6.7</f>
        <v>1585074.6268656717</v>
      </c>
      <c r="M452" s="41">
        <v>29752</v>
      </c>
      <c r="N452" s="42">
        <v>1950000</v>
      </c>
      <c r="O452" s="7">
        <f>28960000/6.7</f>
        <v>4322388.0597014921</v>
      </c>
      <c r="P452" s="7">
        <v>4447734</v>
      </c>
      <c r="Q452" s="7">
        <v>4447734</v>
      </c>
      <c r="R452" s="5" t="str">
        <f>VLOOKUP($G452,Others!$E$260:$I$596,2,FALSE)</f>
        <v>Original Screenplay</v>
      </c>
      <c r="S452" s="5" t="str">
        <f>VLOOKUP($G452,Others!$E$260:$I$596,3,FALSE)</f>
        <v>Live Action</v>
      </c>
      <c r="T452" s="5" t="str">
        <f>VLOOKUP($G452,Others!$E$260:$I$596,4,FALSE)</f>
        <v>Historical Fiction</v>
      </c>
      <c r="U452" s="5" t="str">
        <f>IFERROR(VLOOKUP($G452,Ratings!$E$81:$I$111,5,FALSE),"None")</f>
        <v>None</v>
      </c>
      <c r="V452" s="5" t="s">
        <v>2143</v>
      </c>
      <c r="W452" s="5" t="s">
        <v>2144</v>
      </c>
      <c r="X452" s="5" t="s">
        <v>2014</v>
      </c>
      <c r="Y452" s="5" t="s">
        <v>2145</v>
      </c>
      <c r="AA452" s="5" t="s">
        <v>2146</v>
      </c>
      <c r="AB452" s="5"/>
      <c r="AC452" s="5" t="s">
        <v>2147</v>
      </c>
      <c r="AD452" s="9">
        <v>8</v>
      </c>
      <c r="AE452" s="9" t="s">
        <v>1489</v>
      </c>
      <c r="AG452" s="9"/>
      <c r="AH452" s="9"/>
    </row>
    <row r="453" spans="1:34" hidden="1">
      <c r="B453" s="4">
        <v>2018</v>
      </c>
      <c r="C453" s="4" t="s">
        <v>44</v>
      </c>
      <c r="D453" s="3">
        <f t="shared" si="7"/>
        <v>198</v>
      </c>
      <c r="E453" s="3" t="s">
        <v>886</v>
      </c>
      <c r="G453" s="5" t="s">
        <v>308</v>
      </c>
      <c r="H453" s="5"/>
      <c r="I453" s="5" t="s">
        <v>131</v>
      </c>
      <c r="J453" s="7">
        <v>0</v>
      </c>
      <c r="M453" s="8">
        <v>0</v>
      </c>
      <c r="N453" s="7">
        <v>0</v>
      </c>
      <c r="P453" s="7">
        <v>102030</v>
      </c>
      <c r="Q453" s="7">
        <v>102030</v>
      </c>
      <c r="R453" s="5">
        <f>VLOOKUP($G453,Others!$E$260:$I$596,2,FALSE)</f>
        <v>0</v>
      </c>
      <c r="S453" s="5" t="str">
        <f>VLOOKUP($G453,Others!$E$260:$I$596,3,FALSE)</f>
        <v>Live Action</v>
      </c>
      <c r="T453" s="5">
        <f>VLOOKUP($G453,Others!$E$260:$I$596,4,FALSE)</f>
        <v>0</v>
      </c>
      <c r="U453" s="5" t="str">
        <f>IFERROR(VLOOKUP($G453,Ratings!$E$81:$I$111,5,FALSE),"None")</f>
        <v>None</v>
      </c>
      <c r="V453" s="5"/>
      <c r="X453" s="5"/>
      <c r="Y453" s="5"/>
      <c r="AA453" s="5"/>
      <c r="AB453" s="5"/>
      <c r="AC453" s="5"/>
      <c r="AG453" s="9"/>
      <c r="AH453" s="9"/>
    </row>
    <row r="454" spans="1:34">
      <c r="B454" s="4">
        <v>2018</v>
      </c>
      <c r="C454" s="4" t="s">
        <v>44</v>
      </c>
      <c r="D454" s="3">
        <f t="shared" si="7"/>
        <v>199</v>
      </c>
      <c r="E454" s="55" t="s">
        <v>886</v>
      </c>
      <c r="F454" s="3" t="s">
        <v>2148</v>
      </c>
      <c r="G454" s="5" t="s">
        <v>420</v>
      </c>
      <c r="H454" s="5" t="s">
        <v>1431</v>
      </c>
      <c r="I454" s="5" t="s">
        <v>1404</v>
      </c>
      <c r="J454" s="7">
        <v>19402985</v>
      </c>
      <c r="K454" s="7">
        <v>2238805</v>
      </c>
      <c r="L454" s="7">
        <v>1798507</v>
      </c>
      <c r="M454" s="8">
        <v>37064</v>
      </c>
      <c r="N454" s="7">
        <v>2817583</v>
      </c>
      <c r="O454" s="7">
        <v>4902985</v>
      </c>
      <c r="P454" s="7">
        <v>5483241</v>
      </c>
      <c r="Q454" s="7">
        <v>5483241</v>
      </c>
      <c r="R454" s="39" t="s">
        <v>606</v>
      </c>
      <c r="S454" s="5" t="str">
        <f>VLOOKUP($G454,Others!$E$260:$I$596,3,FALSE)</f>
        <v>Live Action</v>
      </c>
      <c r="T454" s="5" t="str">
        <f>VLOOKUP($G454,Others!$E$260:$I$596,4,FALSE)</f>
        <v>Contemporary Fiction</v>
      </c>
      <c r="U454" s="5" t="str">
        <f>IFERROR(VLOOKUP($G454,Ratings!$E$81:$I$111,5,FALSE),"None")</f>
        <v>None</v>
      </c>
      <c r="V454" s="5" t="s">
        <v>2149</v>
      </c>
      <c r="W454" s="5" t="s">
        <v>2150</v>
      </c>
      <c r="X454" s="5" t="s">
        <v>1860</v>
      </c>
      <c r="Y454" s="5" t="s">
        <v>2151</v>
      </c>
      <c r="AA454" s="5" t="s">
        <v>1860</v>
      </c>
      <c r="AB454" s="5"/>
      <c r="AC454" s="5" t="s">
        <v>2152</v>
      </c>
      <c r="AD454" s="9">
        <v>7.2</v>
      </c>
      <c r="AE454" s="1" t="s">
        <v>1489</v>
      </c>
      <c r="AG454" s="9"/>
      <c r="AH454" s="9"/>
    </row>
    <row r="455" spans="1:34" hidden="1">
      <c r="B455" s="4">
        <v>2018</v>
      </c>
      <c r="C455" s="4" t="s">
        <v>44</v>
      </c>
      <c r="D455" s="3">
        <f t="shared" si="7"/>
        <v>200</v>
      </c>
      <c r="E455" s="3" t="s">
        <v>886</v>
      </c>
      <c r="G455" s="5" t="s">
        <v>977</v>
      </c>
      <c r="H455" s="5"/>
      <c r="I455" s="5" t="s">
        <v>131</v>
      </c>
      <c r="J455" s="7">
        <v>0</v>
      </c>
      <c r="M455" s="8">
        <v>0</v>
      </c>
      <c r="N455" s="7">
        <v>0</v>
      </c>
      <c r="P455" s="7">
        <v>113615</v>
      </c>
      <c r="Q455" s="7">
        <v>113615</v>
      </c>
      <c r="R455" s="5">
        <f>VLOOKUP($G455,Others!$E$260:$I$596,2,FALSE)</f>
        <v>0</v>
      </c>
      <c r="S455" s="5" t="str">
        <f>VLOOKUP($G455,Others!$E$260:$I$596,3,FALSE)</f>
        <v>Live Action</v>
      </c>
      <c r="T455" s="5">
        <f>VLOOKUP($G455,Others!$E$260:$I$596,4,FALSE)</f>
        <v>0</v>
      </c>
      <c r="U455" s="5" t="str">
        <f>IFERROR(VLOOKUP($G455,Ratings!$E$81:$I$111,5,FALSE),"None")</f>
        <v>None</v>
      </c>
      <c r="V455" s="5"/>
      <c r="X455" s="5"/>
      <c r="Y455" s="5"/>
      <c r="AA455" s="5"/>
      <c r="AB455" s="5"/>
      <c r="AC455" s="5"/>
      <c r="AG455" s="9"/>
      <c r="AH455" s="9"/>
    </row>
    <row r="456" spans="1:34" hidden="1">
      <c r="B456" s="4">
        <v>2018</v>
      </c>
      <c r="C456" s="4" t="s">
        <v>44</v>
      </c>
      <c r="D456" s="3">
        <f t="shared" si="7"/>
        <v>201</v>
      </c>
      <c r="E456" s="3" t="s">
        <v>886</v>
      </c>
      <c r="G456" s="5" t="s">
        <v>978</v>
      </c>
      <c r="H456" s="5"/>
      <c r="I456" s="5" t="s">
        <v>131</v>
      </c>
      <c r="J456" s="7">
        <v>0</v>
      </c>
      <c r="M456" s="8">
        <v>0</v>
      </c>
      <c r="N456" s="7">
        <v>0</v>
      </c>
      <c r="P456" s="7">
        <v>27225</v>
      </c>
      <c r="Q456" s="7">
        <v>27225</v>
      </c>
      <c r="R456" s="5">
        <f>VLOOKUP($G456,Others!$E$260:$I$596,2,FALSE)</f>
        <v>0</v>
      </c>
      <c r="S456" s="5">
        <f>VLOOKUP($G456,Others!$E$260:$I$596,3,FALSE)</f>
        <v>0</v>
      </c>
      <c r="T456" s="5">
        <f>VLOOKUP($G456,Others!$E$260:$I$596,4,FALSE)</f>
        <v>0</v>
      </c>
      <c r="U456" s="5" t="str">
        <f>IFERROR(VLOOKUP($G456,Ratings!$E$81:$I$111,5,FALSE),"None")</f>
        <v>None</v>
      </c>
      <c r="V456" s="5"/>
      <c r="X456" s="5"/>
      <c r="Y456" s="5"/>
      <c r="AA456" s="5"/>
      <c r="AB456" s="5"/>
      <c r="AC456" s="5"/>
      <c r="AG456" s="9"/>
      <c r="AH456" s="9"/>
    </row>
    <row r="457" spans="1:34" hidden="1">
      <c r="B457" s="4">
        <v>2018</v>
      </c>
      <c r="C457" s="4" t="s">
        <v>44</v>
      </c>
      <c r="D457" s="3">
        <f t="shared" si="7"/>
        <v>202</v>
      </c>
      <c r="E457" s="3" t="s">
        <v>886</v>
      </c>
      <c r="G457" s="5" t="s">
        <v>391</v>
      </c>
      <c r="H457" s="5"/>
      <c r="I457" s="5" t="s">
        <v>129</v>
      </c>
      <c r="J457" s="7">
        <v>0</v>
      </c>
      <c r="M457" s="8">
        <v>0</v>
      </c>
      <c r="N457" s="7">
        <v>0</v>
      </c>
      <c r="P457" s="7">
        <v>20079528</v>
      </c>
      <c r="Q457" s="7">
        <v>20079528</v>
      </c>
      <c r="R457" s="5">
        <f>VLOOKUP($G457,Others!$E$260:$I$596,2,FALSE)</f>
        <v>0</v>
      </c>
      <c r="S457" s="5" t="str">
        <f>VLOOKUP($G457,Others!$E$260:$I$596,3,FALSE)</f>
        <v>Live Action</v>
      </c>
      <c r="T457" s="5" t="str">
        <f>VLOOKUP($G457,Others!$E$260:$I$596,4,FALSE)</f>
        <v>Fantasy</v>
      </c>
      <c r="U457" s="5" t="str">
        <f>IFERROR(VLOOKUP($G457,Ratings!$E$81:$I$111,5,FALSE),"None")</f>
        <v>None</v>
      </c>
      <c r="V457" s="5"/>
      <c r="X457" s="5"/>
      <c r="Y457" s="5"/>
      <c r="AA457" s="5"/>
      <c r="AB457" s="5"/>
      <c r="AC457" s="5"/>
      <c r="AG457" s="9"/>
      <c r="AH457" s="9"/>
    </row>
    <row r="458" spans="1:34" hidden="1">
      <c r="B458" s="4">
        <v>2018</v>
      </c>
      <c r="C458" s="4" t="s">
        <v>44</v>
      </c>
      <c r="D458" s="3">
        <f t="shared" si="7"/>
        <v>203</v>
      </c>
      <c r="E458" s="3" t="s">
        <v>886</v>
      </c>
      <c r="G458" s="5" t="s">
        <v>493</v>
      </c>
      <c r="H458" s="5"/>
      <c r="I458" s="5" t="s">
        <v>154</v>
      </c>
      <c r="J458" s="7">
        <v>0</v>
      </c>
      <c r="M458" s="8">
        <v>0</v>
      </c>
      <c r="N458" s="7">
        <v>0</v>
      </c>
      <c r="P458" s="7">
        <v>193005</v>
      </c>
      <c r="Q458" s="7">
        <v>193005</v>
      </c>
      <c r="R458" s="5">
        <f>VLOOKUP($G458,Others!$E$260:$I$596,2,FALSE)</f>
        <v>0</v>
      </c>
      <c r="S458" s="5" t="str">
        <f>VLOOKUP($G458,Others!$E$260:$I$596,3,FALSE)</f>
        <v>Live Action</v>
      </c>
      <c r="T458" s="5">
        <f>VLOOKUP($G458,Others!$E$260:$I$596,4,FALSE)</f>
        <v>0</v>
      </c>
      <c r="U458" s="5" t="str">
        <f>IFERROR(VLOOKUP($G458,Ratings!$E$81:$I$111,5,FALSE),"None")</f>
        <v>None</v>
      </c>
      <c r="V458" s="5"/>
      <c r="X458" s="5"/>
      <c r="Y458" s="5"/>
      <c r="AA458" s="5"/>
      <c r="AB458" s="5"/>
      <c r="AC458" s="5"/>
      <c r="AG458" s="9"/>
      <c r="AH458" s="9"/>
    </row>
    <row r="459" spans="1:34" hidden="1">
      <c r="B459" s="4">
        <v>2018</v>
      </c>
      <c r="C459" s="4" t="s">
        <v>44</v>
      </c>
      <c r="D459" s="3">
        <f t="shared" si="7"/>
        <v>204</v>
      </c>
      <c r="E459" s="3" t="s">
        <v>886</v>
      </c>
      <c r="G459" s="5" t="s">
        <v>979</v>
      </c>
      <c r="H459" s="5"/>
      <c r="I459" s="5" t="s">
        <v>131</v>
      </c>
      <c r="J459" s="7">
        <v>0</v>
      </c>
      <c r="M459" s="8">
        <v>0</v>
      </c>
      <c r="N459" s="7">
        <v>0</v>
      </c>
      <c r="P459" s="7">
        <v>3541</v>
      </c>
      <c r="Q459" s="7">
        <v>3541</v>
      </c>
      <c r="R459" s="5">
        <f>VLOOKUP($G459,Others!$E$260:$I$596,2,FALSE)</f>
        <v>0</v>
      </c>
      <c r="S459" s="5" t="str">
        <f>VLOOKUP($G459,Others!$E$260:$I$596,3,FALSE)</f>
        <v>Live Action</v>
      </c>
      <c r="T459" s="5">
        <f>VLOOKUP($G459,Others!$E$260:$I$596,4,FALSE)</f>
        <v>0</v>
      </c>
      <c r="U459" s="5" t="str">
        <f>IFERROR(VLOOKUP($G459,Ratings!$E$81:$I$111,5,FALSE),"None")</f>
        <v>None</v>
      </c>
      <c r="V459" s="5"/>
      <c r="X459" s="5"/>
      <c r="Y459" s="5"/>
      <c r="AA459" s="5"/>
      <c r="AB459" s="5"/>
      <c r="AC459" s="5"/>
      <c r="AG459" s="9"/>
      <c r="AH459" s="9"/>
    </row>
    <row r="460" spans="1:34">
      <c r="B460" s="4">
        <v>2018</v>
      </c>
      <c r="C460" s="4" t="s">
        <v>44</v>
      </c>
      <c r="D460" s="3">
        <f t="shared" si="7"/>
        <v>205</v>
      </c>
      <c r="E460" s="55" t="s">
        <v>886</v>
      </c>
      <c r="F460" s="3" t="s">
        <v>2153</v>
      </c>
      <c r="G460" s="5" t="s">
        <v>397</v>
      </c>
      <c r="H460" s="5" t="s">
        <v>1434</v>
      </c>
      <c r="I460" s="5" t="s">
        <v>136</v>
      </c>
      <c r="J460" s="7">
        <v>4477611</v>
      </c>
      <c r="K460" s="7">
        <v>1194029</v>
      </c>
      <c r="L460" s="7">
        <v>3940298</v>
      </c>
      <c r="M460" s="8">
        <v>53019</v>
      </c>
      <c r="N460" s="7">
        <v>7070000</v>
      </c>
      <c r="O460" s="7">
        <v>10680597</v>
      </c>
      <c r="P460" s="7">
        <v>14798770</v>
      </c>
      <c r="Q460" s="7">
        <v>14798770</v>
      </c>
      <c r="R460" s="5" t="str">
        <f>VLOOKUP($G460,Others!$E$260:$I$596,2,FALSE)</f>
        <v>Original Screenplay</v>
      </c>
      <c r="S460" s="5" t="str">
        <f>VLOOKUP($G460,Others!$E$260:$I$596,3,FALSE)</f>
        <v>Live Action</v>
      </c>
      <c r="T460" s="5" t="str">
        <f>VLOOKUP($G460,Others!$E$260:$I$596,4,FALSE)</f>
        <v>Contemporary Fiction</v>
      </c>
      <c r="U460" s="5" t="str">
        <f>IFERROR(VLOOKUP($G460,Ratings!$E$81:$I$111,5,FALSE),"None")</f>
        <v>None</v>
      </c>
      <c r="V460" s="5" t="s">
        <v>2154</v>
      </c>
      <c r="W460" s="39" t="s">
        <v>2155</v>
      </c>
      <c r="X460" s="39" t="s">
        <v>2156</v>
      </c>
      <c r="Y460" s="39" t="s">
        <v>2157</v>
      </c>
      <c r="Z460" s="39" t="s">
        <v>2158</v>
      </c>
      <c r="AA460" s="5" t="s">
        <v>2159</v>
      </c>
      <c r="AB460" s="5"/>
      <c r="AC460" s="39" t="s">
        <v>2160</v>
      </c>
      <c r="AD460" s="9">
        <v>7.2</v>
      </c>
      <c r="AE460" s="1" t="s">
        <v>1489</v>
      </c>
      <c r="AG460" s="9"/>
      <c r="AH460" s="9"/>
    </row>
    <row r="461" spans="1:34" hidden="1">
      <c r="B461" s="4">
        <v>2018</v>
      </c>
      <c r="C461" s="4" t="s">
        <v>44</v>
      </c>
      <c r="D461" s="3">
        <f t="shared" si="7"/>
        <v>206</v>
      </c>
      <c r="E461" s="3" t="s">
        <v>886</v>
      </c>
      <c r="G461" s="5" t="s">
        <v>292</v>
      </c>
      <c r="H461" s="5"/>
      <c r="I461" s="5" t="s">
        <v>131</v>
      </c>
      <c r="J461" s="7">
        <v>0</v>
      </c>
      <c r="M461" s="8">
        <v>0</v>
      </c>
      <c r="N461" s="7">
        <v>0</v>
      </c>
      <c r="P461" s="7">
        <v>193338</v>
      </c>
      <c r="Q461" s="7">
        <v>193338</v>
      </c>
      <c r="R461" s="5">
        <f>VLOOKUP($G461,Others!$E$260:$I$596,2,FALSE)</f>
        <v>0</v>
      </c>
      <c r="S461" s="5" t="str">
        <f>VLOOKUP($G461,Others!$E$260:$I$596,3,FALSE)</f>
        <v>Live Action</v>
      </c>
      <c r="T461" s="5">
        <f>VLOOKUP($G461,Others!$E$260:$I$596,4,FALSE)</f>
        <v>0</v>
      </c>
      <c r="U461" s="5" t="str">
        <f>IFERROR(VLOOKUP($G461,Ratings!$E$81:$I$111,5,FALSE),"None")</f>
        <v>None</v>
      </c>
      <c r="V461" s="5"/>
      <c r="X461" s="5"/>
      <c r="Y461" s="5"/>
      <c r="AA461" s="5"/>
      <c r="AB461" s="5"/>
      <c r="AC461" s="5"/>
      <c r="AG461" s="9"/>
      <c r="AH461" s="9"/>
    </row>
    <row r="462" spans="1:34" hidden="1">
      <c r="B462" s="4">
        <v>2018</v>
      </c>
      <c r="C462" s="4" t="s">
        <v>44</v>
      </c>
      <c r="D462" s="3">
        <f t="shared" si="7"/>
        <v>207</v>
      </c>
      <c r="E462" s="3" t="s">
        <v>886</v>
      </c>
      <c r="G462" s="5" t="s">
        <v>435</v>
      </c>
      <c r="H462" s="5"/>
      <c r="I462" s="5" t="s">
        <v>148</v>
      </c>
      <c r="J462" s="7">
        <v>0</v>
      </c>
      <c r="M462" s="8">
        <v>0</v>
      </c>
      <c r="N462" s="7">
        <v>0</v>
      </c>
      <c r="P462" s="7">
        <v>1838382</v>
      </c>
      <c r="Q462" s="7">
        <v>1838382</v>
      </c>
      <c r="R462" s="5">
        <f>VLOOKUP($G462,Others!$E$260:$I$596,2,FALSE)</f>
        <v>0</v>
      </c>
      <c r="S462" s="5" t="str">
        <f>VLOOKUP($G462,Others!$E$260:$I$596,3,FALSE)</f>
        <v>Live Action</v>
      </c>
      <c r="T462" s="5" t="str">
        <f>VLOOKUP($G462,Others!$E$260:$I$596,4,FALSE)</f>
        <v>Fantasy</v>
      </c>
      <c r="U462" s="5" t="str">
        <f>IFERROR(VLOOKUP($G462,Ratings!$E$81:$I$111,5,FALSE),"None")</f>
        <v>None</v>
      </c>
      <c r="V462" s="5"/>
      <c r="X462" s="5"/>
      <c r="Y462" s="5"/>
      <c r="AA462" s="5"/>
      <c r="AB462" s="5"/>
      <c r="AC462" s="5"/>
      <c r="AG462" s="9"/>
      <c r="AH462" s="9"/>
    </row>
    <row r="463" spans="1:34" hidden="1">
      <c r="B463" s="4">
        <v>2018</v>
      </c>
      <c r="C463" s="4" t="s">
        <v>44</v>
      </c>
      <c r="D463" s="3">
        <f t="shared" si="7"/>
        <v>208</v>
      </c>
      <c r="E463" s="3" t="s">
        <v>886</v>
      </c>
      <c r="G463" s="5" t="s">
        <v>980</v>
      </c>
      <c r="H463" s="5"/>
      <c r="I463" s="5" t="s">
        <v>148</v>
      </c>
      <c r="J463" s="7">
        <v>0</v>
      </c>
      <c r="M463" s="8">
        <v>0</v>
      </c>
      <c r="N463" s="7">
        <v>0</v>
      </c>
      <c r="P463" s="7">
        <v>17106</v>
      </c>
      <c r="Q463" s="7">
        <v>17106</v>
      </c>
      <c r="R463" s="5" t="str">
        <f>VLOOKUP($G463,Others!$E$260:$I$596,2,FALSE)</f>
        <v>Original Screenplay</v>
      </c>
      <c r="S463" s="5" t="str">
        <f>VLOOKUP($G463,Others!$E$260:$I$596,3,FALSE)</f>
        <v>Live Action</v>
      </c>
      <c r="T463" s="5" t="str">
        <f>VLOOKUP($G463,Others!$E$260:$I$596,4,FALSE)</f>
        <v>Contemporary Fiction</v>
      </c>
      <c r="U463" s="5" t="str">
        <f>IFERROR(VLOOKUP($G463,Ratings!$E$81:$I$111,5,FALSE),"None")</f>
        <v>None</v>
      </c>
      <c r="V463" s="5"/>
      <c r="X463" s="5"/>
      <c r="Y463" s="5"/>
      <c r="AA463" s="5"/>
      <c r="AB463" s="5"/>
      <c r="AC463" s="5"/>
      <c r="AG463" s="9"/>
      <c r="AH463" s="9"/>
    </row>
    <row r="464" spans="1:34" hidden="1">
      <c r="B464" s="4">
        <v>2018</v>
      </c>
      <c r="C464" s="4" t="s">
        <v>44</v>
      </c>
      <c r="D464" s="3">
        <f t="shared" si="7"/>
        <v>209</v>
      </c>
      <c r="E464" s="3" t="s">
        <v>886</v>
      </c>
      <c r="G464" s="5" t="s">
        <v>405</v>
      </c>
      <c r="H464" s="5"/>
      <c r="I464" s="5" t="s">
        <v>154</v>
      </c>
      <c r="J464" s="7">
        <v>0</v>
      </c>
      <c r="M464" s="8">
        <v>0</v>
      </c>
      <c r="N464" s="7">
        <v>0</v>
      </c>
      <c r="P464" s="7">
        <v>10657326</v>
      </c>
      <c r="Q464" s="7">
        <v>10657326</v>
      </c>
      <c r="R464" s="5">
        <f>VLOOKUP($G464,Others!$E$260:$I$596,2,FALSE)</f>
        <v>0</v>
      </c>
      <c r="S464" s="5" t="str">
        <f>VLOOKUP($G464,Others!$E$260:$I$596,3,FALSE)</f>
        <v>Live Action</v>
      </c>
      <c r="T464" s="5" t="str">
        <f>VLOOKUP($G464,Others!$E$260:$I$596,4,FALSE)</f>
        <v>Contemporary Fiction</v>
      </c>
      <c r="U464" s="5" t="str">
        <f>IFERROR(VLOOKUP($G464,Ratings!$E$81:$I$111,5,FALSE),"None")</f>
        <v>None</v>
      </c>
      <c r="V464" s="5"/>
      <c r="X464" s="5"/>
      <c r="Y464" s="5"/>
      <c r="AA464" s="5"/>
      <c r="AB464" s="5"/>
      <c r="AC464" s="5"/>
      <c r="AG464" s="9"/>
      <c r="AH464" s="9"/>
    </row>
    <row r="465" spans="2:34" hidden="1">
      <c r="B465" s="4">
        <v>2018</v>
      </c>
      <c r="C465" s="4" t="s">
        <v>44</v>
      </c>
      <c r="D465" s="3">
        <f t="shared" si="7"/>
        <v>210</v>
      </c>
      <c r="E465" s="3" t="s">
        <v>886</v>
      </c>
      <c r="G465" s="5" t="s">
        <v>981</v>
      </c>
      <c r="H465" s="5"/>
      <c r="I465" s="5" t="s">
        <v>131</v>
      </c>
      <c r="J465" s="7">
        <v>0</v>
      </c>
      <c r="M465" s="8">
        <v>0</v>
      </c>
      <c r="N465" s="7">
        <v>0</v>
      </c>
      <c r="P465" s="7">
        <v>599574</v>
      </c>
      <c r="Q465" s="7">
        <v>599574</v>
      </c>
      <c r="R465" s="5" t="str">
        <f>VLOOKUP($G465,Others!$E$260:$I$596,2,FALSE)</f>
        <v>Based on Fiction Book/Short Story</v>
      </c>
      <c r="S465" s="5" t="str">
        <f>VLOOKUP($G465,Others!$E$260:$I$596,3,FALSE)</f>
        <v>Live Action</v>
      </c>
      <c r="T465" s="5" t="str">
        <f>VLOOKUP($G465,Others!$E$260:$I$596,4,FALSE)</f>
        <v>Historical Fiction</v>
      </c>
      <c r="U465" s="5" t="str">
        <f>IFERROR(VLOOKUP($G465,Ratings!$E$81:$I$111,5,FALSE),"None")</f>
        <v>None</v>
      </c>
      <c r="V465" s="5"/>
      <c r="X465" s="5"/>
      <c r="Y465" s="5"/>
      <c r="AA465" s="5"/>
      <c r="AB465" s="5"/>
      <c r="AC465" s="5"/>
      <c r="AG465" s="9"/>
      <c r="AH465" s="9"/>
    </row>
    <row r="466" spans="2:34" hidden="1">
      <c r="B466" s="4">
        <v>2018</v>
      </c>
      <c r="C466" s="4" t="s">
        <v>44</v>
      </c>
      <c r="D466" s="3">
        <f t="shared" si="7"/>
        <v>211</v>
      </c>
      <c r="E466" s="3" t="s">
        <v>886</v>
      </c>
      <c r="G466" s="5" t="s">
        <v>982</v>
      </c>
      <c r="H466" s="5"/>
      <c r="I466" s="5" t="s">
        <v>127</v>
      </c>
      <c r="J466" s="7">
        <v>0</v>
      </c>
      <c r="M466" s="8">
        <v>0</v>
      </c>
      <c r="N466" s="7">
        <v>0</v>
      </c>
      <c r="P466" s="7">
        <v>93792</v>
      </c>
      <c r="Q466" s="7">
        <v>93792</v>
      </c>
      <c r="R466" s="5">
        <f>VLOOKUP($G466,Others!$E$260:$I$596,2,FALSE)</f>
        <v>0</v>
      </c>
      <c r="S466" s="5" t="str">
        <f>VLOOKUP($G466,Others!$E$260:$I$596,3,FALSE)</f>
        <v>Live Action</v>
      </c>
      <c r="T466" s="5" t="str">
        <f>VLOOKUP($G466,Others!$E$260:$I$596,4,FALSE)</f>
        <v>Science Fiction</v>
      </c>
      <c r="U466" s="5" t="str">
        <f>IFERROR(VLOOKUP($G466,Ratings!$E$81:$I$111,5,FALSE),"None")</f>
        <v>None</v>
      </c>
      <c r="V466" s="5"/>
      <c r="X466" s="5"/>
      <c r="Y466" s="5"/>
      <c r="AA466" s="5"/>
      <c r="AB466" s="5"/>
      <c r="AC466" s="5"/>
      <c r="AG466" s="9"/>
      <c r="AH466" s="9"/>
    </row>
    <row r="467" spans="2:34">
      <c r="B467" s="4">
        <v>2019</v>
      </c>
      <c r="C467" s="4" t="s">
        <v>44</v>
      </c>
      <c r="D467" s="3">
        <f t="shared" si="7"/>
        <v>212</v>
      </c>
      <c r="E467" s="55" t="s">
        <v>886</v>
      </c>
      <c r="F467" s="3" t="s">
        <v>623</v>
      </c>
      <c r="G467" s="5" t="s">
        <v>252</v>
      </c>
      <c r="H467" s="5" t="s">
        <v>1435</v>
      </c>
      <c r="I467" s="5" t="s">
        <v>253</v>
      </c>
      <c r="J467" s="7">
        <f>0.5*100000000/6.7</f>
        <v>7462686.5671641789</v>
      </c>
      <c r="K467" s="57" t="s">
        <v>1411</v>
      </c>
      <c r="L467" s="7">
        <f>0.03*100000000/6.7</f>
        <v>447761.19402985071</v>
      </c>
      <c r="M467" s="41" t="s">
        <v>1501</v>
      </c>
      <c r="N467" s="7">
        <v>977147</v>
      </c>
      <c r="O467" s="7">
        <f>0.07*100000000/6.7</f>
        <v>1044776.1194029852</v>
      </c>
      <c r="P467" s="7">
        <v>1106083</v>
      </c>
      <c r="Q467" s="7">
        <v>1106083</v>
      </c>
      <c r="R467" s="5" t="str">
        <f>VLOOKUP($G467,Others!$E$260:$I$596,2,FALSE)</f>
        <v>Original Screenplay</v>
      </c>
      <c r="S467" s="5" t="str">
        <f>VLOOKUP($G467,Others!$E$260:$I$596,3,FALSE)</f>
        <v>Multiple Production Methods</v>
      </c>
      <c r="T467" s="5" t="str">
        <f>VLOOKUP($G467,Others!$E$260:$I$596,4,FALSE)</f>
        <v>Fantasy</v>
      </c>
      <c r="U467" s="5" t="str">
        <f>IFERROR(VLOOKUP($G467,Ratings!$E$81:$I$111,5,FALSE),"None")</f>
        <v>None</v>
      </c>
      <c r="V467" s="5" t="s">
        <v>2161</v>
      </c>
      <c r="W467" s="5" t="s">
        <v>2162</v>
      </c>
      <c r="X467" s="5" t="s">
        <v>2163</v>
      </c>
      <c r="Y467" s="5" t="s">
        <v>2164</v>
      </c>
      <c r="AA467" s="5" t="s">
        <v>2163</v>
      </c>
      <c r="AB467" s="5"/>
      <c r="AC467" s="5" t="s">
        <v>2165</v>
      </c>
      <c r="AD467" s="9">
        <v>5.9</v>
      </c>
      <c r="AE467" s="1" t="s">
        <v>1489</v>
      </c>
      <c r="AG467" s="9"/>
      <c r="AH467" s="9"/>
    </row>
    <row r="468" spans="2:34" hidden="1">
      <c r="B468" s="4">
        <v>2018</v>
      </c>
      <c r="C468" s="4" t="s">
        <v>44</v>
      </c>
      <c r="D468" s="3">
        <f t="shared" si="7"/>
        <v>213</v>
      </c>
      <c r="E468" s="3" t="s">
        <v>886</v>
      </c>
      <c r="G468" s="5" t="s">
        <v>482</v>
      </c>
      <c r="H468" s="5"/>
      <c r="I468" s="5" t="s">
        <v>193</v>
      </c>
      <c r="J468" s="7">
        <v>0</v>
      </c>
      <c r="M468" s="8">
        <v>0</v>
      </c>
      <c r="N468" s="7">
        <v>0</v>
      </c>
      <c r="P468" s="7">
        <v>314854</v>
      </c>
      <c r="Q468" s="7">
        <v>314854</v>
      </c>
      <c r="R468" s="5">
        <f>VLOOKUP($G468,Others!$E$260:$I$596,2,FALSE)</f>
        <v>0</v>
      </c>
      <c r="S468" s="5" t="str">
        <f>VLOOKUP($G468,Others!$E$260:$I$596,3,FALSE)</f>
        <v>Live Action</v>
      </c>
      <c r="T468" s="5" t="str">
        <f>VLOOKUP($G468,Others!$E$260:$I$596,4,FALSE)</f>
        <v>Contemporary Fiction</v>
      </c>
      <c r="U468" s="5" t="str">
        <f>IFERROR(VLOOKUP($G468,Ratings!$E$81:$I$111,5,FALSE),"None")</f>
        <v>None</v>
      </c>
      <c r="V468" s="5"/>
      <c r="X468" s="5"/>
      <c r="Y468" s="5"/>
      <c r="AA468" s="5"/>
      <c r="AB468" s="5"/>
      <c r="AC468" s="5"/>
      <c r="AG468" s="9"/>
      <c r="AH468" s="9"/>
    </row>
    <row r="469" spans="2:34" hidden="1">
      <c r="B469" s="4">
        <v>2018</v>
      </c>
      <c r="C469" s="4" t="s">
        <v>44</v>
      </c>
      <c r="D469" s="3">
        <f t="shared" si="7"/>
        <v>214</v>
      </c>
      <c r="E469" s="3" t="s">
        <v>886</v>
      </c>
      <c r="G469" s="5" t="s">
        <v>983</v>
      </c>
      <c r="H469" s="5"/>
      <c r="I469" s="5" t="s">
        <v>131</v>
      </c>
      <c r="J469" s="7">
        <v>0</v>
      </c>
      <c r="M469" s="8">
        <v>0</v>
      </c>
      <c r="N469" s="7">
        <v>0</v>
      </c>
      <c r="P469" s="7">
        <v>9144</v>
      </c>
      <c r="Q469" s="7">
        <v>9144</v>
      </c>
      <c r="R469" s="5">
        <f>VLOOKUP($G469,Others!$E$260:$I$596,2,FALSE)</f>
        <v>0</v>
      </c>
      <c r="S469" s="5" t="str">
        <f>VLOOKUP($G469,Others!$E$260:$I$596,3,FALSE)</f>
        <v>Live Action</v>
      </c>
      <c r="T469" s="5">
        <f>VLOOKUP($G469,Others!$E$260:$I$596,4,FALSE)</f>
        <v>0</v>
      </c>
      <c r="U469" s="5" t="str">
        <f>IFERROR(VLOOKUP($G469,Ratings!$E$81:$I$111,5,FALSE),"None")</f>
        <v>None</v>
      </c>
      <c r="V469" s="5"/>
      <c r="X469" s="5"/>
      <c r="Y469" s="5"/>
      <c r="AA469" s="5"/>
      <c r="AB469" s="5"/>
      <c r="AC469" s="5"/>
      <c r="AG469" s="9"/>
      <c r="AH469" s="9"/>
    </row>
    <row r="470" spans="2:34" hidden="1">
      <c r="B470" s="4">
        <v>2018</v>
      </c>
      <c r="C470" s="4" t="s">
        <v>44</v>
      </c>
      <c r="D470" s="3">
        <f t="shared" si="7"/>
        <v>215</v>
      </c>
      <c r="E470" s="3" t="s">
        <v>886</v>
      </c>
      <c r="G470" s="5" t="s">
        <v>984</v>
      </c>
      <c r="H470" s="5"/>
      <c r="I470" s="5" t="s">
        <v>191</v>
      </c>
      <c r="J470" s="7">
        <v>0</v>
      </c>
      <c r="M470" s="8">
        <v>0</v>
      </c>
      <c r="N470" s="7">
        <v>0</v>
      </c>
      <c r="P470" s="7">
        <v>693523</v>
      </c>
      <c r="Q470" s="7">
        <v>693523</v>
      </c>
      <c r="R470" s="5" t="str">
        <f>VLOOKUP($G470,Others!$E$260:$I$596,2,FALSE)</f>
        <v>Original Screenplay</v>
      </c>
      <c r="S470" s="5" t="str">
        <f>VLOOKUP($G470,Others!$E$260:$I$596,3,FALSE)</f>
        <v>Live Action</v>
      </c>
      <c r="T470" s="5" t="str">
        <f>VLOOKUP($G470,Others!$E$260:$I$596,4,FALSE)</f>
        <v>Factual</v>
      </c>
      <c r="U470" s="5" t="str">
        <f>IFERROR(VLOOKUP($G470,Ratings!$E$81:$I$111,5,FALSE),"None")</f>
        <v>None</v>
      </c>
      <c r="V470" s="5"/>
      <c r="X470" s="5"/>
      <c r="Y470" s="5"/>
      <c r="AA470" s="5"/>
      <c r="AB470" s="5"/>
      <c r="AC470" s="5"/>
      <c r="AG470" s="9"/>
      <c r="AH470" s="9"/>
    </row>
    <row r="471" spans="2:34" hidden="1">
      <c r="B471" s="4">
        <v>2018</v>
      </c>
      <c r="C471" s="4" t="s">
        <v>44</v>
      </c>
      <c r="D471" s="3">
        <f t="shared" si="7"/>
        <v>216</v>
      </c>
      <c r="E471" s="3" t="s">
        <v>886</v>
      </c>
      <c r="G471" s="5" t="s">
        <v>985</v>
      </c>
      <c r="H471" s="5"/>
      <c r="I471" s="5" t="s">
        <v>131</v>
      </c>
      <c r="J471" s="7">
        <v>0</v>
      </c>
      <c r="M471" s="8">
        <v>0</v>
      </c>
      <c r="N471" s="7">
        <v>0</v>
      </c>
      <c r="P471" s="7">
        <v>331844</v>
      </c>
      <c r="Q471" s="7">
        <v>331844</v>
      </c>
      <c r="R471" s="5" t="str">
        <f>VLOOKUP($G471,Others!$E$260:$I$596,2,FALSE)</f>
        <v>Original Screenplay</v>
      </c>
      <c r="S471" s="5" t="str">
        <f>VLOOKUP($G471,Others!$E$260:$I$596,3,FALSE)</f>
        <v>Live Action</v>
      </c>
      <c r="T471" s="5" t="str">
        <f>VLOOKUP($G471,Others!$E$260:$I$596,4,FALSE)</f>
        <v>Contemporary Fiction</v>
      </c>
      <c r="U471" s="5" t="str">
        <f>IFERROR(VLOOKUP($G471,Ratings!$E$81:$I$111,5,FALSE),"None")</f>
        <v>None</v>
      </c>
      <c r="V471" s="5"/>
      <c r="X471" s="5"/>
      <c r="Y471" s="5"/>
      <c r="AA471" s="5"/>
      <c r="AB471" s="5"/>
      <c r="AC471" s="5"/>
      <c r="AG471" s="9"/>
      <c r="AH471" s="9"/>
    </row>
    <row r="472" spans="2:34" hidden="1">
      <c r="B472" s="4">
        <v>2018</v>
      </c>
      <c r="C472" s="4" t="s">
        <v>44</v>
      </c>
      <c r="D472" s="3">
        <f t="shared" si="7"/>
        <v>217</v>
      </c>
      <c r="E472" s="3" t="s">
        <v>886</v>
      </c>
      <c r="G472" s="5" t="s">
        <v>519</v>
      </c>
      <c r="H472" s="5"/>
      <c r="I472" s="5" t="s">
        <v>131</v>
      </c>
      <c r="J472" s="7">
        <v>0</v>
      </c>
      <c r="M472" s="8">
        <v>0</v>
      </c>
      <c r="N472" s="7">
        <v>0</v>
      </c>
      <c r="P472" s="7">
        <v>51996</v>
      </c>
      <c r="Q472" s="7">
        <v>51996</v>
      </c>
      <c r="R472" s="5">
        <f>VLOOKUP($G472,Others!$E$260:$I$596,2,FALSE)</f>
        <v>0</v>
      </c>
      <c r="S472" s="5" t="str">
        <f>VLOOKUP($G472,Others!$E$260:$I$596,3,FALSE)</f>
        <v>Live Action</v>
      </c>
      <c r="T472" s="5" t="str">
        <f>VLOOKUP($G472,Others!$E$260:$I$596,4,FALSE)</f>
        <v>Contemporary Fiction</v>
      </c>
      <c r="U472" s="5" t="str">
        <f>IFERROR(VLOOKUP($G472,Ratings!$E$81:$I$111,5,FALSE),"None")</f>
        <v>None</v>
      </c>
      <c r="V472" s="5"/>
      <c r="X472" s="5"/>
      <c r="Y472" s="5"/>
      <c r="AA472" s="5"/>
      <c r="AB472" s="5"/>
      <c r="AC472" s="5"/>
      <c r="AG472" s="9"/>
      <c r="AH472" s="9"/>
    </row>
    <row r="473" spans="2:34">
      <c r="B473" s="4">
        <v>2019</v>
      </c>
      <c r="C473" s="4" t="s">
        <v>44</v>
      </c>
      <c r="D473" s="3">
        <f t="shared" si="7"/>
        <v>218</v>
      </c>
      <c r="E473" s="55" t="s">
        <v>886</v>
      </c>
      <c r="F473" s="3" t="s">
        <v>2166</v>
      </c>
      <c r="G473" s="5" t="s">
        <v>228</v>
      </c>
      <c r="H473" s="5" t="s">
        <v>1436</v>
      </c>
      <c r="I473" s="5" t="s">
        <v>136</v>
      </c>
      <c r="J473" s="7">
        <f>0.3*100000000/6.7</f>
        <v>4477611.940298507</v>
      </c>
      <c r="K473" s="57" t="s">
        <v>1411</v>
      </c>
      <c r="L473" s="7">
        <f>0.06*100000000/6.7</f>
        <v>895522.38805970142</v>
      </c>
      <c r="M473" s="8">
        <v>36411</v>
      </c>
      <c r="N473" s="7">
        <v>1800000</v>
      </c>
      <c r="O473" s="7">
        <f>0.18*100000000/6.7</f>
        <v>2686567.1641791044</v>
      </c>
      <c r="P473" s="7">
        <v>2704326</v>
      </c>
      <c r="Q473" s="7">
        <v>2704326</v>
      </c>
      <c r="R473" s="5" t="str">
        <f>VLOOKUP($G473,Others!$E$260:$I$596,2,FALSE)</f>
        <v>Original Screenplay</v>
      </c>
      <c r="S473" s="5" t="str">
        <f>VLOOKUP($G473,Others!$E$260:$I$596,3,FALSE)</f>
        <v>Live Action</v>
      </c>
      <c r="T473" s="5" t="str">
        <f>VLOOKUP($G473,Others!$E$260:$I$596,4,FALSE)</f>
        <v>Contemporary Fiction</v>
      </c>
      <c r="U473" s="5" t="str">
        <f>IFERROR(VLOOKUP($G473,Ratings!$E$81:$I$111,5,FALSE),"None")</f>
        <v>None</v>
      </c>
      <c r="V473" s="5" t="s">
        <v>2167</v>
      </c>
      <c r="W473" s="5" t="s">
        <v>2168</v>
      </c>
      <c r="X473" s="5" t="s">
        <v>2169</v>
      </c>
      <c r="Y473" s="5" t="s">
        <v>2170</v>
      </c>
      <c r="AA473" s="5" t="s">
        <v>2171</v>
      </c>
      <c r="AB473" s="5"/>
      <c r="AC473" s="5" t="s">
        <v>2172</v>
      </c>
      <c r="AD473" s="9">
        <v>8.1999999999999993</v>
      </c>
      <c r="AE473" s="1" t="s">
        <v>1489</v>
      </c>
      <c r="AG473" s="9"/>
      <c r="AH473" s="9"/>
    </row>
    <row r="474" spans="2:34" hidden="1">
      <c r="B474" s="4">
        <v>2018</v>
      </c>
      <c r="C474" s="4" t="s">
        <v>44</v>
      </c>
      <c r="D474" s="3">
        <f t="shared" si="7"/>
        <v>219</v>
      </c>
      <c r="E474" s="3" t="s">
        <v>886</v>
      </c>
      <c r="G474" s="5" t="s">
        <v>986</v>
      </c>
      <c r="H474" s="5"/>
      <c r="I474" s="5" t="s">
        <v>131</v>
      </c>
      <c r="J474" s="7">
        <v>0</v>
      </c>
      <c r="M474" s="8">
        <v>0</v>
      </c>
      <c r="N474" s="7">
        <v>0</v>
      </c>
      <c r="P474" s="7">
        <v>2789574</v>
      </c>
      <c r="Q474" s="7">
        <v>2789574</v>
      </c>
      <c r="R474" s="5">
        <f>VLOOKUP($G474,Others!$E$260:$I$596,2,FALSE)</f>
        <v>0</v>
      </c>
      <c r="S474" s="5" t="str">
        <f>VLOOKUP($G474,Others!$E$260:$I$596,3,FALSE)</f>
        <v>Live Action</v>
      </c>
      <c r="T474" s="5">
        <f>VLOOKUP($G474,Others!$E$260:$I$596,4,FALSE)</f>
        <v>0</v>
      </c>
      <c r="U474" s="5" t="str">
        <f>IFERROR(VLOOKUP($G474,Ratings!$E$81:$I$111,5,FALSE),"None")</f>
        <v>None</v>
      </c>
      <c r="V474" s="5"/>
      <c r="X474" s="5"/>
      <c r="Y474" s="5"/>
      <c r="AA474" s="5"/>
      <c r="AB474" s="5"/>
      <c r="AC474" s="5"/>
      <c r="AG474" s="9"/>
      <c r="AH474" s="9"/>
    </row>
    <row r="475" spans="2:34" hidden="1">
      <c r="B475" s="4">
        <v>2018</v>
      </c>
      <c r="C475" s="4" t="s">
        <v>44</v>
      </c>
      <c r="D475" s="3">
        <f t="shared" si="7"/>
        <v>220</v>
      </c>
      <c r="E475" s="3" t="s">
        <v>886</v>
      </c>
      <c r="G475" s="5" t="s">
        <v>338</v>
      </c>
      <c r="H475" s="5"/>
      <c r="I475" s="5" t="s">
        <v>136</v>
      </c>
      <c r="J475" s="7">
        <v>0</v>
      </c>
      <c r="M475" s="8">
        <v>0</v>
      </c>
      <c r="N475" s="7">
        <v>0</v>
      </c>
      <c r="P475" s="7">
        <v>11412</v>
      </c>
      <c r="Q475" s="7">
        <v>11412</v>
      </c>
      <c r="R475" s="5">
        <f>VLOOKUP($G475,Others!$E$260:$I$596,2,FALSE)</f>
        <v>0</v>
      </c>
      <c r="S475" s="5">
        <f>VLOOKUP($G475,Others!$E$260:$I$596,3,FALSE)</f>
        <v>0</v>
      </c>
      <c r="T475" s="5">
        <f>VLOOKUP($G475,Others!$E$260:$I$596,4,FALSE)</f>
        <v>0</v>
      </c>
      <c r="U475" s="5" t="str">
        <f>IFERROR(VLOOKUP($G475,Ratings!$E$81:$I$111,5,FALSE),"None")</f>
        <v>None</v>
      </c>
      <c r="V475" s="5"/>
      <c r="X475" s="5"/>
      <c r="Y475" s="5"/>
      <c r="AA475" s="5"/>
      <c r="AB475" s="5"/>
      <c r="AC475" s="5"/>
      <c r="AG475" s="9"/>
      <c r="AH475" s="9"/>
    </row>
    <row r="476" spans="2:34" hidden="1">
      <c r="B476" s="4">
        <v>2018</v>
      </c>
      <c r="C476" s="4" t="s">
        <v>44</v>
      </c>
      <c r="D476" s="3">
        <f t="shared" si="7"/>
        <v>221</v>
      </c>
      <c r="E476" s="3" t="s">
        <v>886</v>
      </c>
      <c r="G476" s="5" t="s">
        <v>987</v>
      </c>
      <c r="H476" s="5"/>
      <c r="I476" s="5" t="s">
        <v>131</v>
      </c>
      <c r="J476" s="7">
        <v>0</v>
      </c>
      <c r="M476" s="8">
        <v>0</v>
      </c>
      <c r="N476" s="7">
        <v>0</v>
      </c>
      <c r="P476" s="7">
        <v>3346</v>
      </c>
      <c r="Q476" s="7">
        <v>3346</v>
      </c>
      <c r="R476" s="5" t="str">
        <f>VLOOKUP($G476,Others!$E$260:$I$596,2,FALSE)</f>
        <v>Original Screenplay</v>
      </c>
      <c r="S476" s="5" t="str">
        <f>VLOOKUP($G476,Others!$E$260:$I$596,3,FALSE)</f>
        <v>Live Action</v>
      </c>
      <c r="T476" s="5">
        <f>VLOOKUP($G476,Others!$E$260:$I$596,4,FALSE)</f>
        <v>0</v>
      </c>
      <c r="U476" s="5" t="str">
        <f>IFERROR(VLOOKUP($G476,Ratings!$E$81:$I$111,5,FALSE),"None")</f>
        <v>None</v>
      </c>
      <c r="V476" s="5"/>
      <c r="X476" s="5"/>
      <c r="Y476" s="5"/>
      <c r="AA476" s="5"/>
      <c r="AB476" s="5"/>
      <c r="AC476" s="5"/>
      <c r="AG476" s="9"/>
      <c r="AH476" s="9"/>
    </row>
    <row r="477" spans="2:34" hidden="1">
      <c r="B477" s="4">
        <v>2018</v>
      </c>
      <c r="C477" s="4" t="s">
        <v>44</v>
      </c>
      <c r="D477" s="3">
        <f t="shared" si="7"/>
        <v>222</v>
      </c>
      <c r="E477" s="3" t="s">
        <v>886</v>
      </c>
      <c r="G477" s="5" t="s">
        <v>988</v>
      </c>
      <c r="H477" s="5"/>
      <c r="I477" s="5" t="s">
        <v>131</v>
      </c>
      <c r="J477" s="7">
        <v>0</v>
      </c>
      <c r="M477" s="8">
        <v>0</v>
      </c>
      <c r="N477" s="7">
        <v>0</v>
      </c>
      <c r="P477" s="7">
        <v>214567</v>
      </c>
      <c r="Q477" s="7">
        <v>214567</v>
      </c>
      <c r="R477" s="5" t="str">
        <f>VLOOKUP($G477,Others!$E$260:$I$596,2,FALSE)</f>
        <v>Original Screenplay</v>
      </c>
      <c r="S477" s="5" t="str">
        <f>VLOOKUP($G477,Others!$E$260:$I$596,3,FALSE)</f>
        <v>Live Action</v>
      </c>
      <c r="T477" s="5" t="str">
        <f>VLOOKUP($G477,Others!$E$260:$I$596,4,FALSE)</f>
        <v>Contemporary Fiction</v>
      </c>
      <c r="U477" s="5" t="str">
        <f>IFERROR(VLOOKUP($G477,Ratings!$E$81:$I$111,5,FALSE),"None")</f>
        <v>None</v>
      </c>
      <c r="V477" s="5"/>
      <c r="X477" s="5"/>
      <c r="Y477" s="5"/>
      <c r="AA477" s="5"/>
      <c r="AB477" s="5"/>
      <c r="AC477" s="5"/>
      <c r="AG477" s="9"/>
      <c r="AH477" s="9"/>
    </row>
    <row r="478" spans="2:34" hidden="1">
      <c r="B478" s="4">
        <v>2018</v>
      </c>
      <c r="C478" s="4" t="s">
        <v>44</v>
      </c>
      <c r="D478" s="3">
        <f t="shared" si="7"/>
        <v>223</v>
      </c>
      <c r="E478" s="3" t="s">
        <v>886</v>
      </c>
      <c r="G478" s="5" t="s">
        <v>989</v>
      </c>
      <c r="H478" s="5"/>
      <c r="I478" s="5" t="s">
        <v>136</v>
      </c>
      <c r="J478" s="7">
        <v>0</v>
      </c>
      <c r="M478" s="8">
        <v>0</v>
      </c>
      <c r="N478" s="7">
        <v>0</v>
      </c>
      <c r="P478" s="7">
        <v>4449</v>
      </c>
      <c r="Q478" s="7">
        <v>4449</v>
      </c>
      <c r="R478" s="5">
        <f>VLOOKUP($G478,Others!$E$260:$I$596,2,FALSE)</f>
        <v>0</v>
      </c>
      <c r="S478" s="5" t="str">
        <f>VLOOKUP($G478,Others!$E$260:$I$596,3,FALSE)</f>
        <v>Live Action</v>
      </c>
      <c r="T478" s="5" t="str">
        <f>VLOOKUP($G478,Others!$E$260:$I$596,4,FALSE)</f>
        <v>Fantasy</v>
      </c>
      <c r="U478" s="5" t="str">
        <f>IFERROR(VLOOKUP($G478,Ratings!$E$81:$I$111,5,FALSE),"None")</f>
        <v>None</v>
      </c>
      <c r="V478" s="5"/>
      <c r="X478" s="5"/>
      <c r="Y478" s="5"/>
      <c r="AA478" s="5"/>
      <c r="AB478" s="5"/>
      <c r="AC478" s="5"/>
      <c r="AG478" s="9"/>
      <c r="AH478" s="9"/>
    </row>
    <row r="479" spans="2:34" hidden="1">
      <c r="B479" s="4">
        <v>2018</v>
      </c>
      <c r="C479" s="4" t="s">
        <v>44</v>
      </c>
      <c r="D479" s="3">
        <f t="shared" si="7"/>
        <v>224</v>
      </c>
      <c r="E479" s="3" t="s">
        <v>886</v>
      </c>
      <c r="G479" s="5" t="s">
        <v>990</v>
      </c>
      <c r="H479" s="5"/>
      <c r="I479" s="5" t="s">
        <v>193</v>
      </c>
      <c r="J479" s="7">
        <v>0</v>
      </c>
      <c r="M479" s="8">
        <v>0</v>
      </c>
      <c r="N479" s="7">
        <v>0</v>
      </c>
      <c r="P479" s="7">
        <v>295719</v>
      </c>
      <c r="Q479" s="7">
        <v>295719</v>
      </c>
      <c r="R479" s="5">
        <f>VLOOKUP($G479,Others!$E$260:$I$596,2,FALSE)</f>
        <v>0</v>
      </c>
      <c r="S479" s="5" t="str">
        <f>VLOOKUP($G479,Others!$E$260:$I$596,3,FALSE)</f>
        <v>Live Action</v>
      </c>
      <c r="T479" s="5">
        <f>VLOOKUP($G479,Others!$E$260:$I$596,4,FALSE)</f>
        <v>0</v>
      </c>
      <c r="U479" s="5" t="str">
        <f>IFERROR(VLOOKUP($G479,Ratings!$E$81:$I$111,5,FALSE),"None")</f>
        <v>None</v>
      </c>
      <c r="V479" s="5"/>
      <c r="X479" s="5"/>
      <c r="Y479" s="5"/>
      <c r="AA479" s="5"/>
      <c r="AB479" s="5"/>
      <c r="AC479" s="5"/>
      <c r="AG479" s="9"/>
      <c r="AH479" s="9"/>
    </row>
    <row r="480" spans="2:34" hidden="1">
      <c r="B480" s="4">
        <v>2018</v>
      </c>
      <c r="C480" s="4" t="s">
        <v>44</v>
      </c>
      <c r="D480" s="3">
        <f t="shared" si="7"/>
        <v>225</v>
      </c>
      <c r="E480" s="3" t="s">
        <v>886</v>
      </c>
      <c r="G480" s="5" t="s">
        <v>991</v>
      </c>
      <c r="H480" s="5"/>
      <c r="I480" s="5" t="s">
        <v>136</v>
      </c>
      <c r="J480" s="7">
        <v>0</v>
      </c>
      <c r="M480" s="8">
        <v>0</v>
      </c>
      <c r="N480" s="7">
        <v>0</v>
      </c>
      <c r="P480" s="7">
        <v>5197</v>
      </c>
      <c r="Q480" s="7">
        <v>5197</v>
      </c>
      <c r="R480" s="5" t="str">
        <f>VLOOKUP($G480,Others!$E$260:$I$596,2,FALSE)</f>
        <v>Original Screenplay</v>
      </c>
      <c r="S480" s="5" t="str">
        <f>VLOOKUP($G480,Others!$E$260:$I$596,3,FALSE)</f>
        <v>Live Action</v>
      </c>
      <c r="T480" s="5" t="str">
        <f>VLOOKUP($G480,Others!$E$260:$I$596,4,FALSE)</f>
        <v>Contemporary Fiction</v>
      </c>
      <c r="U480" s="5" t="str">
        <f>IFERROR(VLOOKUP($G480,Ratings!$E$81:$I$111,5,FALSE),"None")</f>
        <v>None</v>
      </c>
      <c r="V480" s="5"/>
      <c r="X480" s="5"/>
      <c r="Y480" s="5"/>
      <c r="AA480" s="5"/>
      <c r="AB480" s="5"/>
      <c r="AC480" s="5"/>
      <c r="AG480" s="9"/>
      <c r="AH480" s="9"/>
    </row>
    <row r="481" spans="2:34" hidden="1">
      <c r="B481" s="4">
        <v>2018</v>
      </c>
      <c r="C481" s="4" t="s">
        <v>44</v>
      </c>
      <c r="D481" s="3">
        <f t="shared" si="7"/>
        <v>226</v>
      </c>
      <c r="E481" s="3" t="s">
        <v>886</v>
      </c>
      <c r="G481" s="5" t="s">
        <v>271</v>
      </c>
      <c r="H481" s="5"/>
      <c r="I481" s="5" t="s">
        <v>191</v>
      </c>
      <c r="J481" s="7">
        <v>0</v>
      </c>
      <c r="M481" s="8">
        <v>0</v>
      </c>
      <c r="N481" s="7">
        <v>0</v>
      </c>
      <c r="P481" s="7">
        <v>508836</v>
      </c>
      <c r="Q481" s="7">
        <v>508836</v>
      </c>
      <c r="R481" s="5" t="str">
        <f>VLOOKUP($G481,Others!$E$260:$I$596,2,FALSE)</f>
        <v>Based on Real Life Events</v>
      </c>
      <c r="S481" s="5" t="str">
        <f>VLOOKUP($G481,Others!$E$260:$I$596,3,FALSE)</f>
        <v>Live Action</v>
      </c>
      <c r="T481" s="5" t="str">
        <f>VLOOKUP($G481,Others!$E$260:$I$596,4,FALSE)</f>
        <v>Factual</v>
      </c>
      <c r="U481" s="5" t="str">
        <f>IFERROR(VLOOKUP($G481,Ratings!$E$81:$I$111,5,FALSE),"None")</f>
        <v>None</v>
      </c>
      <c r="V481" s="5"/>
      <c r="X481" s="5"/>
      <c r="Y481" s="5"/>
      <c r="AA481" s="5"/>
      <c r="AB481" s="5"/>
      <c r="AC481" s="5"/>
      <c r="AG481" s="9"/>
      <c r="AH481" s="9"/>
    </row>
    <row r="482" spans="2:34">
      <c r="B482" s="4">
        <v>2018</v>
      </c>
      <c r="C482" s="4" t="s">
        <v>44</v>
      </c>
      <c r="D482" s="3">
        <f t="shared" si="7"/>
        <v>227</v>
      </c>
      <c r="E482" s="55" t="s">
        <v>886</v>
      </c>
      <c r="F482" s="22" t="s">
        <v>2173</v>
      </c>
      <c r="G482" s="5" t="s">
        <v>153</v>
      </c>
      <c r="H482" s="39" t="s">
        <v>2174</v>
      </c>
      <c r="I482" s="5" t="s">
        <v>1403</v>
      </c>
      <c r="J482" s="7">
        <v>7500000</v>
      </c>
      <c r="K482" s="57" t="s">
        <v>1411</v>
      </c>
      <c r="L482" s="7">
        <v>19552238</v>
      </c>
      <c r="M482" s="8">
        <v>71757</v>
      </c>
      <c r="N482" s="7">
        <v>860000</v>
      </c>
      <c r="O482" s="7">
        <v>56567164</v>
      </c>
      <c r="P482" s="7">
        <v>56040680</v>
      </c>
      <c r="Q482" s="7">
        <v>56040680</v>
      </c>
      <c r="R482" s="5" t="str">
        <f>VLOOKUP($G482,Others!$E$260:$I$596,2,FALSE)</f>
        <v>Original Screenplay</v>
      </c>
      <c r="S482" s="5" t="str">
        <f>VLOOKUP($G482,Others!$E$260:$I$596,3,FALSE)</f>
        <v>Live Action</v>
      </c>
      <c r="T482" s="5" t="str">
        <f>VLOOKUP($G482,Others!$E$260:$I$596,4,FALSE)</f>
        <v>Contemporary Fiction</v>
      </c>
      <c r="U482" s="5" t="str">
        <f>IFERROR(VLOOKUP($G482,Ratings!$E$81:$I$111,5,FALSE),"None")</f>
        <v>None</v>
      </c>
      <c r="V482" s="5" t="s">
        <v>2175</v>
      </c>
      <c r="W482" s="5" t="s">
        <v>2176</v>
      </c>
      <c r="X482" s="5" t="s">
        <v>1984</v>
      </c>
      <c r="Y482" s="5" t="s">
        <v>2177</v>
      </c>
      <c r="AA482" s="5" t="s">
        <v>2178</v>
      </c>
      <c r="AB482" s="5"/>
      <c r="AC482" s="5" t="s">
        <v>2179</v>
      </c>
      <c r="AD482" s="9">
        <v>9.1</v>
      </c>
      <c r="AE482" s="1" t="s">
        <v>1489</v>
      </c>
      <c r="AG482" s="9"/>
      <c r="AH482" s="9"/>
    </row>
    <row r="483" spans="2:34" hidden="1">
      <c r="B483" s="4">
        <v>2018</v>
      </c>
      <c r="C483" s="4" t="s">
        <v>44</v>
      </c>
      <c r="D483" s="3">
        <f t="shared" si="7"/>
        <v>228</v>
      </c>
      <c r="E483" s="3" t="s">
        <v>886</v>
      </c>
      <c r="G483" s="5" t="s">
        <v>491</v>
      </c>
      <c r="H483" s="5"/>
      <c r="I483" s="5" t="s">
        <v>193</v>
      </c>
      <c r="J483" s="7">
        <v>0</v>
      </c>
      <c r="M483" s="8">
        <v>0</v>
      </c>
      <c r="N483" s="7">
        <v>0</v>
      </c>
      <c r="P483" s="7">
        <v>211751</v>
      </c>
      <c r="Q483" s="7">
        <v>211751</v>
      </c>
      <c r="R483" s="5" t="str">
        <f>VLOOKUP($G483,Others!$E$260:$I$596,2,FALSE)</f>
        <v>Original Screenplay</v>
      </c>
      <c r="S483" s="5" t="str">
        <f>VLOOKUP($G483,Others!$E$260:$I$596,3,FALSE)</f>
        <v>Live Action</v>
      </c>
      <c r="T483" s="5" t="str">
        <f>VLOOKUP($G483,Others!$E$260:$I$596,4,FALSE)</f>
        <v>Contemporary Fiction</v>
      </c>
      <c r="U483" s="5" t="str">
        <f>IFERROR(VLOOKUP($G483,Ratings!$E$81:$I$111,5,FALSE),"None")</f>
        <v>None</v>
      </c>
      <c r="V483" s="5"/>
      <c r="X483" s="5"/>
      <c r="Y483" s="5"/>
      <c r="AA483" s="5"/>
      <c r="AB483" s="5"/>
      <c r="AC483" s="5"/>
      <c r="AG483" s="9"/>
      <c r="AH483" s="9"/>
    </row>
    <row r="484" spans="2:34" hidden="1">
      <c r="B484" s="4">
        <v>2018</v>
      </c>
      <c r="C484" s="4" t="s">
        <v>44</v>
      </c>
      <c r="D484" s="3">
        <f t="shared" si="7"/>
        <v>229</v>
      </c>
      <c r="E484" s="3" t="s">
        <v>886</v>
      </c>
      <c r="G484" s="5" t="s">
        <v>313</v>
      </c>
      <c r="H484" s="5"/>
      <c r="I484" s="5" t="s">
        <v>148</v>
      </c>
      <c r="J484" s="7">
        <v>0</v>
      </c>
      <c r="M484" s="8">
        <v>0</v>
      </c>
      <c r="N484" s="7">
        <v>0</v>
      </c>
      <c r="P484" s="7">
        <v>75888</v>
      </c>
      <c r="Q484" s="7">
        <v>75888</v>
      </c>
      <c r="R484" s="5">
        <f>VLOOKUP($G484,Others!$E$260:$I$596,2,FALSE)</f>
        <v>0</v>
      </c>
      <c r="S484" s="5" t="str">
        <f>VLOOKUP($G484,Others!$E$260:$I$596,3,FALSE)</f>
        <v>Live Action</v>
      </c>
      <c r="T484" s="5">
        <f>VLOOKUP($G484,Others!$E$260:$I$596,4,FALSE)</f>
        <v>0</v>
      </c>
      <c r="U484" s="5" t="str">
        <f>IFERROR(VLOOKUP($G484,Ratings!$E$81:$I$111,5,FALSE),"None")</f>
        <v>None</v>
      </c>
      <c r="V484" s="5"/>
      <c r="X484" s="5"/>
      <c r="Y484" s="5"/>
      <c r="AA484" s="5"/>
      <c r="AB484" s="5"/>
      <c r="AC484" s="5"/>
      <c r="AG484" s="9"/>
      <c r="AH484" s="9"/>
    </row>
    <row r="485" spans="2:34" hidden="1">
      <c r="B485" s="4">
        <v>2018</v>
      </c>
      <c r="C485" s="4" t="s">
        <v>44</v>
      </c>
      <c r="D485" s="3">
        <f t="shared" si="7"/>
        <v>230</v>
      </c>
      <c r="E485" s="3" t="s">
        <v>886</v>
      </c>
      <c r="G485" s="5" t="s">
        <v>471</v>
      </c>
      <c r="H485" s="5"/>
      <c r="I485" s="5" t="s">
        <v>148</v>
      </c>
      <c r="J485" s="7">
        <v>0</v>
      </c>
      <c r="M485" s="8">
        <v>0</v>
      </c>
      <c r="N485" s="7">
        <v>0</v>
      </c>
      <c r="P485" s="7">
        <v>483331</v>
      </c>
      <c r="Q485" s="7">
        <v>483331</v>
      </c>
      <c r="R485" s="5" t="str">
        <f>VLOOKUP($G485,Others!$E$260:$I$596,2,FALSE)</f>
        <v>Original Screenplay</v>
      </c>
      <c r="S485" s="5" t="str">
        <f>VLOOKUP($G485,Others!$E$260:$I$596,3,FALSE)</f>
        <v>Live Action</v>
      </c>
      <c r="T485" s="5" t="str">
        <f>VLOOKUP($G485,Others!$E$260:$I$596,4,FALSE)</f>
        <v>Contemporary Fiction</v>
      </c>
      <c r="U485" s="5" t="str">
        <f>IFERROR(VLOOKUP($G485,Ratings!$E$81:$I$111,5,FALSE),"None")</f>
        <v>None</v>
      </c>
      <c r="V485" s="5"/>
      <c r="X485" s="5"/>
      <c r="Y485" s="5"/>
      <c r="AA485" s="5"/>
      <c r="AB485" s="5"/>
      <c r="AC485" s="5"/>
      <c r="AG485" s="9"/>
      <c r="AH485" s="9"/>
    </row>
    <row r="486" spans="2:34" hidden="1">
      <c r="B486" s="4">
        <v>2018</v>
      </c>
      <c r="C486" s="4" t="s">
        <v>44</v>
      </c>
      <c r="D486" s="3">
        <f t="shared" si="7"/>
        <v>231</v>
      </c>
      <c r="E486" s="3" t="s">
        <v>886</v>
      </c>
      <c r="G486" s="5" t="s">
        <v>439</v>
      </c>
      <c r="H486" s="5"/>
      <c r="I486" s="5" t="s">
        <v>129</v>
      </c>
      <c r="J486" s="7">
        <v>0</v>
      </c>
      <c r="M486" s="8">
        <v>0</v>
      </c>
      <c r="N486" s="7">
        <v>0</v>
      </c>
      <c r="P486" s="7">
        <v>1422563</v>
      </c>
      <c r="Q486" s="7">
        <v>1422563</v>
      </c>
      <c r="R486" s="5">
        <f>VLOOKUP($G486,Others!$E$260:$I$596,2,FALSE)</f>
        <v>0</v>
      </c>
      <c r="S486" s="5" t="str">
        <f>VLOOKUP($G486,Others!$E$260:$I$596,3,FALSE)</f>
        <v>Live Action</v>
      </c>
      <c r="T486" s="5">
        <f>VLOOKUP($G486,Others!$E$260:$I$596,4,FALSE)</f>
        <v>0</v>
      </c>
      <c r="U486" s="5" t="str">
        <f>IFERROR(VLOOKUP($G486,Ratings!$E$81:$I$111,5,FALSE),"None")</f>
        <v>None</v>
      </c>
      <c r="V486" s="5"/>
      <c r="X486" s="5"/>
      <c r="Y486" s="5"/>
      <c r="AA486" s="5"/>
      <c r="AB486" s="5"/>
      <c r="AC486" s="5"/>
      <c r="AG486" s="9"/>
      <c r="AH486" s="9"/>
    </row>
    <row r="487" spans="2:34" hidden="1">
      <c r="B487" s="4">
        <v>2018</v>
      </c>
      <c r="C487" s="4" t="s">
        <v>44</v>
      </c>
      <c r="D487" s="3">
        <f t="shared" si="7"/>
        <v>232</v>
      </c>
      <c r="E487" s="3" t="s">
        <v>994</v>
      </c>
      <c r="G487" s="5" t="s">
        <v>394</v>
      </c>
      <c r="H487" s="5" t="s">
        <v>626</v>
      </c>
      <c r="I487" s="5" t="s">
        <v>127</v>
      </c>
      <c r="J487" s="7">
        <v>0</v>
      </c>
      <c r="M487" s="8">
        <v>21</v>
      </c>
      <c r="N487" s="7">
        <v>35363</v>
      </c>
      <c r="P487" s="7">
        <v>18382575</v>
      </c>
      <c r="Q487" s="7">
        <v>18485628</v>
      </c>
      <c r="R487" s="5">
        <f>VLOOKUP($G487,Others!$E$260:$I$596,2,FALSE)</f>
        <v>0</v>
      </c>
      <c r="S487" s="5" t="str">
        <f>VLOOKUP($G487,Others!$E$260:$I$596,3,FALSE)</f>
        <v>Live Action</v>
      </c>
      <c r="T487" s="5">
        <f>VLOOKUP($G487,Others!$E$260:$I$596,4,FALSE)</f>
        <v>0</v>
      </c>
      <c r="U487" s="5" t="str">
        <f>IFERROR(VLOOKUP($G487,Ratings!$E$81:$I$111,5,FALSE),"None")</f>
        <v>Not Rated</v>
      </c>
      <c r="V487" s="5"/>
      <c r="X487" s="5"/>
      <c r="Y487" s="5"/>
      <c r="AA487" s="5"/>
      <c r="AB487" s="5"/>
      <c r="AC487" s="5"/>
      <c r="AG487" s="9"/>
      <c r="AH487" s="9"/>
    </row>
    <row r="488" spans="2:34" hidden="1">
      <c r="B488" s="4">
        <v>2018</v>
      </c>
      <c r="C488" s="4" t="s">
        <v>44</v>
      </c>
      <c r="D488" s="3">
        <f t="shared" si="7"/>
        <v>233</v>
      </c>
      <c r="E488" s="3" t="s">
        <v>886</v>
      </c>
      <c r="G488" s="5" t="s">
        <v>165</v>
      </c>
      <c r="H488" s="5"/>
      <c r="I488" s="5" t="s">
        <v>154</v>
      </c>
      <c r="J488" s="7">
        <v>0</v>
      </c>
      <c r="M488" s="8">
        <v>0</v>
      </c>
      <c r="N488" s="7">
        <v>0</v>
      </c>
      <c r="P488" s="7">
        <v>25293852</v>
      </c>
      <c r="Q488" s="7">
        <v>25293852</v>
      </c>
      <c r="R488" s="5" t="str">
        <f>VLOOKUP($G488,Others!$E$260:$I$596,2,FALSE)</f>
        <v>Original Screenplay</v>
      </c>
      <c r="S488" s="5" t="str">
        <f>VLOOKUP($G488,Others!$E$260:$I$596,3,FALSE)</f>
        <v>Live Action</v>
      </c>
      <c r="T488" s="5" t="str">
        <f>VLOOKUP($G488,Others!$E$260:$I$596,4,FALSE)</f>
        <v>Contemporary Fiction</v>
      </c>
      <c r="U488" s="5" t="str">
        <f>IFERROR(VLOOKUP($G488,Ratings!$E$81:$I$111,5,FALSE),"None")</f>
        <v>None</v>
      </c>
      <c r="V488" s="5"/>
      <c r="X488" s="5"/>
      <c r="Y488" s="5"/>
      <c r="AA488" s="5"/>
      <c r="AB488" s="5"/>
      <c r="AC488" s="5"/>
      <c r="AG488" s="9"/>
      <c r="AH488" s="9"/>
    </row>
    <row r="489" spans="2:34" hidden="1">
      <c r="B489" s="4">
        <v>2018</v>
      </c>
      <c r="C489" s="4" t="s">
        <v>44</v>
      </c>
      <c r="D489" s="3">
        <f t="shared" si="7"/>
        <v>234</v>
      </c>
      <c r="E489" s="3" t="s">
        <v>886</v>
      </c>
      <c r="G489" s="5" t="s">
        <v>280</v>
      </c>
      <c r="H489" s="5"/>
      <c r="I489" s="5" t="s">
        <v>136</v>
      </c>
      <c r="J489" s="7">
        <v>0</v>
      </c>
      <c r="M489" s="8">
        <v>0</v>
      </c>
      <c r="N489" s="7">
        <v>0</v>
      </c>
      <c r="P489" s="7">
        <v>376898</v>
      </c>
      <c r="Q489" s="7">
        <v>376898</v>
      </c>
      <c r="R489" s="5" t="str">
        <f>VLOOKUP($G489,Others!$E$260:$I$596,2,FALSE)</f>
        <v>Original Screenplay</v>
      </c>
      <c r="S489" s="5" t="str">
        <f>VLOOKUP($G489,Others!$E$260:$I$596,3,FALSE)</f>
        <v>Live Action</v>
      </c>
      <c r="T489" s="5" t="str">
        <f>VLOOKUP($G489,Others!$E$260:$I$596,4,FALSE)</f>
        <v>Contemporary Fiction</v>
      </c>
      <c r="U489" s="5" t="str">
        <f>IFERROR(VLOOKUP($G489,Ratings!$E$81:$I$111,5,FALSE),"None")</f>
        <v>None</v>
      </c>
      <c r="V489" s="5"/>
      <c r="X489" s="5"/>
      <c r="Y489" s="5"/>
      <c r="AA489" s="5"/>
      <c r="AB489" s="5"/>
      <c r="AC489" s="5"/>
      <c r="AG489" s="9"/>
      <c r="AH489" s="9"/>
    </row>
    <row r="490" spans="2:34" hidden="1">
      <c r="B490" s="4">
        <v>2018</v>
      </c>
      <c r="C490" s="4" t="s">
        <v>44</v>
      </c>
      <c r="D490" s="3">
        <f t="shared" si="7"/>
        <v>235</v>
      </c>
      <c r="E490" s="3" t="s">
        <v>886</v>
      </c>
      <c r="G490" s="5" t="s">
        <v>542</v>
      </c>
      <c r="H490" s="5"/>
      <c r="I490" s="5" t="s">
        <v>131</v>
      </c>
      <c r="J490" s="7">
        <v>0</v>
      </c>
      <c r="M490" s="8">
        <v>0</v>
      </c>
      <c r="N490" s="7">
        <v>0</v>
      </c>
      <c r="P490" s="7">
        <v>11350</v>
      </c>
      <c r="Q490" s="7">
        <v>11350</v>
      </c>
      <c r="R490" s="5" t="str">
        <f>VLOOKUP($G490,Others!$E$260:$I$596,2,FALSE)</f>
        <v>Original Screenplay</v>
      </c>
      <c r="S490" s="5" t="str">
        <f>VLOOKUP($G490,Others!$E$260:$I$596,3,FALSE)</f>
        <v>Live Action</v>
      </c>
      <c r="T490" s="5">
        <f>VLOOKUP($G490,Others!$E$260:$I$596,4,FALSE)</f>
        <v>0</v>
      </c>
      <c r="U490" s="5" t="str">
        <f>IFERROR(VLOOKUP($G490,Ratings!$E$81:$I$111,5,FALSE),"None")</f>
        <v>None</v>
      </c>
      <c r="V490" s="5"/>
      <c r="X490" s="5"/>
      <c r="Y490" s="5"/>
      <c r="AA490" s="5"/>
      <c r="AB490" s="5"/>
      <c r="AC490" s="5"/>
      <c r="AG490" s="9"/>
      <c r="AH490" s="9"/>
    </row>
    <row r="491" spans="2:34" hidden="1">
      <c r="B491" s="4">
        <v>2018</v>
      </c>
      <c r="C491" s="4" t="s">
        <v>44</v>
      </c>
      <c r="D491" s="3">
        <f t="shared" si="7"/>
        <v>236</v>
      </c>
      <c r="E491" s="3" t="s">
        <v>886</v>
      </c>
      <c r="G491" s="5" t="s">
        <v>346</v>
      </c>
      <c r="H491" s="5"/>
      <c r="I491" s="5" t="s">
        <v>131</v>
      </c>
      <c r="J491" s="7">
        <v>0</v>
      </c>
      <c r="M491" s="8">
        <v>0</v>
      </c>
      <c r="N491" s="7">
        <v>0</v>
      </c>
      <c r="P491" s="7">
        <v>2759</v>
      </c>
      <c r="Q491" s="7">
        <v>2759</v>
      </c>
      <c r="R491" s="5">
        <f>VLOOKUP($G491,Others!$E$260:$I$596,2,FALSE)</f>
        <v>0</v>
      </c>
      <c r="S491" s="5" t="str">
        <f>VLOOKUP($G491,Others!$E$260:$I$596,3,FALSE)</f>
        <v>Live Action</v>
      </c>
      <c r="T491" s="5">
        <f>VLOOKUP($G491,Others!$E$260:$I$596,4,FALSE)</f>
        <v>0</v>
      </c>
      <c r="U491" s="5" t="str">
        <f>IFERROR(VLOOKUP($G491,Ratings!$E$81:$I$111,5,FALSE),"None")</f>
        <v>None</v>
      </c>
      <c r="V491" s="5"/>
      <c r="X491" s="5"/>
      <c r="Y491" s="5"/>
      <c r="AA491" s="5"/>
      <c r="AB491" s="5"/>
      <c r="AC491" s="5"/>
      <c r="AG491" s="9"/>
      <c r="AH491" s="9"/>
    </row>
    <row r="492" spans="2:34" hidden="1">
      <c r="B492" s="4">
        <v>2018</v>
      </c>
      <c r="C492" s="4" t="s">
        <v>44</v>
      </c>
      <c r="D492" s="3">
        <f t="shared" si="7"/>
        <v>237</v>
      </c>
      <c r="E492" s="3" t="s">
        <v>886</v>
      </c>
      <c r="G492" s="5" t="s">
        <v>995</v>
      </c>
      <c r="H492" s="5"/>
      <c r="J492" s="7">
        <v>0</v>
      </c>
      <c r="M492" s="8">
        <v>0</v>
      </c>
      <c r="N492" s="7">
        <v>0</v>
      </c>
      <c r="P492" s="7">
        <v>16504</v>
      </c>
      <c r="Q492" s="7">
        <v>16504</v>
      </c>
      <c r="R492" s="5">
        <f>VLOOKUP($G492,Others!$E$260:$I$596,2,FALSE)</f>
        <v>0</v>
      </c>
      <c r="S492" s="5">
        <f>VLOOKUP($G492,Others!$E$260:$I$596,3,FALSE)</f>
        <v>0</v>
      </c>
      <c r="T492" s="5">
        <f>VLOOKUP($G492,Others!$E$260:$I$596,4,FALSE)</f>
        <v>0</v>
      </c>
      <c r="U492" s="5" t="str">
        <f>IFERROR(VLOOKUP($G492,Ratings!$E$81:$I$111,5,FALSE),"None")</f>
        <v>None</v>
      </c>
      <c r="V492" s="5"/>
      <c r="X492" s="5"/>
      <c r="Y492" s="5"/>
      <c r="AA492" s="5"/>
      <c r="AB492" s="5"/>
      <c r="AC492" s="5"/>
      <c r="AG492" s="9"/>
      <c r="AH492" s="9"/>
    </row>
    <row r="493" spans="2:34" hidden="1">
      <c r="B493" s="4">
        <v>2018</v>
      </c>
      <c r="C493" s="4" t="s">
        <v>44</v>
      </c>
      <c r="D493" s="3">
        <f t="shared" si="7"/>
        <v>238</v>
      </c>
      <c r="E493" s="3" t="s">
        <v>886</v>
      </c>
      <c r="G493" s="5" t="s">
        <v>996</v>
      </c>
      <c r="H493" s="5"/>
      <c r="I493" s="5" t="s">
        <v>136</v>
      </c>
      <c r="J493" s="7">
        <v>0</v>
      </c>
      <c r="M493" s="8">
        <v>0</v>
      </c>
      <c r="N493" s="7">
        <v>0</v>
      </c>
      <c r="P493" s="7">
        <v>10890</v>
      </c>
      <c r="Q493" s="7">
        <v>10890</v>
      </c>
      <c r="R493" s="5">
        <f>VLOOKUP($G493,Others!$E$260:$I$596,2,FALSE)</f>
        <v>0</v>
      </c>
      <c r="S493" s="5">
        <f>VLOOKUP($G493,Others!$E$260:$I$596,3,FALSE)</f>
        <v>0</v>
      </c>
      <c r="T493" s="5">
        <f>VLOOKUP($G493,Others!$E$260:$I$596,4,FALSE)</f>
        <v>0</v>
      </c>
      <c r="U493" s="5" t="str">
        <f>IFERROR(VLOOKUP($G493,Ratings!$E$81:$I$111,5,FALSE),"None")</f>
        <v>None</v>
      </c>
      <c r="V493" s="5"/>
      <c r="X493" s="5"/>
      <c r="Y493" s="5"/>
      <c r="AA493" s="5"/>
      <c r="AB493" s="5"/>
      <c r="AC493" s="5"/>
      <c r="AG493" s="9"/>
      <c r="AH493" s="9"/>
    </row>
    <row r="494" spans="2:34" hidden="1">
      <c r="B494" s="4">
        <v>2018</v>
      </c>
      <c r="C494" s="4" t="s">
        <v>44</v>
      </c>
      <c r="D494" s="3">
        <f t="shared" si="7"/>
        <v>239</v>
      </c>
      <c r="E494" s="3" t="s">
        <v>886</v>
      </c>
      <c r="G494" s="5" t="s">
        <v>997</v>
      </c>
      <c r="H494" s="5"/>
      <c r="J494" s="7">
        <v>0</v>
      </c>
      <c r="M494" s="8">
        <v>0</v>
      </c>
      <c r="N494" s="7">
        <v>0</v>
      </c>
      <c r="P494" s="7">
        <v>797024</v>
      </c>
      <c r="Q494" s="7">
        <v>797024</v>
      </c>
      <c r="R494" s="5">
        <f>VLOOKUP($G494,Others!$E$260:$I$596,2,FALSE)</f>
        <v>0</v>
      </c>
      <c r="S494" s="5">
        <f>VLOOKUP($G494,Others!$E$260:$I$596,3,FALSE)</f>
        <v>0</v>
      </c>
      <c r="T494" s="5">
        <f>VLOOKUP($G494,Others!$E$260:$I$596,4,FALSE)</f>
        <v>0</v>
      </c>
      <c r="U494" s="5" t="str">
        <f>IFERROR(VLOOKUP($G494,Ratings!$E$81:$I$111,5,FALSE),"None")</f>
        <v>None</v>
      </c>
      <c r="V494" s="5"/>
      <c r="X494" s="5"/>
      <c r="Y494" s="5"/>
      <c r="AA494" s="5"/>
      <c r="AB494" s="5"/>
      <c r="AC494" s="5"/>
      <c r="AG494" s="9"/>
      <c r="AH494" s="9"/>
    </row>
    <row r="495" spans="2:34" hidden="1">
      <c r="B495" s="4">
        <v>2018</v>
      </c>
      <c r="C495" s="4" t="s">
        <v>44</v>
      </c>
      <c r="D495" s="3">
        <f t="shared" si="7"/>
        <v>240</v>
      </c>
      <c r="E495" s="3" t="s">
        <v>886</v>
      </c>
      <c r="G495" s="5" t="s">
        <v>330</v>
      </c>
      <c r="H495" s="5"/>
      <c r="I495" s="5" t="s">
        <v>131</v>
      </c>
      <c r="J495" s="7">
        <v>0</v>
      </c>
      <c r="M495" s="8">
        <v>0</v>
      </c>
      <c r="N495" s="7">
        <v>0</v>
      </c>
      <c r="P495" s="7">
        <v>22337</v>
      </c>
      <c r="Q495" s="7">
        <v>22337</v>
      </c>
      <c r="R495" s="5" t="str">
        <f>VLOOKUP($G495,Others!$E$260:$I$596,2,FALSE)</f>
        <v>Original Screenplay</v>
      </c>
      <c r="S495" s="5" t="str">
        <f>VLOOKUP($G495,Others!$E$260:$I$596,3,FALSE)</f>
        <v>Live Action</v>
      </c>
      <c r="T495" s="5" t="str">
        <f>VLOOKUP($G495,Others!$E$260:$I$596,4,FALSE)</f>
        <v>Contemporary Fiction</v>
      </c>
      <c r="U495" s="5" t="str">
        <f>IFERROR(VLOOKUP($G495,Ratings!$E$81:$I$111,5,FALSE),"None")</f>
        <v>None</v>
      </c>
      <c r="V495" s="5"/>
      <c r="X495" s="5"/>
      <c r="Y495" s="5"/>
      <c r="AA495" s="5"/>
      <c r="AB495" s="5"/>
      <c r="AC495" s="5"/>
      <c r="AG495" s="9"/>
      <c r="AH495" s="9"/>
    </row>
    <row r="496" spans="2:34" hidden="1">
      <c r="B496" s="4">
        <v>2018</v>
      </c>
      <c r="C496" s="4" t="s">
        <v>44</v>
      </c>
      <c r="D496" s="3">
        <f t="shared" si="7"/>
        <v>241</v>
      </c>
      <c r="E496" s="3" t="s">
        <v>886</v>
      </c>
      <c r="G496" s="5" t="s">
        <v>998</v>
      </c>
      <c r="H496" s="5"/>
      <c r="J496" s="7">
        <v>0</v>
      </c>
      <c r="M496" s="8">
        <v>0</v>
      </c>
      <c r="N496" s="7">
        <v>0</v>
      </c>
      <c r="P496" s="7">
        <v>5356</v>
      </c>
      <c r="Q496" s="7">
        <v>5356</v>
      </c>
      <c r="R496" s="5">
        <f>VLOOKUP($G496,Others!$E$260:$I$596,2,FALSE)</f>
        <v>0</v>
      </c>
      <c r="S496" s="5">
        <f>VLOOKUP($G496,Others!$E$260:$I$596,3,FALSE)</f>
        <v>0</v>
      </c>
      <c r="T496" s="5">
        <f>VLOOKUP($G496,Others!$E$260:$I$596,4,FALSE)</f>
        <v>0</v>
      </c>
      <c r="U496" s="5" t="str">
        <f>IFERROR(VLOOKUP($G496,Ratings!$E$81:$I$111,5,FALSE),"None")</f>
        <v>None</v>
      </c>
      <c r="V496" s="5"/>
      <c r="X496" s="5"/>
      <c r="Y496" s="5"/>
      <c r="AA496" s="5"/>
      <c r="AB496" s="5"/>
      <c r="AC496" s="5"/>
      <c r="AG496" s="9"/>
      <c r="AH496" s="9"/>
    </row>
    <row r="497" spans="1:34" hidden="1">
      <c r="B497" s="4">
        <v>2018</v>
      </c>
      <c r="C497" s="4" t="s">
        <v>44</v>
      </c>
      <c r="D497" s="3">
        <f t="shared" si="7"/>
        <v>242</v>
      </c>
      <c r="E497" s="3" t="s">
        <v>886</v>
      </c>
      <c r="G497" s="5" t="s">
        <v>260</v>
      </c>
      <c r="H497" s="5"/>
      <c r="I497" s="5" t="s">
        <v>131</v>
      </c>
      <c r="J497" s="7">
        <v>0</v>
      </c>
      <c r="M497" s="8">
        <v>0</v>
      </c>
      <c r="N497" s="7">
        <v>0</v>
      </c>
      <c r="P497" s="7">
        <v>720000</v>
      </c>
      <c r="Q497" s="7">
        <v>720000</v>
      </c>
      <c r="R497" s="5" t="str">
        <f>VLOOKUP($G497,Others!$E$260:$I$596,2,FALSE)</f>
        <v>Based on Real Life Events</v>
      </c>
      <c r="S497" s="5" t="str">
        <f>VLOOKUP($G497,Others!$E$260:$I$596,3,FALSE)</f>
        <v>Live Action</v>
      </c>
      <c r="T497" s="5" t="str">
        <f>VLOOKUP($G497,Others!$E$260:$I$596,4,FALSE)</f>
        <v>Contemporary Fiction</v>
      </c>
      <c r="U497" s="5" t="str">
        <f>IFERROR(VLOOKUP($G497,Ratings!$E$81:$I$111,5,FALSE),"None")</f>
        <v>None</v>
      </c>
      <c r="V497" s="5"/>
      <c r="X497" s="5"/>
      <c r="Y497" s="5"/>
      <c r="AA497" s="5"/>
      <c r="AB497" s="5"/>
      <c r="AC497" s="5"/>
      <c r="AG497" s="9"/>
      <c r="AH497" s="9"/>
    </row>
    <row r="498" spans="1:34" hidden="1">
      <c r="B498" s="4">
        <v>2018</v>
      </c>
      <c r="C498" s="4" t="s">
        <v>44</v>
      </c>
      <c r="D498" s="3">
        <f t="shared" si="7"/>
        <v>243</v>
      </c>
      <c r="E498" s="3" t="s">
        <v>886</v>
      </c>
      <c r="G498" s="5" t="s">
        <v>999</v>
      </c>
      <c r="H498" s="5"/>
      <c r="I498" s="5" t="s">
        <v>131</v>
      </c>
      <c r="J498" s="7">
        <v>0</v>
      </c>
      <c r="M498" s="8">
        <v>0</v>
      </c>
      <c r="N498" s="7">
        <v>0</v>
      </c>
      <c r="P498" s="7">
        <v>3739582</v>
      </c>
      <c r="Q498" s="7">
        <v>3739582</v>
      </c>
      <c r="R498" s="5">
        <f>VLOOKUP($G498,Others!$E$260:$I$596,2,FALSE)</f>
        <v>0</v>
      </c>
      <c r="S498" s="5">
        <f>VLOOKUP($G498,Others!$E$260:$I$596,3,FALSE)</f>
        <v>0</v>
      </c>
      <c r="T498" s="5">
        <f>VLOOKUP($G498,Others!$E$260:$I$596,4,FALSE)</f>
        <v>0</v>
      </c>
      <c r="U498" s="5" t="str">
        <f>IFERROR(VLOOKUP($G498,Ratings!$E$81:$I$111,5,FALSE),"None")</f>
        <v>None</v>
      </c>
      <c r="V498" s="5"/>
      <c r="X498" s="5"/>
      <c r="Y498" s="5"/>
      <c r="AA498" s="5"/>
      <c r="AB498" s="5"/>
      <c r="AC498" s="5"/>
      <c r="AG498" s="9"/>
      <c r="AH498" s="9"/>
    </row>
    <row r="499" spans="1:34" hidden="1">
      <c r="B499" s="4">
        <v>2018</v>
      </c>
      <c r="C499" s="4" t="s">
        <v>44</v>
      </c>
      <c r="D499" s="3">
        <f t="shared" si="7"/>
        <v>244</v>
      </c>
      <c r="E499" s="3" t="s">
        <v>886</v>
      </c>
      <c r="G499" s="5" t="s">
        <v>376</v>
      </c>
      <c r="H499" s="5"/>
      <c r="I499" s="5" t="s">
        <v>148</v>
      </c>
      <c r="J499" s="7">
        <v>0</v>
      </c>
      <c r="M499" s="8">
        <v>0</v>
      </c>
      <c r="N499" s="7">
        <v>0</v>
      </c>
      <c r="P499" s="7">
        <v>81096320</v>
      </c>
      <c r="Q499" s="7">
        <v>81096320</v>
      </c>
      <c r="R499" s="5" t="str">
        <f>VLOOKUP($G499,Others!$E$260:$I$596,2,FALSE)</f>
        <v>Based on TV</v>
      </c>
      <c r="S499" s="5" t="str">
        <f>VLOOKUP($G499,Others!$E$260:$I$596,3,FALSE)</f>
        <v>Live Action</v>
      </c>
      <c r="T499" s="5" t="str">
        <f>VLOOKUP($G499,Others!$E$260:$I$596,4,FALSE)</f>
        <v>Contemporary Fiction</v>
      </c>
      <c r="U499" s="5" t="str">
        <f>IFERROR(VLOOKUP($G499,Ratings!$E$81:$I$111,5,FALSE),"None")</f>
        <v>None</v>
      </c>
      <c r="V499" s="5"/>
      <c r="X499" s="5"/>
      <c r="Y499" s="5"/>
      <c r="AA499" s="5"/>
      <c r="AB499" s="5"/>
      <c r="AC499" s="5"/>
      <c r="AG499" s="9"/>
      <c r="AH499" s="9"/>
    </row>
    <row r="500" spans="1:34" hidden="1">
      <c r="B500" s="4">
        <v>2018</v>
      </c>
      <c r="C500" s="4" t="s">
        <v>44</v>
      </c>
      <c r="D500" s="3">
        <f t="shared" si="7"/>
        <v>245</v>
      </c>
      <c r="E500" s="3" t="s">
        <v>886</v>
      </c>
      <c r="G500" s="5" t="s">
        <v>414</v>
      </c>
      <c r="H500" s="5"/>
      <c r="I500" s="5" t="s">
        <v>136</v>
      </c>
      <c r="J500" s="7">
        <v>0</v>
      </c>
      <c r="M500" s="8">
        <v>0</v>
      </c>
      <c r="N500" s="7">
        <v>0</v>
      </c>
      <c r="P500" s="7">
        <v>7423443</v>
      </c>
      <c r="Q500" s="7">
        <v>7423443</v>
      </c>
      <c r="R500" s="5" t="str">
        <f>VLOOKUP($G500,Others!$E$260:$I$596,2,FALSE)</f>
        <v>Original Screenplay</v>
      </c>
      <c r="S500" s="5" t="str">
        <f>VLOOKUP($G500,Others!$E$260:$I$596,3,FALSE)</f>
        <v>Live Action</v>
      </c>
      <c r="T500" s="5">
        <f>VLOOKUP($G500,Others!$E$260:$I$596,4,FALSE)</f>
        <v>0</v>
      </c>
      <c r="U500" s="5" t="str">
        <f>IFERROR(VLOOKUP($G500,Ratings!$E$81:$I$111,5,FALSE),"None")</f>
        <v>None</v>
      </c>
      <c r="V500" s="5"/>
      <c r="X500" s="5"/>
      <c r="Y500" s="5"/>
      <c r="AA500" s="5"/>
      <c r="AB500" s="5"/>
      <c r="AC500" s="5"/>
      <c r="AG500" s="9"/>
      <c r="AH500" s="9"/>
    </row>
    <row r="501" spans="1:34" hidden="1">
      <c r="B501" s="4">
        <v>2018</v>
      </c>
      <c r="C501" s="4" t="s">
        <v>44</v>
      </c>
      <c r="D501" s="3">
        <f t="shared" si="7"/>
        <v>246</v>
      </c>
      <c r="E501" s="3" t="s">
        <v>886</v>
      </c>
      <c r="G501" s="5" t="s">
        <v>495</v>
      </c>
      <c r="H501" s="5"/>
      <c r="I501" s="5" t="s">
        <v>191</v>
      </c>
      <c r="J501" s="7">
        <v>0</v>
      </c>
      <c r="M501" s="8">
        <v>0</v>
      </c>
      <c r="N501" s="7">
        <v>0</v>
      </c>
      <c r="P501" s="7">
        <v>187922</v>
      </c>
      <c r="Q501" s="7">
        <v>187922</v>
      </c>
      <c r="R501" s="5">
        <f>VLOOKUP($G501,Others!$E$260:$I$596,2,FALSE)</f>
        <v>0</v>
      </c>
      <c r="S501" s="5">
        <f>VLOOKUP($G501,Others!$E$260:$I$596,3,FALSE)</f>
        <v>0</v>
      </c>
      <c r="T501" s="5">
        <f>VLOOKUP($G501,Others!$E$260:$I$596,4,FALSE)</f>
        <v>0</v>
      </c>
      <c r="U501" s="5" t="str">
        <f>IFERROR(VLOOKUP($G501,Ratings!$E$81:$I$111,5,FALSE),"None")</f>
        <v>None</v>
      </c>
      <c r="V501" s="5"/>
      <c r="X501" s="5"/>
      <c r="Y501" s="5"/>
      <c r="AA501" s="5"/>
      <c r="AB501" s="5"/>
      <c r="AC501" s="5"/>
      <c r="AG501" s="9"/>
      <c r="AH501" s="9"/>
    </row>
    <row r="502" spans="1:34" hidden="1">
      <c r="B502" s="4">
        <v>2018</v>
      </c>
      <c r="C502" s="4" t="s">
        <v>44</v>
      </c>
      <c r="D502" s="3">
        <f t="shared" si="7"/>
        <v>247</v>
      </c>
      <c r="E502" s="3" t="s">
        <v>886</v>
      </c>
      <c r="G502" s="5" t="s">
        <v>1000</v>
      </c>
      <c r="H502" s="5"/>
      <c r="I502" s="5" t="s">
        <v>131</v>
      </c>
      <c r="J502" s="7">
        <v>0</v>
      </c>
      <c r="M502" s="8">
        <v>0</v>
      </c>
      <c r="N502" s="7">
        <v>0</v>
      </c>
      <c r="P502" s="7">
        <v>63769</v>
      </c>
      <c r="Q502" s="7">
        <v>63769</v>
      </c>
      <c r="R502" s="5">
        <f>VLOOKUP($G502,Others!$E$260:$I$596,2,FALSE)</f>
        <v>0</v>
      </c>
      <c r="S502" s="5">
        <f>VLOOKUP($G502,Others!$E$260:$I$596,3,FALSE)</f>
        <v>0</v>
      </c>
      <c r="T502" s="5">
        <f>VLOOKUP($G502,Others!$E$260:$I$596,4,FALSE)</f>
        <v>0</v>
      </c>
      <c r="U502" s="5" t="str">
        <f>IFERROR(VLOOKUP($G502,Ratings!$E$81:$I$111,5,FALSE),"None")</f>
        <v>None</v>
      </c>
      <c r="V502" s="5"/>
      <c r="X502" s="5"/>
      <c r="Y502" s="5"/>
      <c r="AA502" s="5"/>
      <c r="AB502" s="5"/>
      <c r="AC502" s="5"/>
      <c r="AG502" s="9"/>
      <c r="AH502" s="9"/>
    </row>
    <row r="503" spans="1:34" hidden="1">
      <c r="B503" s="4">
        <v>2018</v>
      </c>
      <c r="C503" s="4" t="s">
        <v>44</v>
      </c>
      <c r="D503" s="3">
        <f t="shared" si="7"/>
        <v>248</v>
      </c>
      <c r="E503" s="3" t="s">
        <v>886</v>
      </c>
      <c r="G503" s="5" t="s">
        <v>455</v>
      </c>
      <c r="H503" s="5"/>
      <c r="I503" s="5" t="s">
        <v>154</v>
      </c>
      <c r="J503" s="7">
        <v>0</v>
      </c>
      <c r="M503" s="8">
        <v>0</v>
      </c>
      <c r="N503" s="7">
        <v>0</v>
      </c>
      <c r="P503" s="7">
        <v>739245</v>
      </c>
      <c r="Q503" s="7">
        <v>739245</v>
      </c>
      <c r="R503" s="5" t="str">
        <f>VLOOKUP($G503,Others!$E$260:$I$596,2,FALSE)</f>
        <v>Original Screenplay</v>
      </c>
      <c r="S503" s="5" t="str">
        <f>VLOOKUP($G503,Others!$E$260:$I$596,3,FALSE)</f>
        <v>Live Action</v>
      </c>
      <c r="T503" s="5" t="str">
        <f>VLOOKUP($G503,Others!$E$260:$I$596,4,FALSE)</f>
        <v>Contemporary Fiction</v>
      </c>
      <c r="U503" s="5" t="str">
        <f>IFERROR(VLOOKUP($G503,Ratings!$E$81:$I$111,5,FALSE),"None")</f>
        <v>None</v>
      </c>
      <c r="V503" s="5"/>
      <c r="X503" s="5"/>
      <c r="Y503" s="5"/>
      <c r="AA503" s="5"/>
      <c r="AB503" s="5"/>
      <c r="AC503" s="5"/>
      <c r="AG503" s="9"/>
      <c r="AH503" s="9"/>
    </row>
    <row r="504" spans="1:34">
      <c r="B504" s="4">
        <v>2019</v>
      </c>
      <c r="C504" s="4" t="s">
        <v>44</v>
      </c>
      <c r="D504" s="3">
        <f t="shared" si="7"/>
        <v>249</v>
      </c>
      <c r="E504" s="55" t="s">
        <v>886</v>
      </c>
      <c r="F504" s="46" t="s">
        <v>2180</v>
      </c>
      <c r="G504" s="5" t="s">
        <v>248</v>
      </c>
      <c r="H504" s="5" t="s">
        <v>1437</v>
      </c>
      <c r="I504" s="5" t="s">
        <v>191</v>
      </c>
      <c r="J504" s="7">
        <f>0.1*100000000/6.7</f>
        <v>1492537.3134328357</v>
      </c>
      <c r="K504" s="57" t="s">
        <v>1411</v>
      </c>
      <c r="L504" s="7">
        <f>0.03*100000000/6.7</f>
        <v>447761.19402985071</v>
      </c>
      <c r="M504" s="41" t="s">
        <v>1501</v>
      </c>
      <c r="N504" s="7">
        <v>283380</v>
      </c>
      <c r="O504" s="7">
        <f>0.8*100000000/6.7</f>
        <v>11940298.507462686</v>
      </c>
      <c r="P504" s="7">
        <v>1196360</v>
      </c>
      <c r="Q504" s="7">
        <v>1196360</v>
      </c>
      <c r="R504" s="5" t="str">
        <f>VLOOKUP($G504,Others!$E$260:$I$596,2,FALSE)</f>
        <v>Original Screenplay</v>
      </c>
      <c r="S504" s="5" t="str">
        <f>VLOOKUP($G504,Others!$E$260:$I$596,3,FALSE)</f>
        <v>Live Action</v>
      </c>
      <c r="T504" s="5" t="str">
        <f>VLOOKUP($G504,Others!$E$260:$I$596,4,FALSE)</f>
        <v>Factual</v>
      </c>
      <c r="U504" s="5" t="str">
        <f>IFERROR(VLOOKUP($G504,Ratings!$E$81:$I$111,5,FALSE),"None")</f>
        <v>None</v>
      </c>
      <c r="V504" s="5" t="s">
        <v>2181</v>
      </c>
      <c r="W504" s="5" t="s">
        <v>248</v>
      </c>
      <c r="X504" s="5" t="s">
        <v>2182</v>
      </c>
      <c r="Y504" s="5"/>
      <c r="Z504" s="5"/>
      <c r="AA504" s="5" t="s">
        <v>2183</v>
      </c>
      <c r="AB504" s="5" t="s">
        <v>2184</v>
      </c>
      <c r="AC504" s="5" t="s">
        <v>2185</v>
      </c>
      <c r="AD504" s="9">
        <v>8.6</v>
      </c>
      <c r="AE504" s="1" t="s">
        <v>1489</v>
      </c>
      <c r="AG504" s="9"/>
      <c r="AH504" s="9"/>
    </row>
    <row r="505" spans="1:34" hidden="1">
      <c r="B505" s="4">
        <v>2018</v>
      </c>
      <c r="C505" s="4" t="s">
        <v>44</v>
      </c>
      <c r="D505" s="3">
        <f t="shared" si="7"/>
        <v>250</v>
      </c>
      <c r="E505" s="3" t="s">
        <v>886</v>
      </c>
      <c r="G505" s="5" t="s">
        <v>1001</v>
      </c>
      <c r="H505" s="5"/>
      <c r="I505" s="5" t="s">
        <v>131</v>
      </c>
      <c r="J505" s="7">
        <v>0</v>
      </c>
      <c r="M505" s="8">
        <v>0</v>
      </c>
      <c r="N505" s="7">
        <v>0</v>
      </c>
      <c r="P505" s="7">
        <v>11958</v>
      </c>
      <c r="Q505" s="7">
        <v>11958</v>
      </c>
      <c r="R505" s="5" t="str">
        <f>VLOOKUP($G505,Others!$E$260:$I$596,2,FALSE)</f>
        <v>Original Screenplay</v>
      </c>
      <c r="S505" s="5" t="str">
        <f>VLOOKUP($G505,Others!$E$260:$I$596,3,FALSE)</f>
        <v>Live Action</v>
      </c>
      <c r="T505" s="5" t="str">
        <f>VLOOKUP($G505,Others!$E$260:$I$596,4,FALSE)</f>
        <v>Contemporary Fiction</v>
      </c>
      <c r="U505" s="5" t="str">
        <f>IFERROR(VLOOKUP($G505,Ratings!$E$81:$I$111,5,FALSE),"None")</f>
        <v>None</v>
      </c>
      <c r="V505" s="5"/>
      <c r="X505" s="5"/>
      <c r="Y505" s="5"/>
      <c r="Z505" s="5"/>
      <c r="AA505" s="5"/>
      <c r="AB505" s="5"/>
      <c r="AC505" s="5"/>
      <c r="AG505" s="9"/>
      <c r="AH505" s="9"/>
    </row>
    <row r="506" spans="1:34" hidden="1">
      <c r="B506" s="4">
        <v>2018</v>
      </c>
      <c r="C506" s="4" t="s">
        <v>44</v>
      </c>
      <c r="D506" s="3">
        <f t="shared" si="7"/>
        <v>251</v>
      </c>
      <c r="E506" s="3" t="s">
        <v>886</v>
      </c>
      <c r="G506" s="5" t="s">
        <v>311</v>
      </c>
      <c r="H506" s="5"/>
      <c r="J506" s="7">
        <v>0</v>
      </c>
      <c r="M506" s="8">
        <v>0</v>
      </c>
      <c r="N506" s="7">
        <v>0</v>
      </c>
      <c r="P506" s="7">
        <v>87578</v>
      </c>
      <c r="Q506" s="7">
        <v>87578</v>
      </c>
      <c r="R506" s="5" t="str">
        <f>VLOOKUP($G506,Others!$E$260:$I$596,2,FALSE)</f>
        <v>Original Screenplay</v>
      </c>
      <c r="S506" s="5">
        <f>VLOOKUP($G506,Others!$E$260:$I$596,3,FALSE)</f>
        <v>0</v>
      </c>
      <c r="T506" s="5">
        <f>VLOOKUP($G506,Others!$E$260:$I$596,4,FALSE)</f>
        <v>0</v>
      </c>
      <c r="U506" s="5" t="str">
        <f>IFERROR(VLOOKUP($G506,Ratings!$E$81:$I$111,5,FALSE),"None")</f>
        <v>None</v>
      </c>
      <c r="V506" s="5"/>
      <c r="X506" s="5"/>
      <c r="Y506" s="5"/>
      <c r="Z506" s="5"/>
      <c r="AA506" s="5"/>
      <c r="AB506" s="5"/>
      <c r="AC506" s="5"/>
      <c r="AG506" s="9"/>
      <c r="AH506" s="9"/>
    </row>
    <row r="507" spans="1:34" hidden="1">
      <c r="B507" s="4">
        <v>2018</v>
      </c>
      <c r="C507" s="4" t="s">
        <v>44</v>
      </c>
      <c r="D507" s="3">
        <f t="shared" si="7"/>
        <v>252</v>
      </c>
      <c r="E507" s="3" t="s">
        <v>886</v>
      </c>
      <c r="G507" s="5" t="s">
        <v>487</v>
      </c>
      <c r="H507" s="5"/>
      <c r="I507" s="5" t="s">
        <v>131</v>
      </c>
      <c r="J507" s="7">
        <v>0</v>
      </c>
      <c r="M507" s="8">
        <v>0</v>
      </c>
      <c r="N507" s="7">
        <v>0</v>
      </c>
      <c r="P507" s="7">
        <v>263814</v>
      </c>
      <c r="Q507" s="7">
        <v>263814</v>
      </c>
      <c r="R507" s="5">
        <f>VLOOKUP($G507,Others!$E$260:$I$596,2,FALSE)</f>
        <v>0</v>
      </c>
      <c r="S507" s="5" t="str">
        <f>VLOOKUP($G507,Others!$E$260:$I$596,3,FALSE)</f>
        <v>Live Action</v>
      </c>
      <c r="T507" s="5" t="str">
        <f>VLOOKUP($G507,Others!$E$260:$I$596,4,FALSE)</f>
        <v>Contemporary Fiction</v>
      </c>
      <c r="U507" s="5" t="str">
        <f>IFERROR(VLOOKUP($G507,Ratings!$E$81:$I$111,5,FALSE),"None")</f>
        <v>None</v>
      </c>
      <c r="V507" s="5"/>
      <c r="X507" s="5"/>
      <c r="Y507" s="5"/>
      <c r="Z507" s="5"/>
      <c r="AA507" s="5"/>
      <c r="AB507" s="5"/>
      <c r="AC507" s="5"/>
      <c r="AG507" s="9"/>
      <c r="AH507" s="9"/>
    </row>
    <row r="508" spans="1:34" hidden="1">
      <c r="B508" s="4">
        <v>2018</v>
      </c>
      <c r="C508" s="4" t="s">
        <v>44</v>
      </c>
      <c r="D508" s="3">
        <f t="shared" si="7"/>
        <v>253</v>
      </c>
      <c r="E508" s="3" t="s">
        <v>886</v>
      </c>
      <c r="G508" s="5" t="s">
        <v>1002</v>
      </c>
      <c r="H508" s="5"/>
      <c r="I508" s="5" t="s">
        <v>131</v>
      </c>
      <c r="J508" s="7">
        <v>0</v>
      </c>
      <c r="M508" s="8">
        <v>0</v>
      </c>
      <c r="N508" s="7">
        <v>0</v>
      </c>
      <c r="P508" s="7">
        <v>0</v>
      </c>
      <c r="Q508" s="7">
        <v>0</v>
      </c>
      <c r="R508" s="5" t="str">
        <f>VLOOKUP($G508,Others!$E$260:$I$596,2,FALSE)</f>
        <v>Original Screenplay</v>
      </c>
      <c r="S508" s="5" t="str">
        <f>VLOOKUP($G508,Others!$E$260:$I$596,3,FALSE)</f>
        <v>Live Action</v>
      </c>
      <c r="T508" s="5" t="str">
        <f>VLOOKUP($G508,Others!$E$260:$I$596,4,FALSE)</f>
        <v>Contemporary Fiction</v>
      </c>
      <c r="U508" s="5" t="str">
        <f>IFERROR(VLOOKUP($G508,Ratings!$E$81:$I$111,5,FALSE),"None")</f>
        <v>None</v>
      </c>
      <c r="V508" s="5"/>
      <c r="X508" s="5"/>
      <c r="Y508" s="5"/>
      <c r="Z508" s="5"/>
      <c r="AA508" s="5"/>
      <c r="AB508" s="5"/>
      <c r="AC508" s="5"/>
      <c r="AG508" s="9"/>
      <c r="AH508" s="9"/>
    </row>
    <row r="509" spans="1:34">
      <c r="B509" s="4">
        <v>2018</v>
      </c>
      <c r="C509" s="4" t="s">
        <v>44</v>
      </c>
      <c r="D509" s="3">
        <f t="shared" si="7"/>
        <v>254</v>
      </c>
      <c r="E509" s="55" t="s">
        <v>886</v>
      </c>
      <c r="F509" s="56" t="s">
        <v>832</v>
      </c>
      <c r="G509" s="5" t="s">
        <v>463</v>
      </c>
      <c r="H509" s="5" t="s">
        <v>1438</v>
      </c>
      <c r="I509" s="5" t="s">
        <v>131</v>
      </c>
      <c r="J509" s="7">
        <f>40000000/6.7</f>
        <v>5970149.253731343</v>
      </c>
      <c r="K509" s="7">
        <f>10000000/6.7</f>
        <v>1492537.3134328357</v>
      </c>
      <c r="L509" s="7">
        <f>1420000/6.7</f>
        <v>211940.29850746269</v>
      </c>
      <c r="M509" s="41" t="s">
        <v>1501</v>
      </c>
      <c r="N509" s="7">
        <v>458375</v>
      </c>
      <c r="O509" s="7">
        <f>3880000/6.7</f>
        <v>579104.47761194024</v>
      </c>
      <c r="P509" s="7">
        <v>630896</v>
      </c>
      <c r="Q509" s="7">
        <v>630896</v>
      </c>
      <c r="R509" s="39" t="s">
        <v>606</v>
      </c>
      <c r="S509" s="5" t="str">
        <f>VLOOKUP($G509,Others!$E$260:$I$596,3,FALSE)</f>
        <v>Live Action</v>
      </c>
      <c r="T509" s="5" t="str">
        <f>VLOOKUP($G509,Others!$E$260:$I$596,4,FALSE)</f>
        <v>Contemporary Fiction</v>
      </c>
      <c r="U509" s="5" t="str">
        <f>IFERROR(VLOOKUP($G509,Ratings!$E$81:$I$111,5,FALSE),"None")</f>
        <v>None</v>
      </c>
      <c r="V509" s="5" t="s">
        <v>2186</v>
      </c>
      <c r="W509" s="5" t="s">
        <v>2187</v>
      </c>
      <c r="X509" s="5" t="s">
        <v>2188</v>
      </c>
      <c r="Y509" s="5" t="s">
        <v>1891</v>
      </c>
      <c r="Z509" s="5" t="s">
        <v>2189</v>
      </c>
      <c r="AA509" s="5" t="s">
        <v>2190</v>
      </c>
      <c r="AB509" s="5"/>
      <c r="AC509" s="5" t="s">
        <v>2191</v>
      </c>
      <c r="AD509" s="9">
        <v>6.7</v>
      </c>
      <c r="AE509" s="1" t="s">
        <v>1489</v>
      </c>
      <c r="AG509" s="9"/>
      <c r="AH509" s="9"/>
    </row>
    <row r="510" spans="1:34" s="1" customFormat="1">
      <c r="A510" s="3"/>
      <c r="B510" s="4">
        <v>2018</v>
      </c>
      <c r="C510" s="4" t="s">
        <v>44</v>
      </c>
      <c r="D510" s="3">
        <f t="shared" si="7"/>
        <v>255</v>
      </c>
      <c r="E510" s="55" t="s">
        <v>886</v>
      </c>
      <c r="F510" s="56" t="s">
        <v>604</v>
      </c>
      <c r="G510" s="5" t="s">
        <v>137</v>
      </c>
      <c r="H510" s="5" t="s">
        <v>1431</v>
      </c>
      <c r="I510" s="5" t="s">
        <v>136</v>
      </c>
      <c r="J510" s="7">
        <v>53000000</v>
      </c>
      <c r="K510" s="7">
        <v>12000000</v>
      </c>
      <c r="L510" s="7">
        <v>92400000</v>
      </c>
      <c r="M510" s="8">
        <v>17182</v>
      </c>
      <c r="N510" s="7">
        <v>194917</v>
      </c>
      <c r="O510" s="7">
        <v>256119403</v>
      </c>
      <c r="P510" s="7">
        <v>255832826</v>
      </c>
      <c r="Q510" s="7">
        <v>255832826</v>
      </c>
      <c r="R510" s="5" t="str">
        <f>VLOOKUP($G510,Others!$E$260:$I$596,2,FALSE)</f>
        <v>Original Screenplay</v>
      </c>
      <c r="S510" s="5" t="str">
        <f>VLOOKUP($G510,Others!$E$260:$I$596,3,FALSE)</f>
        <v>Live Action</v>
      </c>
      <c r="T510" s="5" t="str">
        <f>VLOOKUP($G510,Others!$E$260:$I$596,4,FALSE)</f>
        <v>Contemporary Fiction</v>
      </c>
      <c r="U510" s="5" t="str">
        <f>IFERROR(VLOOKUP($G510,Ratings!$E$81:$I$111,5,FALSE),"None")</f>
        <v>None</v>
      </c>
      <c r="V510" s="5" t="s">
        <v>2192</v>
      </c>
      <c r="W510" s="5" t="s">
        <v>2193</v>
      </c>
      <c r="X510" s="5" t="s">
        <v>1974</v>
      </c>
      <c r="Y510" s="5" t="s">
        <v>1952</v>
      </c>
      <c r="Z510" s="5" t="s">
        <v>2194</v>
      </c>
      <c r="AA510" s="5" t="s">
        <v>2195</v>
      </c>
      <c r="AB510" s="5"/>
      <c r="AC510" s="5" t="s">
        <v>2196</v>
      </c>
      <c r="AD510" s="1">
        <v>8.8000000000000007</v>
      </c>
      <c r="AE510" s="1" t="s">
        <v>1489</v>
      </c>
    </row>
    <row r="511" spans="1:34" hidden="1">
      <c r="B511" s="4">
        <v>2018</v>
      </c>
      <c r="C511" s="4" t="s">
        <v>44</v>
      </c>
      <c r="D511" s="3">
        <f t="shared" si="7"/>
        <v>256</v>
      </c>
      <c r="E511" s="3" t="s">
        <v>886</v>
      </c>
      <c r="G511" s="5" t="s">
        <v>486</v>
      </c>
      <c r="H511" s="5"/>
      <c r="J511" s="7">
        <v>0</v>
      </c>
      <c r="M511" s="8">
        <v>0</v>
      </c>
      <c r="N511" s="7">
        <v>0</v>
      </c>
      <c r="P511" s="7">
        <v>285872</v>
      </c>
      <c r="Q511" s="7">
        <v>285872</v>
      </c>
      <c r="R511" s="5">
        <f>VLOOKUP($G511,Others!$E$260:$I$596,2,FALSE)</f>
        <v>0</v>
      </c>
      <c r="S511" s="5">
        <f>VLOOKUP($G511,Others!$E$260:$I$596,3,FALSE)</f>
        <v>0</v>
      </c>
      <c r="T511" s="5">
        <f>VLOOKUP($G511,Others!$E$260:$I$596,4,FALSE)</f>
        <v>0</v>
      </c>
      <c r="U511" s="5" t="str">
        <f>IFERROR(VLOOKUP($G511,Ratings!$E$81:$I$111,5,FALSE),"None")</f>
        <v>None</v>
      </c>
      <c r="V511" s="5"/>
      <c r="X511" s="5"/>
      <c r="Y511" s="5"/>
      <c r="Z511" s="5"/>
      <c r="AA511" s="5"/>
      <c r="AB511" s="5"/>
      <c r="AC511" s="5"/>
      <c r="AG511" s="9"/>
      <c r="AH511" s="9"/>
    </row>
    <row r="512" spans="1:34" hidden="1">
      <c r="B512" s="4">
        <v>2018</v>
      </c>
      <c r="C512" s="4" t="s">
        <v>44</v>
      </c>
      <c r="D512" s="3">
        <f t="shared" si="7"/>
        <v>257</v>
      </c>
      <c r="E512" s="3" t="s">
        <v>886</v>
      </c>
      <c r="G512" s="5" t="s">
        <v>323</v>
      </c>
      <c r="H512" s="5"/>
      <c r="J512" s="7">
        <v>0</v>
      </c>
      <c r="M512" s="8">
        <v>0</v>
      </c>
      <c r="N512" s="7">
        <v>0</v>
      </c>
      <c r="P512" s="7">
        <v>34755</v>
      </c>
      <c r="Q512" s="7">
        <v>34755</v>
      </c>
      <c r="R512" s="5">
        <f>VLOOKUP($G512,Others!$E$260:$I$596,2,FALSE)</f>
        <v>0</v>
      </c>
      <c r="S512" s="5" t="str">
        <f>VLOOKUP($G512,Others!$E$260:$I$596,3,FALSE)</f>
        <v>Live Action</v>
      </c>
      <c r="T512" s="5">
        <f>VLOOKUP($G512,Others!$E$260:$I$596,4,FALSE)</f>
        <v>0</v>
      </c>
      <c r="U512" s="5" t="str">
        <f>IFERROR(VLOOKUP($G512,Ratings!$E$81:$I$111,5,FALSE),"None")</f>
        <v>None</v>
      </c>
      <c r="V512" s="5"/>
      <c r="X512" s="5"/>
      <c r="Y512" s="5"/>
      <c r="Z512" s="5"/>
      <c r="AA512" s="5"/>
      <c r="AB512" s="5"/>
      <c r="AC512" s="5"/>
      <c r="AG512" s="9"/>
      <c r="AH512" s="9"/>
    </row>
    <row r="513" spans="2:34" hidden="1">
      <c r="B513" s="4">
        <v>2018</v>
      </c>
      <c r="C513" s="4" t="s">
        <v>44</v>
      </c>
      <c r="D513" s="3">
        <f t="shared" si="7"/>
        <v>258</v>
      </c>
      <c r="E513" s="3" t="s">
        <v>886</v>
      </c>
      <c r="G513" s="5" t="s">
        <v>1003</v>
      </c>
      <c r="H513" s="5"/>
      <c r="I513" s="5" t="s">
        <v>131</v>
      </c>
      <c r="J513" s="7">
        <v>0</v>
      </c>
      <c r="M513" s="8">
        <v>0</v>
      </c>
      <c r="N513" s="7">
        <v>0</v>
      </c>
      <c r="P513" s="7">
        <v>339673</v>
      </c>
      <c r="Q513" s="7">
        <v>339673</v>
      </c>
      <c r="R513" s="5" t="str">
        <f>VLOOKUP($G513,Others!$E$260:$I$596,2,FALSE)</f>
        <v>Based on Folk Tale/Legend/Fairytale</v>
      </c>
      <c r="S513" s="5" t="str">
        <f>VLOOKUP($G513,Others!$E$260:$I$596,3,FALSE)</f>
        <v>Live Action</v>
      </c>
      <c r="T513" s="5" t="str">
        <f>VLOOKUP($G513,Others!$E$260:$I$596,4,FALSE)</f>
        <v>Contemporary Fiction</v>
      </c>
      <c r="U513" s="5" t="str">
        <f>IFERROR(VLOOKUP($G513,Ratings!$E$81:$I$111,5,FALSE),"None")</f>
        <v>None</v>
      </c>
      <c r="V513" s="5"/>
      <c r="X513" s="5"/>
      <c r="Y513" s="5"/>
      <c r="Z513" s="5"/>
      <c r="AA513" s="5"/>
      <c r="AB513" s="5"/>
      <c r="AC513" s="5"/>
      <c r="AG513" s="9"/>
      <c r="AH513" s="9"/>
    </row>
    <row r="514" spans="2:34">
      <c r="B514" s="4">
        <v>2018</v>
      </c>
      <c r="C514" s="4" t="s">
        <v>44</v>
      </c>
      <c r="D514" s="3">
        <f t="shared" ref="D514:D577" si="8">D513+1</f>
        <v>259</v>
      </c>
      <c r="E514" s="55" t="s">
        <v>886</v>
      </c>
      <c r="F514" s="3" t="s">
        <v>2197</v>
      </c>
      <c r="G514" s="5" t="s">
        <v>461</v>
      </c>
      <c r="H514" s="5" t="s">
        <v>1439</v>
      </c>
      <c r="I514" s="5" t="s">
        <v>1405</v>
      </c>
      <c r="J514" s="7">
        <f>10000000/6.7</f>
        <v>1492537.3134328357</v>
      </c>
      <c r="K514" s="7">
        <f>8000000/6.7</f>
        <v>1194029.8507462686</v>
      </c>
      <c r="L514" s="7">
        <f>1530000/6.7</f>
        <v>228358.20895522388</v>
      </c>
      <c r="M514" s="41" t="s">
        <v>1501</v>
      </c>
      <c r="N514" s="7">
        <v>2743</v>
      </c>
      <c r="O514" s="7">
        <f>4180000/6.7</f>
        <v>623880.59701492533</v>
      </c>
      <c r="P514" s="7">
        <v>678553</v>
      </c>
      <c r="Q514" s="7">
        <v>678553</v>
      </c>
      <c r="R514" s="39" t="s">
        <v>597</v>
      </c>
      <c r="S514" s="5" t="str">
        <f>VLOOKUP($G514,Others!$E$260:$I$596,3,FALSE)</f>
        <v>Live Action</v>
      </c>
      <c r="T514" s="5" t="str">
        <f>VLOOKUP($G514,Others!$E$260:$I$596,4,FALSE)</f>
        <v>Factual</v>
      </c>
      <c r="U514" s="5" t="str">
        <f>IFERROR(VLOOKUP($G514,Ratings!$E$81:$I$111,5,FALSE),"None")</f>
        <v>None</v>
      </c>
      <c r="V514" s="5" t="s">
        <v>2198</v>
      </c>
      <c r="W514" s="5" t="s">
        <v>2199</v>
      </c>
      <c r="X514" s="5" t="s">
        <v>2200</v>
      </c>
      <c r="Y514" s="5" t="s">
        <v>2201</v>
      </c>
      <c r="Z514" s="5"/>
      <c r="AA514" s="5" t="s">
        <v>2202</v>
      </c>
      <c r="AB514" s="5"/>
      <c r="AC514" s="5" t="s">
        <v>2203</v>
      </c>
      <c r="AD514" s="9">
        <v>8.1</v>
      </c>
      <c r="AE514" s="1" t="s">
        <v>1489</v>
      </c>
      <c r="AG514" s="9"/>
      <c r="AH514" s="9"/>
    </row>
    <row r="515" spans="2:34" hidden="1">
      <c r="B515" s="4">
        <v>2018</v>
      </c>
      <c r="C515" s="4" t="s">
        <v>44</v>
      </c>
      <c r="D515" s="3">
        <f t="shared" si="8"/>
        <v>260</v>
      </c>
      <c r="E515" s="3" t="s">
        <v>886</v>
      </c>
      <c r="G515" s="5" t="s">
        <v>518</v>
      </c>
      <c r="H515" s="5"/>
      <c r="I515" s="5" t="s">
        <v>129</v>
      </c>
      <c r="J515" s="7">
        <v>0</v>
      </c>
      <c r="M515" s="8">
        <v>0</v>
      </c>
      <c r="N515" s="7">
        <v>0</v>
      </c>
      <c r="P515" s="7">
        <v>56948</v>
      </c>
      <c r="Q515" s="7">
        <v>56948</v>
      </c>
      <c r="R515" s="5">
        <f>VLOOKUP($G515,Others!$E$260:$I$596,2,FALSE)</f>
        <v>0</v>
      </c>
      <c r="S515" s="5">
        <f>VLOOKUP($G515,Others!$E$260:$I$596,3,FALSE)</f>
        <v>0</v>
      </c>
      <c r="T515" s="5" t="str">
        <f>VLOOKUP($G515,Others!$E$260:$I$596,4,FALSE)</f>
        <v>Science Fiction</v>
      </c>
      <c r="U515" s="5" t="str">
        <f>IFERROR(VLOOKUP($G515,Ratings!$E$81:$I$111,5,FALSE),"None")</f>
        <v>None</v>
      </c>
      <c r="V515" s="5"/>
      <c r="X515" s="5"/>
      <c r="Y515" s="5"/>
      <c r="Z515" s="5"/>
      <c r="AA515" s="5"/>
      <c r="AB515" s="5"/>
      <c r="AC515" s="5"/>
      <c r="AG515" s="9"/>
      <c r="AH515" s="9"/>
    </row>
    <row r="516" spans="2:34" hidden="1">
      <c r="B516" s="4">
        <v>2018</v>
      </c>
      <c r="C516" s="4" t="s">
        <v>44</v>
      </c>
      <c r="D516" s="3">
        <f t="shared" si="8"/>
        <v>261</v>
      </c>
      <c r="E516" s="3" t="s">
        <v>886</v>
      </c>
      <c r="G516" s="5" t="s">
        <v>513</v>
      </c>
      <c r="H516" s="5"/>
      <c r="I516" s="5" t="s">
        <v>154</v>
      </c>
      <c r="J516" s="7">
        <v>0</v>
      </c>
      <c r="M516" s="8">
        <v>0</v>
      </c>
      <c r="N516" s="7">
        <v>0</v>
      </c>
      <c r="P516" s="7">
        <v>69175</v>
      </c>
      <c r="Q516" s="7">
        <v>69175</v>
      </c>
      <c r="R516" s="5" t="str">
        <f>VLOOKUP($G516,Others!$E$260:$I$596,2,FALSE)</f>
        <v>Original Screenplay</v>
      </c>
      <c r="S516" s="5" t="str">
        <f>VLOOKUP($G516,Others!$E$260:$I$596,3,FALSE)</f>
        <v>Live Action</v>
      </c>
      <c r="T516" s="5" t="str">
        <f>VLOOKUP($G516,Others!$E$260:$I$596,4,FALSE)</f>
        <v>Contemporary Fiction</v>
      </c>
      <c r="U516" s="5" t="str">
        <f>IFERROR(VLOOKUP($G516,Ratings!$E$81:$I$111,5,FALSE),"None")</f>
        <v>None</v>
      </c>
      <c r="V516" s="5"/>
      <c r="X516" s="5"/>
      <c r="Y516" s="5"/>
      <c r="Z516" s="5"/>
      <c r="AA516" s="5"/>
      <c r="AB516" s="5"/>
      <c r="AC516" s="5"/>
      <c r="AG516" s="9"/>
      <c r="AH516" s="9"/>
    </row>
    <row r="517" spans="2:34" hidden="1">
      <c r="B517" s="4">
        <v>2018</v>
      </c>
      <c r="C517" s="4" t="s">
        <v>44</v>
      </c>
      <c r="D517" s="3">
        <f t="shared" si="8"/>
        <v>262</v>
      </c>
      <c r="E517" s="3" t="s">
        <v>886</v>
      </c>
      <c r="G517" s="5" t="s">
        <v>294</v>
      </c>
      <c r="H517" s="5"/>
      <c r="I517" s="5" t="s">
        <v>131</v>
      </c>
      <c r="J517" s="7">
        <v>0</v>
      </c>
      <c r="M517" s="8">
        <v>0</v>
      </c>
      <c r="N517" s="7">
        <v>0</v>
      </c>
      <c r="P517" s="7">
        <v>159503</v>
      </c>
      <c r="Q517" s="7">
        <v>159503</v>
      </c>
      <c r="R517" s="5">
        <f>VLOOKUP($G517,Others!$E$260:$I$596,2,FALSE)</f>
        <v>0</v>
      </c>
      <c r="S517" s="5" t="str">
        <f>VLOOKUP($G517,Others!$E$260:$I$596,3,FALSE)</f>
        <v>Live Action</v>
      </c>
      <c r="T517" s="5">
        <f>VLOOKUP($G517,Others!$E$260:$I$596,4,FALSE)</f>
        <v>0</v>
      </c>
      <c r="U517" s="5" t="str">
        <f>IFERROR(VLOOKUP($G517,Ratings!$E$81:$I$111,5,FALSE),"None")</f>
        <v>None</v>
      </c>
      <c r="V517" s="5"/>
      <c r="X517" s="5"/>
      <c r="Y517" s="5"/>
      <c r="Z517" s="5"/>
      <c r="AA517" s="5"/>
      <c r="AB517" s="5"/>
      <c r="AC517" s="5"/>
      <c r="AG517" s="9"/>
      <c r="AH517" s="9"/>
    </row>
    <row r="518" spans="2:34" hidden="1">
      <c r="B518" s="4">
        <v>2018</v>
      </c>
      <c r="C518" s="4" t="s">
        <v>44</v>
      </c>
      <c r="D518" s="3">
        <f t="shared" si="8"/>
        <v>263</v>
      </c>
      <c r="E518" s="3" t="s">
        <v>886</v>
      </c>
      <c r="G518" s="5" t="s">
        <v>303</v>
      </c>
      <c r="H518" s="5"/>
      <c r="I518" s="5" t="s">
        <v>148</v>
      </c>
      <c r="J518" s="7">
        <v>0</v>
      </c>
      <c r="M518" s="8">
        <v>0</v>
      </c>
      <c r="N518" s="7">
        <v>0</v>
      </c>
      <c r="P518" s="7">
        <v>119943</v>
      </c>
      <c r="Q518" s="7">
        <v>119943</v>
      </c>
      <c r="R518" s="5">
        <f>VLOOKUP($G518,Others!$E$260:$I$596,2,FALSE)</f>
        <v>0</v>
      </c>
      <c r="S518" s="5" t="str">
        <f>VLOOKUP($G518,Others!$E$260:$I$596,3,FALSE)</f>
        <v>Live Action</v>
      </c>
      <c r="T518" s="5">
        <f>VLOOKUP($G518,Others!$E$260:$I$596,4,FALSE)</f>
        <v>0</v>
      </c>
      <c r="U518" s="5" t="str">
        <f>IFERROR(VLOOKUP($G518,Ratings!$E$81:$I$111,5,FALSE),"None")</f>
        <v>None</v>
      </c>
      <c r="V518" s="5"/>
      <c r="X518" s="5"/>
      <c r="Y518" s="5"/>
      <c r="Z518" s="5"/>
      <c r="AA518" s="5"/>
      <c r="AB518" s="5"/>
      <c r="AC518" s="5"/>
      <c r="AG518" s="9"/>
      <c r="AH518" s="9"/>
    </row>
    <row r="519" spans="2:34" hidden="1">
      <c r="B519" s="4">
        <v>2018</v>
      </c>
      <c r="C519" s="4" t="s">
        <v>44</v>
      </c>
      <c r="D519" s="3">
        <f t="shared" si="8"/>
        <v>264</v>
      </c>
      <c r="E519" s="3" t="s">
        <v>886</v>
      </c>
      <c r="G519" s="5" t="s">
        <v>465</v>
      </c>
      <c r="H519" s="5"/>
      <c r="I519" s="5" t="s">
        <v>131</v>
      </c>
      <c r="J519" s="7">
        <v>0</v>
      </c>
      <c r="M519" s="8">
        <v>0</v>
      </c>
      <c r="N519" s="7">
        <v>0</v>
      </c>
      <c r="P519" s="7">
        <v>550000</v>
      </c>
      <c r="Q519" s="7">
        <v>550000</v>
      </c>
      <c r="R519" s="5">
        <f>VLOOKUP($G519,Others!$E$260:$I$596,2,FALSE)</f>
        <v>0</v>
      </c>
      <c r="S519" s="5" t="str">
        <f>VLOOKUP($G519,Others!$E$260:$I$596,3,FALSE)</f>
        <v>Live Action</v>
      </c>
      <c r="T519" s="5" t="str">
        <f>VLOOKUP($G519,Others!$E$260:$I$596,4,FALSE)</f>
        <v>Contemporary Fiction</v>
      </c>
      <c r="U519" s="5" t="str">
        <f>IFERROR(VLOOKUP($G519,Ratings!$E$81:$I$111,5,FALSE),"None")</f>
        <v>None</v>
      </c>
      <c r="V519" s="5"/>
      <c r="X519" s="5"/>
      <c r="Y519" s="5"/>
      <c r="Z519" s="5"/>
      <c r="AA519" s="5"/>
      <c r="AB519" s="5"/>
      <c r="AC519" s="5"/>
      <c r="AG519" s="9"/>
      <c r="AH519" s="9"/>
    </row>
    <row r="520" spans="2:34" hidden="1">
      <c r="B520" s="4">
        <v>2018</v>
      </c>
      <c r="C520" s="4" t="s">
        <v>44</v>
      </c>
      <c r="D520" s="3">
        <f t="shared" si="8"/>
        <v>265</v>
      </c>
      <c r="E520" s="3" t="s">
        <v>886</v>
      </c>
      <c r="G520" s="5" t="s">
        <v>496</v>
      </c>
      <c r="H520" s="5"/>
      <c r="I520" s="5" t="s">
        <v>136</v>
      </c>
      <c r="J520" s="7">
        <v>0</v>
      </c>
      <c r="M520" s="8">
        <v>0</v>
      </c>
      <c r="N520" s="7">
        <v>0</v>
      </c>
      <c r="P520" s="7">
        <v>186226</v>
      </c>
      <c r="Q520" s="7">
        <v>186226</v>
      </c>
      <c r="R520" s="5" t="str">
        <f>VLOOKUP($G520,Others!$E$260:$I$596,2,FALSE)</f>
        <v>Original Screenplay</v>
      </c>
      <c r="S520" s="5" t="str">
        <f>VLOOKUP($G520,Others!$E$260:$I$596,3,FALSE)</f>
        <v>Live Action</v>
      </c>
      <c r="T520" s="5" t="str">
        <f>VLOOKUP($G520,Others!$E$260:$I$596,4,FALSE)</f>
        <v>Contemporary Fiction</v>
      </c>
      <c r="U520" s="5" t="str">
        <f>IFERROR(VLOOKUP($G520,Ratings!$E$81:$I$111,5,FALSE),"None")</f>
        <v>None</v>
      </c>
      <c r="V520" s="5"/>
      <c r="X520" s="5"/>
      <c r="Y520" s="5"/>
      <c r="Z520" s="5"/>
      <c r="AA520" s="5"/>
      <c r="AB520" s="5"/>
      <c r="AC520" s="5"/>
      <c r="AG520" s="9"/>
      <c r="AH520" s="9"/>
    </row>
    <row r="521" spans="2:34" hidden="1">
      <c r="B521" s="4">
        <v>2018</v>
      </c>
      <c r="C521" s="4" t="s">
        <v>44</v>
      </c>
      <c r="D521" s="3">
        <f t="shared" si="8"/>
        <v>266</v>
      </c>
      <c r="E521" s="3" t="s">
        <v>886</v>
      </c>
      <c r="G521" s="5" t="s">
        <v>498</v>
      </c>
      <c r="H521" s="5"/>
      <c r="I521" s="5" t="s">
        <v>191</v>
      </c>
      <c r="J521" s="7">
        <v>0</v>
      </c>
      <c r="M521" s="8">
        <v>0</v>
      </c>
      <c r="N521" s="7">
        <v>0</v>
      </c>
      <c r="P521" s="7">
        <v>173603</v>
      </c>
      <c r="Q521" s="7">
        <v>173603</v>
      </c>
      <c r="R521" s="5" t="str">
        <f>VLOOKUP($G521,Others!$E$260:$I$596,2,FALSE)</f>
        <v>Based on Real Life Events</v>
      </c>
      <c r="S521" s="5" t="str">
        <f>VLOOKUP($G521,Others!$E$260:$I$596,3,FALSE)</f>
        <v>Live Action</v>
      </c>
      <c r="T521" s="5" t="str">
        <f>VLOOKUP($G521,Others!$E$260:$I$596,4,FALSE)</f>
        <v>Factual</v>
      </c>
      <c r="U521" s="5" t="str">
        <f>IFERROR(VLOOKUP($G521,Ratings!$E$81:$I$111,5,FALSE),"None")</f>
        <v>None</v>
      </c>
      <c r="V521" s="5"/>
      <c r="X521" s="5"/>
      <c r="Y521" s="5"/>
      <c r="Z521" s="5"/>
      <c r="AA521" s="5"/>
      <c r="AB521" s="5"/>
      <c r="AC521" s="5"/>
      <c r="AG521" s="9"/>
      <c r="AH521" s="9"/>
    </row>
    <row r="522" spans="2:34" hidden="1">
      <c r="B522" s="4">
        <v>2018</v>
      </c>
      <c r="C522" s="4" t="s">
        <v>44</v>
      </c>
      <c r="D522" s="3">
        <f t="shared" si="8"/>
        <v>267</v>
      </c>
      <c r="E522" s="3" t="s">
        <v>886</v>
      </c>
      <c r="G522" s="5" t="s">
        <v>454</v>
      </c>
      <c r="H522" s="5"/>
      <c r="I522" s="5" t="s">
        <v>191</v>
      </c>
      <c r="J522" s="7">
        <v>0</v>
      </c>
      <c r="M522" s="8">
        <v>0</v>
      </c>
      <c r="N522" s="7">
        <v>0</v>
      </c>
      <c r="P522" s="7">
        <v>761348</v>
      </c>
      <c r="Q522" s="7">
        <v>761348</v>
      </c>
      <c r="R522" s="5" t="str">
        <f>VLOOKUP($G522,Others!$E$260:$I$596,2,FALSE)</f>
        <v>Original Screenplay</v>
      </c>
      <c r="S522" s="5" t="str">
        <f>VLOOKUP($G522,Others!$E$260:$I$596,3,FALSE)</f>
        <v>Live Action</v>
      </c>
      <c r="T522" s="5" t="str">
        <f>VLOOKUP($G522,Others!$E$260:$I$596,4,FALSE)</f>
        <v>Factual</v>
      </c>
      <c r="U522" s="5" t="str">
        <f>IFERROR(VLOOKUP($G522,Ratings!$E$81:$I$111,5,FALSE),"None")</f>
        <v>None</v>
      </c>
      <c r="V522" s="5"/>
      <c r="X522" s="5"/>
      <c r="Y522" s="5"/>
      <c r="Z522" s="5"/>
      <c r="AA522" s="5"/>
      <c r="AB522" s="5"/>
      <c r="AC522" s="5"/>
      <c r="AG522" s="9"/>
      <c r="AH522" s="9"/>
    </row>
    <row r="523" spans="2:34" hidden="1">
      <c r="B523" s="4">
        <v>2018</v>
      </c>
      <c r="C523" s="4" t="s">
        <v>44</v>
      </c>
      <c r="D523" s="3">
        <f t="shared" si="8"/>
        <v>268</v>
      </c>
      <c r="E523" s="3" t="s">
        <v>886</v>
      </c>
      <c r="G523" s="5" t="s">
        <v>341</v>
      </c>
      <c r="H523" s="5"/>
      <c r="I523" s="5" t="s">
        <v>148</v>
      </c>
      <c r="J523" s="7">
        <v>0</v>
      </c>
      <c r="M523" s="8">
        <v>0</v>
      </c>
      <c r="N523" s="7">
        <v>0</v>
      </c>
      <c r="P523" s="7">
        <v>11039</v>
      </c>
      <c r="Q523" s="7">
        <v>11039</v>
      </c>
      <c r="R523" s="5">
        <f>VLOOKUP($G523,Others!$E$260:$I$596,2,FALSE)</f>
        <v>0</v>
      </c>
      <c r="S523" s="5" t="str">
        <f>VLOOKUP($G523,Others!$E$260:$I$596,3,FALSE)</f>
        <v>Live Action</v>
      </c>
      <c r="T523" s="5" t="str">
        <f>VLOOKUP($G523,Others!$E$260:$I$596,4,FALSE)</f>
        <v>Science Fiction</v>
      </c>
      <c r="U523" s="5" t="str">
        <f>IFERROR(VLOOKUP($G523,Ratings!$E$81:$I$111,5,FALSE),"None")</f>
        <v>None</v>
      </c>
      <c r="V523" s="5"/>
      <c r="X523" s="5"/>
      <c r="Y523" s="5"/>
      <c r="Z523" s="5"/>
      <c r="AA523" s="5"/>
      <c r="AB523" s="5"/>
      <c r="AC523" s="5"/>
      <c r="AG523" s="9"/>
      <c r="AH523" s="9"/>
    </row>
    <row r="524" spans="2:34" hidden="1">
      <c r="B524" s="4">
        <v>2018</v>
      </c>
      <c r="C524" s="4" t="s">
        <v>44</v>
      </c>
      <c r="D524" s="3">
        <f t="shared" si="8"/>
        <v>269</v>
      </c>
      <c r="E524" s="3" t="s">
        <v>886</v>
      </c>
      <c r="G524" s="5" t="s">
        <v>344</v>
      </c>
      <c r="H524" s="5"/>
      <c r="I524" s="5" t="s">
        <v>191</v>
      </c>
      <c r="J524" s="7">
        <v>0</v>
      </c>
      <c r="M524" s="8">
        <v>0</v>
      </c>
      <c r="N524" s="7">
        <v>0</v>
      </c>
      <c r="P524" s="7">
        <v>10188</v>
      </c>
      <c r="Q524" s="7">
        <v>10188</v>
      </c>
      <c r="R524" s="5" t="str">
        <f>VLOOKUP($G524,Others!$E$260:$I$596,2,FALSE)</f>
        <v>Original Screenplay</v>
      </c>
      <c r="S524" s="5" t="str">
        <f>VLOOKUP($G524,Others!$E$260:$I$596,3,FALSE)</f>
        <v>Live Action</v>
      </c>
      <c r="T524" s="5" t="str">
        <f>VLOOKUP($G524,Others!$E$260:$I$596,4,FALSE)</f>
        <v>Factual</v>
      </c>
      <c r="U524" s="5" t="str">
        <f>IFERROR(VLOOKUP($G524,Ratings!$E$81:$I$111,5,FALSE),"None")</f>
        <v>None</v>
      </c>
      <c r="V524" s="5"/>
      <c r="X524" s="5"/>
      <c r="Y524" s="5"/>
      <c r="Z524" s="5"/>
      <c r="AA524" s="5"/>
      <c r="AB524" s="5"/>
      <c r="AC524" s="5"/>
      <c r="AG524" s="9"/>
      <c r="AH524" s="9"/>
    </row>
    <row r="525" spans="2:34" hidden="1">
      <c r="B525" s="4">
        <v>2018</v>
      </c>
      <c r="C525" s="4" t="s">
        <v>44</v>
      </c>
      <c r="D525" s="3">
        <f t="shared" si="8"/>
        <v>270</v>
      </c>
      <c r="E525" s="3" t="s">
        <v>886</v>
      </c>
      <c r="G525" s="5" t="s">
        <v>426</v>
      </c>
      <c r="H525" s="5"/>
      <c r="I525" s="5" t="s">
        <v>131</v>
      </c>
      <c r="J525" s="7">
        <v>0</v>
      </c>
      <c r="M525" s="8">
        <v>0</v>
      </c>
      <c r="N525" s="7">
        <v>0</v>
      </c>
      <c r="P525" s="7">
        <v>3042381</v>
      </c>
      <c r="Q525" s="7">
        <v>3042381</v>
      </c>
      <c r="R525" s="5" t="str">
        <f>VLOOKUP($G525,Others!$E$260:$I$596,2,FALSE)</f>
        <v>Original Screenplay</v>
      </c>
      <c r="S525" s="5" t="str">
        <f>VLOOKUP($G525,Others!$E$260:$I$596,3,FALSE)</f>
        <v>Live Action</v>
      </c>
      <c r="T525" s="5" t="str">
        <f>VLOOKUP($G525,Others!$E$260:$I$596,4,FALSE)</f>
        <v>Contemporary Fiction</v>
      </c>
      <c r="U525" s="5" t="str">
        <f>IFERROR(VLOOKUP($G525,Ratings!$E$81:$I$111,5,FALSE),"None")</f>
        <v>None</v>
      </c>
      <c r="V525" s="5"/>
      <c r="X525" s="5"/>
      <c r="Y525" s="5"/>
      <c r="Z525" s="5"/>
      <c r="AA525" s="5"/>
      <c r="AB525" s="5"/>
      <c r="AC525" s="5"/>
      <c r="AG525" s="9"/>
      <c r="AH525" s="9"/>
    </row>
    <row r="526" spans="2:34" hidden="1">
      <c r="B526" s="4">
        <v>2018</v>
      </c>
      <c r="C526" s="4" t="s">
        <v>44</v>
      </c>
      <c r="D526" s="3">
        <f t="shared" si="8"/>
        <v>271</v>
      </c>
      <c r="E526" s="3" t="s">
        <v>886</v>
      </c>
      <c r="G526" s="5" t="s">
        <v>1004</v>
      </c>
      <c r="H526" s="5"/>
      <c r="I526" s="5" t="s">
        <v>131</v>
      </c>
      <c r="J526" s="7">
        <v>0</v>
      </c>
      <c r="M526" s="8">
        <v>0</v>
      </c>
      <c r="N526" s="7">
        <v>0</v>
      </c>
      <c r="P526" s="7">
        <v>1630917</v>
      </c>
      <c r="Q526" s="7">
        <v>1630917</v>
      </c>
      <c r="R526" s="5">
        <f>VLOOKUP($G526,Others!$E$260:$I$596,2,FALSE)</f>
        <v>0</v>
      </c>
      <c r="S526" s="5" t="str">
        <f>VLOOKUP($G526,Others!$E$260:$I$596,3,FALSE)</f>
        <v>Live Action</v>
      </c>
      <c r="T526" s="5">
        <f>VLOOKUP($G526,Others!$E$260:$I$596,4,FALSE)</f>
        <v>0</v>
      </c>
      <c r="U526" s="5" t="str">
        <f>IFERROR(VLOOKUP($G526,Ratings!$E$81:$I$111,5,FALSE),"None")</f>
        <v>None</v>
      </c>
      <c r="V526" s="5"/>
      <c r="X526" s="5"/>
      <c r="Y526" s="5"/>
      <c r="Z526" s="5"/>
      <c r="AA526" s="5"/>
      <c r="AB526" s="5"/>
      <c r="AC526" s="5"/>
      <c r="AG526" s="9"/>
      <c r="AH526" s="9"/>
    </row>
    <row r="527" spans="2:34" hidden="1">
      <c r="B527" s="4">
        <v>2018</v>
      </c>
      <c r="C527" s="4" t="s">
        <v>44</v>
      </c>
      <c r="D527" s="3">
        <f t="shared" si="8"/>
        <v>272</v>
      </c>
      <c r="E527" s="3" t="s">
        <v>886</v>
      </c>
      <c r="G527" s="5" t="s">
        <v>442</v>
      </c>
      <c r="H527" s="5"/>
      <c r="I527" s="5" t="s">
        <v>127</v>
      </c>
      <c r="J527" s="7">
        <v>0</v>
      </c>
      <c r="M527" s="8">
        <v>0</v>
      </c>
      <c r="N527" s="7">
        <v>0</v>
      </c>
      <c r="P527" s="7">
        <v>1197984</v>
      </c>
      <c r="Q527" s="7">
        <v>1197984</v>
      </c>
      <c r="R527" s="5" t="str">
        <f>VLOOKUP($G527,Others!$E$260:$I$596,2,FALSE)</f>
        <v>Original Screenplay</v>
      </c>
      <c r="S527" s="5" t="str">
        <f>VLOOKUP($G527,Others!$E$260:$I$596,3,FALSE)</f>
        <v>Digital Animation</v>
      </c>
      <c r="T527" s="5" t="str">
        <f>VLOOKUP($G527,Others!$E$260:$I$596,4,FALSE)</f>
        <v>Kids Fiction</v>
      </c>
      <c r="U527" s="5" t="str">
        <f>IFERROR(VLOOKUP($G527,Ratings!$E$81:$I$111,5,FALSE),"None")</f>
        <v>None</v>
      </c>
      <c r="V527" s="5"/>
      <c r="X527" s="5"/>
      <c r="Y527" s="5"/>
      <c r="Z527" s="5"/>
      <c r="AA527" s="5"/>
      <c r="AB527" s="5"/>
      <c r="AC527" s="5"/>
      <c r="AG527" s="9"/>
      <c r="AH527" s="9"/>
    </row>
    <row r="528" spans="2:34" hidden="1">
      <c r="B528" s="4">
        <v>2018</v>
      </c>
      <c r="C528" s="4" t="s">
        <v>44</v>
      </c>
      <c r="D528" s="3">
        <f t="shared" si="8"/>
        <v>273</v>
      </c>
      <c r="E528" s="3" t="s">
        <v>886</v>
      </c>
      <c r="G528" s="5" t="s">
        <v>320</v>
      </c>
      <c r="H528" s="5"/>
      <c r="I528" s="5" t="s">
        <v>131</v>
      </c>
      <c r="J528" s="7">
        <v>0</v>
      </c>
      <c r="M528" s="8">
        <v>0</v>
      </c>
      <c r="N528" s="7">
        <v>0</v>
      </c>
      <c r="P528" s="7">
        <v>45804</v>
      </c>
      <c r="Q528" s="7">
        <v>45804</v>
      </c>
      <c r="R528" s="5">
        <f>VLOOKUP($G528,Others!$E$260:$I$596,2,FALSE)</f>
        <v>0</v>
      </c>
      <c r="S528" s="5" t="str">
        <f>VLOOKUP($G528,Others!$E$260:$I$596,3,FALSE)</f>
        <v>Live Action</v>
      </c>
      <c r="T528" s="5">
        <f>VLOOKUP($G528,Others!$E$260:$I$596,4,FALSE)</f>
        <v>0</v>
      </c>
      <c r="U528" s="5" t="str">
        <f>IFERROR(VLOOKUP($G528,Ratings!$E$81:$I$111,5,FALSE),"None")</f>
        <v>None</v>
      </c>
      <c r="V528" s="5"/>
      <c r="X528" s="5"/>
      <c r="Y528" s="5"/>
      <c r="Z528" s="5"/>
      <c r="AA528" s="5"/>
      <c r="AB528" s="5"/>
      <c r="AC528" s="5"/>
      <c r="AG528" s="9"/>
      <c r="AH528" s="9"/>
    </row>
    <row r="529" spans="1:34" hidden="1">
      <c r="B529" s="4">
        <v>2018</v>
      </c>
      <c r="C529" s="4" t="s">
        <v>44</v>
      </c>
      <c r="D529" s="3">
        <f t="shared" si="8"/>
        <v>274</v>
      </c>
      <c r="E529" s="3" t="s">
        <v>886</v>
      </c>
      <c r="G529" s="5" t="s">
        <v>416</v>
      </c>
      <c r="H529" s="5"/>
      <c r="I529" s="5" t="s">
        <v>136</v>
      </c>
      <c r="J529" s="7">
        <v>0</v>
      </c>
      <c r="M529" s="8">
        <v>0</v>
      </c>
      <c r="N529" s="7">
        <v>0</v>
      </c>
      <c r="P529" s="7">
        <v>6849959</v>
      </c>
      <c r="Q529" s="7">
        <v>6849959</v>
      </c>
      <c r="R529" s="5">
        <f>VLOOKUP($G529,Others!$E$260:$I$596,2,FALSE)</f>
        <v>0</v>
      </c>
      <c r="S529" s="5">
        <f>VLOOKUP($G529,Others!$E$260:$I$596,3,FALSE)</f>
        <v>0</v>
      </c>
      <c r="T529" s="5">
        <f>VLOOKUP($G529,Others!$E$260:$I$596,4,FALSE)</f>
        <v>0</v>
      </c>
      <c r="U529" s="5" t="str">
        <f>IFERROR(VLOOKUP($G529,Ratings!$E$81:$I$111,5,FALSE),"None")</f>
        <v>None</v>
      </c>
      <c r="V529" s="5"/>
      <c r="X529" s="5"/>
      <c r="Y529" s="5"/>
      <c r="Z529" s="5"/>
      <c r="AA529" s="5"/>
      <c r="AB529" s="5"/>
      <c r="AC529" s="5"/>
      <c r="AG529" s="9"/>
      <c r="AH529" s="9"/>
    </row>
    <row r="530" spans="1:34" hidden="1">
      <c r="B530" s="4">
        <v>2018</v>
      </c>
      <c r="C530" s="4" t="s">
        <v>44</v>
      </c>
      <c r="D530" s="3">
        <f t="shared" si="8"/>
        <v>275</v>
      </c>
      <c r="E530" s="3" t="s">
        <v>886</v>
      </c>
      <c r="G530" s="5" t="s">
        <v>1005</v>
      </c>
      <c r="H530" s="5"/>
      <c r="I530" s="5" t="s">
        <v>131</v>
      </c>
      <c r="J530" s="7">
        <v>0</v>
      </c>
      <c r="M530" s="8">
        <v>0</v>
      </c>
      <c r="N530" s="7">
        <v>0</v>
      </c>
      <c r="P530" s="7">
        <v>730000</v>
      </c>
      <c r="Q530" s="7">
        <v>730000</v>
      </c>
      <c r="R530" s="5">
        <f>VLOOKUP($G530,Others!$E$260:$I$596,2,FALSE)</f>
        <v>0</v>
      </c>
      <c r="S530" s="5" t="str">
        <f>VLOOKUP($G530,Others!$E$260:$I$596,3,FALSE)</f>
        <v>Live Action</v>
      </c>
      <c r="T530" s="5">
        <f>VLOOKUP($G530,Others!$E$260:$I$596,4,FALSE)</f>
        <v>0</v>
      </c>
      <c r="U530" s="5" t="str">
        <f>IFERROR(VLOOKUP($G530,Ratings!$E$81:$I$111,5,FALSE),"None")</f>
        <v>None</v>
      </c>
      <c r="V530" s="5"/>
      <c r="X530" s="5"/>
      <c r="Y530" s="5"/>
      <c r="Z530" s="5"/>
      <c r="AA530" s="5"/>
      <c r="AB530" s="5"/>
      <c r="AC530" s="5"/>
      <c r="AG530" s="9"/>
      <c r="AH530" s="9"/>
    </row>
    <row r="531" spans="1:34" hidden="1">
      <c r="B531" s="4">
        <v>2018</v>
      </c>
      <c r="C531" s="4" t="s">
        <v>44</v>
      </c>
      <c r="D531" s="3">
        <f t="shared" si="8"/>
        <v>276</v>
      </c>
      <c r="E531" s="3" t="s">
        <v>886</v>
      </c>
      <c r="G531" s="5" t="s">
        <v>1006</v>
      </c>
      <c r="H531" s="5"/>
      <c r="I531" s="5" t="s">
        <v>131</v>
      </c>
      <c r="J531" s="7">
        <v>0</v>
      </c>
      <c r="M531" s="8">
        <v>0</v>
      </c>
      <c r="N531" s="7">
        <v>0</v>
      </c>
      <c r="P531" s="7">
        <v>100000</v>
      </c>
      <c r="Q531" s="7">
        <v>100000</v>
      </c>
      <c r="R531" s="5" t="str">
        <f>VLOOKUP($G531,Others!$E$260:$I$596,2,FALSE)</f>
        <v>Original Screenplay</v>
      </c>
      <c r="S531" s="5" t="str">
        <f>VLOOKUP($G531,Others!$E$260:$I$596,3,FALSE)</f>
        <v>Live Action</v>
      </c>
      <c r="T531" s="5" t="str">
        <f>VLOOKUP($G531,Others!$E$260:$I$596,4,FALSE)</f>
        <v>Contemporary Fiction</v>
      </c>
      <c r="U531" s="5" t="str">
        <f>IFERROR(VLOOKUP($G531,Ratings!$E$81:$I$111,5,FALSE),"None")</f>
        <v>None</v>
      </c>
      <c r="V531" s="5"/>
      <c r="X531" s="5"/>
      <c r="Y531" s="5"/>
      <c r="Z531" s="5"/>
      <c r="AA531" s="5"/>
      <c r="AB531" s="5"/>
      <c r="AC531" s="5"/>
      <c r="AG531" s="9"/>
      <c r="AH531" s="9"/>
    </row>
    <row r="532" spans="1:34" hidden="1">
      <c r="B532" s="4">
        <v>2018</v>
      </c>
      <c r="C532" s="4" t="s">
        <v>44</v>
      </c>
      <c r="D532" s="3">
        <f t="shared" si="8"/>
        <v>277</v>
      </c>
      <c r="E532" s="3" t="s">
        <v>886</v>
      </c>
      <c r="G532" s="5" t="s">
        <v>1007</v>
      </c>
      <c r="H532" s="5"/>
      <c r="I532" s="5" t="s">
        <v>131</v>
      </c>
      <c r="J532" s="7">
        <v>0</v>
      </c>
      <c r="M532" s="8">
        <v>0</v>
      </c>
      <c r="N532" s="7">
        <v>0</v>
      </c>
      <c r="P532" s="7">
        <v>218412</v>
      </c>
      <c r="Q532" s="7">
        <v>218412</v>
      </c>
      <c r="R532" s="5" t="str">
        <f>VLOOKUP($G532,Others!$E$260:$I$596,2,FALSE)</f>
        <v>Original Screenplay</v>
      </c>
      <c r="S532" s="5" t="str">
        <f>VLOOKUP($G532,Others!$E$260:$I$596,3,FALSE)</f>
        <v>Live Action</v>
      </c>
      <c r="T532" s="5">
        <f>VLOOKUP($G532,Others!$E$260:$I$596,4,FALSE)</f>
        <v>0</v>
      </c>
      <c r="U532" s="5" t="str">
        <f>IFERROR(VLOOKUP($G532,Ratings!$E$81:$I$111,5,FALSE),"None")</f>
        <v>None</v>
      </c>
      <c r="V532" s="5"/>
      <c r="X532" s="5"/>
      <c r="Y532" s="5"/>
      <c r="Z532" s="5"/>
      <c r="AA532" s="5"/>
      <c r="AB532" s="5"/>
      <c r="AC532" s="5"/>
      <c r="AG532" s="9"/>
      <c r="AH532" s="9"/>
    </row>
    <row r="533" spans="1:34" hidden="1">
      <c r="B533" s="4">
        <v>2018</v>
      </c>
      <c r="C533" s="4" t="s">
        <v>44</v>
      </c>
      <c r="D533" s="3">
        <f t="shared" si="8"/>
        <v>278</v>
      </c>
      <c r="E533" s="3" t="s">
        <v>886</v>
      </c>
      <c r="G533" s="5" t="s">
        <v>517</v>
      </c>
      <c r="H533" s="5"/>
      <c r="I533" s="5" t="s">
        <v>129</v>
      </c>
      <c r="J533" s="7">
        <v>0</v>
      </c>
      <c r="M533" s="8">
        <v>0</v>
      </c>
      <c r="N533" s="7">
        <v>0</v>
      </c>
      <c r="P533" s="7">
        <v>62007</v>
      </c>
      <c r="Q533" s="7">
        <v>62007</v>
      </c>
      <c r="R533" s="5">
        <f>VLOOKUP($G533,Others!$E$260:$I$596,2,FALSE)</f>
        <v>0</v>
      </c>
      <c r="S533" s="5">
        <f>VLOOKUP($G533,Others!$E$260:$I$596,3,FALSE)</f>
        <v>0</v>
      </c>
      <c r="T533" s="5">
        <f>VLOOKUP($G533,Others!$E$260:$I$596,4,FALSE)</f>
        <v>0</v>
      </c>
      <c r="U533" s="5" t="str">
        <f>IFERROR(VLOOKUP($G533,Ratings!$E$81:$I$111,5,FALSE),"None")</f>
        <v>None</v>
      </c>
      <c r="V533" s="5"/>
      <c r="X533" s="5"/>
      <c r="Y533" s="5"/>
      <c r="Z533" s="5"/>
      <c r="AA533" s="5"/>
      <c r="AB533" s="5"/>
      <c r="AC533" s="5"/>
      <c r="AG533" s="9"/>
      <c r="AH533" s="9"/>
    </row>
    <row r="534" spans="1:34" hidden="1">
      <c r="B534" s="4">
        <v>2018</v>
      </c>
      <c r="C534" s="4" t="s">
        <v>44</v>
      </c>
      <c r="D534" s="3">
        <f t="shared" si="8"/>
        <v>279</v>
      </c>
      <c r="E534" s="3" t="s">
        <v>886</v>
      </c>
      <c r="G534" s="5" t="s">
        <v>1008</v>
      </c>
      <c r="H534" s="5"/>
      <c r="I534" s="5" t="s">
        <v>129</v>
      </c>
      <c r="J534" s="7">
        <v>0</v>
      </c>
      <c r="M534" s="8">
        <v>0</v>
      </c>
      <c r="N534" s="7">
        <v>0</v>
      </c>
      <c r="P534" s="7">
        <v>185427900</v>
      </c>
      <c r="Q534" s="7">
        <v>185427900</v>
      </c>
      <c r="R534" s="5" t="str">
        <f>VLOOKUP($G534,Others!$E$260:$I$596,2,FALSE)</f>
        <v>Original Screenplay</v>
      </c>
      <c r="S534" s="5" t="str">
        <f>VLOOKUP($G534,Others!$E$260:$I$596,3,FALSE)</f>
        <v>Live Action</v>
      </c>
      <c r="T534" s="5" t="str">
        <f>VLOOKUP($G534,Others!$E$260:$I$596,4,FALSE)</f>
        <v>Contemporary Fiction</v>
      </c>
      <c r="U534" s="5" t="str">
        <f>IFERROR(VLOOKUP($G534,Ratings!$E$81:$I$111,5,FALSE),"None")</f>
        <v>Not Rated</v>
      </c>
      <c r="V534" s="5"/>
      <c r="X534" s="5"/>
      <c r="Y534" s="5"/>
      <c r="Z534" s="5"/>
      <c r="AA534" s="5"/>
      <c r="AB534" s="5"/>
      <c r="AC534" s="5"/>
      <c r="AG534" s="9"/>
      <c r="AH534" s="9"/>
    </row>
    <row r="535" spans="1:34" hidden="1">
      <c r="B535" s="4">
        <v>2018</v>
      </c>
      <c r="C535" s="4" t="s">
        <v>44</v>
      </c>
      <c r="D535" s="3">
        <f t="shared" si="8"/>
        <v>280</v>
      </c>
      <c r="E535" s="3" t="s">
        <v>886</v>
      </c>
      <c r="G535" s="5" t="s">
        <v>1009</v>
      </c>
      <c r="H535" s="5"/>
      <c r="I535" s="5" t="s">
        <v>131</v>
      </c>
      <c r="J535" s="7">
        <v>0</v>
      </c>
      <c r="M535" s="8">
        <v>0</v>
      </c>
      <c r="N535" s="7">
        <v>0</v>
      </c>
      <c r="P535" s="7">
        <v>1752067</v>
      </c>
      <c r="Q535" s="7">
        <v>1752067</v>
      </c>
      <c r="R535" s="5">
        <f>VLOOKUP($G535,Others!$E$260:$I$596,2,FALSE)</f>
        <v>0</v>
      </c>
      <c r="S535" s="5">
        <f>VLOOKUP($G535,Others!$E$260:$I$596,3,FALSE)</f>
        <v>0</v>
      </c>
      <c r="T535" s="5">
        <f>VLOOKUP($G535,Others!$E$260:$I$596,4,FALSE)</f>
        <v>0</v>
      </c>
      <c r="U535" s="5" t="str">
        <f>IFERROR(VLOOKUP($G535,Ratings!$E$81:$I$111,5,FALSE),"None")</f>
        <v>None</v>
      </c>
      <c r="V535" s="5"/>
      <c r="X535" s="5"/>
      <c r="Y535" s="5"/>
      <c r="Z535" s="5"/>
      <c r="AA535" s="5"/>
      <c r="AB535" s="5"/>
      <c r="AC535" s="5"/>
      <c r="AG535" s="9"/>
      <c r="AH535" s="9"/>
    </row>
    <row r="536" spans="1:34" hidden="1">
      <c r="B536" s="4">
        <v>2018</v>
      </c>
      <c r="C536" s="4" t="s">
        <v>44</v>
      </c>
      <c r="D536" s="3">
        <f t="shared" si="8"/>
        <v>281</v>
      </c>
      <c r="E536" s="3" t="s">
        <v>886</v>
      </c>
      <c r="G536" s="5" t="s">
        <v>274</v>
      </c>
      <c r="H536" s="5"/>
      <c r="I536" s="5" t="s">
        <v>131</v>
      </c>
      <c r="J536" s="7">
        <v>0</v>
      </c>
      <c r="M536" s="8">
        <v>0</v>
      </c>
      <c r="N536" s="7">
        <v>0</v>
      </c>
      <c r="P536" s="7">
        <v>462886</v>
      </c>
      <c r="Q536" s="7">
        <v>462886</v>
      </c>
      <c r="R536" s="5" t="str">
        <f>VLOOKUP($G536,Others!$E$260:$I$596,2,FALSE)</f>
        <v>Original Screenplay</v>
      </c>
      <c r="S536" s="5" t="str">
        <f>VLOOKUP($G536,Others!$E$260:$I$596,3,FALSE)</f>
        <v>Live Action</v>
      </c>
      <c r="T536" s="5" t="str">
        <f>VLOOKUP($G536,Others!$E$260:$I$596,4,FALSE)</f>
        <v>Contemporary Fiction</v>
      </c>
      <c r="U536" s="5" t="str">
        <f>IFERROR(VLOOKUP($G536,Ratings!$E$81:$I$111,5,FALSE),"None")</f>
        <v>None</v>
      </c>
      <c r="V536" s="5"/>
      <c r="X536" s="5"/>
      <c r="Y536" s="5"/>
      <c r="Z536" s="5"/>
      <c r="AA536" s="5"/>
      <c r="AB536" s="5"/>
      <c r="AC536" s="5"/>
      <c r="AG536" s="9"/>
      <c r="AH536" s="9"/>
    </row>
    <row r="537" spans="1:34" hidden="1">
      <c r="B537" s="4">
        <v>2018</v>
      </c>
      <c r="C537" s="4" t="s">
        <v>44</v>
      </c>
      <c r="D537" s="3">
        <f t="shared" si="8"/>
        <v>282</v>
      </c>
      <c r="E537" s="3" t="s">
        <v>886</v>
      </c>
      <c r="G537" s="5" t="s">
        <v>325</v>
      </c>
      <c r="H537" s="5"/>
      <c r="I537" s="5" t="s">
        <v>131</v>
      </c>
      <c r="J537" s="7">
        <v>0</v>
      </c>
      <c r="M537" s="8">
        <v>0</v>
      </c>
      <c r="N537" s="7">
        <v>0</v>
      </c>
      <c r="P537" s="7">
        <v>27149</v>
      </c>
      <c r="Q537" s="7">
        <v>27149</v>
      </c>
      <c r="R537" s="5">
        <f>VLOOKUP($G537,Others!$E$260:$I$596,2,FALSE)</f>
        <v>0</v>
      </c>
      <c r="S537" s="5" t="str">
        <f>VLOOKUP($G537,Others!$E$260:$I$596,3,FALSE)</f>
        <v>Live Action</v>
      </c>
      <c r="T537" s="5">
        <f>VLOOKUP($G537,Others!$E$260:$I$596,4,FALSE)</f>
        <v>0</v>
      </c>
      <c r="U537" s="5" t="str">
        <f>IFERROR(VLOOKUP($G537,Ratings!$E$81:$I$111,5,FALSE),"None")</f>
        <v>None</v>
      </c>
      <c r="V537" s="5"/>
      <c r="X537" s="5"/>
      <c r="Y537" s="5"/>
      <c r="Z537" s="5"/>
      <c r="AA537" s="5"/>
      <c r="AB537" s="5"/>
      <c r="AC537" s="5"/>
      <c r="AG537" s="9"/>
      <c r="AH537" s="9"/>
    </row>
    <row r="538" spans="1:34">
      <c r="B538" s="4">
        <v>2019</v>
      </c>
      <c r="C538" s="4" t="s">
        <v>44</v>
      </c>
      <c r="D538" s="3">
        <f t="shared" si="8"/>
        <v>283</v>
      </c>
      <c r="E538" s="55" t="s">
        <v>886</v>
      </c>
      <c r="F538" s="46" t="s">
        <v>2204</v>
      </c>
      <c r="G538" s="5" t="s">
        <v>250</v>
      </c>
      <c r="H538" s="5" t="s">
        <v>1440</v>
      </c>
      <c r="I538" s="5" t="s">
        <v>1404</v>
      </c>
      <c r="J538" s="7">
        <f>0.9*100000000/6.7</f>
        <v>13432835.820895523</v>
      </c>
      <c r="K538" s="57" t="s">
        <v>1411</v>
      </c>
      <c r="L538" s="7">
        <f>0.03*100000000/6.7</f>
        <v>447761.19402985071</v>
      </c>
      <c r="M538" s="41" t="s">
        <v>1501</v>
      </c>
      <c r="N538" s="7">
        <v>794007</v>
      </c>
      <c r="O538" s="7">
        <f>0.08*100000000/6.7</f>
        <v>1194029.8507462686</v>
      </c>
      <c r="P538" s="7">
        <v>1162914</v>
      </c>
      <c r="Q538" s="7">
        <v>1162914</v>
      </c>
      <c r="R538" s="5" t="str">
        <f>VLOOKUP($G538,Others!$E$260:$I$596,2,FALSE)</f>
        <v>Based on Fiction Book/Short Story</v>
      </c>
      <c r="S538" s="5" t="str">
        <f>VLOOKUP($G538,Others!$E$260:$I$596,3,FALSE)</f>
        <v>Live Action</v>
      </c>
      <c r="T538" s="5" t="str">
        <f>VLOOKUP($G538,Others!$E$260:$I$596,4,FALSE)</f>
        <v>Fantasy</v>
      </c>
      <c r="U538" s="5" t="str">
        <f>IFERROR(VLOOKUP($G538,Ratings!$E$81:$I$111,5,FALSE),"None")</f>
        <v>None</v>
      </c>
      <c r="V538" s="5" t="s">
        <v>2205</v>
      </c>
      <c r="W538" s="5" t="s">
        <v>2206</v>
      </c>
      <c r="X538" s="5" t="s">
        <v>2095</v>
      </c>
      <c r="Y538" s="5" t="s">
        <v>2194</v>
      </c>
      <c r="Z538" s="5"/>
      <c r="AA538" s="5" t="s">
        <v>2207</v>
      </c>
      <c r="AB538" s="5"/>
      <c r="AC538" s="5" t="s">
        <v>2208</v>
      </c>
      <c r="AD538" s="20">
        <v>7</v>
      </c>
      <c r="AE538" s="1" t="s">
        <v>1489</v>
      </c>
      <c r="AG538" s="9"/>
      <c r="AH538" s="9"/>
    </row>
    <row r="539" spans="1:34" hidden="1">
      <c r="B539" s="4">
        <v>2018</v>
      </c>
      <c r="C539" s="4" t="s">
        <v>44</v>
      </c>
      <c r="D539" s="3">
        <f t="shared" si="8"/>
        <v>284</v>
      </c>
      <c r="E539" s="3" t="s">
        <v>886</v>
      </c>
      <c r="G539" s="5" t="s">
        <v>1010</v>
      </c>
      <c r="H539" s="5"/>
      <c r="I539" s="5" t="s">
        <v>131</v>
      </c>
      <c r="J539" s="7">
        <v>0</v>
      </c>
      <c r="M539" s="8">
        <v>0</v>
      </c>
      <c r="N539" s="7">
        <v>0</v>
      </c>
      <c r="P539" s="7">
        <v>3632046</v>
      </c>
      <c r="Q539" s="7">
        <v>3632046</v>
      </c>
      <c r="R539" s="5">
        <f>VLOOKUP($G539,Others!$E$260:$I$596,2,FALSE)</f>
        <v>0</v>
      </c>
      <c r="S539" s="5" t="str">
        <f>VLOOKUP($G539,Others!$E$260:$I$596,3,FALSE)</f>
        <v>Live Action</v>
      </c>
      <c r="T539" s="5">
        <f>VLOOKUP($G539,Others!$E$260:$I$596,4,FALSE)</f>
        <v>0</v>
      </c>
      <c r="U539" s="5" t="str">
        <f>IFERROR(VLOOKUP($G539,Ratings!$E$81:$I$111,5,FALSE),"None")</f>
        <v>None</v>
      </c>
      <c r="V539" s="5"/>
      <c r="X539" s="5"/>
      <c r="Y539" s="5"/>
      <c r="Z539" s="5"/>
      <c r="AA539" s="5"/>
      <c r="AB539" s="5"/>
      <c r="AC539" s="5"/>
      <c r="AG539" s="9"/>
      <c r="AH539" s="9"/>
    </row>
    <row r="540" spans="1:34" hidden="1">
      <c r="B540" s="4">
        <v>2018</v>
      </c>
      <c r="C540" s="4" t="s">
        <v>44</v>
      </c>
      <c r="D540" s="3">
        <f t="shared" si="8"/>
        <v>285</v>
      </c>
      <c r="E540" s="3" t="s">
        <v>886</v>
      </c>
      <c r="G540" s="5" t="s">
        <v>425</v>
      </c>
      <c r="H540" s="5"/>
      <c r="I540" s="5" t="s">
        <v>131</v>
      </c>
      <c r="J540" s="7">
        <v>0</v>
      </c>
      <c r="M540" s="8">
        <v>0</v>
      </c>
      <c r="N540" s="7">
        <v>0</v>
      </c>
      <c r="P540" s="7">
        <v>3576269</v>
      </c>
      <c r="Q540" s="7">
        <v>3576269</v>
      </c>
      <c r="R540" s="5">
        <f>VLOOKUP($G540,Others!$E$260:$I$596,2,FALSE)</f>
        <v>0</v>
      </c>
      <c r="S540" s="5" t="str">
        <f>VLOOKUP($G540,Others!$E$260:$I$596,3,FALSE)</f>
        <v>Live Action</v>
      </c>
      <c r="T540" s="5">
        <f>VLOOKUP($G540,Others!$E$260:$I$596,4,FALSE)</f>
        <v>0</v>
      </c>
      <c r="U540" s="5" t="str">
        <f>IFERROR(VLOOKUP($G540,Ratings!$E$81:$I$111,5,FALSE),"None")</f>
        <v>None</v>
      </c>
      <c r="V540" s="5"/>
      <c r="X540" s="5"/>
      <c r="Y540" s="5"/>
      <c r="Z540" s="5"/>
      <c r="AA540" s="5"/>
      <c r="AB540" s="5"/>
      <c r="AC540" s="5"/>
      <c r="AG540" s="9"/>
      <c r="AH540" s="9"/>
    </row>
    <row r="541" spans="1:34">
      <c r="B541" s="4">
        <v>2018</v>
      </c>
      <c r="C541" s="4" t="s">
        <v>44</v>
      </c>
      <c r="D541" s="3">
        <f t="shared" si="8"/>
        <v>286</v>
      </c>
      <c r="E541" s="55" t="s">
        <v>886</v>
      </c>
      <c r="F541" s="56" t="s">
        <v>2209</v>
      </c>
      <c r="G541" s="5" t="s">
        <v>419</v>
      </c>
      <c r="H541" s="39" t="s">
        <v>2210</v>
      </c>
      <c r="I541" s="5" t="s">
        <v>148</v>
      </c>
      <c r="J541" s="7">
        <v>4477611</v>
      </c>
      <c r="K541" s="7">
        <v>2238805</v>
      </c>
      <c r="L541" s="7">
        <v>1776119</v>
      </c>
      <c r="M541" s="8">
        <v>53482</v>
      </c>
      <c r="N541" s="7">
        <v>49372</v>
      </c>
      <c r="O541" s="7">
        <v>4843283</v>
      </c>
      <c r="P541" s="7">
        <v>5504562</v>
      </c>
      <c r="Q541" s="7">
        <v>5504562</v>
      </c>
      <c r="R541" s="5" t="str">
        <f>VLOOKUP($G541,Others!$E$260:$I$596,2,FALSE)</f>
        <v>Original Screenplay</v>
      </c>
      <c r="S541" s="5" t="str">
        <f>VLOOKUP($G541,Others!$E$260:$I$596,3,FALSE)</f>
        <v>Live Action</v>
      </c>
      <c r="T541" s="5" t="str">
        <f>VLOOKUP($G541,Others!$E$260:$I$596,4,FALSE)</f>
        <v>Contemporary Fiction</v>
      </c>
      <c r="U541" s="5" t="str">
        <f>IFERROR(VLOOKUP($G541,Ratings!$E$81:$I$111,5,FALSE),"None")</f>
        <v>None</v>
      </c>
      <c r="V541" s="5" t="s">
        <v>2211</v>
      </c>
      <c r="W541" s="39" t="s">
        <v>2212</v>
      </c>
      <c r="X541" s="5" t="s">
        <v>2213</v>
      </c>
      <c r="Y541" s="5" t="s">
        <v>2214</v>
      </c>
      <c r="Z541" s="39" t="s">
        <v>2215</v>
      </c>
      <c r="AA541" s="39" t="s">
        <v>2216</v>
      </c>
      <c r="AB541" s="5"/>
      <c r="AC541" s="39" t="s">
        <v>1585</v>
      </c>
      <c r="AD541" s="9">
        <v>8.4</v>
      </c>
      <c r="AE541" s="1" t="s">
        <v>1489</v>
      </c>
      <c r="AG541" s="9"/>
      <c r="AH541" s="9"/>
    </row>
    <row r="542" spans="1:34" s="1" customFormat="1">
      <c r="A542" s="3"/>
      <c r="B542" s="4">
        <v>2019</v>
      </c>
      <c r="C542" s="4" t="s">
        <v>44</v>
      </c>
      <c r="D542" s="3">
        <f t="shared" si="8"/>
        <v>287</v>
      </c>
      <c r="E542" s="55" t="s">
        <v>886</v>
      </c>
      <c r="F542" s="3" t="s">
        <v>604</v>
      </c>
      <c r="G542" s="5" t="s">
        <v>135</v>
      </c>
      <c r="H542" s="5" t="s">
        <v>1441</v>
      </c>
      <c r="I542" s="5" t="s">
        <v>136</v>
      </c>
      <c r="J542" s="7">
        <v>60000000</v>
      </c>
      <c r="K542" s="7">
        <v>35000000</v>
      </c>
      <c r="L542" s="7">
        <v>118000000</v>
      </c>
      <c r="M542" s="8">
        <v>14545</v>
      </c>
      <c r="N542" s="7">
        <v>77099702</v>
      </c>
      <c r="O542" s="7">
        <v>328507643</v>
      </c>
      <c r="P542" s="7">
        <v>326150303</v>
      </c>
      <c r="Q542" s="7">
        <v>326150303</v>
      </c>
      <c r="R542" s="5" t="str">
        <f>VLOOKUP($G542,Others!$E$260:$I$596,2,FALSE)</f>
        <v>Original Screenplay</v>
      </c>
      <c r="S542" s="5" t="str">
        <f>VLOOKUP($G542,Others!$E$260:$I$596,3,FALSE)</f>
        <v>Multiple Production Methods</v>
      </c>
      <c r="T542" s="5" t="str">
        <f>VLOOKUP($G542,Others!$E$260:$I$596,4,FALSE)</f>
        <v>Multiple Creative Types</v>
      </c>
      <c r="U542" s="5" t="str">
        <f>IFERROR(VLOOKUP($G542,Ratings!$E$81:$I$111,5,FALSE),"None")</f>
        <v>None</v>
      </c>
      <c r="V542" s="5" t="s">
        <v>2217</v>
      </c>
      <c r="W542" s="5" t="s">
        <v>2218</v>
      </c>
      <c r="X542" s="5" t="s">
        <v>2219</v>
      </c>
      <c r="Y542" s="5" t="s">
        <v>1974</v>
      </c>
      <c r="Z542" s="5" t="s">
        <v>2220</v>
      </c>
      <c r="AA542" s="5" t="s">
        <v>2221</v>
      </c>
      <c r="AB542" s="5"/>
      <c r="AC542" s="5" t="s">
        <v>2222</v>
      </c>
      <c r="AD542" s="1">
        <v>8.5</v>
      </c>
      <c r="AE542" s="1" t="s">
        <v>1489</v>
      </c>
    </row>
    <row r="543" spans="1:34" hidden="1">
      <c r="B543" s="4">
        <v>2018</v>
      </c>
      <c r="C543" s="4" t="s">
        <v>44</v>
      </c>
      <c r="D543" s="3">
        <f t="shared" si="8"/>
        <v>288</v>
      </c>
      <c r="E543" s="3" t="s">
        <v>886</v>
      </c>
      <c r="G543" s="5" t="s">
        <v>500</v>
      </c>
      <c r="H543" s="5"/>
      <c r="I543" s="5" t="s">
        <v>131</v>
      </c>
      <c r="J543" s="7">
        <v>0</v>
      </c>
      <c r="M543" s="8">
        <v>0</v>
      </c>
      <c r="N543" s="7">
        <v>0</v>
      </c>
      <c r="P543" s="7">
        <v>157874</v>
      </c>
      <c r="Q543" s="7">
        <v>157874</v>
      </c>
      <c r="R543" s="5">
        <f>VLOOKUP($G543,Others!$E$260:$I$596,2,FALSE)</f>
        <v>0</v>
      </c>
      <c r="S543" s="5" t="str">
        <f>VLOOKUP($G543,Others!$E$260:$I$596,3,FALSE)</f>
        <v>Live Action</v>
      </c>
      <c r="T543" s="5" t="str">
        <f>VLOOKUP($G543,Others!$E$260:$I$596,4,FALSE)</f>
        <v>Contemporary Fiction</v>
      </c>
      <c r="U543" s="5" t="str">
        <f>IFERROR(VLOOKUP($G543,Ratings!$E$81:$I$111,5,FALSE),"None")</f>
        <v>None</v>
      </c>
      <c r="V543" s="5"/>
      <c r="X543" s="5"/>
      <c r="Y543" s="5"/>
      <c r="Z543" s="5"/>
      <c r="AA543" s="5"/>
      <c r="AB543" s="5"/>
      <c r="AC543" s="5"/>
      <c r="AG543" s="9"/>
      <c r="AH543" s="9"/>
    </row>
    <row r="544" spans="1:34" hidden="1">
      <c r="B544" s="4">
        <v>2018</v>
      </c>
      <c r="C544" s="4" t="s">
        <v>44</v>
      </c>
      <c r="D544" s="3">
        <f t="shared" si="8"/>
        <v>289</v>
      </c>
      <c r="E544" s="3" t="s">
        <v>886</v>
      </c>
      <c r="G544" s="5" t="s">
        <v>273</v>
      </c>
      <c r="H544" s="5"/>
      <c r="I544" s="5" t="s">
        <v>131</v>
      </c>
      <c r="J544" s="7">
        <v>0</v>
      </c>
      <c r="M544" s="8">
        <v>0</v>
      </c>
      <c r="N544" s="7">
        <v>0</v>
      </c>
      <c r="P544" s="7">
        <v>474656</v>
      </c>
      <c r="Q544" s="7">
        <v>474656</v>
      </c>
      <c r="R544" s="5">
        <f>VLOOKUP($G544,Others!$E$260:$I$596,2,FALSE)</f>
        <v>0</v>
      </c>
      <c r="S544" s="5" t="str">
        <f>VLOOKUP($G544,Others!$E$260:$I$596,3,FALSE)</f>
        <v>Live Action</v>
      </c>
      <c r="T544" s="5" t="str">
        <f>VLOOKUP($G544,Others!$E$260:$I$596,4,FALSE)</f>
        <v>Contemporary Fiction</v>
      </c>
      <c r="U544" s="5" t="str">
        <f>IFERROR(VLOOKUP($G544,Ratings!$E$81:$I$111,5,FALSE),"None")</f>
        <v>None</v>
      </c>
      <c r="V544" s="5"/>
      <c r="X544" s="5"/>
      <c r="Y544" s="5"/>
      <c r="Z544" s="5"/>
      <c r="AA544" s="5"/>
      <c r="AB544" s="5"/>
      <c r="AC544" s="5"/>
      <c r="AG544" s="9"/>
      <c r="AH544" s="9"/>
    </row>
    <row r="545" spans="2:34" hidden="1">
      <c r="B545" s="4">
        <v>2018</v>
      </c>
      <c r="C545" s="4" t="s">
        <v>44</v>
      </c>
      <c r="D545" s="3">
        <f t="shared" si="8"/>
        <v>290</v>
      </c>
      <c r="E545" s="3" t="s">
        <v>886</v>
      </c>
      <c r="G545" s="5" t="s">
        <v>1011</v>
      </c>
      <c r="H545" s="5"/>
      <c r="J545" s="7">
        <v>0</v>
      </c>
      <c r="M545" s="8">
        <v>0</v>
      </c>
      <c r="N545" s="7">
        <v>0</v>
      </c>
      <c r="P545" s="7">
        <v>35259</v>
      </c>
      <c r="Q545" s="7">
        <v>35259</v>
      </c>
      <c r="R545" s="5">
        <f>VLOOKUP($G545,Others!$E$260:$I$596,2,FALSE)</f>
        <v>0</v>
      </c>
      <c r="S545" s="5">
        <f>VLOOKUP($G545,Others!$E$260:$I$596,3,FALSE)</f>
        <v>0</v>
      </c>
      <c r="T545" s="5">
        <f>VLOOKUP($G545,Others!$E$260:$I$596,4,FALSE)</f>
        <v>0</v>
      </c>
      <c r="U545" s="5" t="str">
        <f>IFERROR(VLOOKUP($G545,Ratings!$E$81:$I$111,5,FALSE),"None")</f>
        <v>None</v>
      </c>
      <c r="V545" s="5"/>
      <c r="X545" s="5"/>
      <c r="Y545" s="5"/>
      <c r="Z545" s="5"/>
      <c r="AA545" s="5"/>
      <c r="AB545" s="5"/>
      <c r="AC545" s="5"/>
      <c r="AG545" s="9"/>
      <c r="AH545" s="9"/>
    </row>
    <row r="546" spans="2:34" hidden="1">
      <c r="B546" s="4">
        <v>2018</v>
      </c>
      <c r="C546" s="4" t="s">
        <v>44</v>
      </c>
      <c r="D546" s="3">
        <f t="shared" si="8"/>
        <v>291</v>
      </c>
      <c r="E546" s="3" t="s">
        <v>886</v>
      </c>
      <c r="G546" s="5" t="s">
        <v>1012</v>
      </c>
      <c r="H546" s="5"/>
      <c r="I546" s="5" t="s">
        <v>131</v>
      </c>
      <c r="J546" s="7">
        <v>0</v>
      </c>
      <c r="M546" s="8">
        <v>0</v>
      </c>
      <c r="N546" s="7">
        <v>0</v>
      </c>
      <c r="P546" s="7">
        <v>1339004</v>
      </c>
      <c r="Q546" s="7">
        <v>1339004</v>
      </c>
      <c r="R546" s="5">
        <f>VLOOKUP($G546,Others!$E$260:$I$596,2,FALSE)</f>
        <v>0</v>
      </c>
      <c r="S546" s="5" t="str">
        <f>VLOOKUP($G546,Others!$E$260:$I$596,3,FALSE)</f>
        <v>Live Action</v>
      </c>
      <c r="T546" s="5">
        <f>VLOOKUP($G546,Others!$E$260:$I$596,4,FALSE)</f>
        <v>0</v>
      </c>
      <c r="U546" s="5" t="str">
        <f>IFERROR(VLOOKUP($G546,Ratings!$E$81:$I$111,5,FALSE),"None")</f>
        <v>None</v>
      </c>
      <c r="V546" s="5"/>
      <c r="X546" s="5"/>
      <c r="Y546" s="5"/>
      <c r="Z546" s="5"/>
      <c r="AA546" s="5"/>
      <c r="AB546" s="5"/>
      <c r="AC546" s="5"/>
      <c r="AG546" s="9"/>
      <c r="AH546" s="9"/>
    </row>
    <row r="547" spans="2:34" hidden="1">
      <c r="B547" s="4">
        <v>2018</v>
      </c>
      <c r="C547" s="4" t="s">
        <v>44</v>
      </c>
      <c r="D547" s="3">
        <f t="shared" si="8"/>
        <v>292</v>
      </c>
      <c r="E547" s="3" t="s">
        <v>886</v>
      </c>
      <c r="G547" s="5" t="s">
        <v>508</v>
      </c>
      <c r="H547" s="5"/>
      <c r="I547" s="5" t="s">
        <v>264</v>
      </c>
      <c r="J547" s="7">
        <v>0</v>
      </c>
      <c r="M547" s="8">
        <v>0</v>
      </c>
      <c r="N547" s="7">
        <v>0</v>
      </c>
      <c r="P547" s="7">
        <v>99673</v>
      </c>
      <c r="Q547" s="7">
        <v>99673</v>
      </c>
      <c r="R547" s="5" t="str">
        <f>VLOOKUP($G547,Others!$E$260:$I$596,2,FALSE)</f>
        <v>Based on Fiction Book/Short Story</v>
      </c>
      <c r="S547" s="5" t="str">
        <f>VLOOKUP($G547,Others!$E$260:$I$596,3,FALSE)</f>
        <v>Live Action</v>
      </c>
      <c r="T547" s="5" t="str">
        <f>VLOOKUP($G547,Others!$E$260:$I$596,4,FALSE)</f>
        <v>Contemporary Fiction</v>
      </c>
      <c r="U547" s="5" t="str">
        <f>IFERROR(VLOOKUP($G547,Ratings!$E$81:$I$111,5,FALSE),"None")</f>
        <v>None</v>
      </c>
      <c r="V547" s="5"/>
      <c r="X547" s="5"/>
      <c r="Y547" s="5"/>
      <c r="Z547" s="5"/>
      <c r="AA547" s="5"/>
      <c r="AB547" s="5"/>
      <c r="AC547" s="5"/>
      <c r="AG547" s="9"/>
      <c r="AH547" s="9"/>
    </row>
    <row r="548" spans="2:34" hidden="1">
      <c r="B548" s="4">
        <v>2018</v>
      </c>
      <c r="C548" s="4" t="s">
        <v>44</v>
      </c>
      <c r="D548" s="3">
        <f t="shared" si="8"/>
        <v>293</v>
      </c>
      <c r="E548" s="3" t="s">
        <v>886</v>
      </c>
      <c r="G548" s="5" t="s">
        <v>268</v>
      </c>
      <c r="H548" s="5"/>
      <c r="I548" s="5" t="s">
        <v>131</v>
      </c>
      <c r="J548" s="7">
        <v>0</v>
      </c>
      <c r="M548" s="8">
        <v>0</v>
      </c>
      <c r="N548" s="7">
        <v>0</v>
      </c>
      <c r="P548" s="7">
        <v>577923</v>
      </c>
      <c r="Q548" s="7">
        <v>577923</v>
      </c>
      <c r="R548" s="5" t="str">
        <f>VLOOKUP($G548,Others!$E$260:$I$596,2,FALSE)</f>
        <v>Original Screenplay</v>
      </c>
      <c r="S548" s="5" t="str">
        <f>VLOOKUP($G548,Others!$E$260:$I$596,3,FALSE)</f>
        <v>Live Action</v>
      </c>
      <c r="T548" s="5">
        <f>VLOOKUP($G548,Others!$E$260:$I$596,4,FALSE)</f>
        <v>0</v>
      </c>
      <c r="U548" s="5" t="str">
        <f>IFERROR(VLOOKUP($G548,Ratings!$E$81:$I$111,5,FALSE),"None")</f>
        <v>None</v>
      </c>
      <c r="V548" s="5"/>
      <c r="X548" s="5"/>
      <c r="Y548" s="5"/>
      <c r="Z548" s="5"/>
      <c r="AA548" s="5"/>
      <c r="AB548" s="5"/>
      <c r="AC548" s="5"/>
      <c r="AG548" s="9"/>
      <c r="AH548" s="9"/>
    </row>
    <row r="549" spans="2:34" hidden="1">
      <c r="B549" s="4">
        <v>2018</v>
      </c>
      <c r="C549" s="4" t="s">
        <v>44</v>
      </c>
      <c r="D549" s="3">
        <f t="shared" si="8"/>
        <v>294</v>
      </c>
      <c r="E549" s="3" t="s">
        <v>886</v>
      </c>
      <c r="G549" s="5" t="s">
        <v>514</v>
      </c>
      <c r="H549" s="5"/>
      <c r="I549" s="5" t="s">
        <v>136</v>
      </c>
      <c r="J549" s="7">
        <v>0</v>
      </c>
      <c r="M549" s="8">
        <v>0</v>
      </c>
      <c r="N549" s="7">
        <v>0</v>
      </c>
      <c r="P549" s="7">
        <v>68836</v>
      </c>
      <c r="Q549" s="7">
        <v>68836</v>
      </c>
      <c r="R549" s="5">
        <f>VLOOKUP($G549,Others!$E$260:$I$596,2,FALSE)</f>
        <v>0</v>
      </c>
      <c r="S549" s="5" t="str">
        <f>VLOOKUP($G549,Others!$E$260:$I$596,3,FALSE)</f>
        <v>Live Action</v>
      </c>
      <c r="T549" s="5">
        <f>VLOOKUP($G549,Others!$E$260:$I$596,4,FALSE)</f>
        <v>0</v>
      </c>
      <c r="U549" s="5" t="str">
        <f>IFERROR(VLOOKUP($G549,Ratings!$E$81:$I$111,5,FALSE),"None")</f>
        <v>None</v>
      </c>
      <c r="V549" s="5"/>
      <c r="X549" s="5"/>
      <c r="Y549" s="5"/>
      <c r="Z549" s="5"/>
      <c r="AA549" s="5"/>
      <c r="AB549" s="5"/>
      <c r="AC549" s="5"/>
      <c r="AG549" s="9"/>
      <c r="AH549" s="9"/>
    </row>
    <row r="550" spans="2:34">
      <c r="B550" s="4">
        <v>2018</v>
      </c>
      <c r="C550" s="4" t="s">
        <v>44</v>
      </c>
      <c r="D550" s="3">
        <f t="shared" si="8"/>
        <v>295</v>
      </c>
      <c r="E550" s="55" t="s">
        <v>886</v>
      </c>
      <c r="F550" s="3" t="s">
        <v>600</v>
      </c>
      <c r="G550" s="5" t="s">
        <v>143</v>
      </c>
      <c r="H550" s="5" t="s">
        <v>1442</v>
      </c>
      <c r="I550" s="5" t="s">
        <v>129</v>
      </c>
      <c r="J550" s="7">
        <v>15000000</v>
      </c>
      <c r="K550" s="57" t="s">
        <v>1411</v>
      </c>
      <c r="L550" s="7">
        <v>41641791</v>
      </c>
      <c r="M550" s="8">
        <v>109664</v>
      </c>
      <c r="N550" s="7">
        <v>39881317</v>
      </c>
      <c r="O550" s="7">
        <v>118656716</v>
      </c>
      <c r="P550" s="7">
        <v>115687407</v>
      </c>
      <c r="Q550" s="7">
        <v>115687407</v>
      </c>
      <c r="R550" s="5" t="str">
        <f>VLOOKUP($G550,Others!$E$260:$I$596,2,FALSE)</f>
        <v>Original Screenplay</v>
      </c>
      <c r="S550" s="5" t="str">
        <f>VLOOKUP($G550,Others!$E$260:$I$596,3,FALSE)</f>
        <v>Live Action</v>
      </c>
      <c r="T550" s="5" t="str">
        <f>VLOOKUP($G550,Others!$E$260:$I$596,4,FALSE)</f>
        <v>Contemporary Fiction</v>
      </c>
      <c r="U550" s="5" t="str">
        <f>IFERROR(VLOOKUP($G550,Ratings!$E$81:$I$111,5,FALSE),"None")</f>
        <v>None</v>
      </c>
      <c r="V550" s="5" t="s">
        <v>2223</v>
      </c>
      <c r="W550" s="5" t="s">
        <v>2224</v>
      </c>
      <c r="X550" s="5" t="s">
        <v>1646</v>
      </c>
      <c r="Y550" s="5" t="s">
        <v>2225</v>
      </c>
      <c r="Z550" s="5" t="s">
        <v>2226</v>
      </c>
      <c r="AA550" s="5" t="s">
        <v>2227</v>
      </c>
      <c r="AB550" s="5"/>
      <c r="AC550" s="5" t="s">
        <v>2228</v>
      </c>
      <c r="AD550" s="20">
        <v>9</v>
      </c>
      <c r="AE550" s="1" t="s">
        <v>1489</v>
      </c>
      <c r="AG550" s="9"/>
      <c r="AH550" s="9"/>
    </row>
    <row r="551" spans="2:34" hidden="1">
      <c r="B551" s="4">
        <v>2018</v>
      </c>
      <c r="C551" s="4" t="s">
        <v>44</v>
      </c>
      <c r="D551" s="3">
        <f t="shared" si="8"/>
        <v>296</v>
      </c>
      <c r="E551" s="3" t="s">
        <v>886</v>
      </c>
      <c r="G551" s="5" t="s">
        <v>1013</v>
      </c>
      <c r="H551" s="5"/>
      <c r="J551" s="7">
        <v>0</v>
      </c>
      <c r="M551" s="8">
        <v>0</v>
      </c>
      <c r="N551" s="7">
        <v>0</v>
      </c>
      <c r="P551" s="7">
        <v>8405</v>
      </c>
      <c r="Q551" s="7">
        <v>8405</v>
      </c>
      <c r="R551" s="5">
        <f>VLOOKUP($G551,Others!$E$260:$I$596,2,FALSE)</f>
        <v>0</v>
      </c>
      <c r="S551" s="5">
        <f>VLOOKUP($G551,Others!$E$260:$I$596,3,FALSE)</f>
        <v>0</v>
      </c>
      <c r="T551" s="5">
        <f>VLOOKUP($G551,Others!$E$260:$I$596,4,FALSE)</f>
        <v>0</v>
      </c>
      <c r="U551" s="5" t="str">
        <f>IFERROR(VLOOKUP($G551,Ratings!$E$81:$I$111,5,FALSE),"None")</f>
        <v>None</v>
      </c>
      <c r="V551" s="5"/>
      <c r="X551" s="5"/>
      <c r="Y551" s="5"/>
      <c r="Z551" s="5"/>
      <c r="AA551" s="5"/>
      <c r="AB551" s="5"/>
      <c r="AC551" s="5"/>
      <c r="AG551" s="9"/>
      <c r="AH551" s="9"/>
    </row>
    <row r="552" spans="2:34" hidden="1">
      <c r="B552" s="4">
        <v>2018</v>
      </c>
      <c r="C552" s="4" t="s">
        <v>44</v>
      </c>
      <c r="D552" s="3">
        <f t="shared" si="8"/>
        <v>297</v>
      </c>
      <c r="E552" s="3" t="s">
        <v>886</v>
      </c>
      <c r="G552" s="5" t="s">
        <v>413</v>
      </c>
      <c r="H552" s="5"/>
      <c r="I552" s="5" t="s">
        <v>131</v>
      </c>
      <c r="J552" s="7">
        <v>0</v>
      </c>
      <c r="M552" s="8">
        <v>0</v>
      </c>
      <c r="N552" s="7">
        <v>0</v>
      </c>
      <c r="P552" s="7">
        <v>7448509</v>
      </c>
      <c r="Q552" s="7">
        <v>7448509</v>
      </c>
      <c r="R552" s="5">
        <f>VLOOKUP($G552,Others!$E$260:$I$596,2,FALSE)</f>
        <v>0</v>
      </c>
      <c r="S552" s="5" t="str">
        <f>VLOOKUP($G552,Others!$E$260:$I$596,3,FALSE)</f>
        <v>Live Action</v>
      </c>
      <c r="T552" s="5" t="str">
        <f>VLOOKUP($G552,Others!$E$260:$I$596,4,FALSE)</f>
        <v>Contemporary Fiction</v>
      </c>
      <c r="U552" s="5" t="str">
        <f>IFERROR(VLOOKUP($G552,Ratings!$E$81:$I$111,5,FALSE),"None")</f>
        <v>None</v>
      </c>
      <c r="V552" s="5"/>
      <c r="X552" s="5"/>
      <c r="Y552" s="5"/>
      <c r="Z552" s="5"/>
      <c r="AA552" s="5"/>
      <c r="AB552" s="5"/>
      <c r="AC552" s="5"/>
      <c r="AG552" s="9"/>
      <c r="AH552" s="9"/>
    </row>
    <row r="553" spans="2:34" hidden="1">
      <c r="B553" s="4">
        <v>2018</v>
      </c>
      <c r="C553" s="4" t="s">
        <v>44</v>
      </c>
      <c r="D553" s="3">
        <f t="shared" si="8"/>
        <v>298</v>
      </c>
      <c r="E553" s="3" t="s">
        <v>886</v>
      </c>
      <c r="G553" s="5" t="s">
        <v>1014</v>
      </c>
      <c r="H553" s="5"/>
      <c r="I553" s="5" t="s">
        <v>127</v>
      </c>
      <c r="J553" s="7">
        <v>0</v>
      </c>
      <c r="M553" s="8">
        <v>0</v>
      </c>
      <c r="N553" s="7">
        <v>0</v>
      </c>
      <c r="P553" s="7">
        <v>16558135</v>
      </c>
      <c r="Q553" s="7">
        <v>16558135</v>
      </c>
      <c r="R553" s="5">
        <f>VLOOKUP($G553,Others!$E$260:$I$596,2,FALSE)</f>
        <v>0</v>
      </c>
      <c r="S553" s="5" t="str">
        <f>VLOOKUP($G553,Others!$E$260:$I$596,3,FALSE)</f>
        <v>Digital Animation</v>
      </c>
      <c r="T553" s="5" t="str">
        <f>VLOOKUP($G553,Others!$E$260:$I$596,4,FALSE)</f>
        <v>Fantasy</v>
      </c>
      <c r="U553" s="5" t="str">
        <f>IFERROR(VLOOKUP($G553,Ratings!$E$81:$I$111,5,FALSE),"None")</f>
        <v>None</v>
      </c>
      <c r="V553" s="5"/>
      <c r="X553" s="5"/>
      <c r="Y553" s="5"/>
      <c r="Z553" s="5"/>
      <c r="AA553" s="5"/>
      <c r="AB553" s="5"/>
      <c r="AC553" s="5"/>
      <c r="AG553" s="9"/>
      <c r="AH553" s="9"/>
    </row>
    <row r="554" spans="2:34" hidden="1">
      <c r="B554" s="4">
        <v>2018</v>
      </c>
      <c r="C554" s="4" t="s">
        <v>44</v>
      </c>
      <c r="D554" s="3">
        <f t="shared" si="8"/>
        <v>299</v>
      </c>
      <c r="E554" s="3" t="s">
        <v>886</v>
      </c>
      <c r="G554" s="5" t="s">
        <v>1015</v>
      </c>
      <c r="H554" s="5"/>
      <c r="I554" s="5" t="s">
        <v>131</v>
      </c>
      <c r="J554" s="7">
        <v>0</v>
      </c>
      <c r="M554" s="8">
        <v>0</v>
      </c>
      <c r="N554" s="7">
        <v>0</v>
      </c>
      <c r="P554" s="7">
        <v>48389</v>
      </c>
      <c r="Q554" s="7">
        <v>48389</v>
      </c>
      <c r="R554" s="5">
        <f>VLOOKUP($G554,Others!$E$260:$I$596,2,FALSE)</f>
        <v>0</v>
      </c>
      <c r="S554" s="5" t="str">
        <f>VLOOKUP($G554,Others!$E$260:$I$596,3,FALSE)</f>
        <v>Live Action</v>
      </c>
      <c r="T554" s="5">
        <f>VLOOKUP($G554,Others!$E$260:$I$596,4,FALSE)</f>
        <v>0</v>
      </c>
      <c r="U554" s="5" t="str">
        <f>IFERROR(VLOOKUP($G554,Ratings!$E$81:$I$111,5,FALSE),"None")</f>
        <v>None</v>
      </c>
      <c r="V554" s="5"/>
      <c r="X554" s="5"/>
      <c r="Y554" s="5"/>
      <c r="Z554" s="5"/>
      <c r="AA554" s="5"/>
      <c r="AB554" s="5"/>
      <c r="AC554" s="5"/>
      <c r="AG554" s="9"/>
      <c r="AH554" s="9"/>
    </row>
    <row r="555" spans="2:34" hidden="1">
      <c r="B555" s="4">
        <v>2018</v>
      </c>
      <c r="C555" s="4" t="s">
        <v>44</v>
      </c>
      <c r="D555" s="3">
        <f t="shared" si="8"/>
        <v>300</v>
      </c>
      <c r="E555" s="3" t="s">
        <v>886</v>
      </c>
      <c r="G555" s="5" t="s">
        <v>1016</v>
      </c>
      <c r="H555" s="5"/>
      <c r="I555" s="5" t="s">
        <v>131</v>
      </c>
      <c r="J555" s="7">
        <v>0</v>
      </c>
      <c r="M555" s="8">
        <v>0</v>
      </c>
      <c r="N555" s="7">
        <v>0</v>
      </c>
      <c r="P555" s="7">
        <v>39290</v>
      </c>
      <c r="Q555" s="7">
        <v>39290</v>
      </c>
      <c r="R555" s="5">
        <f>VLOOKUP($G555,Others!$E$260:$I$596,2,FALSE)</f>
        <v>0</v>
      </c>
      <c r="S555" s="5">
        <f>VLOOKUP($G555,Others!$E$260:$I$596,3,FALSE)</f>
        <v>0</v>
      </c>
      <c r="T555" s="5">
        <f>VLOOKUP($G555,Others!$E$260:$I$596,4,FALSE)</f>
        <v>0</v>
      </c>
      <c r="U555" s="5" t="str">
        <f>IFERROR(VLOOKUP($G555,Ratings!$E$81:$I$111,5,FALSE),"None")</f>
        <v>None</v>
      </c>
      <c r="V555" s="5"/>
      <c r="X555" s="5"/>
      <c r="Y555" s="5"/>
      <c r="Z555" s="5"/>
      <c r="AA555" s="5"/>
      <c r="AB555" s="5"/>
      <c r="AC555" s="5"/>
      <c r="AG555" s="9"/>
      <c r="AH555" s="9"/>
    </row>
    <row r="556" spans="2:34" hidden="1">
      <c r="B556" s="4">
        <v>2018</v>
      </c>
      <c r="C556" s="4" t="s">
        <v>44</v>
      </c>
      <c r="D556" s="3">
        <f t="shared" si="8"/>
        <v>301</v>
      </c>
      <c r="E556" s="3" t="s">
        <v>886</v>
      </c>
      <c r="G556" s="5" t="s">
        <v>277</v>
      </c>
      <c r="H556" s="5"/>
      <c r="I556" s="5" t="s">
        <v>127</v>
      </c>
      <c r="J556" s="7">
        <v>0</v>
      </c>
      <c r="M556" s="8">
        <v>0</v>
      </c>
      <c r="N556" s="7">
        <v>0</v>
      </c>
      <c r="P556" s="7">
        <v>442969</v>
      </c>
      <c r="Q556" s="7">
        <v>442969</v>
      </c>
      <c r="R556" s="5" t="str">
        <f>VLOOKUP($G556,Others!$E$260:$I$596,2,FALSE)</f>
        <v>Original Screenplay</v>
      </c>
      <c r="S556" s="5" t="str">
        <f>VLOOKUP($G556,Others!$E$260:$I$596,3,FALSE)</f>
        <v>Multiple Production Methods</v>
      </c>
      <c r="T556" s="5" t="str">
        <f>VLOOKUP($G556,Others!$E$260:$I$596,4,FALSE)</f>
        <v>Science Fiction</v>
      </c>
      <c r="U556" s="5" t="str">
        <f>IFERROR(VLOOKUP($G556,Ratings!$E$81:$I$111,5,FALSE),"None")</f>
        <v>None</v>
      </c>
      <c r="V556" s="5"/>
      <c r="X556" s="5"/>
      <c r="Y556" s="5"/>
      <c r="Z556" s="5"/>
      <c r="AA556" s="5"/>
      <c r="AB556" s="5"/>
      <c r="AC556" s="5"/>
      <c r="AG556" s="9"/>
      <c r="AH556" s="9"/>
    </row>
    <row r="557" spans="2:34" hidden="1">
      <c r="B557" s="4">
        <v>2018</v>
      </c>
      <c r="C557" s="4" t="s">
        <v>44</v>
      </c>
      <c r="D557" s="3">
        <f t="shared" si="8"/>
        <v>302</v>
      </c>
      <c r="E557" s="3" t="s">
        <v>886</v>
      </c>
      <c r="G557" s="5" t="s">
        <v>1017</v>
      </c>
      <c r="H557" s="5"/>
      <c r="I557" s="5" t="s">
        <v>131</v>
      </c>
      <c r="J557" s="7">
        <v>0</v>
      </c>
      <c r="M557" s="8">
        <v>0</v>
      </c>
      <c r="N557" s="7">
        <v>0</v>
      </c>
      <c r="P557" s="7">
        <v>255779</v>
      </c>
      <c r="Q557" s="7">
        <v>255779</v>
      </c>
      <c r="R557" s="5">
        <f>VLOOKUP($G557,Others!$E$260:$I$596,2,FALSE)</f>
        <v>0</v>
      </c>
      <c r="S557" s="5" t="str">
        <f>VLOOKUP($G557,Others!$E$260:$I$596,3,FALSE)</f>
        <v>Live Action</v>
      </c>
      <c r="T557" s="5">
        <f>VLOOKUP($G557,Others!$E$260:$I$596,4,FALSE)</f>
        <v>0</v>
      </c>
      <c r="U557" s="5" t="str">
        <f>IFERROR(VLOOKUP($G557,Ratings!$E$81:$I$111,5,FALSE),"None")</f>
        <v>None</v>
      </c>
      <c r="V557" s="5"/>
      <c r="X557" s="5"/>
      <c r="Y557" s="5"/>
      <c r="Z557" s="5"/>
      <c r="AA557" s="5"/>
      <c r="AB557" s="5"/>
      <c r="AC557" s="5"/>
      <c r="AG557" s="9"/>
      <c r="AH557" s="9"/>
    </row>
    <row r="558" spans="2:34" hidden="1">
      <c r="B558" s="4">
        <v>2018</v>
      </c>
      <c r="C558" s="4" t="s">
        <v>44</v>
      </c>
      <c r="D558" s="3">
        <f t="shared" si="8"/>
        <v>303</v>
      </c>
      <c r="E558" s="3" t="s">
        <v>886</v>
      </c>
      <c r="G558" s="5" t="s">
        <v>1018</v>
      </c>
      <c r="H558" s="5"/>
      <c r="I558" s="5" t="s">
        <v>131</v>
      </c>
      <c r="J558" s="7">
        <v>0</v>
      </c>
      <c r="M558" s="8">
        <v>0</v>
      </c>
      <c r="N558" s="7">
        <v>0</v>
      </c>
      <c r="P558" s="7">
        <v>76483</v>
      </c>
      <c r="Q558" s="7">
        <v>76483</v>
      </c>
      <c r="R558" s="5">
        <f>VLOOKUP($G558,Others!$E$260:$I$596,2,FALSE)</f>
        <v>0</v>
      </c>
      <c r="S558" s="5">
        <f>VLOOKUP($G558,Others!$E$260:$I$596,3,FALSE)</f>
        <v>0</v>
      </c>
      <c r="T558" s="5">
        <f>VLOOKUP($G558,Others!$E$260:$I$596,4,FALSE)</f>
        <v>0</v>
      </c>
      <c r="U558" s="5" t="str">
        <f>IFERROR(VLOOKUP($G558,Ratings!$E$81:$I$111,5,FALSE),"None")</f>
        <v>None</v>
      </c>
      <c r="V558" s="5"/>
      <c r="X558" s="5"/>
      <c r="Y558" s="5"/>
      <c r="Z558" s="5"/>
      <c r="AA558" s="5"/>
      <c r="AB558" s="5"/>
      <c r="AC558" s="5"/>
      <c r="AG558" s="9"/>
      <c r="AH558" s="9"/>
    </row>
    <row r="559" spans="2:34" hidden="1">
      <c r="B559" s="4">
        <v>2018</v>
      </c>
      <c r="C559" s="4" t="s">
        <v>44</v>
      </c>
      <c r="D559" s="3">
        <f t="shared" si="8"/>
        <v>304</v>
      </c>
      <c r="E559" s="3" t="s">
        <v>886</v>
      </c>
      <c r="G559" s="5" t="s">
        <v>443</v>
      </c>
      <c r="H559" s="5"/>
      <c r="I559" s="5" t="s">
        <v>131</v>
      </c>
      <c r="J559" s="7">
        <v>0</v>
      </c>
      <c r="M559" s="8">
        <v>0</v>
      </c>
      <c r="N559" s="7">
        <v>0</v>
      </c>
      <c r="P559" s="7">
        <v>1160000</v>
      </c>
      <c r="Q559" s="7">
        <v>1160000</v>
      </c>
      <c r="R559" s="5" t="str">
        <f>VLOOKUP($G559,Others!$E$260:$I$596,2,FALSE)</f>
        <v>Original Screenplay</v>
      </c>
      <c r="S559" s="5" t="str">
        <f>VLOOKUP($G559,Others!$E$260:$I$596,3,FALSE)</f>
        <v>Live Action</v>
      </c>
      <c r="T559" s="5" t="str">
        <f>VLOOKUP($G559,Others!$E$260:$I$596,4,FALSE)</f>
        <v>Contemporary Fiction</v>
      </c>
      <c r="U559" s="5" t="str">
        <f>IFERROR(VLOOKUP($G559,Ratings!$E$81:$I$111,5,FALSE),"None")</f>
        <v>None</v>
      </c>
      <c r="V559" s="5"/>
      <c r="X559" s="5"/>
      <c r="Y559" s="5"/>
      <c r="Z559" s="5"/>
      <c r="AA559" s="5"/>
      <c r="AB559" s="5"/>
      <c r="AC559" s="5"/>
      <c r="AG559" s="9"/>
      <c r="AH559" s="9"/>
    </row>
    <row r="560" spans="2:34" hidden="1">
      <c r="B560" s="4">
        <v>2018</v>
      </c>
      <c r="C560" s="4" t="s">
        <v>44</v>
      </c>
      <c r="D560" s="3">
        <f t="shared" si="8"/>
        <v>305</v>
      </c>
      <c r="E560" s="3" t="s">
        <v>886</v>
      </c>
      <c r="G560" s="5" t="s">
        <v>557</v>
      </c>
      <c r="H560" s="5"/>
      <c r="I560" s="5" t="s">
        <v>131</v>
      </c>
      <c r="J560" s="7">
        <v>0</v>
      </c>
      <c r="M560" s="8">
        <v>0</v>
      </c>
      <c r="N560" s="7">
        <v>0</v>
      </c>
      <c r="P560" s="7">
        <v>0</v>
      </c>
      <c r="Q560" s="7">
        <v>0</v>
      </c>
      <c r="R560" s="5" t="str">
        <f>VLOOKUP($G560,Others!$E$260:$I$596,2,FALSE)</f>
        <v>Original Screenplay</v>
      </c>
      <c r="S560" s="5" t="str">
        <f>VLOOKUP($G560,Others!$E$260:$I$596,3,FALSE)</f>
        <v>Live Action</v>
      </c>
      <c r="T560" s="5" t="str">
        <f>VLOOKUP($G560,Others!$E$260:$I$596,4,FALSE)</f>
        <v>Science Fiction</v>
      </c>
      <c r="U560" s="5" t="str">
        <f>IFERROR(VLOOKUP($G560,Ratings!$E$81:$I$111,5,FALSE),"None")</f>
        <v>None</v>
      </c>
      <c r="V560" s="5"/>
      <c r="X560" s="5"/>
      <c r="Y560" s="5"/>
      <c r="Z560" s="5"/>
      <c r="AA560" s="5"/>
      <c r="AB560" s="5"/>
      <c r="AC560" s="5"/>
      <c r="AG560" s="9"/>
      <c r="AH560" s="9"/>
    </row>
    <row r="561" spans="2:34" hidden="1">
      <c r="B561" s="4">
        <v>2018</v>
      </c>
      <c r="C561" s="4" t="s">
        <v>44</v>
      </c>
      <c r="D561" s="3">
        <f t="shared" si="8"/>
        <v>306</v>
      </c>
      <c r="E561" s="3" t="s">
        <v>886</v>
      </c>
      <c r="G561" s="5" t="s">
        <v>1019</v>
      </c>
      <c r="H561" s="5"/>
      <c r="I561" s="5" t="s">
        <v>191</v>
      </c>
      <c r="J561" s="7">
        <v>0</v>
      </c>
      <c r="M561" s="8">
        <v>0</v>
      </c>
      <c r="N561" s="7">
        <v>0</v>
      </c>
      <c r="P561" s="7">
        <v>146050</v>
      </c>
      <c r="Q561" s="7">
        <v>146050</v>
      </c>
      <c r="R561" s="5" t="str">
        <f>VLOOKUP($G561,Others!$E$260:$I$596,2,FALSE)</f>
        <v>Based on Real Life Events</v>
      </c>
      <c r="S561" s="5" t="str">
        <f>VLOOKUP($G561,Others!$E$260:$I$596,3,FALSE)</f>
        <v>Live Action</v>
      </c>
      <c r="T561" s="5" t="str">
        <f>VLOOKUP($G561,Others!$E$260:$I$596,4,FALSE)</f>
        <v>Factual</v>
      </c>
      <c r="U561" s="5" t="str">
        <f>IFERROR(VLOOKUP($G561,Ratings!$E$81:$I$111,5,FALSE),"None")</f>
        <v>None</v>
      </c>
      <c r="V561" s="5"/>
      <c r="X561" s="5"/>
      <c r="Y561" s="5"/>
      <c r="Z561" s="5"/>
      <c r="AA561" s="5"/>
      <c r="AB561" s="5"/>
      <c r="AC561" s="5"/>
      <c r="AG561" s="9"/>
      <c r="AH561" s="9"/>
    </row>
    <row r="562" spans="2:34" hidden="1">
      <c r="B562" s="4">
        <v>2018</v>
      </c>
      <c r="C562" s="4" t="s">
        <v>44</v>
      </c>
      <c r="D562" s="3">
        <f t="shared" si="8"/>
        <v>307</v>
      </c>
      <c r="E562" s="3" t="s">
        <v>886</v>
      </c>
      <c r="G562" s="5" t="s">
        <v>1020</v>
      </c>
      <c r="H562" s="5"/>
      <c r="I562" s="5" t="s">
        <v>136</v>
      </c>
      <c r="J562" s="7">
        <v>0</v>
      </c>
      <c r="M562" s="8">
        <v>0</v>
      </c>
      <c r="N562" s="7">
        <v>0</v>
      </c>
      <c r="P562" s="7">
        <v>2754</v>
      </c>
      <c r="Q562" s="7">
        <v>2754</v>
      </c>
      <c r="R562" s="5">
        <f>VLOOKUP($G562,Others!$E$260:$I$596,2,FALSE)</f>
        <v>0</v>
      </c>
      <c r="S562" s="5" t="str">
        <f>VLOOKUP($G562,Others!$E$260:$I$596,3,FALSE)</f>
        <v>Live Action</v>
      </c>
      <c r="T562" s="5">
        <f>VLOOKUP($G562,Others!$E$260:$I$596,4,FALSE)</f>
        <v>0</v>
      </c>
      <c r="U562" s="5" t="str">
        <f>IFERROR(VLOOKUP($G562,Ratings!$E$81:$I$111,5,FALSE),"None")</f>
        <v>None</v>
      </c>
      <c r="V562" s="5"/>
      <c r="X562" s="5"/>
      <c r="Y562" s="5"/>
      <c r="Z562" s="5"/>
      <c r="AA562" s="5"/>
      <c r="AB562" s="5"/>
      <c r="AC562" s="5"/>
      <c r="AG562" s="9"/>
      <c r="AH562" s="9"/>
    </row>
    <row r="563" spans="2:34" hidden="1">
      <c r="B563" s="4">
        <v>2018</v>
      </c>
      <c r="C563" s="4" t="s">
        <v>44</v>
      </c>
      <c r="D563" s="3">
        <f t="shared" si="8"/>
        <v>308</v>
      </c>
      <c r="E563" s="3" t="s">
        <v>886</v>
      </c>
      <c r="G563" s="5" t="s">
        <v>1021</v>
      </c>
      <c r="H563" s="5"/>
      <c r="I563" s="5" t="s">
        <v>131</v>
      </c>
      <c r="J563" s="7">
        <v>0</v>
      </c>
      <c r="M563" s="8">
        <v>0</v>
      </c>
      <c r="N563" s="7">
        <v>0</v>
      </c>
      <c r="P563" s="7">
        <v>25049</v>
      </c>
      <c r="Q563" s="7">
        <v>25049</v>
      </c>
      <c r="R563" s="5">
        <f>VLOOKUP($G563,Others!$E$260:$I$596,2,FALSE)</f>
        <v>0</v>
      </c>
      <c r="S563" s="5">
        <f>VLOOKUP($G563,Others!$E$260:$I$596,3,FALSE)</f>
        <v>0</v>
      </c>
      <c r="T563" s="5">
        <f>VLOOKUP($G563,Others!$E$260:$I$596,4,FALSE)</f>
        <v>0</v>
      </c>
      <c r="U563" s="5" t="str">
        <f>IFERROR(VLOOKUP($G563,Ratings!$E$81:$I$111,5,FALSE),"None")</f>
        <v>None</v>
      </c>
      <c r="V563" s="5"/>
      <c r="X563" s="5"/>
      <c r="Y563" s="5"/>
      <c r="Z563" s="5"/>
      <c r="AA563" s="5"/>
      <c r="AB563" s="5"/>
      <c r="AC563" s="5"/>
      <c r="AG563" s="9"/>
      <c r="AH563" s="9"/>
    </row>
    <row r="564" spans="2:34" hidden="1">
      <c r="B564" s="4">
        <v>2018</v>
      </c>
      <c r="C564" s="4" t="s">
        <v>44</v>
      </c>
      <c r="D564" s="3">
        <f t="shared" si="8"/>
        <v>309</v>
      </c>
      <c r="E564" s="3" t="s">
        <v>886</v>
      </c>
      <c r="G564" s="5" t="s">
        <v>240</v>
      </c>
      <c r="H564" s="5"/>
      <c r="I564" s="5" t="s">
        <v>127</v>
      </c>
      <c r="J564" s="7">
        <v>0</v>
      </c>
      <c r="M564" s="8">
        <v>0</v>
      </c>
      <c r="N564" s="7">
        <v>0</v>
      </c>
      <c r="P564" s="7">
        <v>1562462</v>
      </c>
      <c r="Q564" s="7">
        <v>1562462</v>
      </c>
      <c r="R564" s="5" t="str">
        <f>VLOOKUP($G564,Others!$E$260:$I$596,2,FALSE)</f>
        <v>Original Screenplay</v>
      </c>
      <c r="S564" s="5" t="str">
        <f>VLOOKUP($G564,Others!$E$260:$I$596,3,FALSE)</f>
        <v>Digital Animation</v>
      </c>
      <c r="T564" s="5" t="str">
        <f>VLOOKUP($G564,Others!$E$260:$I$596,4,FALSE)</f>
        <v>Kids Fiction</v>
      </c>
      <c r="U564" s="5" t="str">
        <f>IFERROR(VLOOKUP($G564,Ratings!$E$81:$I$111,5,FALSE),"None")</f>
        <v>None</v>
      </c>
      <c r="V564" s="5"/>
      <c r="X564" s="5"/>
      <c r="Y564" s="5"/>
      <c r="Z564" s="5"/>
      <c r="AA564" s="5"/>
      <c r="AB564" s="5"/>
      <c r="AC564" s="5"/>
      <c r="AG564" s="9"/>
      <c r="AH564" s="9"/>
    </row>
    <row r="565" spans="2:34">
      <c r="B565" s="4">
        <v>2019</v>
      </c>
      <c r="C565" s="4" t="s">
        <v>44</v>
      </c>
      <c r="D565" s="3">
        <f t="shared" si="8"/>
        <v>310</v>
      </c>
      <c r="E565" s="55" t="s">
        <v>886</v>
      </c>
      <c r="F565" s="3" t="s">
        <v>2229</v>
      </c>
      <c r="G565" s="5" t="s">
        <v>241</v>
      </c>
      <c r="H565" s="39" t="s">
        <v>1443</v>
      </c>
      <c r="I565" s="5" t="s">
        <v>191</v>
      </c>
      <c r="J565" s="7">
        <f>0.1*100000000/6.7</f>
        <v>1492537.3134328357</v>
      </c>
      <c r="K565" s="57" t="s">
        <v>1411</v>
      </c>
      <c r="L565" s="7">
        <f>0.04*100000000/6.7</f>
        <v>597014.92537313432</v>
      </c>
      <c r="M565" s="41" t="s">
        <v>1501</v>
      </c>
      <c r="N565" s="7">
        <v>450693</v>
      </c>
      <c r="O565" s="7">
        <f>0.11*100000000/6.7</f>
        <v>1641791.0447761193</v>
      </c>
      <c r="P565" s="7">
        <v>1561731</v>
      </c>
      <c r="Q565" s="7">
        <v>1561731</v>
      </c>
      <c r="R565" s="5" t="str">
        <f>VLOOKUP($G565,Others!$E$260:$I$596,2,FALSE)</f>
        <v>Original Screenplay</v>
      </c>
      <c r="S565" s="5" t="str">
        <f>VLOOKUP($G565,Others!$E$260:$I$596,3,FALSE)</f>
        <v>Live Action</v>
      </c>
      <c r="T565" s="5" t="str">
        <f>VLOOKUP($G565,Others!$E$260:$I$596,4,FALSE)</f>
        <v>Factual</v>
      </c>
      <c r="U565" s="5" t="str">
        <f>IFERROR(VLOOKUP($G565,Ratings!$E$81:$I$111,5,FALSE),"None")</f>
        <v>None</v>
      </c>
      <c r="V565" s="5" t="s">
        <v>2230</v>
      </c>
      <c r="W565" s="5" t="s">
        <v>241</v>
      </c>
      <c r="X565" s="5" t="s">
        <v>2231</v>
      </c>
      <c r="Y565" s="5" t="s">
        <v>2232</v>
      </c>
      <c r="Z565" s="5"/>
      <c r="AA565" s="5" t="s">
        <v>2233</v>
      </c>
      <c r="AB565" s="5"/>
      <c r="AC565" s="5" t="s">
        <v>2234</v>
      </c>
      <c r="AD565" s="20">
        <v>9</v>
      </c>
      <c r="AE565" s="1" t="s">
        <v>1489</v>
      </c>
      <c r="AG565" s="9"/>
      <c r="AH565" s="9"/>
    </row>
    <row r="566" spans="2:34" hidden="1">
      <c r="B566" s="4">
        <v>2018</v>
      </c>
      <c r="C566" s="4" t="s">
        <v>44</v>
      </c>
      <c r="D566" s="3">
        <f t="shared" si="8"/>
        <v>311</v>
      </c>
      <c r="E566" s="3" t="s">
        <v>886</v>
      </c>
      <c r="G566" s="5" t="s">
        <v>552</v>
      </c>
      <c r="H566" s="5"/>
      <c r="I566" s="5" t="s">
        <v>131</v>
      </c>
      <c r="J566" s="7">
        <v>0</v>
      </c>
      <c r="M566" s="8">
        <v>0</v>
      </c>
      <c r="N566" s="7">
        <v>0</v>
      </c>
      <c r="P566" s="7">
        <v>1968</v>
      </c>
      <c r="Q566" s="7">
        <v>1968</v>
      </c>
      <c r="R566" s="5">
        <f>VLOOKUP($G566,Others!$E$260:$I$596,2,FALSE)</f>
        <v>0</v>
      </c>
      <c r="S566" s="5">
        <f>VLOOKUP($G566,Others!$E$260:$I$596,3,FALSE)</f>
        <v>0</v>
      </c>
      <c r="T566" s="5">
        <f>VLOOKUP($G566,Others!$E$260:$I$596,4,FALSE)</f>
        <v>0</v>
      </c>
      <c r="U566" s="5" t="str">
        <f>IFERROR(VLOOKUP($G566,Ratings!$E$81:$I$111,5,FALSE),"None")</f>
        <v>None</v>
      </c>
      <c r="V566" s="5"/>
      <c r="X566" s="5"/>
      <c r="Y566" s="5"/>
      <c r="Z566" s="5"/>
      <c r="AA566" s="5"/>
      <c r="AB566" s="5"/>
      <c r="AC566" s="5"/>
      <c r="AG566" s="9"/>
      <c r="AH566" s="9"/>
    </row>
    <row r="567" spans="2:34" hidden="1">
      <c r="B567" s="4">
        <v>2018</v>
      </c>
      <c r="C567" s="4" t="s">
        <v>44</v>
      </c>
      <c r="D567" s="3">
        <f t="shared" si="8"/>
        <v>312</v>
      </c>
      <c r="E567" s="3" t="s">
        <v>886</v>
      </c>
      <c r="G567" s="5" t="s">
        <v>383</v>
      </c>
      <c r="H567" s="5"/>
      <c r="I567" s="5" t="s">
        <v>131</v>
      </c>
      <c r="J567" s="7">
        <v>0</v>
      </c>
      <c r="M567" s="8">
        <v>0</v>
      </c>
      <c r="N567" s="7">
        <v>0</v>
      </c>
      <c r="P567" s="7">
        <v>41046927</v>
      </c>
      <c r="Q567" s="7">
        <v>41046927</v>
      </c>
      <c r="R567" s="5">
        <f>VLOOKUP($G567,Others!$E$260:$I$596,2,FALSE)</f>
        <v>0</v>
      </c>
      <c r="S567" s="5" t="str">
        <f>VLOOKUP($G567,Others!$E$260:$I$596,3,FALSE)</f>
        <v>Live Action</v>
      </c>
      <c r="T567" s="5" t="str">
        <f>VLOOKUP($G567,Others!$E$260:$I$596,4,FALSE)</f>
        <v>Contemporary Fiction</v>
      </c>
      <c r="U567" s="5" t="str">
        <f>IFERROR(VLOOKUP($G567,Ratings!$E$81:$I$111,5,FALSE),"None")</f>
        <v>None</v>
      </c>
      <c r="V567" s="5"/>
      <c r="X567" s="5"/>
      <c r="Y567" s="5"/>
      <c r="Z567" s="5"/>
      <c r="AA567" s="5"/>
      <c r="AB567" s="5"/>
      <c r="AC567" s="5"/>
      <c r="AG567" s="9"/>
      <c r="AH567" s="9"/>
    </row>
    <row r="568" spans="2:34" hidden="1">
      <c r="B568" s="4">
        <v>2018</v>
      </c>
      <c r="C568" s="4" t="s">
        <v>44</v>
      </c>
      <c r="D568" s="3">
        <f t="shared" si="8"/>
        <v>313</v>
      </c>
      <c r="E568" s="3" t="s">
        <v>886</v>
      </c>
      <c r="G568" s="5" t="s">
        <v>1022</v>
      </c>
      <c r="H568" s="5"/>
      <c r="I568" s="5" t="s">
        <v>131</v>
      </c>
      <c r="J568" s="7">
        <v>0</v>
      </c>
      <c r="M568" s="8">
        <v>0</v>
      </c>
      <c r="N568" s="7">
        <v>0</v>
      </c>
      <c r="P568" s="7">
        <v>19583</v>
      </c>
      <c r="Q568" s="7">
        <v>19583</v>
      </c>
      <c r="R568" s="5" t="str">
        <f>VLOOKUP($G568,Others!$E$260:$I$596,2,FALSE)</f>
        <v>Original Screenplay</v>
      </c>
      <c r="S568" s="5" t="str">
        <f>VLOOKUP($G568,Others!$E$260:$I$596,3,FALSE)</f>
        <v>Live Action</v>
      </c>
      <c r="T568" s="5" t="str">
        <f>VLOOKUP($G568,Others!$E$260:$I$596,4,FALSE)</f>
        <v>Contemporary Fiction</v>
      </c>
      <c r="U568" s="5" t="str">
        <f>IFERROR(VLOOKUP($G568,Ratings!$E$81:$I$111,5,FALSE),"None")</f>
        <v>None</v>
      </c>
      <c r="V568" s="5"/>
      <c r="X568" s="5"/>
      <c r="Y568" s="5"/>
      <c r="Z568" s="5"/>
      <c r="AA568" s="5"/>
      <c r="AB568" s="5"/>
      <c r="AC568" s="5"/>
      <c r="AG568" s="9"/>
      <c r="AH568" s="9"/>
    </row>
    <row r="569" spans="2:34" hidden="1">
      <c r="B569" s="4">
        <v>2018</v>
      </c>
      <c r="C569" s="4" t="s">
        <v>44</v>
      </c>
      <c r="D569" s="3">
        <f t="shared" si="8"/>
        <v>314</v>
      </c>
      <c r="E569" s="3" t="s">
        <v>886</v>
      </c>
      <c r="G569" s="5" t="s">
        <v>220</v>
      </c>
      <c r="H569" s="5"/>
      <c r="I569" s="5" t="s">
        <v>136</v>
      </c>
      <c r="J569" s="7">
        <v>0</v>
      </c>
      <c r="M569" s="8">
        <v>0</v>
      </c>
      <c r="N569" s="7">
        <v>0</v>
      </c>
      <c r="P569" s="7">
        <v>3154206</v>
      </c>
      <c r="Q569" s="7">
        <v>3154206</v>
      </c>
      <c r="R569" s="5" t="str">
        <f>VLOOKUP($G569,Others!$E$260:$I$596,2,FALSE)</f>
        <v>Based on TV</v>
      </c>
      <c r="S569" s="5" t="str">
        <f>VLOOKUP($G569,Others!$E$260:$I$596,3,FALSE)</f>
        <v>Live Action</v>
      </c>
      <c r="T569" s="5" t="str">
        <f>VLOOKUP($G569,Others!$E$260:$I$596,4,FALSE)</f>
        <v>Contemporary Fiction</v>
      </c>
      <c r="U569" s="5" t="str">
        <f>IFERROR(VLOOKUP($G569,Ratings!$E$81:$I$111,5,FALSE),"None")</f>
        <v>None</v>
      </c>
      <c r="V569" s="5"/>
      <c r="X569" s="5"/>
      <c r="Y569" s="5"/>
      <c r="Z569" s="5"/>
      <c r="AA569" s="5"/>
      <c r="AB569" s="5"/>
      <c r="AC569" s="5"/>
      <c r="AG569" s="9"/>
      <c r="AH569" s="9"/>
    </row>
    <row r="570" spans="2:34">
      <c r="B570" s="4">
        <v>2018</v>
      </c>
      <c r="C570" s="4" t="s">
        <v>44</v>
      </c>
      <c r="D570" s="3">
        <f t="shared" si="8"/>
        <v>315</v>
      </c>
      <c r="E570" s="3" t="s">
        <v>886</v>
      </c>
      <c r="F570" s="3" t="s">
        <v>2235</v>
      </c>
      <c r="G570" s="5" t="s">
        <v>422</v>
      </c>
      <c r="H570" s="5" t="s">
        <v>1444</v>
      </c>
      <c r="I570" s="5" t="s">
        <v>148</v>
      </c>
      <c r="J570" s="7">
        <v>5970149</v>
      </c>
      <c r="K570" s="7">
        <v>2238805</v>
      </c>
      <c r="L570" s="7">
        <v>1595522</v>
      </c>
      <c r="M570" s="8">
        <v>19115</v>
      </c>
      <c r="N570" s="7">
        <v>1320000</v>
      </c>
      <c r="O570" s="7">
        <v>4349253</v>
      </c>
      <c r="P570" s="7">
        <v>4778869</v>
      </c>
      <c r="Q570" s="7">
        <v>4778869</v>
      </c>
      <c r="R570" s="5" t="str">
        <f>VLOOKUP($G570,Others!$E$260:$I$596,2,FALSE)</f>
        <v>Original Screenplay</v>
      </c>
      <c r="S570" s="5" t="str">
        <f>VLOOKUP($G570,Others!$E$260:$I$596,3,FALSE)</f>
        <v>Live Action</v>
      </c>
      <c r="T570" s="5" t="str">
        <f>VLOOKUP($G570,Others!$E$260:$I$596,4,FALSE)</f>
        <v>Contemporary Fiction</v>
      </c>
      <c r="U570" s="5" t="str">
        <f>IFERROR(VLOOKUP($G570,Ratings!$E$81:$I$111,5,FALSE),"None")</f>
        <v>None</v>
      </c>
      <c r="V570" s="5" t="s">
        <v>2236</v>
      </c>
      <c r="W570" s="5" t="s">
        <v>2237</v>
      </c>
      <c r="X570" s="5" t="s">
        <v>1973</v>
      </c>
      <c r="Y570" s="5" t="s">
        <v>2238</v>
      </c>
      <c r="Z570" s="5"/>
      <c r="AA570" s="5" t="s">
        <v>2239</v>
      </c>
      <c r="AB570" s="5" t="s">
        <v>2240</v>
      </c>
      <c r="AC570" s="5" t="s">
        <v>2241</v>
      </c>
      <c r="AD570" s="9">
        <v>8</v>
      </c>
      <c r="AE570" s="1" t="s">
        <v>1489</v>
      </c>
      <c r="AG570" s="9"/>
      <c r="AH570" s="9"/>
    </row>
    <row r="571" spans="2:34" hidden="1">
      <c r="B571" s="4">
        <v>2018</v>
      </c>
      <c r="C571" s="4" t="s">
        <v>44</v>
      </c>
      <c r="D571" s="3">
        <f t="shared" si="8"/>
        <v>316</v>
      </c>
      <c r="E571" s="3" t="s">
        <v>886</v>
      </c>
      <c r="G571" s="5" t="s">
        <v>302</v>
      </c>
      <c r="H571" s="5"/>
      <c r="J571" s="7">
        <v>0</v>
      </c>
      <c r="M571" s="8">
        <v>0</v>
      </c>
      <c r="N571" s="7">
        <v>0</v>
      </c>
      <c r="P571" s="7">
        <v>127410</v>
      </c>
      <c r="Q571" s="7">
        <v>127410</v>
      </c>
      <c r="R571" s="5">
        <f>VLOOKUP($G571,Others!$E$260:$I$596,2,FALSE)</f>
        <v>0</v>
      </c>
      <c r="S571" s="5" t="str">
        <f>VLOOKUP($G571,Others!$E$260:$I$596,3,FALSE)</f>
        <v>Live Action</v>
      </c>
      <c r="T571" s="5">
        <f>VLOOKUP($G571,Others!$E$260:$I$596,4,FALSE)</f>
        <v>0</v>
      </c>
      <c r="U571" s="5" t="str">
        <f>IFERROR(VLOOKUP($G571,Ratings!$E$81:$I$111,5,FALSE),"None")</f>
        <v>None</v>
      </c>
      <c r="V571" s="5"/>
      <c r="X571" s="5"/>
      <c r="Y571" s="5"/>
      <c r="Z571" s="5"/>
      <c r="AA571" s="5"/>
      <c r="AB571" s="5"/>
      <c r="AC571" s="5"/>
      <c r="AG571" s="9"/>
      <c r="AH571" s="9"/>
    </row>
    <row r="572" spans="2:34" hidden="1">
      <c r="B572" s="4">
        <v>2018</v>
      </c>
      <c r="C572" s="4" t="s">
        <v>44</v>
      </c>
      <c r="D572" s="3">
        <f t="shared" si="8"/>
        <v>317</v>
      </c>
      <c r="E572" s="3" t="s">
        <v>886</v>
      </c>
      <c r="G572" s="5" t="s">
        <v>512</v>
      </c>
      <c r="H572" s="5"/>
      <c r="I572" s="5" t="s">
        <v>129</v>
      </c>
      <c r="J572" s="7">
        <v>0</v>
      </c>
      <c r="M572" s="8">
        <v>0</v>
      </c>
      <c r="N572" s="7">
        <v>0</v>
      </c>
      <c r="P572" s="7">
        <v>91014</v>
      </c>
      <c r="Q572" s="7">
        <v>91014</v>
      </c>
      <c r="R572" s="5">
        <f>VLOOKUP($G572,Others!$E$260:$I$596,2,FALSE)</f>
        <v>0</v>
      </c>
      <c r="S572" s="5" t="str">
        <f>VLOOKUP($G572,Others!$E$260:$I$596,3,FALSE)</f>
        <v>Live Action</v>
      </c>
      <c r="T572" s="5">
        <f>VLOOKUP($G572,Others!$E$260:$I$596,4,FALSE)</f>
        <v>0</v>
      </c>
      <c r="U572" s="5" t="str">
        <f>IFERROR(VLOOKUP($G572,Ratings!$E$81:$I$111,5,FALSE),"None")</f>
        <v>None</v>
      </c>
      <c r="V572" s="5"/>
      <c r="X572" s="5"/>
      <c r="Y572" s="5"/>
      <c r="Z572" s="5"/>
      <c r="AA572" s="5"/>
      <c r="AB572" s="5"/>
      <c r="AC572" s="5"/>
      <c r="AG572" s="9"/>
      <c r="AH572" s="9"/>
    </row>
    <row r="573" spans="2:34" hidden="1">
      <c r="B573" s="4">
        <v>2018</v>
      </c>
      <c r="C573" s="4" t="s">
        <v>44</v>
      </c>
      <c r="D573" s="3">
        <f t="shared" si="8"/>
        <v>318</v>
      </c>
      <c r="E573" s="3" t="s">
        <v>886</v>
      </c>
      <c r="G573" s="5" t="s">
        <v>1023</v>
      </c>
      <c r="H573" s="5"/>
      <c r="I573" s="5" t="s">
        <v>131</v>
      </c>
      <c r="J573" s="7">
        <v>0</v>
      </c>
      <c r="M573" s="8">
        <v>0</v>
      </c>
      <c r="N573" s="7">
        <v>0</v>
      </c>
      <c r="P573" s="7">
        <v>18516</v>
      </c>
      <c r="Q573" s="7">
        <v>18516</v>
      </c>
      <c r="R573" s="5">
        <f>VLOOKUP($G573,Others!$E$260:$I$596,2,FALSE)</f>
        <v>0</v>
      </c>
      <c r="S573" s="5" t="str">
        <f>VLOOKUP($G573,Others!$E$260:$I$596,3,FALSE)</f>
        <v>Live Action</v>
      </c>
      <c r="T573" s="5">
        <f>VLOOKUP($G573,Others!$E$260:$I$596,4,FALSE)</f>
        <v>0</v>
      </c>
      <c r="U573" s="5" t="str">
        <f>IFERROR(VLOOKUP($G573,Ratings!$E$81:$I$111,5,FALSE),"None")</f>
        <v>None</v>
      </c>
      <c r="V573" s="5"/>
      <c r="X573" s="5"/>
      <c r="Y573" s="5"/>
      <c r="Z573" s="5"/>
      <c r="AA573" s="5"/>
      <c r="AB573" s="5"/>
      <c r="AC573" s="5"/>
      <c r="AG573" s="9"/>
      <c r="AH573" s="9"/>
    </row>
    <row r="574" spans="2:34">
      <c r="B574" s="4">
        <v>2018</v>
      </c>
      <c r="C574" s="4" t="s">
        <v>44</v>
      </c>
      <c r="D574" s="3">
        <f t="shared" si="8"/>
        <v>319</v>
      </c>
      <c r="E574" s="55" t="s">
        <v>886</v>
      </c>
      <c r="F574" s="3" t="s">
        <v>2242</v>
      </c>
      <c r="G574" s="5" t="s">
        <v>1024</v>
      </c>
      <c r="H574" s="5" t="s">
        <v>1445</v>
      </c>
      <c r="I574" s="5" t="s">
        <v>136</v>
      </c>
      <c r="J574" s="7">
        <f>8000000/6.7</f>
        <v>1194029.8507462686</v>
      </c>
      <c r="K574" s="7">
        <f>5000000/6.7</f>
        <v>746268.65671641787</v>
      </c>
      <c r="L574" s="7">
        <f>1130000/6.7</f>
        <v>168656.71641791044</v>
      </c>
      <c r="M574" s="8">
        <v>918</v>
      </c>
      <c r="N574" s="7">
        <v>110000</v>
      </c>
      <c r="O574" s="7">
        <f>3070000/6.7</f>
        <v>458208.95522388059</v>
      </c>
      <c r="P574" s="7">
        <v>469140</v>
      </c>
      <c r="Q574" s="7">
        <v>469140</v>
      </c>
      <c r="R574" s="39" t="s">
        <v>606</v>
      </c>
      <c r="S574" s="5" t="str">
        <f>VLOOKUP($G574,Others!$E$260:$I$596,3,FALSE)</f>
        <v>Live Action</v>
      </c>
      <c r="T574" s="5" t="str">
        <f>VLOOKUP($G574,Others!$E$260:$I$596,4,FALSE)</f>
        <v>Contemporary Fiction</v>
      </c>
      <c r="U574" s="5" t="str">
        <f>IFERROR(VLOOKUP($G574,Ratings!$E$81:$I$111,5,FALSE),"None")</f>
        <v>None</v>
      </c>
      <c r="V574" s="5" t="s">
        <v>2243</v>
      </c>
      <c r="W574" s="5" t="s">
        <v>2244</v>
      </c>
      <c r="X574" s="5" t="s">
        <v>2245</v>
      </c>
      <c r="Y574" s="5" t="s">
        <v>2246</v>
      </c>
      <c r="Z574" s="5" t="s">
        <v>2247</v>
      </c>
      <c r="AA574" s="5" t="s">
        <v>2248</v>
      </c>
      <c r="AB574" s="5" t="s">
        <v>2249</v>
      </c>
      <c r="AC574" s="5" t="s">
        <v>1445</v>
      </c>
      <c r="AD574" s="9">
        <v>7.5</v>
      </c>
      <c r="AE574" s="1" t="s">
        <v>1489</v>
      </c>
      <c r="AG574" s="9"/>
      <c r="AH574" s="9"/>
    </row>
    <row r="575" spans="2:34" hidden="1">
      <c r="B575" s="4">
        <v>2018</v>
      </c>
      <c r="C575" s="4" t="s">
        <v>44</v>
      </c>
      <c r="D575" s="3">
        <f t="shared" si="8"/>
        <v>320</v>
      </c>
      <c r="E575" s="3" t="s">
        <v>886</v>
      </c>
      <c r="G575" s="5" t="s">
        <v>1025</v>
      </c>
      <c r="H575" s="5"/>
      <c r="I575" s="5" t="s">
        <v>131</v>
      </c>
      <c r="J575" s="7">
        <v>0</v>
      </c>
      <c r="M575" s="8">
        <v>0</v>
      </c>
      <c r="N575" s="7">
        <v>0</v>
      </c>
      <c r="P575" s="7">
        <v>43523</v>
      </c>
      <c r="Q575" s="7">
        <v>43523</v>
      </c>
      <c r="R575" s="5" t="str">
        <f>VLOOKUP($G575,Others!$E$260:$I$596,2,FALSE)</f>
        <v>Original Screenplay</v>
      </c>
      <c r="S575" s="5" t="str">
        <f>VLOOKUP($G575,Others!$E$260:$I$596,3,FALSE)</f>
        <v>Live Action</v>
      </c>
      <c r="T575" s="5" t="str">
        <f>VLOOKUP($G575,Others!$E$260:$I$596,4,FALSE)</f>
        <v>Contemporary Fiction</v>
      </c>
      <c r="U575" s="5" t="str">
        <f>IFERROR(VLOOKUP($G575,Ratings!$E$81:$I$111,5,FALSE),"None")</f>
        <v>None</v>
      </c>
      <c r="V575" s="5"/>
      <c r="X575" s="5"/>
      <c r="Y575" s="5"/>
      <c r="Z575" s="5"/>
      <c r="AA575" s="5"/>
      <c r="AB575" s="5"/>
      <c r="AC575" s="5"/>
      <c r="AG575" s="9"/>
      <c r="AH575" s="9"/>
    </row>
    <row r="576" spans="2:34">
      <c r="B576" s="4">
        <v>2018</v>
      </c>
      <c r="C576" s="4" t="s">
        <v>44</v>
      </c>
      <c r="D576" s="3">
        <f t="shared" si="8"/>
        <v>321</v>
      </c>
      <c r="E576" s="55" t="s">
        <v>886</v>
      </c>
      <c r="F576" s="3" t="s">
        <v>2250</v>
      </c>
      <c r="G576" s="5" t="s">
        <v>387</v>
      </c>
      <c r="H576" s="5" t="s">
        <v>1446</v>
      </c>
      <c r="I576" s="5" t="s">
        <v>127</v>
      </c>
      <c r="J576" s="7">
        <v>4477611</v>
      </c>
      <c r="K576" s="7">
        <v>2238805</v>
      </c>
      <c r="L576" s="7">
        <v>10250746</v>
      </c>
      <c r="M576" s="8">
        <v>57471</v>
      </c>
      <c r="N576" s="7">
        <v>10070000</v>
      </c>
      <c r="O576" s="7">
        <v>2761194</v>
      </c>
      <c r="P576" s="7">
        <v>30355804</v>
      </c>
      <c r="Q576" s="7">
        <v>30355804</v>
      </c>
      <c r="R576" s="5" t="str">
        <f>VLOOKUP($G576,Others!$E$260:$I$596,2,FALSE)</f>
        <v>Original Screenplay</v>
      </c>
      <c r="S576" s="5" t="str">
        <f>VLOOKUP($G576,Others!$E$260:$I$596,3,FALSE)</f>
        <v>Digital Animation</v>
      </c>
      <c r="T576" s="5" t="str">
        <f>VLOOKUP($G576,Others!$E$260:$I$596,4,FALSE)</f>
        <v>Fantasy</v>
      </c>
      <c r="U576" s="5" t="str">
        <f>IFERROR(VLOOKUP($G576,Ratings!$E$81:$I$111,5,FALSE),"None")</f>
        <v>None</v>
      </c>
      <c r="V576" s="5" t="s">
        <v>2251</v>
      </c>
      <c r="W576" s="5" t="s">
        <v>2252</v>
      </c>
      <c r="X576" s="5" t="s">
        <v>2253</v>
      </c>
      <c r="Y576" s="5" t="s">
        <v>2254</v>
      </c>
      <c r="Z576" s="5"/>
      <c r="AA576" s="5" t="s">
        <v>2253</v>
      </c>
      <c r="AB576" s="5"/>
      <c r="AC576" s="5" t="s">
        <v>1970</v>
      </c>
      <c r="AD576" s="9">
        <v>8.1</v>
      </c>
      <c r="AE576" s="1" t="s">
        <v>1489</v>
      </c>
      <c r="AG576" s="9"/>
      <c r="AH576" s="9"/>
    </row>
    <row r="577" spans="2:34">
      <c r="B577" s="4">
        <v>2019</v>
      </c>
      <c r="C577" s="4" t="s">
        <v>44</v>
      </c>
      <c r="D577" s="3">
        <f t="shared" si="8"/>
        <v>322</v>
      </c>
      <c r="E577" s="55" t="s">
        <v>886</v>
      </c>
      <c r="F577" s="3" t="s">
        <v>617</v>
      </c>
      <c r="G577" s="5" t="s">
        <v>242</v>
      </c>
      <c r="H577" s="5" t="s">
        <v>1410</v>
      </c>
      <c r="I577" s="5" t="s">
        <v>131</v>
      </c>
      <c r="J577" s="7">
        <f>0.1*100000000/6.7</f>
        <v>1492537.3134328357</v>
      </c>
      <c r="K577" s="57" t="s">
        <v>1411</v>
      </c>
      <c r="L577" s="7">
        <f>0.03*100000000/6.7</f>
        <v>447761.19402985071</v>
      </c>
      <c r="M577" s="8">
        <v>24672</v>
      </c>
      <c r="N577" s="7">
        <v>8594</v>
      </c>
      <c r="O577" s="7">
        <f>0.1*100000000/6.7</f>
        <v>1492537.3134328357</v>
      </c>
      <c r="P577" s="7">
        <v>1487745</v>
      </c>
      <c r="Q577" s="7">
        <v>1487745</v>
      </c>
      <c r="R577" s="5" t="str">
        <f>VLOOKUP($G577,Others!$E$260:$I$596,2,FALSE)</f>
        <v>Original Screenplay</v>
      </c>
      <c r="S577" s="5" t="str">
        <f>VLOOKUP($G577,Others!$E$260:$I$596,3,FALSE)</f>
        <v>Live Action</v>
      </c>
      <c r="T577" s="5" t="str">
        <f>VLOOKUP($G577,Others!$E$260:$I$596,4,FALSE)</f>
        <v>Contemporary Fiction</v>
      </c>
      <c r="U577" s="5" t="str">
        <f>IFERROR(VLOOKUP($G577,Ratings!$E$81:$I$111,5,FALSE),"None")</f>
        <v>None</v>
      </c>
      <c r="V577" s="5" t="s">
        <v>2255</v>
      </c>
      <c r="W577" s="5" t="s">
        <v>2256</v>
      </c>
      <c r="X577" s="5" t="s">
        <v>2257</v>
      </c>
      <c r="Y577" s="5" t="s">
        <v>2258</v>
      </c>
      <c r="AA577" s="5" t="s">
        <v>2259</v>
      </c>
      <c r="AB577" s="5"/>
      <c r="AC577" s="5" t="s">
        <v>1948</v>
      </c>
      <c r="AD577" s="9">
        <v>8.1999999999999993</v>
      </c>
      <c r="AE577" s="1" t="s">
        <v>1489</v>
      </c>
      <c r="AG577" s="9"/>
      <c r="AH577" s="9"/>
    </row>
    <row r="578" spans="2:34" hidden="1">
      <c r="B578" s="4">
        <v>2018</v>
      </c>
      <c r="C578" s="4" t="s">
        <v>44</v>
      </c>
      <c r="D578" s="3">
        <f t="shared" ref="D578:D592" si="9">D577+1</f>
        <v>323</v>
      </c>
      <c r="E578" s="3" t="s">
        <v>886</v>
      </c>
      <c r="G578" s="5" t="s">
        <v>467</v>
      </c>
      <c r="H578" s="5"/>
      <c r="I578" s="5" t="s">
        <v>154</v>
      </c>
      <c r="J578" s="7">
        <v>0</v>
      </c>
      <c r="M578" s="8">
        <v>0</v>
      </c>
      <c r="N578" s="7">
        <v>0</v>
      </c>
      <c r="P578" s="7">
        <v>542586</v>
      </c>
      <c r="Q578" s="7">
        <v>542586</v>
      </c>
      <c r="R578" s="5" t="str">
        <f>VLOOKUP($G578,Others!$E$260:$I$596,2,FALSE)</f>
        <v>Original Screenplay</v>
      </c>
      <c r="S578" s="5" t="str">
        <f>VLOOKUP($G578,Others!$E$260:$I$596,3,FALSE)</f>
        <v>Live Action</v>
      </c>
      <c r="T578" s="5" t="str">
        <f>VLOOKUP($G578,Others!$E$260:$I$596,4,FALSE)</f>
        <v>Fantasy</v>
      </c>
      <c r="U578" s="5" t="str">
        <f>IFERROR(VLOOKUP($G578,Ratings!$E$81:$I$111,5,FALSE),"None")</f>
        <v>None</v>
      </c>
      <c r="V578" s="5"/>
      <c r="X578" s="5"/>
      <c r="Y578" s="5"/>
      <c r="AA578" s="5"/>
      <c r="AB578" s="5"/>
      <c r="AG578" s="9"/>
      <c r="AH578" s="9"/>
    </row>
    <row r="579" spans="2:34" ht="15" customHeight="1">
      <c r="B579" s="4">
        <v>2019</v>
      </c>
      <c r="C579" s="4" t="s">
        <v>44</v>
      </c>
      <c r="D579" s="3">
        <f t="shared" si="9"/>
        <v>324</v>
      </c>
      <c r="E579" s="55" t="s">
        <v>886</v>
      </c>
      <c r="F579" s="56" t="s">
        <v>800</v>
      </c>
      <c r="G579" s="5" t="s">
        <v>155</v>
      </c>
      <c r="H579" s="5" t="s">
        <v>1442</v>
      </c>
      <c r="I579" s="5" t="s">
        <v>131</v>
      </c>
      <c r="J579" s="7">
        <v>10500000</v>
      </c>
      <c r="K579" s="57" t="s">
        <v>1411</v>
      </c>
      <c r="L579" s="7">
        <v>18208955</v>
      </c>
      <c r="M579" s="8">
        <v>62074</v>
      </c>
      <c r="N579" s="7">
        <v>11550000</v>
      </c>
      <c r="O579" s="7">
        <v>48656716</v>
      </c>
      <c r="P579" s="7">
        <v>50885008</v>
      </c>
      <c r="Q579" s="7">
        <v>50885008</v>
      </c>
      <c r="R579" s="5" t="str">
        <f>VLOOKUP($G579,Others!$E$260:$I$596,2,FALSE)</f>
        <v>Original Screenplay</v>
      </c>
      <c r="S579" s="5" t="str">
        <f>VLOOKUP($G579,Others!$E$260:$I$596,3,FALSE)</f>
        <v>Live Action</v>
      </c>
      <c r="T579" s="5">
        <f>VLOOKUP($G579,Others!$E$260:$I$596,4,FALSE)</f>
        <v>0</v>
      </c>
      <c r="U579" s="5" t="str">
        <f>IFERROR(VLOOKUP($G579,Ratings!$E$81:$I$111,5,FALSE),"None")</f>
        <v>None</v>
      </c>
      <c r="V579" s="5" t="s">
        <v>2260</v>
      </c>
      <c r="W579" s="5" t="s">
        <v>155</v>
      </c>
      <c r="X579" s="5" t="s">
        <v>2261</v>
      </c>
      <c r="Y579" s="5"/>
      <c r="AA579" s="5" t="s">
        <v>2262</v>
      </c>
      <c r="AB579" s="5"/>
      <c r="AC579" s="5" t="s">
        <v>2263</v>
      </c>
      <c r="AD579" s="9">
        <v>9.3000000000000007</v>
      </c>
      <c r="AE579" s="1" t="s">
        <v>1489</v>
      </c>
      <c r="AG579" s="9"/>
      <c r="AH579" s="9"/>
    </row>
    <row r="580" spans="2:34" hidden="1">
      <c r="B580" s="4">
        <v>2018</v>
      </c>
      <c r="C580" s="4" t="s">
        <v>44</v>
      </c>
      <c r="D580" s="3">
        <f t="shared" si="9"/>
        <v>325</v>
      </c>
      <c r="E580" s="3" t="s">
        <v>886</v>
      </c>
      <c r="G580" s="5" t="s">
        <v>431</v>
      </c>
      <c r="H580" s="5"/>
      <c r="I580" s="5" t="s">
        <v>131</v>
      </c>
      <c r="J580" s="7">
        <v>0</v>
      </c>
      <c r="M580" s="8">
        <v>0</v>
      </c>
      <c r="N580" s="7">
        <v>0</v>
      </c>
      <c r="P580" s="7">
        <v>2585854</v>
      </c>
      <c r="Q580" s="7">
        <v>2585854</v>
      </c>
      <c r="R580" s="5">
        <f>VLOOKUP($G580,Others!$E$260:$I$596,2,FALSE)</f>
        <v>0</v>
      </c>
      <c r="S580" s="5" t="str">
        <f>VLOOKUP($G580,Others!$E$260:$I$596,3,FALSE)</f>
        <v>Live Action</v>
      </c>
      <c r="T580" s="5">
        <f>VLOOKUP($G580,Others!$E$260:$I$596,4,FALSE)</f>
        <v>0</v>
      </c>
      <c r="U580" s="5" t="str">
        <f>IFERROR(VLOOKUP($G580,Ratings!$E$81:$I$111,5,FALSE),"None")</f>
        <v>None</v>
      </c>
      <c r="V580" s="5"/>
      <c r="X580" s="5"/>
      <c r="Y580" s="5"/>
      <c r="AA580" s="5"/>
      <c r="AB580" s="5"/>
      <c r="AC580" s="5"/>
      <c r="AG580" s="9"/>
      <c r="AH580" s="9"/>
    </row>
    <row r="581" spans="2:34" hidden="1">
      <c r="B581" s="4">
        <v>2018</v>
      </c>
      <c r="C581" s="4" t="s">
        <v>44</v>
      </c>
      <c r="D581" s="3">
        <f t="shared" si="9"/>
        <v>326</v>
      </c>
      <c r="E581" s="3" t="s">
        <v>886</v>
      </c>
      <c r="G581" s="5" t="s">
        <v>548</v>
      </c>
      <c r="H581" s="5"/>
      <c r="I581" s="5" t="s">
        <v>129</v>
      </c>
      <c r="J581" s="7">
        <v>0</v>
      </c>
      <c r="M581" s="8">
        <v>0</v>
      </c>
      <c r="N581" s="7">
        <v>0</v>
      </c>
      <c r="P581" s="7">
        <v>5281</v>
      </c>
      <c r="Q581" s="7">
        <v>5281</v>
      </c>
      <c r="R581" s="5">
        <f>VLOOKUP($G581,Others!$E$260:$I$596,2,FALSE)</f>
        <v>0</v>
      </c>
      <c r="S581" s="5" t="str">
        <f>VLOOKUP($G581,Others!$E$260:$I$596,3,FALSE)</f>
        <v>Multiple Production Methods</v>
      </c>
      <c r="T581" s="5" t="str">
        <f>VLOOKUP($G581,Others!$E$260:$I$596,4,FALSE)</f>
        <v>Fantasy</v>
      </c>
      <c r="U581" s="5" t="str">
        <f>IFERROR(VLOOKUP($G581,Ratings!$E$81:$I$111,5,FALSE),"None")</f>
        <v>None</v>
      </c>
      <c r="V581" s="5"/>
      <c r="X581" s="5"/>
      <c r="Y581" s="5"/>
      <c r="AA581" s="5"/>
      <c r="AB581" s="5"/>
      <c r="AC581" s="5"/>
      <c r="AG581" s="9"/>
      <c r="AH581" s="9"/>
    </row>
    <row r="582" spans="2:34" hidden="1">
      <c r="B582" s="4">
        <v>2018</v>
      </c>
      <c r="C582" s="4" t="s">
        <v>44</v>
      </c>
      <c r="D582" s="3">
        <f t="shared" si="9"/>
        <v>327</v>
      </c>
      <c r="E582" s="3" t="s">
        <v>886</v>
      </c>
      <c r="G582" s="5" t="s">
        <v>375</v>
      </c>
      <c r="H582" s="5"/>
      <c r="I582" s="5" t="s">
        <v>131</v>
      </c>
      <c r="J582" s="7">
        <v>0</v>
      </c>
      <c r="M582" s="8">
        <v>0</v>
      </c>
      <c r="N582" s="7">
        <v>0</v>
      </c>
      <c r="P582" s="7">
        <v>85170584</v>
      </c>
      <c r="Q582" s="7">
        <v>85170584</v>
      </c>
      <c r="R582" s="5" t="str">
        <f>VLOOKUP($G582,Others!$E$260:$I$596,2,FALSE)</f>
        <v>Original Screenplay</v>
      </c>
      <c r="S582" s="5" t="str">
        <f>VLOOKUP($G582,Others!$E$260:$I$596,3,FALSE)</f>
        <v>Live Action</v>
      </c>
      <c r="T582" s="5" t="str">
        <f>VLOOKUP($G582,Others!$E$260:$I$596,4,FALSE)</f>
        <v>Historical Fiction</v>
      </c>
      <c r="U582" s="5" t="str">
        <f>IFERROR(VLOOKUP($G582,Ratings!$E$81:$I$111,5,FALSE),"None")</f>
        <v>None</v>
      </c>
      <c r="V582" s="5"/>
      <c r="X582" s="5"/>
      <c r="Y582" s="5"/>
      <c r="AA582" s="5"/>
      <c r="AB582" s="5"/>
      <c r="AC582" s="5"/>
      <c r="AG582" s="9"/>
      <c r="AH582" s="9"/>
    </row>
    <row r="583" spans="2:34" hidden="1">
      <c r="B583" s="4">
        <v>2018</v>
      </c>
      <c r="C583" s="4" t="s">
        <v>44</v>
      </c>
      <c r="D583" s="3">
        <f t="shared" si="9"/>
        <v>328</v>
      </c>
      <c r="E583" s="3" t="s">
        <v>886</v>
      </c>
      <c r="G583" s="5" t="s">
        <v>1027</v>
      </c>
      <c r="H583" s="5"/>
      <c r="I583" s="5" t="s">
        <v>131</v>
      </c>
      <c r="J583" s="7">
        <v>0</v>
      </c>
      <c r="M583" s="8">
        <v>0</v>
      </c>
      <c r="N583" s="7">
        <v>0</v>
      </c>
      <c r="P583" s="7">
        <v>0</v>
      </c>
      <c r="Q583" s="7">
        <v>0</v>
      </c>
      <c r="R583" s="5" t="str">
        <f>VLOOKUP($G583,Others!$E$260:$I$596,2,FALSE)</f>
        <v>Original Screenplay</v>
      </c>
      <c r="S583" s="5" t="str">
        <f>VLOOKUP($G583,Others!$E$260:$I$596,3,FALSE)</f>
        <v>Live Action</v>
      </c>
      <c r="T583" s="5" t="str">
        <f>VLOOKUP($G583,Others!$E$260:$I$596,4,FALSE)</f>
        <v>Contemporary Fiction</v>
      </c>
      <c r="U583" s="5" t="str">
        <f>IFERROR(VLOOKUP($G583,Ratings!$E$81:$I$111,5,FALSE),"None")</f>
        <v>None</v>
      </c>
      <c r="V583" s="5"/>
      <c r="X583" s="5"/>
      <c r="Y583" s="5"/>
      <c r="AA583" s="5"/>
      <c r="AB583" s="5"/>
      <c r="AC583" s="5"/>
      <c r="AG583" s="9"/>
      <c r="AH583" s="9"/>
    </row>
    <row r="584" spans="2:34">
      <c r="B584" s="4">
        <v>2019</v>
      </c>
      <c r="C584" s="4" t="s">
        <v>44</v>
      </c>
      <c r="D584" s="3">
        <f t="shared" si="9"/>
        <v>329</v>
      </c>
      <c r="E584" s="55" t="s">
        <v>886</v>
      </c>
      <c r="F584" s="3" t="s">
        <v>800</v>
      </c>
      <c r="G584" s="5" t="s">
        <v>190</v>
      </c>
      <c r="H584" s="5" t="s">
        <v>1447</v>
      </c>
      <c r="I584" s="5" t="s">
        <v>191</v>
      </c>
      <c r="J584" s="7">
        <f>0.6*100000000/6.7</f>
        <v>8955223.880597014</v>
      </c>
      <c r="K584" s="57" t="s">
        <v>1411</v>
      </c>
      <c r="L584" s="7">
        <f>0.15*100000000/6.7</f>
        <v>2238805.9701492535</v>
      </c>
      <c r="M584" s="8">
        <v>23080</v>
      </c>
      <c r="N584" s="7">
        <v>3852893</v>
      </c>
      <c r="O584" s="7">
        <f>0.45*100000000/6.7</f>
        <v>6716417.9104477614</v>
      </c>
      <c r="P584" s="7">
        <v>8091941</v>
      </c>
      <c r="Q584" s="7">
        <v>8091941</v>
      </c>
      <c r="R584" s="5" t="str">
        <f>VLOOKUP($G584,Others!$E$260:$I$596,2,FALSE)</f>
        <v>Original Screenplay</v>
      </c>
      <c r="S584" s="5" t="str">
        <f>VLOOKUP($G584,Others!$E$260:$I$596,3,FALSE)</f>
        <v>Live Action</v>
      </c>
      <c r="T584" s="5" t="str">
        <f>VLOOKUP($G584,Others!$E$260:$I$596,4,FALSE)</f>
        <v>Contemporary Fiction</v>
      </c>
      <c r="U584" s="5" t="str">
        <f>IFERROR(VLOOKUP($G584,Ratings!$E$81:$I$111,5,FALSE),"None")</f>
        <v>None</v>
      </c>
      <c r="V584" s="5" t="s">
        <v>2264</v>
      </c>
      <c r="W584" s="5" t="s">
        <v>2265</v>
      </c>
      <c r="X584" s="5" t="s">
        <v>2266</v>
      </c>
      <c r="Y584" s="5" t="s">
        <v>2267</v>
      </c>
      <c r="AA584" s="5" t="s">
        <v>2268</v>
      </c>
      <c r="AB584" s="5"/>
      <c r="AC584" s="5" t="s">
        <v>2269</v>
      </c>
      <c r="AD584" s="9">
        <v>8.8000000000000007</v>
      </c>
      <c r="AE584" s="1" t="s">
        <v>1489</v>
      </c>
      <c r="AG584" s="9"/>
      <c r="AH584" s="9"/>
    </row>
    <row r="585" spans="2:34">
      <c r="B585" s="4">
        <v>2018</v>
      </c>
      <c r="C585" s="4" t="s">
        <v>44</v>
      </c>
      <c r="D585" s="3">
        <f t="shared" si="9"/>
        <v>330</v>
      </c>
      <c r="E585" s="55" t="s">
        <v>975</v>
      </c>
      <c r="F585" s="3" t="s">
        <v>975</v>
      </c>
      <c r="G585" s="5" t="s">
        <v>1028</v>
      </c>
      <c r="H585" s="5" t="s">
        <v>1448</v>
      </c>
      <c r="I585" s="5" t="s">
        <v>193</v>
      </c>
      <c r="J585" s="7">
        <v>11940298</v>
      </c>
      <c r="K585" s="7">
        <v>4477611</v>
      </c>
      <c r="L585" s="7">
        <v>11428358</v>
      </c>
      <c r="M585" s="8">
        <v>61528</v>
      </c>
      <c r="N585" s="7">
        <v>14718449</v>
      </c>
      <c r="O585" s="7">
        <v>30597014</v>
      </c>
      <c r="P585" s="7">
        <v>32449600</v>
      </c>
      <c r="Q585" s="7">
        <v>32449600</v>
      </c>
      <c r="R585" s="5" t="str">
        <f>VLOOKUP($G585,Others!$E$260:$I$596,2,FALSE)</f>
        <v>Based on Real Life Events</v>
      </c>
      <c r="S585" s="5" t="str">
        <f>VLOOKUP($G585,Others!$E$260:$I$596,3,FALSE)</f>
        <v>Live Action</v>
      </c>
      <c r="T585" s="5" t="str">
        <f>VLOOKUP($G585,Others!$E$260:$I$596,4,FALSE)</f>
        <v>Contemporary Fiction</v>
      </c>
      <c r="U585" s="5" t="str">
        <f>IFERROR(VLOOKUP($G585,Ratings!$E$81:$I$111,5,FALSE),"None")</f>
        <v>None</v>
      </c>
      <c r="V585" s="5" t="s">
        <v>2270</v>
      </c>
      <c r="W585" s="5" t="s">
        <v>2271</v>
      </c>
      <c r="X585" s="5" t="s">
        <v>2272</v>
      </c>
      <c r="Y585" s="5" t="s">
        <v>2273</v>
      </c>
      <c r="AA585" s="5" t="s">
        <v>2274</v>
      </c>
      <c r="AB585" s="5"/>
      <c r="AC585" s="5" t="s">
        <v>1948</v>
      </c>
      <c r="AD585" s="9">
        <v>5.9</v>
      </c>
      <c r="AE585" s="1" t="s">
        <v>1489</v>
      </c>
      <c r="AG585" s="9"/>
      <c r="AH585" s="9"/>
    </row>
    <row r="586" spans="2:34" hidden="1">
      <c r="B586" s="4">
        <v>2018</v>
      </c>
      <c r="C586" s="4" t="s">
        <v>44</v>
      </c>
      <c r="D586" s="3">
        <f t="shared" si="9"/>
        <v>331</v>
      </c>
      <c r="E586" s="3" t="s">
        <v>886</v>
      </c>
      <c r="G586" s="5" t="s">
        <v>415</v>
      </c>
      <c r="H586" s="5"/>
      <c r="I586" s="5" t="s">
        <v>127</v>
      </c>
      <c r="J586" s="7">
        <v>0</v>
      </c>
      <c r="M586" s="8">
        <v>0</v>
      </c>
      <c r="N586" s="7">
        <v>0</v>
      </c>
      <c r="P586" s="7">
        <v>7353354</v>
      </c>
      <c r="Q586" s="7">
        <v>7353354</v>
      </c>
      <c r="R586" s="5" t="str">
        <f>VLOOKUP($G586,Others!$E$260:$I$596,2,FALSE)</f>
        <v>Based on Fiction Book/Short Story</v>
      </c>
      <c r="S586" s="5" t="str">
        <f>VLOOKUP($G586,Others!$E$260:$I$596,3,FALSE)</f>
        <v>Live Action</v>
      </c>
      <c r="T586" s="5" t="str">
        <f>VLOOKUP($G586,Others!$E$260:$I$596,4,FALSE)</f>
        <v>Fantasy</v>
      </c>
      <c r="U586" s="5" t="str">
        <f>IFERROR(VLOOKUP($G586,Ratings!$E$81:$I$111,5,FALSE),"None")</f>
        <v>None</v>
      </c>
      <c r="V586" s="5"/>
      <c r="X586" s="5"/>
      <c r="Y586" s="5"/>
      <c r="AA586" s="5"/>
      <c r="AB586" s="5"/>
      <c r="AC586" s="5"/>
      <c r="AG586" s="9"/>
      <c r="AH586" s="9"/>
    </row>
    <row r="587" spans="2:34" hidden="1">
      <c r="B587" s="4">
        <v>2018</v>
      </c>
      <c r="C587" s="4" t="s">
        <v>44</v>
      </c>
      <c r="D587" s="3">
        <f t="shared" si="9"/>
        <v>332</v>
      </c>
      <c r="E587" s="3" t="s">
        <v>886</v>
      </c>
      <c r="G587" s="5" t="s">
        <v>1029</v>
      </c>
      <c r="H587" s="5"/>
      <c r="I587" s="5" t="s">
        <v>131</v>
      </c>
      <c r="J587" s="7">
        <v>0</v>
      </c>
      <c r="M587" s="8">
        <v>0</v>
      </c>
      <c r="N587" s="7">
        <v>0</v>
      </c>
      <c r="P587" s="7">
        <v>60326</v>
      </c>
      <c r="Q587" s="7">
        <v>60326</v>
      </c>
      <c r="R587" s="5">
        <f>VLOOKUP($G587,Others!$E$260:$I$596,2,FALSE)</f>
        <v>0</v>
      </c>
      <c r="S587" s="5" t="str">
        <f>VLOOKUP($G587,Others!$E$260:$I$596,3,FALSE)</f>
        <v>Live Action</v>
      </c>
      <c r="T587" s="5">
        <f>VLOOKUP($G587,Others!$E$260:$I$596,4,FALSE)</f>
        <v>0</v>
      </c>
      <c r="U587" s="5" t="str">
        <f>IFERROR(VLOOKUP($G587,Ratings!$E$81:$I$111,5,FALSE),"None")</f>
        <v>None</v>
      </c>
      <c r="V587" s="5"/>
      <c r="X587" s="5"/>
      <c r="Y587" s="5"/>
      <c r="AA587" s="5"/>
      <c r="AB587" s="5"/>
      <c r="AC587" s="5"/>
      <c r="AG587" s="9"/>
      <c r="AH587" s="9"/>
    </row>
    <row r="588" spans="2:34">
      <c r="B588" s="4">
        <v>2019</v>
      </c>
      <c r="C588" s="4" t="s">
        <v>44</v>
      </c>
      <c r="D588" s="3">
        <f t="shared" si="9"/>
        <v>333</v>
      </c>
      <c r="E588" s="55" t="s">
        <v>886</v>
      </c>
      <c r="F588" s="3" t="s">
        <v>2275</v>
      </c>
      <c r="G588" s="5" t="s">
        <v>180</v>
      </c>
      <c r="H588" s="5" t="s">
        <v>2276</v>
      </c>
      <c r="I588" s="5" t="s">
        <v>131</v>
      </c>
      <c r="J588" s="7">
        <v>5970149</v>
      </c>
      <c r="K588" s="57" t="s">
        <v>1411</v>
      </c>
      <c r="L588" s="7">
        <v>3283582</v>
      </c>
      <c r="M588" s="8">
        <v>32822</v>
      </c>
      <c r="N588" s="7">
        <v>5210000</v>
      </c>
      <c r="O588" s="7">
        <v>9701492</v>
      </c>
      <c r="P588" s="7">
        <v>9626679</v>
      </c>
      <c r="Q588" s="7">
        <v>9626679</v>
      </c>
      <c r="R588" s="5" t="str">
        <f>VLOOKUP($G588,Others!$E$260:$I$596,2,FALSE)</f>
        <v>Original Screenplay</v>
      </c>
      <c r="S588" s="5" t="str">
        <f>VLOOKUP($G588,Others!$E$260:$I$596,3,FALSE)</f>
        <v>Live Action</v>
      </c>
      <c r="T588" s="5" t="str">
        <f>VLOOKUP($G588,Others!$E$260:$I$596,4,FALSE)</f>
        <v>Contemporary Fiction</v>
      </c>
      <c r="U588" s="5" t="str">
        <f>IFERROR(VLOOKUP($G588,Ratings!$E$81:$I$111,5,FALSE),"None")</f>
        <v>None</v>
      </c>
      <c r="V588" s="5" t="s">
        <v>2277</v>
      </c>
      <c r="W588" s="5" t="s">
        <v>2278</v>
      </c>
      <c r="X588" s="5" t="s">
        <v>1963</v>
      </c>
      <c r="Y588" s="5"/>
      <c r="AA588" s="5" t="s">
        <v>2279</v>
      </c>
      <c r="AB588" s="5"/>
      <c r="AC588" s="5" t="s">
        <v>2280</v>
      </c>
      <c r="AD588" s="9">
        <v>7.2</v>
      </c>
      <c r="AE588" s="1" t="s">
        <v>1489</v>
      </c>
      <c r="AG588" s="9"/>
      <c r="AH588" s="9"/>
    </row>
    <row r="589" spans="2:34">
      <c r="B589" s="4">
        <v>2018</v>
      </c>
      <c r="C589" s="4" t="s">
        <v>44</v>
      </c>
      <c r="D589" s="3">
        <f t="shared" si="9"/>
        <v>334</v>
      </c>
      <c r="E589" s="55" t="s">
        <v>886</v>
      </c>
      <c r="F589" s="3" t="s">
        <v>854</v>
      </c>
      <c r="G589" s="5" t="s">
        <v>377</v>
      </c>
      <c r="H589" s="5" t="s">
        <v>1449</v>
      </c>
      <c r="I589" s="5" t="s">
        <v>127</v>
      </c>
      <c r="J589" s="7">
        <v>29850746</v>
      </c>
      <c r="K589" s="7">
        <v>5970149</v>
      </c>
      <c r="L589" s="7">
        <v>26865671</v>
      </c>
      <c r="M589" s="8">
        <v>109738</v>
      </c>
      <c r="N589" s="7">
        <v>3241628</v>
      </c>
      <c r="O589" s="7">
        <v>74626865</v>
      </c>
      <c r="P589" s="7">
        <v>74842075</v>
      </c>
      <c r="Q589" s="7">
        <v>74842075</v>
      </c>
      <c r="R589" s="5" t="str">
        <f>VLOOKUP($G589,Others!$E$260:$I$596,2,FALSE)</f>
        <v>Based on Comic/Graphic Novel</v>
      </c>
      <c r="S589" s="5" t="str">
        <f>VLOOKUP($G589,Others!$E$260:$I$596,3,FALSE)</f>
        <v>Multiple Production Methods</v>
      </c>
      <c r="T589" s="5" t="str">
        <f>VLOOKUP($G589,Others!$E$260:$I$596,4,FALSE)</f>
        <v>Science Fiction</v>
      </c>
      <c r="U589" s="5" t="str">
        <f>IFERROR(VLOOKUP($G589,Ratings!$E$81:$I$111,5,FALSE),"None")</f>
        <v>None</v>
      </c>
      <c r="V589" s="5" t="s">
        <v>2281</v>
      </c>
      <c r="W589" s="5" t="s">
        <v>2282</v>
      </c>
      <c r="X589" s="5" t="s">
        <v>2283</v>
      </c>
      <c r="Y589" s="5"/>
      <c r="AA589" s="5" t="s">
        <v>2284</v>
      </c>
      <c r="AB589" s="5"/>
      <c r="AC589" s="5" t="s">
        <v>2285</v>
      </c>
      <c r="AD589" s="9">
        <v>8.5</v>
      </c>
      <c r="AE589" s="1" t="s">
        <v>1489</v>
      </c>
      <c r="AG589" s="9"/>
      <c r="AH589" s="9"/>
    </row>
    <row r="590" spans="2:34" hidden="1">
      <c r="B590" s="4">
        <v>2018</v>
      </c>
      <c r="C590" s="4" t="s">
        <v>44</v>
      </c>
      <c r="D590" s="3">
        <f t="shared" si="9"/>
        <v>335</v>
      </c>
      <c r="E590" s="3" t="s">
        <v>886</v>
      </c>
      <c r="G590" s="5" t="s">
        <v>1030</v>
      </c>
      <c r="H590" s="5"/>
      <c r="I590" s="5" t="s">
        <v>131</v>
      </c>
      <c r="J590" s="7">
        <v>0</v>
      </c>
      <c r="M590" s="8">
        <v>0</v>
      </c>
      <c r="N590" s="7">
        <v>0</v>
      </c>
      <c r="P590" s="7">
        <v>151826</v>
      </c>
      <c r="Q590" s="7">
        <v>151826</v>
      </c>
      <c r="R590" s="5">
        <f>VLOOKUP($G590,Others!$E$260:$I$596,2,FALSE)</f>
        <v>0</v>
      </c>
      <c r="S590" s="5" t="str">
        <f>VLOOKUP($G590,Others!$E$260:$I$596,3,FALSE)</f>
        <v>Live Action</v>
      </c>
      <c r="T590" s="5">
        <f>VLOOKUP($G590,Others!$E$260:$I$596,4,FALSE)</f>
        <v>0</v>
      </c>
      <c r="U590" s="5" t="str">
        <f>IFERROR(VLOOKUP($G590,Ratings!$E$81:$I$111,5,FALSE),"None")</f>
        <v>None</v>
      </c>
      <c r="V590" s="5"/>
      <c r="X590" s="5"/>
      <c r="Y590" s="5"/>
      <c r="AA590" s="5"/>
      <c r="AB590" s="5"/>
      <c r="AC590" s="5"/>
      <c r="AG590" s="9"/>
      <c r="AH590" s="9"/>
    </row>
    <row r="591" spans="2:34">
      <c r="B591" s="4">
        <v>2018</v>
      </c>
      <c r="C591" s="4" t="s">
        <v>44</v>
      </c>
      <c r="D591" s="3">
        <f t="shared" si="9"/>
        <v>336</v>
      </c>
      <c r="E591" s="55" t="s">
        <v>886</v>
      </c>
      <c r="F591" s="3" t="s">
        <v>2286</v>
      </c>
      <c r="G591" s="5" t="s">
        <v>53</v>
      </c>
      <c r="H591" s="5" t="s">
        <v>1428</v>
      </c>
      <c r="I591" s="5" t="s">
        <v>148</v>
      </c>
      <c r="J591" s="7">
        <v>6000000</v>
      </c>
      <c r="K591" s="57" t="s">
        <v>1411</v>
      </c>
      <c r="L591" s="7">
        <v>8955224</v>
      </c>
      <c r="M591" s="8">
        <v>2360</v>
      </c>
      <c r="N591" s="7">
        <v>6737049</v>
      </c>
      <c r="O591" s="7">
        <v>25820895</v>
      </c>
      <c r="P591" s="7">
        <v>28792065</v>
      </c>
      <c r="Q591" s="7">
        <v>28792065</v>
      </c>
      <c r="R591" s="5" t="str">
        <f>VLOOKUP($G591,Others!$E$260:$I$596,2,FALSE)</f>
        <v>Based on Comic/Graphic Novel</v>
      </c>
      <c r="S591" s="5" t="str">
        <f>VLOOKUP($G591,Others!$E$260:$I$596,3,FALSE)</f>
        <v>Live Action</v>
      </c>
      <c r="T591" s="5" t="str">
        <f>VLOOKUP($G591,Others!$E$260:$I$596,4,FALSE)</f>
        <v>Contemporary Fiction</v>
      </c>
      <c r="U591" s="5" t="str">
        <f>IFERROR(VLOOKUP($G591,Ratings!$E$81:$I$111,5,FALSE),"None")</f>
        <v>None</v>
      </c>
      <c r="V591" s="5" t="s">
        <v>2287</v>
      </c>
      <c r="W591" s="5" t="s">
        <v>2288</v>
      </c>
      <c r="X591" s="5" t="s">
        <v>2289</v>
      </c>
      <c r="Y591" s="5" t="s">
        <v>2290</v>
      </c>
      <c r="AA591" s="5" t="s">
        <v>2291</v>
      </c>
      <c r="AB591" s="5"/>
      <c r="AC591" s="5" t="s">
        <v>1911</v>
      </c>
      <c r="AD591" s="9">
        <v>8.5</v>
      </c>
      <c r="AE591" s="1" t="s">
        <v>1489</v>
      </c>
      <c r="AG591" s="9"/>
      <c r="AH591" s="9"/>
    </row>
    <row r="592" spans="2:34" hidden="1">
      <c r="B592" s="4">
        <v>2018</v>
      </c>
      <c r="C592" s="4" t="s">
        <v>44</v>
      </c>
      <c r="D592" s="3">
        <f t="shared" si="9"/>
        <v>337</v>
      </c>
      <c r="E592" s="3" t="s">
        <v>886</v>
      </c>
      <c r="G592" s="5" t="s">
        <v>332</v>
      </c>
      <c r="H592" s="5"/>
      <c r="I592" s="5" t="s">
        <v>131</v>
      </c>
      <c r="J592" s="7">
        <v>0</v>
      </c>
      <c r="M592" s="8">
        <v>0</v>
      </c>
      <c r="N592" s="7">
        <v>0</v>
      </c>
      <c r="P592" s="7">
        <v>18176</v>
      </c>
      <c r="Q592" s="7">
        <v>18176</v>
      </c>
      <c r="R592" s="5" t="str">
        <f>VLOOKUP($G592,Others!$E$260:$I$596,2,FALSE)</f>
        <v>Original Screenplay</v>
      </c>
      <c r="S592" s="5" t="str">
        <f>VLOOKUP($G592,Others!$E$260:$I$596,3,FALSE)</f>
        <v>Live Action</v>
      </c>
      <c r="T592" s="5" t="str">
        <f>VLOOKUP($G592,Others!$E$260:$I$596,4,FALSE)</f>
        <v>Historical Fiction</v>
      </c>
      <c r="U592" s="5" t="str">
        <f>IFERROR(VLOOKUP($G592,Ratings!$E$81:$I$111,5,FALSE),"None")</f>
        <v>None</v>
      </c>
      <c r="V592" s="5"/>
      <c r="X592" s="5"/>
      <c r="Y592" s="5"/>
      <c r="AA592" s="5"/>
      <c r="AB592" s="5"/>
      <c r="AC592" s="5"/>
      <c r="AG592" s="9"/>
      <c r="AH592" s="9"/>
    </row>
    <row r="593" spans="2:34" hidden="1">
      <c r="B593" s="4">
        <v>2018</v>
      </c>
      <c r="C593" s="4" t="s">
        <v>45</v>
      </c>
      <c r="D593" s="3">
        <v>1</v>
      </c>
      <c r="E593" s="3" t="s">
        <v>1031</v>
      </c>
      <c r="G593" s="5" t="s">
        <v>1032</v>
      </c>
      <c r="H593" s="5" t="s">
        <v>601</v>
      </c>
      <c r="I593" s="5" t="s">
        <v>129</v>
      </c>
      <c r="J593" s="7">
        <v>0</v>
      </c>
      <c r="M593" s="8">
        <v>34</v>
      </c>
      <c r="N593" s="7">
        <v>121391</v>
      </c>
      <c r="P593" s="7">
        <v>45879283</v>
      </c>
      <c r="Q593" s="7">
        <v>46165078</v>
      </c>
      <c r="R593" s="5" t="str">
        <f>VLOOKUP($G593,Others!$E$597:$I$629,2,FALSE)</f>
        <v>Original Screenplay</v>
      </c>
      <c r="S593" s="5" t="str">
        <f>VLOOKUP($G593,Others!$E$597:$I$629,3,FALSE)</f>
        <v>Live Action</v>
      </c>
      <c r="T593" s="5" t="str">
        <f>VLOOKUP($G593,Others!$E$597:$I$629,4,FALSE)</f>
        <v>Contemporary Fiction</v>
      </c>
      <c r="U593" s="5" t="str">
        <f>IFERROR(VLOOKUP($G593,Ratings!$E$112:$I$124,5,FALSE),"None")</f>
        <v>Not Rated</v>
      </c>
      <c r="V593" s="5"/>
      <c r="X593" s="5"/>
      <c r="Y593" s="5"/>
      <c r="AA593" s="5"/>
      <c r="AB593" s="5"/>
      <c r="AC593" s="5"/>
      <c r="AG593" s="9"/>
      <c r="AH593" s="9"/>
    </row>
    <row r="594" spans="2:34" hidden="1">
      <c r="B594" s="4">
        <v>2018</v>
      </c>
      <c r="C594" s="4" t="s">
        <v>45</v>
      </c>
      <c r="D594" s="3">
        <v>2</v>
      </c>
      <c r="E594" s="3" t="s">
        <v>817</v>
      </c>
      <c r="G594" s="5" t="s">
        <v>373</v>
      </c>
      <c r="H594" s="5" t="s">
        <v>601</v>
      </c>
      <c r="I594" s="5" t="s">
        <v>129</v>
      </c>
      <c r="J594" s="7">
        <v>0</v>
      </c>
      <c r="M594" s="8">
        <v>31</v>
      </c>
      <c r="N594" s="7">
        <v>126929</v>
      </c>
      <c r="P594" s="7">
        <v>89772584</v>
      </c>
      <c r="Q594" s="7">
        <v>90035547</v>
      </c>
      <c r="R594" s="5" t="str">
        <f>VLOOKUP($G594,Others!$E$597:$I$629,2,FALSE)</f>
        <v>Original Screenplay</v>
      </c>
      <c r="S594" s="5" t="str">
        <f>VLOOKUP($G594,Others!$E$597:$I$629,3,FALSE)</f>
        <v>Live Action</v>
      </c>
      <c r="T594" s="5" t="str">
        <f>VLOOKUP($G594,Others!$E$597:$I$629,4,FALSE)</f>
        <v>Fantasy</v>
      </c>
      <c r="U594" s="5" t="str">
        <f>IFERROR(VLOOKUP($G594,Ratings!$E$112:$I$124,5,FALSE),"None")</f>
        <v>Not Rated</v>
      </c>
      <c r="V594" s="5"/>
      <c r="X594" s="5"/>
      <c r="Y594" s="5"/>
      <c r="AA594" s="5"/>
      <c r="AB594" s="5"/>
      <c r="AC594" s="5"/>
      <c r="AF594" s="79" t="s">
        <v>1883</v>
      </c>
      <c r="AG594" s="9"/>
      <c r="AH594" s="9"/>
    </row>
    <row r="595" spans="2:34" hidden="1">
      <c r="B595" s="4">
        <v>2018</v>
      </c>
      <c r="C595" s="4" t="s">
        <v>45</v>
      </c>
      <c r="D595" s="3">
        <v>3</v>
      </c>
      <c r="E595" s="3" t="s">
        <v>813</v>
      </c>
      <c r="G595" s="5" t="s">
        <v>1033</v>
      </c>
      <c r="H595" s="5" t="s">
        <v>626</v>
      </c>
      <c r="I595" s="5" t="s">
        <v>136</v>
      </c>
      <c r="J595" s="7">
        <v>0</v>
      </c>
      <c r="M595" s="8">
        <v>10</v>
      </c>
      <c r="N595" s="7">
        <v>62235</v>
      </c>
      <c r="P595" s="7">
        <v>0</v>
      </c>
      <c r="Q595" s="7">
        <v>208351</v>
      </c>
      <c r="R595" s="5" t="str">
        <f>VLOOKUP($G595,Others!$E$597:$I$629,2,FALSE)</f>
        <v>Original Screenplay</v>
      </c>
      <c r="S595" s="5" t="str">
        <f>VLOOKUP($G595,Others!$E$597:$I$629,3,FALSE)</f>
        <v>Live Action</v>
      </c>
      <c r="T595" s="5" t="str">
        <f>VLOOKUP($G595,Others!$E$597:$I$629,4,FALSE)</f>
        <v>Contemporary Fiction</v>
      </c>
      <c r="U595" s="5" t="str">
        <f>IFERROR(VLOOKUP($G595,Ratings!$E$112:$I$124,5,FALSE),"None")</f>
        <v>Not Rated</v>
      </c>
      <c r="V595" s="5"/>
      <c r="X595" s="5"/>
      <c r="Y595" s="5"/>
      <c r="AA595" s="5"/>
      <c r="AB595" s="5"/>
      <c r="AC595" s="5"/>
      <c r="AG595" s="9"/>
      <c r="AH595" s="9"/>
    </row>
    <row r="596" spans="2:34" hidden="1">
      <c r="B596" s="4">
        <v>2018</v>
      </c>
      <c r="C596" s="4" t="s">
        <v>45</v>
      </c>
      <c r="D596" s="3">
        <v>4</v>
      </c>
      <c r="E596" s="3" t="s">
        <v>848</v>
      </c>
      <c r="G596" s="5" t="s">
        <v>1034</v>
      </c>
      <c r="H596" s="5" t="s">
        <v>601</v>
      </c>
      <c r="I596" s="5" t="s">
        <v>253</v>
      </c>
      <c r="J596" s="7">
        <v>0</v>
      </c>
      <c r="M596" s="8">
        <v>25</v>
      </c>
      <c r="N596" s="7">
        <v>41225</v>
      </c>
      <c r="P596" s="7">
        <v>21366084</v>
      </c>
      <c r="Q596" s="7">
        <v>21451708</v>
      </c>
      <c r="R596" s="5">
        <f>VLOOKUP($G596,Others!$E$597:$I$629,2,FALSE)</f>
        <v>0</v>
      </c>
      <c r="S596" s="5" t="str">
        <f>VLOOKUP($G596,Others!$E$597:$I$629,3,FALSE)</f>
        <v>Live Action</v>
      </c>
      <c r="T596" s="5" t="str">
        <f>VLOOKUP($G596,Others!$E$597:$I$629,4,FALSE)</f>
        <v>Contemporary Fiction</v>
      </c>
      <c r="U596" s="5" t="str">
        <f>IFERROR(VLOOKUP($G596,Ratings!$E$112:$I$124,5,FALSE),"None")</f>
        <v>Not Rated</v>
      </c>
      <c r="V596" s="5"/>
      <c r="X596" s="5"/>
      <c r="Y596" s="5"/>
      <c r="AA596" s="5"/>
      <c r="AB596" s="5"/>
      <c r="AC596" s="5"/>
      <c r="AG596" s="9"/>
      <c r="AH596" s="9"/>
    </row>
    <row r="597" spans="2:34" hidden="1">
      <c r="B597" s="4">
        <v>2018</v>
      </c>
      <c r="C597" s="4" t="s">
        <v>45</v>
      </c>
      <c r="D597" s="3">
        <v>5</v>
      </c>
      <c r="E597" s="3" t="s">
        <v>818</v>
      </c>
      <c r="G597" s="5" t="s">
        <v>827</v>
      </c>
      <c r="H597" s="5" t="s">
        <v>626</v>
      </c>
      <c r="I597" s="5" t="s">
        <v>131</v>
      </c>
      <c r="J597" s="7">
        <v>0</v>
      </c>
      <c r="M597" s="8">
        <v>21</v>
      </c>
      <c r="N597" s="7">
        <v>39584</v>
      </c>
      <c r="P597" s="7">
        <v>35288134</v>
      </c>
      <c r="Q597" s="7">
        <v>35327718</v>
      </c>
      <c r="R597" s="5" t="str">
        <f>VLOOKUP($G597,Others!$E$597:$I$629,2,FALSE)</f>
        <v>Based on Fiction Book/Short Story</v>
      </c>
      <c r="S597" s="5" t="str">
        <f>VLOOKUP($G597,Others!$E$597:$I$629,3,FALSE)</f>
        <v>Live Action</v>
      </c>
      <c r="T597" s="5" t="str">
        <f>VLOOKUP($G597,Others!$E$597:$I$629,4,FALSE)</f>
        <v>Contemporary Fiction</v>
      </c>
      <c r="U597" s="5" t="str">
        <f>IFERROR(VLOOKUP($G597,Ratings!$E$112:$I$124,5,FALSE),"None")</f>
        <v>Not Rated</v>
      </c>
      <c r="V597" s="5"/>
      <c r="X597" s="5"/>
      <c r="Y597" s="5"/>
      <c r="AA597" s="5"/>
      <c r="AB597" s="5"/>
      <c r="AC597" s="5"/>
      <c r="AF597" s="79" t="s">
        <v>1883</v>
      </c>
      <c r="AG597" s="9"/>
      <c r="AH597" s="9"/>
    </row>
    <row r="598" spans="2:34" hidden="1">
      <c r="B598" s="4">
        <v>2018</v>
      </c>
      <c r="C598" s="4" t="s">
        <v>45</v>
      </c>
      <c r="D598" s="3">
        <v>6</v>
      </c>
      <c r="E598" s="3" t="s">
        <v>828</v>
      </c>
      <c r="G598" s="5" t="s">
        <v>407</v>
      </c>
      <c r="H598" s="5" t="s">
        <v>601</v>
      </c>
      <c r="I598" s="5" t="s">
        <v>136</v>
      </c>
      <c r="J598" s="7">
        <v>7462686</v>
      </c>
      <c r="K598" s="7">
        <v>2238805</v>
      </c>
      <c r="L598" s="7">
        <v>3332835</v>
      </c>
      <c r="M598" s="41">
        <v>55966</v>
      </c>
      <c r="N598" s="42">
        <v>7740000</v>
      </c>
      <c r="O598" s="7">
        <v>9061194</v>
      </c>
      <c r="P598" s="7">
        <v>10244720</v>
      </c>
      <c r="Q598" s="7">
        <v>10281835</v>
      </c>
      <c r="R598" s="5" t="str">
        <f>VLOOKUP($G598,Others!$E$597:$I$629,2,FALSE)</f>
        <v>Original Screenplay</v>
      </c>
      <c r="S598" s="5" t="str">
        <f>VLOOKUP($G598,Others!$E$597:$I$629,3,FALSE)</f>
        <v>Live Action</v>
      </c>
      <c r="T598" s="5" t="str">
        <f>VLOOKUP($G598,Others!$E$597:$I$629,4,FALSE)</f>
        <v>Contemporary Fiction</v>
      </c>
      <c r="U598" s="5" t="str">
        <f>IFERROR(VLOOKUP($G598,Ratings!$E$112:$I$124,5,FALSE),"None")</f>
        <v>Not Rated</v>
      </c>
      <c r="V598" s="5" t="s">
        <v>1987</v>
      </c>
      <c r="W598" s="39" t="s">
        <v>1988</v>
      </c>
      <c r="X598" s="5" t="s">
        <v>1921</v>
      </c>
      <c r="Y598" s="5" t="s">
        <v>1989</v>
      </c>
      <c r="AA598" s="5" t="s">
        <v>1990</v>
      </c>
      <c r="AB598" s="5"/>
      <c r="AC598" s="5" t="s">
        <v>1991</v>
      </c>
      <c r="AD598" s="9">
        <v>6.6</v>
      </c>
      <c r="AE598" s="1" t="s">
        <v>1489</v>
      </c>
      <c r="AF598" s="79" t="s">
        <v>1883</v>
      </c>
      <c r="AG598" s="9"/>
      <c r="AH598" s="9"/>
    </row>
    <row r="599" spans="2:34" hidden="1">
      <c r="B599" s="4">
        <v>2018</v>
      </c>
      <c r="C599" s="4" t="s">
        <v>45</v>
      </c>
      <c r="D599" s="3">
        <v>7</v>
      </c>
      <c r="E599" s="3" t="s">
        <v>835</v>
      </c>
      <c r="G599" s="5" t="s">
        <v>836</v>
      </c>
      <c r="H599" s="5" t="s">
        <v>626</v>
      </c>
      <c r="I599" s="5" t="s">
        <v>136</v>
      </c>
      <c r="J599" s="7">
        <v>0</v>
      </c>
      <c r="M599" s="8">
        <v>8</v>
      </c>
      <c r="N599" s="7">
        <v>7950</v>
      </c>
      <c r="P599" s="7">
        <v>1264734</v>
      </c>
      <c r="Q599" s="7">
        <v>1278065</v>
      </c>
      <c r="R599" s="5" t="str">
        <f>VLOOKUP($G599,Others!$E$597:$I$629,2,FALSE)</f>
        <v>Based on Play</v>
      </c>
      <c r="S599" s="5" t="str">
        <f>VLOOKUP($G599,Others!$E$597:$I$629,3,FALSE)</f>
        <v>Live Action</v>
      </c>
      <c r="T599" s="5" t="str">
        <f>VLOOKUP($G599,Others!$E$597:$I$629,4,FALSE)</f>
        <v>Contemporary Fiction</v>
      </c>
      <c r="U599" s="5" t="str">
        <f>IFERROR(VLOOKUP($G599,Ratings!$E$112:$I$124,5,FALSE),"None")</f>
        <v>Not Rated</v>
      </c>
      <c r="V599" s="5"/>
      <c r="X599" s="5"/>
      <c r="Y599" s="5"/>
      <c r="AA599" s="5"/>
      <c r="AB599" s="5"/>
      <c r="AC599" s="5"/>
      <c r="AF599" s="79" t="s">
        <v>1883</v>
      </c>
      <c r="AG599" s="9"/>
      <c r="AH599" s="9"/>
    </row>
    <row r="600" spans="2:34" hidden="1">
      <c r="B600" s="4">
        <v>2018</v>
      </c>
      <c r="C600" s="4" t="s">
        <v>45</v>
      </c>
      <c r="D600" s="3">
        <v>8</v>
      </c>
      <c r="E600" s="3" t="s">
        <v>824</v>
      </c>
      <c r="G600" s="5" t="s">
        <v>38</v>
      </c>
      <c r="H600" s="5" t="s">
        <v>624</v>
      </c>
      <c r="I600" s="5" t="s">
        <v>154</v>
      </c>
      <c r="J600" s="7">
        <v>0</v>
      </c>
      <c r="M600" s="8">
        <v>2</v>
      </c>
      <c r="N600" s="7">
        <v>0</v>
      </c>
      <c r="P600" s="7">
        <v>0</v>
      </c>
      <c r="Q600" s="7">
        <v>7639</v>
      </c>
      <c r="R600" s="5" t="str">
        <f>VLOOKUP($G600,Others!$E$597:$I$629,2,FALSE)</f>
        <v>Original Screenplay</v>
      </c>
      <c r="S600" s="5" t="str">
        <f>VLOOKUP($G600,Others!$E$597:$I$629,3,FALSE)</f>
        <v>Live Action</v>
      </c>
      <c r="T600" s="5" t="str">
        <f>VLOOKUP($G600,Others!$E$597:$I$629,4,FALSE)</f>
        <v>Contemporary Fiction</v>
      </c>
      <c r="U600" s="5" t="str">
        <f>IFERROR(VLOOKUP($G600,Ratings!$E$112:$I$124,5,FALSE),"None")</f>
        <v>Not Rated</v>
      </c>
      <c r="V600" s="5"/>
      <c r="X600" s="5"/>
      <c r="Y600" s="5"/>
      <c r="AA600" s="5"/>
      <c r="AB600" s="5"/>
      <c r="AC600" s="5"/>
      <c r="AF600" s="79" t="s">
        <v>1883</v>
      </c>
      <c r="AG600" s="9"/>
      <c r="AH600" s="9"/>
    </row>
    <row r="601" spans="2:34" hidden="1">
      <c r="B601" s="4">
        <v>2018</v>
      </c>
      <c r="C601" s="4" t="s">
        <v>45</v>
      </c>
      <c r="D601" s="3">
        <v>9</v>
      </c>
      <c r="E601" s="3" t="s">
        <v>837</v>
      </c>
      <c r="G601" s="5" t="s">
        <v>838</v>
      </c>
      <c r="H601" s="5" t="s">
        <v>839</v>
      </c>
      <c r="I601" s="5" t="s">
        <v>191</v>
      </c>
      <c r="J601" s="7">
        <v>0</v>
      </c>
      <c r="M601" s="8">
        <v>1</v>
      </c>
      <c r="N601" s="7">
        <v>456</v>
      </c>
      <c r="P601" s="7">
        <v>0</v>
      </c>
      <c r="Q601" s="7">
        <v>1034</v>
      </c>
      <c r="R601" s="5" t="str">
        <f>VLOOKUP($G601,Others!$E$597:$I$629,2,FALSE)</f>
        <v>Based on Real Life Events</v>
      </c>
      <c r="S601" s="5" t="str">
        <f>VLOOKUP($G601,Others!$E$597:$I$629,3,FALSE)</f>
        <v>Live Action</v>
      </c>
      <c r="T601" s="5" t="str">
        <f>VLOOKUP($G601,Others!$E$597:$I$629,4,FALSE)</f>
        <v>Factual</v>
      </c>
      <c r="U601" s="5" t="str">
        <f>IFERROR(VLOOKUP($G601,Ratings!$E$112:$I$124,5,FALSE),"None")</f>
        <v>Not Rated</v>
      </c>
      <c r="V601" s="5"/>
      <c r="X601" s="5"/>
      <c r="Y601" s="5"/>
      <c r="AA601" s="5"/>
      <c r="AB601" s="5"/>
      <c r="AC601" s="5"/>
      <c r="AF601" s="79" t="s">
        <v>1883</v>
      </c>
      <c r="AG601" s="9"/>
      <c r="AH601" s="9"/>
    </row>
    <row r="602" spans="2:34" hidden="1">
      <c r="B602" s="4">
        <v>2018</v>
      </c>
      <c r="C602" s="4" t="s">
        <v>45</v>
      </c>
      <c r="D602" s="3">
        <v>10</v>
      </c>
      <c r="E602" s="3" t="s">
        <v>886</v>
      </c>
      <c r="F602" s="3" t="s">
        <v>2292</v>
      </c>
      <c r="G602" s="5" t="s">
        <v>143</v>
      </c>
      <c r="H602" s="5" t="s">
        <v>1442</v>
      </c>
      <c r="I602" s="5" t="s">
        <v>129</v>
      </c>
      <c r="J602" s="7">
        <v>15000000</v>
      </c>
      <c r="K602" s="7" t="s">
        <v>1411</v>
      </c>
      <c r="L602" s="7">
        <v>41641791</v>
      </c>
      <c r="M602" s="8">
        <v>109664</v>
      </c>
      <c r="N602" s="7">
        <v>39881317</v>
      </c>
      <c r="O602" s="7">
        <v>118656716</v>
      </c>
      <c r="P602" s="7">
        <v>115687407</v>
      </c>
      <c r="Q602" s="7">
        <v>115687407</v>
      </c>
      <c r="R602" s="5" t="str">
        <f>VLOOKUP($G602,Others!$E$597:$I$629,2,FALSE)</f>
        <v>Original Screenplay</v>
      </c>
      <c r="S602" s="5" t="str">
        <f>VLOOKUP($G602,Others!$E$597:$I$629,3,FALSE)</f>
        <v>Live Action</v>
      </c>
      <c r="T602" s="5" t="str">
        <f>VLOOKUP($G602,Others!$E$597:$I$629,4,FALSE)</f>
        <v>Contemporary Fiction</v>
      </c>
      <c r="U602" s="5" t="str">
        <f>IFERROR(VLOOKUP($G602,Ratings!$E$112:$I$124,5,FALSE),"None")</f>
        <v>None</v>
      </c>
      <c r="V602" s="5" t="s">
        <v>2223</v>
      </c>
      <c r="W602" s="5" t="s">
        <v>2224</v>
      </c>
      <c r="X602" s="5" t="s">
        <v>1646</v>
      </c>
      <c r="Y602" s="5" t="s">
        <v>2225</v>
      </c>
      <c r="Z602" s="5" t="s">
        <v>2226</v>
      </c>
      <c r="AA602" s="5" t="s">
        <v>2227</v>
      </c>
      <c r="AB602" s="5"/>
      <c r="AC602" s="5" t="s">
        <v>2228</v>
      </c>
      <c r="AD602" s="20">
        <v>9</v>
      </c>
      <c r="AE602" s="1" t="s">
        <v>1489</v>
      </c>
      <c r="AF602" s="79" t="s">
        <v>1883</v>
      </c>
      <c r="AG602" s="9"/>
      <c r="AH602" s="9"/>
    </row>
    <row r="603" spans="2:34" hidden="1">
      <c r="B603" s="4">
        <v>2019</v>
      </c>
      <c r="C603" s="4" t="s">
        <v>45</v>
      </c>
      <c r="D603" s="3">
        <v>11</v>
      </c>
      <c r="E603" s="3" t="s">
        <v>886</v>
      </c>
      <c r="F603" s="3" t="s">
        <v>2293</v>
      </c>
      <c r="G603" s="5" t="s">
        <v>247</v>
      </c>
      <c r="H603" s="5" t="s">
        <v>1409</v>
      </c>
      <c r="I603" s="5" t="s">
        <v>191</v>
      </c>
      <c r="J603" s="7">
        <f>0.1*100000000/6.7</f>
        <v>1492537.3134328357</v>
      </c>
      <c r="K603" s="7" t="s">
        <v>1411</v>
      </c>
      <c r="L603" s="7">
        <f>0.02*100000000/6.7</f>
        <v>298507.46268656716</v>
      </c>
      <c r="M603" s="41" t="s">
        <v>1501</v>
      </c>
      <c r="N603" s="7">
        <v>67346</v>
      </c>
      <c r="O603" s="7">
        <f>0.07*100000000/6.7</f>
        <v>1044776.1194029852</v>
      </c>
      <c r="P603" s="7">
        <v>1250000</v>
      </c>
      <c r="Q603" s="7">
        <v>1250000</v>
      </c>
      <c r="R603" s="5" t="str">
        <f>VLOOKUP($G603,Others!$E$597:$I$629,2,FALSE)</f>
        <v>Original Screenplay</v>
      </c>
      <c r="S603" s="5" t="str">
        <f>VLOOKUP($G603,Others!$E$597:$I$629,3,FALSE)</f>
        <v>Live Action</v>
      </c>
      <c r="T603" s="5" t="str">
        <f>VLOOKUP($G603,Others!$E$597:$I$629,4,FALSE)</f>
        <v>Factual</v>
      </c>
      <c r="U603" s="5" t="str">
        <f>IFERROR(VLOOKUP($G603,Ratings!$E$112:$I$124,5,FALSE),"None")</f>
        <v>None</v>
      </c>
      <c r="V603" s="5" t="s">
        <v>2069</v>
      </c>
      <c r="W603" s="5" t="s">
        <v>247</v>
      </c>
      <c r="X603" s="5"/>
      <c r="Y603" s="5"/>
      <c r="Z603" s="5"/>
      <c r="AA603" s="5" t="s">
        <v>2072</v>
      </c>
      <c r="AB603" s="5"/>
      <c r="AC603" s="5" t="s">
        <v>2073</v>
      </c>
      <c r="AD603" s="9">
        <v>9.1999999999999993</v>
      </c>
      <c r="AE603" s="1" t="s">
        <v>1489</v>
      </c>
      <c r="AF603" s="79" t="s">
        <v>1883</v>
      </c>
      <c r="AG603" s="9"/>
      <c r="AH603" s="9"/>
    </row>
    <row r="604" spans="2:34" hidden="1">
      <c r="B604" s="4">
        <v>2018</v>
      </c>
      <c r="C604" s="4" t="s">
        <v>45</v>
      </c>
      <c r="D604" s="3">
        <v>12</v>
      </c>
      <c r="E604" s="3" t="s">
        <v>886</v>
      </c>
      <c r="G604" s="5" t="s">
        <v>1008</v>
      </c>
      <c r="H604" s="5"/>
      <c r="I604" s="5" t="s">
        <v>129</v>
      </c>
      <c r="J604" s="7">
        <v>0</v>
      </c>
      <c r="M604" s="8">
        <v>0</v>
      </c>
      <c r="N604" s="7">
        <v>0</v>
      </c>
      <c r="P604" s="7">
        <v>185427900</v>
      </c>
      <c r="Q604" s="7">
        <v>185427900</v>
      </c>
      <c r="R604" s="5" t="str">
        <f>VLOOKUP($G604,Others!$E$597:$I$629,2,FALSE)</f>
        <v>Original Screenplay</v>
      </c>
      <c r="S604" s="5" t="str">
        <f>VLOOKUP($G604,Others!$E$597:$I$629,3,FALSE)</f>
        <v>Live Action</v>
      </c>
      <c r="T604" s="5" t="str">
        <f>VLOOKUP($G604,Others!$E$597:$I$629,4,FALSE)</f>
        <v>Contemporary Fiction</v>
      </c>
      <c r="U604" s="5" t="str">
        <f>IFERROR(VLOOKUP($G604,Ratings!$E$112:$I$124,5,FALSE),"None")</f>
        <v>None</v>
      </c>
      <c r="V604" s="5"/>
      <c r="X604" s="5"/>
      <c r="Y604" s="5"/>
      <c r="Z604" s="5"/>
      <c r="AA604" s="5"/>
      <c r="AB604" s="5"/>
      <c r="AC604" s="5"/>
      <c r="AF604" s="79" t="s">
        <v>1883</v>
      </c>
      <c r="AG604" s="9"/>
      <c r="AH604" s="9"/>
    </row>
    <row r="605" spans="2:34" hidden="1">
      <c r="B605" s="4">
        <v>2018</v>
      </c>
      <c r="C605" s="4" t="s">
        <v>45</v>
      </c>
      <c r="D605" s="3">
        <v>13</v>
      </c>
      <c r="E605" s="3" t="s">
        <v>857</v>
      </c>
      <c r="G605" s="5" t="s">
        <v>858</v>
      </c>
      <c r="H605" s="5" t="s">
        <v>1419</v>
      </c>
      <c r="I605" s="5" t="s">
        <v>129</v>
      </c>
      <c r="J605" s="7">
        <f>100000000/6.7</f>
        <v>14925373.134328358</v>
      </c>
      <c r="K605" s="7">
        <f>30000000/6.7</f>
        <v>4477611.940298507</v>
      </c>
      <c r="L605" s="7">
        <v>8174029.8507462703</v>
      </c>
      <c r="M605" s="41">
        <v>44310</v>
      </c>
      <c r="N605" s="42">
        <v>179845</v>
      </c>
      <c r="O605" s="7">
        <f>1.47*100000000/6.7</f>
        <v>21940298.507462688</v>
      </c>
      <c r="P605" s="7">
        <v>22682660</v>
      </c>
      <c r="Q605" s="7">
        <v>22682660</v>
      </c>
      <c r="R605" s="5" t="str">
        <f>VLOOKUP($G605,Others!$E$597:$I$629,2,FALSE)</f>
        <v>Original Screenplay</v>
      </c>
      <c r="S605" s="5" t="str">
        <f>VLOOKUP($G605,Others!$E$597:$I$629,3,FALSE)</f>
        <v>Live Action</v>
      </c>
      <c r="T605" s="5" t="str">
        <f>VLOOKUP($G605,Others!$E$597:$I$629,4,FALSE)</f>
        <v>Contemporary Fiction</v>
      </c>
      <c r="U605" s="5" t="str">
        <f>IFERROR(VLOOKUP($G605,Ratings!$E$112:$I$124,5,FALSE),"None")</f>
        <v>None</v>
      </c>
      <c r="V605" s="5" t="s">
        <v>2017</v>
      </c>
      <c r="W605" s="5" t="s">
        <v>2018</v>
      </c>
      <c r="X605" s="5" t="s">
        <v>1656</v>
      </c>
      <c r="Y605" s="5" t="s">
        <v>2019</v>
      </c>
      <c r="Z605" s="5"/>
      <c r="AA605" s="5" t="s">
        <v>2294</v>
      </c>
      <c r="AB605" s="5" t="s">
        <v>2021</v>
      </c>
      <c r="AC605" s="5" t="s">
        <v>1991</v>
      </c>
      <c r="AD605" s="9">
        <v>8.6999999999999993</v>
      </c>
      <c r="AE605" s="9" t="s">
        <v>1489</v>
      </c>
      <c r="AF605" s="79" t="s">
        <v>1883</v>
      </c>
      <c r="AG605" s="9"/>
      <c r="AH605" s="9"/>
    </row>
    <row r="606" spans="2:34" hidden="1">
      <c r="B606" s="4">
        <v>2018</v>
      </c>
      <c r="C606" s="4" t="s">
        <v>45</v>
      </c>
      <c r="D606" s="3">
        <v>14</v>
      </c>
      <c r="E606" s="3" t="s">
        <v>886</v>
      </c>
      <c r="G606" s="5" t="s">
        <v>165</v>
      </c>
      <c r="H606" s="5"/>
      <c r="I606" s="5" t="s">
        <v>154</v>
      </c>
      <c r="J606" s="7">
        <v>0</v>
      </c>
      <c r="M606" s="8">
        <v>0</v>
      </c>
      <c r="N606" s="7">
        <v>0</v>
      </c>
      <c r="P606" s="7">
        <v>25293852</v>
      </c>
      <c r="Q606" s="7">
        <v>25293852</v>
      </c>
      <c r="R606" s="5" t="str">
        <f>VLOOKUP($G606,Others!$E$597:$I$629,2,FALSE)</f>
        <v>Original Screenplay</v>
      </c>
      <c r="S606" s="5" t="str">
        <f>VLOOKUP($G606,Others!$E$597:$I$629,3,FALSE)</f>
        <v>Live Action</v>
      </c>
      <c r="T606" s="5" t="str">
        <f>VLOOKUP($G606,Others!$E$597:$I$629,4,FALSE)</f>
        <v>Contemporary Fiction</v>
      </c>
      <c r="U606" s="5" t="str">
        <f>IFERROR(VLOOKUP($G606,Ratings!$E$112:$I$124,5,FALSE),"None")</f>
        <v>None</v>
      </c>
      <c r="V606" s="5"/>
      <c r="X606" s="5"/>
      <c r="Y606" s="5"/>
      <c r="Z606" s="5"/>
      <c r="AA606" s="5"/>
      <c r="AB606" s="5"/>
      <c r="AC606" s="5"/>
      <c r="AF606" s="79" t="s">
        <v>1883</v>
      </c>
      <c r="AG606" s="9"/>
      <c r="AH606" s="9"/>
    </row>
    <row r="607" spans="2:34" hidden="1">
      <c r="B607" s="4">
        <v>2018</v>
      </c>
      <c r="C607" s="4" t="s">
        <v>45</v>
      </c>
      <c r="D607" s="3">
        <v>15</v>
      </c>
      <c r="E607" s="3" t="s">
        <v>886</v>
      </c>
      <c r="G607" s="5" t="s">
        <v>1035</v>
      </c>
      <c r="H607" s="5"/>
      <c r="I607" s="5" t="s">
        <v>129</v>
      </c>
      <c r="J607" s="7">
        <v>0</v>
      </c>
      <c r="M607" s="8">
        <v>0</v>
      </c>
      <c r="N607" s="7">
        <v>0</v>
      </c>
      <c r="P607" s="7">
        <v>63931005</v>
      </c>
      <c r="Q607" s="7">
        <v>63931005</v>
      </c>
      <c r="R607" s="5" t="str">
        <f>VLOOKUP($G607,Others!$E$597:$I$629,2,FALSE)</f>
        <v>Original Screenplay</v>
      </c>
      <c r="S607" s="5" t="str">
        <f>VLOOKUP($G607,Others!$E$597:$I$629,3,FALSE)</f>
        <v>Live Action</v>
      </c>
      <c r="T607" s="5" t="str">
        <f>VLOOKUP($G607,Others!$E$597:$I$629,4,FALSE)</f>
        <v>Contemporary Fiction</v>
      </c>
      <c r="U607" s="5" t="str">
        <f>IFERROR(VLOOKUP($G607,Ratings!$E$112:$I$124,5,FALSE),"None")</f>
        <v>None</v>
      </c>
      <c r="V607" s="5"/>
      <c r="X607" s="5"/>
      <c r="Y607" s="5"/>
      <c r="Z607" s="5"/>
      <c r="AA607" s="5"/>
      <c r="AB607" s="5"/>
      <c r="AC607" s="5"/>
      <c r="AG607" s="9"/>
      <c r="AH607" s="9"/>
    </row>
    <row r="608" spans="2:34" hidden="1">
      <c r="B608" s="4">
        <v>2018</v>
      </c>
      <c r="C608" s="4" t="s">
        <v>45</v>
      </c>
      <c r="D608" s="3">
        <v>16</v>
      </c>
      <c r="E608" s="3" t="s">
        <v>1036</v>
      </c>
      <c r="G608" s="5" t="s">
        <v>1037</v>
      </c>
      <c r="H608" s="5"/>
      <c r="I608" s="5" t="s">
        <v>131</v>
      </c>
      <c r="J608" s="7">
        <v>0</v>
      </c>
      <c r="M608" s="8">
        <v>0</v>
      </c>
      <c r="N608" s="7">
        <v>0</v>
      </c>
      <c r="P608" s="7">
        <v>0</v>
      </c>
      <c r="Q608" s="7">
        <v>0</v>
      </c>
      <c r="R608" s="5">
        <f>VLOOKUP($G608,Others!$E$597:$I$629,2,FALSE)</f>
        <v>0</v>
      </c>
      <c r="S608" s="5" t="str">
        <f>VLOOKUP($G608,Others!$E$597:$I$629,3,FALSE)</f>
        <v>Live Action</v>
      </c>
      <c r="T608" s="5">
        <f>VLOOKUP($G608,Others!$E$597:$I$629,4,FALSE)</f>
        <v>0</v>
      </c>
      <c r="U608" s="5" t="str">
        <f>IFERROR(VLOOKUP($G608,Ratings!$E$112:$I$124,5,FALSE),"None")</f>
        <v>None</v>
      </c>
      <c r="V608" s="5"/>
      <c r="X608" s="5"/>
      <c r="Y608" s="5"/>
      <c r="Z608" s="5"/>
      <c r="AA608" s="5"/>
      <c r="AB608" s="5"/>
      <c r="AC608" s="5"/>
      <c r="AG608" s="9"/>
      <c r="AH608" s="9"/>
    </row>
    <row r="609" spans="2:34">
      <c r="B609" s="4">
        <v>2019</v>
      </c>
      <c r="C609" s="4" t="s">
        <v>45</v>
      </c>
      <c r="D609" s="3">
        <v>17</v>
      </c>
      <c r="E609" s="55" t="s">
        <v>886</v>
      </c>
      <c r="F609" s="3" t="s">
        <v>2055</v>
      </c>
      <c r="G609" s="5" t="s">
        <v>1038</v>
      </c>
      <c r="H609" s="5" t="s">
        <v>1450</v>
      </c>
      <c r="I609" s="5" t="s">
        <v>136</v>
      </c>
      <c r="J609" s="7">
        <f>0.25*100000000/6.7</f>
        <v>3731343.2835820895</v>
      </c>
      <c r="K609" s="57" t="s">
        <v>1411</v>
      </c>
      <c r="L609" s="7">
        <f>0.12*100000000/6.7</f>
        <v>1791044.7761194028</v>
      </c>
      <c r="M609" s="41">
        <v>37174</v>
      </c>
      <c r="N609" s="42">
        <v>14387</v>
      </c>
      <c r="O609" s="7">
        <f>0.33*100000000/6.7</f>
        <v>4925373.1343283579</v>
      </c>
      <c r="P609" s="7">
        <v>4815816</v>
      </c>
      <c r="Q609" s="7">
        <v>4815816</v>
      </c>
      <c r="R609" s="5" t="str">
        <f>VLOOKUP($G609,Others!$E$597:$I$629,2,FALSE)</f>
        <v>Original Screenplay</v>
      </c>
      <c r="S609" s="5" t="str">
        <f>VLOOKUP($G609,Others!$E$597:$I$629,3,FALSE)</f>
        <v>Live Action</v>
      </c>
      <c r="T609" s="5">
        <f>VLOOKUP($G609,Others!$E$597:$I$629,4,FALSE)</f>
        <v>0</v>
      </c>
      <c r="U609" s="5" t="str">
        <f>IFERROR(VLOOKUP($G609,Ratings!$E$112:$I$124,5,FALSE),"None")</f>
        <v>None</v>
      </c>
      <c r="V609" s="5" t="s">
        <v>2295</v>
      </c>
      <c r="W609" s="5" t="s">
        <v>2296</v>
      </c>
      <c r="X609" s="5" t="s">
        <v>1994</v>
      </c>
      <c r="Y609" s="5" t="s">
        <v>1646</v>
      </c>
      <c r="Z609" s="5" t="s">
        <v>2297</v>
      </c>
      <c r="AA609" s="5" t="s">
        <v>2298</v>
      </c>
      <c r="AB609" s="5"/>
      <c r="AC609" s="5" t="s">
        <v>2299</v>
      </c>
      <c r="AD609" s="20">
        <v>6</v>
      </c>
      <c r="AE609" s="1" t="s">
        <v>1489</v>
      </c>
      <c r="AG609" s="9"/>
      <c r="AH609" s="9"/>
    </row>
    <row r="610" spans="2:34" hidden="1">
      <c r="B610" s="4">
        <v>2018</v>
      </c>
      <c r="C610" s="4" t="s">
        <v>45</v>
      </c>
      <c r="D610" s="3">
        <v>18</v>
      </c>
      <c r="E610" s="3" t="s">
        <v>886</v>
      </c>
      <c r="G610" s="5" t="s">
        <v>230</v>
      </c>
      <c r="H610" s="5"/>
      <c r="I610" s="5" t="s">
        <v>148</v>
      </c>
      <c r="J610" s="7">
        <v>0</v>
      </c>
      <c r="M610" s="8">
        <v>0</v>
      </c>
      <c r="N610" s="7">
        <v>0</v>
      </c>
      <c r="P610" s="7">
        <v>2610000</v>
      </c>
      <c r="Q610" s="7">
        <v>2610000</v>
      </c>
      <c r="R610" s="5" t="str">
        <f>VLOOKUP($G610,Others!$E$597:$I$629,2,FALSE)</f>
        <v>Original Screenplay</v>
      </c>
      <c r="S610" s="5" t="str">
        <f>VLOOKUP($G610,Others!$E$597:$I$629,3,FALSE)</f>
        <v>Live Action</v>
      </c>
      <c r="T610" s="5" t="str">
        <f>VLOOKUP($G610,Others!$E$597:$I$629,4,FALSE)</f>
        <v>Contemporary Fiction</v>
      </c>
      <c r="U610" s="5" t="str">
        <f>IFERROR(VLOOKUP($G610,Ratings!$E$112:$I$124,5,FALSE),"None")</f>
        <v>None</v>
      </c>
      <c r="V610" s="5"/>
      <c r="X610" s="5"/>
      <c r="Y610" s="5"/>
      <c r="Z610" s="5"/>
      <c r="AA610" s="5"/>
      <c r="AB610" s="5"/>
      <c r="AC610" s="5"/>
      <c r="AG610" s="9"/>
      <c r="AH610" s="9"/>
    </row>
    <row r="611" spans="2:34" hidden="1">
      <c r="B611" s="4">
        <v>2018</v>
      </c>
      <c r="C611" s="4" t="s">
        <v>45</v>
      </c>
      <c r="D611" s="3">
        <v>19</v>
      </c>
      <c r="E611" s="3" t="s">
        <v>886</v>
      </c>
      <c r="G611" s="5" t="s">
        <v>1039</v>
      </c>
      <c r="H611" s="5"/>
      <c r="I611" s="5" t="s">
        <v>131</v>
      </c>
      <c r="J611" s="7">
        <v>0</v>
      </c>
      <c r="M611" s="8">
        <v>0</v>
      </c>
      <c r="N611" s="7">
        <v>0</v>
      </c>
      <c r="P611" s="7">
        <v>95649</v>
      </c>
      <c r="Q611" s="7">
        <v>95649</v>
      </c>
      <c r="R611" s="5">
        <f>VLOOKUP($G611,Others!$E$597:$I$629,2,FALSE)</f>
        <v>0</v>
      </c>
      <c r="S611" s="5" t="str">
        <f>VLOOKUP($G611,Others!$E$597:$I$629,3,FALSE)</f>
        <v>Live Action</v>
      </c>
      <c r="T611" s="5">
        <f>VLOOKUP($G611,Others!$E$597:$I$629,4,FALSE)</f>
        <v>0</v>
      </c>
      <c r="U611" s="5" t="str">
        <f>IFERROR(VLOOKUP($G611,Ratings!$E$112:$I$124,5,FALSE),"None")</f>
        <v>None</v>
      </c>
      <c r="V611" s="5"/>
      <c r="X611" s="5"/>
      <c r="Y611" s="5"/>
      <c r="Z611" s="5"/>
      <c r="AA611" s="5"/>
      <c r="AB611" s="5"/>
      <c r="AC611" s="5"/>
      <c r="AG611" s="9"/>
      <c r="AH611" s="9"/>
    </row>
    <row r="612" spans="2:34" hidden="1">
      <c r="B612" s="4">
        <v>2018</v>
      </c>
      <c r="C612" s="4" t="s">
        <v>45</v>
      </c>
      <c r="D612" s="3">
        <v>20</v>
      </c>
      <c r="E612" s="3" t="s">
        <v>874</v>
      </c>
      <c r="F612" s="3" t="s">
        <v>2300</v>
      </c>
      <c r="G612" s="5" t="s">
        <v>875</v>
      </c>
      <c r="H612" s="5" t="s">
        <v>1448</v>
      </c>
      <c r="I612" s="5" t="s">
        <v>129</v>
      </c>
      <c r="J612" s="7">
        <v>14925373</v>
      </c>
      <c r="K612" s="7">
        <v>7462686</v>
      </c>
      <c r="L612" s="7">
        <v>27462686</v>
      </c>
      <c r="M612" s="8">
        <v>73896</v>
      </c>
      <c r="N612" s="7">
        <v>32200000</v>
      </c>
      <c r="O612" s="7">
        <v>72537313</v>
      </c>
      <c r="P612" s="7">
        <v>79214896</v>
      </c>
      <c r="Q612" s="7">
        <v>79214896</v>
      </c>
      <c r="R612" s="5" t="str">
        <f>VLOOKUP($G612,Others!$E$597:$I$629,2,FALSE)</f>
        <v>Original Screenplay</v>
      </c>
      <c r="S612" s="5" t="str">
        <f>VLOOKUP($G612,Others!$E$597:$I$629,3,FALSE)</f>
        <v>Live Action</v>
      </c>
      <c r="T612" s="5" t="str">
        <f>VLOOKUP($G612,Others!$E$597:$I$629,4,FALSE)</f>
        <v>Contemporary Fiction</v>
      </c>
      <c r="U612" s="5" t="str">
        <f>IFERROR(VLOOKUP($G612,Ratings!$E$112:$I$124,5,FALSE),"None")</f>
        <v>None</v>
      </c>
      <c r="V612" s="5" t="s">
        <v>2041</v>
      </c>
      <c r="W612" s="5" t="s">
        <v>2042</v>
      </c>
      <c r="X612" s="5" t="s">
        <v>1646</v>
      </c>
      <c r="Y612" s="5"/>
      <c r="Z612" s="5"/>
      <c r="AA612" s="5" t="s">
        <v>1879</v>
      </c>
      <c r="AB612" s="5"/>
      <c r="AC612" s="5" t="s">
        <v>1888</v>
      </c>
      <c r="AD612" s="9">
        <v>8.5</v>
      </c>
      <c r="AE612" s="1" t="s">
        <v>1489</v>
      </c>
      <c r="AF612" s="79" t="s">
        <v>1883</v>
      </c>
      <c r="AG612" s="9"/>
      <c r="AH612" s="9"/>
    </row>
    <row r="613" spans="2:34" hidden="1">
      <c r="B613" s="4">
        <v>2018</v>
      </c>
      <c r="C613" s="4" t="s">
        <v>45</v>
      </c>
      <c r="D613" s="3">
        <v>21</v>
      </c>
      <c r="E613" s="3" t="s">
        <v>1040</v>
      </c>
      <c r="G613" s="5" t="s">
        <v>554</v>
      </c>
      <c r="H613" s="5" t="s">
        <v>1041</v>
      </c>
      <c r="I613" s="5" t="s">
        <v>191</v>
      </c>
      <c r="J613" s="7">
        <v>0</v>
      </c>
      <c r="M613" s="8">
        <v>0</v>
      </c>
      <c r="N613" s="7">
        <v>0</v>
      </c>
      <c r="P613" s="7">
        <v>0</v>
      </c>
      <c r="Q613" s="7">
        <v>0</v>
      </c>
      <c r="R613" s="5" t="str">
        <f>VLOOKUP($G613,Others!$E$597:$I$629,2,FALSE)</f>
        <v>Based on Real Life Events</v>
      </c>
      <c r="S613" s="5" t="str">
        <f>VLOOKUP($G613,Others!$E$597:$I$629,3,FALSE)</f>
        <v>Live Action</v>
      </c>
      <c r="T613" s="5" t="str">
        <f>VLOOKUP($G613,Others!$E$597:$I$629,4,FALSE)</f>
        <v>Factual</v>
      </c>
      <c r="U613" s="5" t="str">
        <f>IFERROR(VLOOKUP($G613,Ratings!$E$112:$I$124,5,FALSE),"None")</f>
        <v>Not Rated</v>
      </c>
      <c r="V613" s="5"/>
      <c r="X613" s="5"/>
      <c r="Y613" s="5"/>
      <c r="Z613" s="5"/>
      <c r="AA613" s="5"/>
      <c r="AB613" s="5"/>
      <c r="AC613" s="5"/>
      <c r="AG613" s="9"/>
      <c r="AH613" s="9"/>
    </row>
    <row r="614" spans="2:34" hidden="1">
      <c r="B614" s="4">
        <v>2018</v>
      </c>
      <c r="C614" s="4" t="s">
        <v>45</v>
      </c>
      <c r="D614" s="3">
        <v>22</v>
      </c>
      <c r="E614" s="3" t="s">
        <v>886</v>
      </c>
      <c r="G614" s="5" t="s">
        <v>405</v>
      </c>
      <c r="H614" s="5"/>
      <c r="I614" s="5" t="s">
        <v>154</v>
      </c>
      <c r="J614" s="7">
        <v>0</v>
      </c>
      <c r="M614" s="8">
        <v>0</v>
      </c>
      <c r="N614" s="7">
        <v>0</v>
      </c>
      <c r="P614" s="7">
        <v>10657326</v>
      </c>
      <c r="Q614" s="7">
        <v>10657326</v>
      </c>
      <c r="R614" s="5">
        <f>VLOOKUP($G614,Others!$E$597:$I$629,2,FALSE)</f>
        <v>0</v>
      </c>
      <c r="S614" s="5" t="str">
        <f>VLOOKUP($G614,Others!$E$597:$I$629,3,FALSE)</f>
        <v>Live Action</v>
      </c>
      <c r="T614" s="5" t="str">
        <f>VLOOKUP($G614,Others!$E$597:$I$629,4,FALSE)</f>
        <v>Contemporary Fiction</v>
      </c>
      <c r="U614" s="5" t="str">
        <f>IFERROR(VLOOKUP($G614,Ratings!$E$112:$I$124,5,FALSE),"None")</f>
        <v>None</v>
      </c>
      <c r="V614" s="5"/>
      <c r="X614" s="5"/>
      <c r="Y614" s="5"/>
      <c r="Z614" s="5"/>
      <c r="AA614" s="5"/>
      <c r="AB614" s="5"/>
      <c r="AC614" s="5"/>
      <c r="AF614" s="79" t="s">
        <v>1883</v>
      </c>
      <c r="AG614" s="9"/>
      <c r="AH614" s="9"/>
    </row>
    <row r="615" spans="2:34" hidden="1">
      <c r="B615" s="4">
        <v>2018</v>
      </c>
      <c r="C615" s="4" t="s">
        <v>45</v>
      </c>
      <c r="D615" s="3">
        <v>23</v>
      </c>
      <c r="E615" s="3" t="s">
        <v>1042</v>
      </c>
      <c r="G615" s="5" t="s">
        <v>1043</v>
      </c>
      <c r="H615" s="5"/>
      <c r="I615" s="5" t="s">
        <v>129</v>
      </c>
      <c r="J615" s="7">
        <v>0</v>
      </c>
      <c r="M615" s="8">
        <v>0</v>
      </c>
      <c r="N615" s="7">
        <v>0</v>
      </c>
      <c r="P615" s="7">
        <v>0</v>
      </c>
      <c r="Q615" s="7">
        <v>0</v>
      </c>
      <c r="R615" s="5">
        <f>VLOOKUP($G615,Others!$E$597:$I$629,2,FALSE)</f>
        <v>0</v>
      </c>
      <c r="S615" s="5" t="str">
        <f>VLOOKUP($G615,Others!$E$597:$I$629,3,FALSE)</f>
        <v>Live Action</v>
      </c>
      <c r="T615" s="5">
        <f>VLOOKUP($G615,Others!$E$597:$I$629,4,FALSE)</f>
        <v>0</v>
      </c>
      <c r="U615" s="5" t="str">
        <f>IFERROR(VLOOKUP($G615,Ratings!$E$112:$I$124,5,FALSE),"None")</f>
        <v>None</v>
      </c>
      <c r="V615" s="5"/>
      <c r="X615" s="5"/>
      <c r="Y615" s="5"/>
      <c r="Z615" s="5"/>
      <c r="AA615" s="5"/>
      <c r="AB615" s="5"/>
      <c r="AC615" s="5"/>
      <c r="AF615" s="79" t="s">
        <v>1883</v>
      </c>
      <c r="AG615" s="9"/>
      <c r="AH615" s="9"/>
    </row>
    <row r="616" spans="2:34" hidden="1">
      <c r="B616" s="4">
        <v>2018</v>
      </c>
      <c r="C616" s="4" t="s">
        <v>45</v>
      </c>
      <c r="D616" s="3">
        <v>24</v>
      </c>
      <c r="E616" s="3" t="s">
        <v>886</v>
      </c>
      <c r="G616" s="5" t="s">
        <v>1044</v>
      </c>
      <c r="H616" s="5"/>
      <c r="I616" s="5" t="s">
        <v>136</v>
      </c>
      <c r="J616" s="7">
        <v>0</v>
      </c>
      <c r="M616" s="8">
        <v>0</v>
      </c>
      <c r="N616" s="7">
        <v>0</v>
      </c>
      <c r="P616" s="7">
        <v>22446966</v>
      </c>
      <c r="Q616" s="7">
        <v>22446966</v>
      </c>
      <c r="R616" s="5">
        <f>VLOOKUP($G616,Others!$E$597:$I$629,2,FALSE)</f>
        <v>0</v>
      </c>
      <c r="S616" s="5" t="str">
        <f>VLOOKUP($G616,Others!$E$597:$I$629,3,FALSE)</f>
        <v>Live Action</v>
      </c>
      <c r="T616" s="5" t="str">
        <f>VLOOKUP($G616,Others!$E$597:$I$629,4,FALSE)</f>
        <v>Contemporary Fiction</v>
      </c>
      <c r="U616" s="5" t="str">
        <f>IFERROR(VLOOKUP($G616,Ratings!$E$112:$I$124,5,FALSE),"None")</f>
        <v>None</v>
      </c>
      <c r="V616" s="5"/>
      <c r="X616" s="5"/>
      <c r="Y616" s="5"/>
      <c r="Z616" s="5"/>
      <c r="AA616" s="5"/>
      <c r="AB616" s="5"/>
      <c r="AC616" s="5"/>
      <c r="AG616" s="9"/>
      <c r="AH616" s="9"/>
    </row>
    <row r="617" spans="2:34" hidden="1">
      <c r="B617" s="4">
        <v>2018</v>
      </c>
      <c r="C617" s="4" t="s">
        <v>45</v>
      </c>
      <c r="D617" s="3">
        <v>25</v>
      </c>
      <c r="E617" s="3" t="s">
        <v>886</v>
      </c>
      <c r="G617" s="5" t="s">
        <v>414</v>
      </c>
      <c r="H617" s="5"/>
      <c r="I617" s="5" t="s">
        <v>136</v>
      </c>
      <c r="J617" s="7">
        <v>0</v>
      </c>
      <c r="M617" s="8">
        <v>0</v>
      </c>
      <c r="N617" s="7">
        <v>0</v>
      </c>
      <c r="P617" s="7">
        <v>7423443</v>
      </c>
      <c r="Q617" s="7">
        <v>7423443</v>
      </c>
      <c r="R617" s="5" t="str">
        <f>VLOOKUP($G617,Others!$E$597:$I$629,2,FALSE)</f>
        <v>Original Screenplay</v>
      </c>
      <c r="S617" s="5" t="str">
        <f>VLOOKUP($G617,Others!$E$597:$I$629,3,FALSE)</f>
        <v>Live Action</v>
      </c>
      <c r="T617" s="5">
        <f>VLOOKUP($G617,Others!$E$597:$I$629,4,FALSE)</f>
        <v>0</v>
      </c>
      <c r="U617" s="5" t="str">
        <f>IFERROR(VLOOKUP($G617,Ratings!$E$112:$I$124,5,FALSE),"None")</f>
        <v>None</v>
      </c>
      <c r="V617" s="5"/>
      <c r="X617" s="5"/>
      <c r="Y617" s="5"/>
      <c r="Z617" s="5"/>
      <c r="AA617" s="5"/>
      <c r="AB617" s="5"/>
      <c r="AC617" s="5"/>
      <c r="AF617" s="79" t="s">
        <v>1883</v>
      </c>
      <c r="AG617" s="9"/>
      <c r="AH617" s="9"/>
    </row>
    <row r="618" spans="2:34" hidden="1">
      <c r="B618" s="4">
        <v>2018</v>
      </c>
      <c r="C618" s="4" t="s">
        <v>45</v>
      </c>
      <c r="D618" s="3">
        <v>26</v>
      </c>
      <c r="E618" s="3" t="s">
        <v>886</v>
      </c>
      <c r="G618" s="5" t="s">
        <v>327</v>
      </c>
      <c r="H618" s="5"/>
      <c r="I618" s="5" t="s">
        <v>136</v>
      </c>
      <c r="J618" s="7">
        <v>0</v>
      </c>
      <c r="M618" s="8">
        <v>0</v>
      </c>
      <c r="N618" s="7">
        <v>0</v>
      </c>
      <c r="P618" s="7">
        <v>24927</v>
      </c>
      <c r="Q618" s="7">
        <v>24927</v>
      </c>
      <c r="R618" s="5" t="str">
        <f>VLOOKUP($G618,Others!$E$597:$I$629,2,FALSE)</f>
        <v>Original Screenplay</v>
      </c>
      <c r="S618" s="5" t="str">
        <f>VLOOKUP($G618,Others!$E$597:$I$629,3,FALSE)</f>
        <v>Live Action</v>
      </c>
      <c r="T618" s="5" t="str">
        <f>VLOOKUP($G618,Others!$E$597:$I$629,4,FALSE)</f>
        <v>Contemporary Fiction</v>
      </c>
      <c r="U618" s="5" t="str">
        <f>IFERROR(VLOOKUP($G618,Ratings!$E$112:$I$124,5,FALSE),"None")</f>
        <v>None</v>
      </c>
      <c r="V618" s="5"/>
      <c r="X618" s="5"/>
      <c r="Y618" s="5"/>
      <c r="Z618" s="5"/>
      <c r="AA618" s="5"/>
      <c r="AB618" s="5"/>
      <c r="AC618" s="5"/>
      <c r="AG618" s="9"/>
      <c r="AH618" s="9"/>
    </row>
    <row r="619" spans="2:34" hidden="1">
      <c r="B619" s="4">
        <v>2018</v>
      </c>
      <c r="C619" s="4" t="s">
        <v>45</v>
      </c>
      <c r="D619" s="3">
        <v>27</v>
      </c>
      <c r="E619" s="3" t="s">
        <v>886</v>
      </c>
      <c r="G619" s="5" t="s">
        <v>232</v>
      </c>
      <c r="H619" s="5" t="s">
        <v>1430</v>
      </c>
      <c r="I619" s="5" t="s">
        <v>136</v>
      </c>
      <c r="J619" s="7">
        <f>0.4*100000000/6.7</f>
        <v>5970149.253731343</v>
      </c>
      <c r="K619" s="7" t="s">
        <v>1411</v>
      </c>
      <c r="L619" s="7">
        <f>0.06*100000000/6.7</f>
        <v>895522.38805970142</v>
      </c>
      <c r="M619" s="8">
        <v>48798</v>
      </c>
      <c r="N619" s="7">
        <v>2190000</v>
      </c>
      <c r="O619" s="7">
        <f>0.17*100000000/6.7</f>
        <v>2537313.4328358206</v>
      </c>
      <c r="P619" s="7">
        <v>2415054</v>
      </c>
      <c r="Q619" s="7">
        <v>2415054</v>
      </c>
      <c r="R619" s="5" t="str">
        <f>VLOOKUP($G619,Others!$E$597:$I$629,2,FALSE)</f>
        <v>Original Screenplay</v>
      </c>
      <c r="S619" s="5" t="str">
        <f>VLOOKUP($G619,Others!$E$597:$I$629,3,FALSE)</f>
        <v>Live Action</v>
      </c>
      <c r="T619" s="5" t="str">
        <f>VLOOKUP($G619,Others!$E$597:$I$629,4,FALSE)</f>
        <v>Contemporary Fiction</v>
      </c>
      <c r="U619" s="5" t="str">
        <f>IFERROR(VLOOKUP($G619,Ratings!$E$112:$I$124,5,FALSE),"None")</f>
        <v>None</v>
      </c>
      <c r="V619" s="5" t="s">
        <v>2130</v>
      </c>
      <c r="W619" s="5" t="s">
        <v>2301</v>
      </c>
      <c r="X619" s="5" t="s">
        <v>1994</v>
      </c>
      <c r="Y619" s="5" t="s">
        <v>2132</v>
      </c>
      <c r="Z619" s="5" t="s">
        <v>2133</v>
      </c>
      <c r="AA619" s="5" t="s">
        <v>1994</v>
      </c>
      <c r="AB619" s="5"/>
      <c r="AC619" s="5" t="s">
        <v>2134</v>
      </c>
      <c r="AD619" s="9">
        <v>6.2</v>
      </c>
      <c r="AE619" s="1" t="s">
        <v>1489</v>
      </c>
      <c r="AF619" s="79" t="s">
        <v>1883</v>
      </c>
      <c r="AG619" s="9"/>
      <c r="AH619" s="9"/>
    </row>
    <row r="620" spans="2:34" hidden="1">
      <c r="B620" s="4">
        <v>2018</v>
      </c>
      <c r="C620" s="4" t="s">
        <v>45</v>
      </c>
      <c r="D620" s="3">
        <v>28</v>
      </c>
      <c r="E620" s="3" t="s">
        <v>886</v>
      </c>
      <c r="G620" s="5" t="s">
        <v>1045</v>
      </c>
      <c r="H620" s="5"/>
      <c r="I620" s="5" t="s">
        <v>148</v>
      </c>
      <c r="J620" s="7">
        <v>0</v>
      </c>
      <c r="M620" s="8">
        <v>0</v>
      </c>
      <c r="N620" s="7">
        <v>0</v>
      </c>
      <c r="P620" s="7">
        <v>120837</v>
      </c>
      <c r="Q620" s="7">
        <v>120837</v>
      </c>
      <c r="R620" s="5" t="str">
        <f>VLOOKUP($G620,Others!$E$597:$I$629,2,FALSE)</f>
        <v>Original Screenplay</v>
      </c>
      <c r="S620" s="5" t="str">
        <f>VLOOKUP($G620,Others!$E$597:$I$629,3,FALSE)</f>
        <v>Live Action</v>
      </c>
      <c r="T620" s="5" t="str">
        <f>VLOOKUP($G620,Others!$E$597:$I$629,4,FALSE)</f>
        <v>Contemporary Fiction</v>
      </c>
      <c r="U620" s="5" t="str">
        <f>IFERROR(VLOOKUP($G620,Ratings!$E$112:$I$124,5,FALSE),"None")</f>
        <v>None</v>
      </c>
      <c r="V620" s="5"/>
      <c r="X620" s="5"/>
      <c r="Y620" s="5"/>
      <c r="Z620" s="5"/>
      <c r="AA620" s="5"/>
      <c r="AB620" s="5"/>
      <c r="AC620" s="5"/>
      <c r="AG620" s="9"/>
      <c r="AH620" s="9"/>
    </row>
    <row r="621" spans="2:34" hidden="1">
      <c r="B621" s="4">
        <v>2018</v>
      </c>
      <c r="C621" s="4" t="s">
        <v>45</v>
      </c>
      <c r="D621" s="3">
        <v>29</v>
      </c>
      <c r="E621" s="3" t="s">
        <v>850</v>
      </c>
      <c r="G621" s="5" t="s">
        <v>851</v>
      </c>
      <c r="H621" s="5" t="s">
        <v>852</v>
      </c>
      <c r="I621" s="5" t="s">
        <v>129</v>
      </c>
      <c r="J621" s="7">
        <v>18656716</v>
      </c>
      <c r="K621" s="7">
        <v>16666666</v>
      </c>
      <c r="L621" s="7">
        <v>15820895</v>
      </c>
      <c r="M621" s="8">
        <v>85364</v>
      </c>
      <c r="N621" s="7">
        <v>30225482</v>
      </c>
      <c r="O621" s="7">
        <v>42238805</v>
      </c>
      <c r="P621" s="7">
        <v>47872755</v>
      </c>
      <c r="Q621" s="7">
        <v>47872755</v>
      </c>
      <c r="R621" s="5" t="str">
        <f>VLOOKUP($G621,Others!$E$597:$I$629,2,FALSE)</f>
        <v>Original Screenplay</v>
      </c>
      <c r="S621" s="5" t="str">
        <f>VLOOKUP($G621,Others!$E$597:$I$629,3,FALSE)</f>
        <v>Live Action</v>
      </c>
      <c r="T621" s="5" t="str">
        <f>VLOOKUP($G621,Others!$E$597:$I$629,4,FALSE)</f>
        <v>Fantasy</v>
      </c>
      <c r="U621" s="5" t="str">
        <f>IFERROR(VLOOKUP($G621,Ratings!$E$112:$I$124,5,FALSE),"None")</f>
        <v>R</v>
      </c>
      <c r="V621" s="5" t="s">
        <v>2006</v>
      </c>
      <c r="W621" s="5" t="s">
        <v>2007</v>
      </c>
      <c r="X621" s="5" t="s">
        <v>2008</v>
      </c>
      <c r="Y621" s="5" t="s">
        <v>2009</v>
      </c>
      <c r="Z621" s="5"/>
      <c r="AA621" s="5" t="s">
        <v>2010</v>
      </c>
      <c r="AB621" s="5"/>
      <c r="AC621" s="5" t="s">
        <v>2302</v>
      </c>
      <c r="AD621" s="9">
        <v>8.6</v>
      </c>
      <c r="AE621" s="1" t="s">
        <v>1489</v>
      </c>
      <c r="AF621" s="79" t="s">
        <v>1883</v>
      </c>
      <c r="AG621" s="9"/>
      <c r="AH621" s="9"/>
    </row>
    <row r="622" spans="2:34" hidden="1">
      <c r="B622" s="4">
        <v>2018</v>
      </c>
      <c r="C622" s="4" t="s">
        <v>45</v>
      </c>
      <c r="D622" s="3">
        <v>30</v>
      </c>
      <c r="E622" s="3" t="s">
        <v>886</v>
      </c>
      <c r="G622" s="5" t="s">
        <v>1046</v>
      </c>
      <c r="H622" s="5"/>
      <c r="I622" s="5" t="s">
        <v>154</v>
      </c>
      <c r="J622" s="7">
        <v>0</v>
      </c>
      <c r="M622" s="8">
        <v>0</v>
      </c>
      <c r="N622" s="7">
        <v>0</v>
      </c>
      <c r="P622" s="7">
        <v>0</v>
      </c>
      <c r="Q622" s="7">
        <v>0</v>
      </c>
      <c r="R622" s="5" t="str">
        <f>VLOOKUP($G622,Others!$E$597:$I$629,2,FALSE)</f>
        <v>Original Screenplay</v>
      </c>
      <c r="S622" s="5" t="str">
        <f>VLOOKUP($G622,Others!$E$597:$I$629,3,FALSE)</f>
        <v>Live Action</v>
      </c>
      <c r="T622" s="5" t="str">
        <f>VLOOKUP($G622,Others!$E$597:$I$629,4,FALSE)</f>
        <v>Contemporary Fiction</v>
      </c>
      <c r="U622" s="5" t="str">
        <f>IFERROR(VLOOKUP($G622,Ratings!$E$112:$I$124,5,FALSE),"None")</f>
        <v>None</v>
      </c>
      <c r="V622" s="5"/>
      <c r="X622" s="5"/>
      <c r="Y622" s="5"/>
      <c r="Z622" s="5"/>
      <c r="AA622" s="5"/>
      <c r="AB622" s="5"/>
      <c r="AC622" s="5"/>
      <c r="AG622" s="9"/>
      <c r="AH622" s="9"/>
    </row>
    <row r="623" spans="2:34" hidden="1">
      <c r="B623" s="4">
        <v>2018</v>
      </c>
      <c r="C623" s="4" t="s">
        <v>45</v>
      </c>
      <c r="D623" s="3">
        <v>31</v>
      </c>
      <c r="E623" s="3" t="s">
        <v>886</v>
      </c>
      <c r="G623" s="5" t="s">
        <v>1047</v>
      </c>
      <c r="H623" s="5"/>
      <c r="I623" s="5" t="s">
        <v>253</v>
      </c>
      <c r="J623" s="7">
        <v>0</v>
      </c>
      <c r="M623" s="8">
        <v>0</v>
      </c>
      <c r="N623" s="7">
        <v>0</v>
      </c>
      <c r="P623" s="7">
        <v>280417</v>
      </c>
      <c r="Q623" s="7">
        <v>280417</v>
      </c>
      <c r="R623" s="5" t="str">
        <f>VLOOKUP($G623,Others!$E$597:$I$629,2,FALSE)</f>
        <v>Based on Real Life Events</v>
      </c>
      <c r="S623" s="5" t="str">
        <f>VLOOKUP($G623,Others!$E$597:$I$629,3,FALSE)</f>
        <v>Live Action</v>
      </c>
      <c r="T623" s="5" t="str">
        <f>VLOOKUP($G623,Others!$E$597:$I$629,4,FALSE)</f>
        <v>Dramatization</v>
      </c>
      <c r="U623" s="5" t="str">
        <f>IFERROR(VLOOKUP($G623,Ratings!$E$112:$I$124,5,FALSE),"None")</f>
        <v>None</v>
      </c>
      <c r="V623" s="5"/>
      <c r="X623" s="5"/>
      <c r="Y623" s="5"/>
      <c r="Z623" s="5"/>
      <c r="AA623" s="5"/>
      <c r="AB623" s="5"/>
      <c r="AC623" s="5"/>
      <c r="AG623" s="9"/>
      <c r="AH623" s="9"/>
    </row>
    <row r="624" spans="2:34" hidden="1">
      <c r="B624" s="4">
        <v>2018</v>
      </c>
      <c r="C624" s="4" t="s">
        <v>45</v>
      </c>
      <c r="D624" s="3">
        <v>32</v>
      </c>
      <c r="E624" s="3" t="s">
        <v>886</v>
      </c>
      <c r="G624" s="5" t="s">
        <v>54</v>
      </c>
      <c r="H624" s="5"/>
      <c r="I624" s="5" t="s">
        <v>154</v>
      </c>
      <c r="J624" s="7">
        <v>0</v>
      </c>
      <c r="M624" s="8">
        <v>0</v>
      </c>
      <c r="N624" s="7">
        <v>0</v>
      </c>
      <c r="P624" s="7">
        <v>186027770</v>
      </c>
      <c r="Q624" s="7">
        <v>186027770</v>
      </c>
      <c r="R624" s="5" t="str">
        <f>VLOOKUP($G624,Others!$E$597:$I$629,2,FALSE)</f>
        <v>Original Screenplay</v>
      </c>
      <c r="S624" s="5" t="str">
        <f>VLOOKUP($G624,Others!$E$597:$I$629,3,FALSE)</f>
        <v>Live Action</v>
      </c>
      <c r="T624" s="5" t="str">
        <f>VLOOKUP($G624,Others!$E$597:$I$629,4,FALSE)</f>
        <v>Contemporary Fiction</v>
      </c>
      <c r="U624" s="5" t="str">
        <f>IFERROR(VLOOKUP($G624,Ratings!$E$112:$I$124,5,FALSE),"None")</f>
        <v>None</v>
      </c>
      <c r="V624" s="5"/>
      <c r="X624" s="5"/>
      <c r="Y624" s="5"/>
      <c r="Z624" s="5"/>
      <c r="AA624" s="5"/>
      <c r="AB624" s="5"/>
      <c r="AC624" s="5"/>
      <c r="AG624" s="9"/>
      <c r="AH624" s="9"/>
    </row>
    <row r="625" spans="2:34" hidden="1">
      <c r="B625" s="4">
        <v>2018</v>
      </c>
      <c r="C625" s="4" t="s">
        <v>45</v>
      </c>
      <c r="D625" s="3">
        <v>33</v>
      </c>
      <c r="E625" s="3" t="s">
        <v>886</v>
      </c>
      <c r="G625" s="5" t="s">
        <v>1048</v>
      </c>
      <c r="H625" s="5"/>
      <c r="I625" s="5" t="s">
        <v>131</v>
      </c>
      <c r="J625" s="7">
        <v>0</v>
      </c>
      <c r="M625" s="8">
        <v>0</v>
      </c>
      <c r="N625" s="7">
        <v>0</v>
      </c>
      <c r="P625" s="7">
        <v>0</v>
      </c>
      <c r="Q625" s="7">
        <v>0</v>
      </c>
      <c r="R625" s="5" t="str">
        <f>VLOOKUP($G625,Others!$E$597:$I$629,2,FALSE)</f>
        <v>Original Screenplay</v>
      </c>
      <c r="S625" s="5" t="str">
        <f>VLOOKUP($G625,Others!$E$597:$I$629,3,FALSE)</f>
        <v>Live Action</v>
      </c>
      <c r="T625" s="5" t="str">
        <f>VLOOKUP($G625,Others!$E$597:$I$629,4,FALSE)</f>
        <v>Contemporary Fiction</v>
      </c>
      <c r="U625" s="5" t="str">
        <f>IFERROR(VLOOKUP($G625,Ratings!$E$112:$I$124,5,FALSE),"None")</f>
        <v>None</v>
      </c>
      <c r="V625" s="5"/>
      <c r="X625" s="5"/>
      <c r="Y625" s="5"/>
      <c r="Z625" s="5"/>
      <c r="AA625" s="5"/>
      <c r="AB625" s="5"/>
      <c r="AC625" s="5"/>
      <c r="AG625" s="9"/>
      <c r="AH625" s="9"/>
    </row>
    <row r="626" spans="2:34" hidden="1">
      <c r="B626" s="4">
        <v>2018</v>
      </c>
      <c r="C626" s="4" t="s">
        <v>46</v>
      </c>
      <c r="D626" s="3">
        <v>1</v>
      </c>
      <c r="E626" s="3" t="s">
        <v>824</v>
      </c>
      <c r="G626" s="5" t="s">
        <v>38</v>
      </c>
      <c r="H626" s="5" t="s">
        <v>624</v>
      </c>
      <c r="I626" s="5" t="s">
        <v>154</v>
      </c>
      <c r="J626" s="7">
        <v>0</v>
      </c>
      <c r="M626" s="8">
        <v>2</v>
      </c>
      <c r="N626" s="7">
        <v>0</v>
      </c>
      <c r="P626" s="7">
        <v>0</v>
      </c>
      <c r="Q626" s="7">
        <v>7639</v>
      </c>
      <c r="R626" s="5" t="str">
        <f>VLOOKUP($G626,Others!$E$630:$I$638,2,FALSE)</f>
        <v>Original Screenplay</v>
      </c>
      <c r="S626" s="5" t="str">
        <f>VLOOKUP($G626,Others!$E$630:$I$638,3,FALSE)</f>
        <v>Live Action</v>
      </c>
      <c r="T626" s="5" t="str">
        <f>VLOOKUP($G626,Others!$E$630:$I$638,4,FALSE)</f>
        <v>Contemporary Fiction</v>
      </c>
      <c r="U626" s="5" t="str">
        <f>IFERROR(VLOOKUP($G626,Ratings!$E$112:$I$124,5,FALSE),"None")</f>
        <v>Not Rated</v>
      </c>
      <c r="V626" s="5"/>
      <c r="X626" s="5"/>
      <c r="Y626" s="5"/>
      <c r="Z626" s="5"/>
      <c r="AA626" s="5"/>
      <c r="AB626" s="5"/>
      <c r="AC626" s="5"/>
      <c r="AF626" s="79" t="s">
        <v>1883</v>
      </c>
      <c r="AG626" s="9"/>
      <c r="AH626" s="9"/>
    </row>
    <row r="627" spans="2:34" hidden="1">
      <c r="B627" s="4">
        <v>2018</v>
      </c>
      <c r="C627" s="4" t="s">
        <v>46</v>
      </c>
      <c r="D627" s="3">
        <v>2</v>
      </c>
      <c r="E627" s="3" t="s">
        <v>886</v>
      </c>
      <c r="G627" s="5" t="s">
        <v>557</v>
      </c>
      <c r="H627" s="5"/>
      <c r="I627" s="5" t="s">
        <v>131</v>
      </c>
      <c r="J627" s="7">
        <v>0</v>
      </c>
      <c r="M627" s="8">
        <v>0</v>
      </c>
      <c r="N627" s="7">
        <v>0</v>
      </c>
      <c r="P627" s="7">
        <v>0</v>
      </c>
      <c r="Q627" s="7">
        <v>0</v>
      </c>
      <c r="R627" s="5" t="str">
        <f>VLOOKUP($G627,Others!$E$630:$I$638,2,FALSE)</f>
        <v>Original Screenplay</v>
      </c>
      <c r="S627" s="5" t="str">
        <f>VLOOKUP($G627,Others!$E$630:$I$638,3,FALSE)</f>
        <v>Live Action</v>
      </c>
      <c r="T627" s="5" t="str">
        <f>VLOOKUP($G627,Others!$E$630:$I$638,4,FALSE)</f>
        <v>Science Fiction</v>
      </c>
      <c r="U627" s="5" t="str">
        <f>IFERROR(VLOOKUP($G627,Ratings!$E$112:$I$124,5,FALSE),"None")</f>
        <v>None</v>
      </c>
      <c r="V627" s="5"/>
      <c r="X627" s="5"/>
      <c r="Y627" s="5"/>
      <c r="Z627" s="5"/>
      <c r="AA627" s="5"/>
      <c r="AB627" s="5"/>
      <c r="AC627" s="5"/>
      <c r="AF627" s="79" t="s">
        <v>1883</v>
      </c>
      <c r="AG627" s="9"/>
      <c r="AH627" s="9"/>
    </row>
    <row r="628" spans="2:34" hidden="1">
      <c r="B628" s="4">
        <v>2018</v>
      </c>
      <c r="C628" s="4" t="s">
        <v>46</v>
      </c>
      <c r="D628" s="3">
        <v>3</v>
      </c>
      <c r="E628" s="3" t="s">
        <v>886</v>
      </c>
      <c r="G628" s="5" t="s">
        <v>1049</v>
      </c>
      <c r="H628" s="5"/>
      <c r="I628" s="5" t="s">
        <v>148</v>
      </c>
      <c r="J628" s="7">
        <v>0</v>
      </c>
      <c r="M628" s="8">
        <v>0</v>
      </c>
      <c r="N628" s="7">
        <v>0</v>
      </c>
      <c r="P628" s="7">
        <v>116521</v>
      </c>
      <c r="Q628" s="7">
        <v>116521</v>
      </c>
      <c r="R628" s="5" t="str">
        <f>VLOOKUP($G628,Others!$E$630:$I$638,2,FALSE)</f>
        <v>Original Screenplay</v>
      </c>
      <c r="S628" s="5" t="str">
        <f>VLOOKUP($G628,Others!$E$630:$I$638,3,FALSE)</f>
        <v>Live Action</v>
      </c>
      <c r="T628" s="5" t="str">
        <f>VLOOKUP($G628,Others!$E$630:$I$638,4,FALSE)</f>
        <v>Contemporary Fiction</v>
      </c>
      <c r="U628" s="5" t="str">
        <f>IFERROR(VLOOKUP($G628,Ratings!$E$112:$I$124,5,FALSE),"None")</f>
        <v>None</v>
      </c>
      <c r="V628" s="5"/>
      <c r="X628" s="5"/>
      <c r="Y628" s="5"/>
      <c r="Z628" s="5"/>
      <c r="AA628" s="5"/>
      <c r="AB628" s="5"/>
      <c r="AC628" s="5"/>
      <c r="AG628" s="9"/>
      <c r="AH628" s="9"/>
    </row>
    <row r="629" spans="2:34" hidden="1">
      <c r="B629" s="4">
        <v>2018</v>
      </c>
      <c r="C629" s="4" t="s">
        <v>46</v>
      </c>
      <c r="D629" s="3">
        <v>4</v>
      </c>
      <c r="E629" s="3" t="s">
        <v>886</v>
      </c>
      <c r="G629" s="5" t="s">
        <v>324</v>
      </c>
      <c r="H629" s="5"/>
      <c r="I629" s="5" t="s">
        <v>193</v>
      </c>
      <c r="J629" s="7">
        <v>0</v>
      </c>
      <c r="M629" s="8">
        <v>0</v>
      </c>
      <c r="N629" s="7">
        <v>0</v>
      </c>
      <c r="P629" s="7">
        <v>30778</v>
      </c>
      <c r="Q629" s="7">
        <v>30778</v>
      </c>
      <c r="R629" s="5" t="str">
        <f>VLOOKUP($G629,Others!$E$630:$I$638,2,FALSE)</f>
        <v>Based on Folk Tale/Legend/Fairytale</v>
      </c>
      <c r="S629" s="5" t="str">
        <f>VLOOKUP($G629,Others!$E$630:$I$638,3,FALSE)</f>
        <v>Multiple Production Methods</v>
      </c>
      <c r="T629" s="5" t="str">
        <f>VLOOKUP($G629,Others!$E$630:$I$638,4,FALSE)</f>
        <v>Fantasy</v>
      </c>
      <c r="U629" s="5" t="str">
        <f>IFERROR(VLOOKUP($G629,Ratings!$E$112:$I$124,5,FALSE),"None")</f>
        <v>None</v>
      </c>
      <c r="V629" s="5"/>
      <c r="X629" s="5"/>
      <c r="Y629" s="5"/>
      <c r="Z629" s="5"/>
      <c r="AA629" s="5"/>
      <c r="AB629" s="5"/>
      <c r="AC629" s="5"/>
      <c r="AG629" s="9"/>
      <c r="AH629" s="9"/>
    </row>
    <row r="630" spans="2:34" hidden="1">
      <c r="B630" s="4">
        <v>2018</v>
      </c>
      <c r="C630" s="4" t="s">
        <v>46</v>
      </c>
      <c r="D630" s="3">
        <v>5</v>
      </c>
      <c r="E630" s="3" t="s">
        <v>1050</v>
      </c>
      <c r="G630" s="5" t="s">
        <v>559</v>
      </c>
      <c r="H630" s="5" t="s">
        <v>1051</v>
      </c>
      <c r="I630" s="5" t="s">
        <v>191</v>
      </c>
      <c r="J630" s="7">
        <v>0</v>
      </c>
      <c r="M630" s="8">
        <v>0</v>
      </c>
      <c r="N630" s="7">
        <v>0</v>
      </c>
      <c r="P630" s="7">
        <v>0</v>
      </c>
      <c r="Q630" s="7">
        <v>0</v>
      </c>
      <c r="R630" s="5" t="str">
        <f>VLOOKUP($G630,Others!$E$630:$I$638,2,FALSE)</f>
        <v>Based on Real Life Events</v>
      </c>
      <c r="S630" s="5" t="str">
        <f>VLOOKUP($G630,Others!$E$630:$I$638,3,FALSE)</f>
        <v>Live Action</v>
      </c>
      <c r="T630" s="5" t="str">
        <f>VLOOKUP($G630,Others!$E$630:$I$638,4,FALSE)</f>
        <v>Factual</v>
      </c>
      <c r="U630" s="5" t="str">
        <f>IFERROR(VLOOKUP($G630,Ratings!$E$112:$I$124,5,FALSE),"None")</f>
        <v>None</v>
      </c>
      <c r="V630" s="5"/>
      <c r="X630" s="5"/>
      <c r="Y630" s="5"/>
      <c r="Z630" s="5"/>
      <c r="AA630" s="5"/>
      <c r="AB630" s="5"/>
      <c r="AC630" s="5"/>
      <c r="AG630" s="9"/>
      <c r="AH630" s="9"/>
    </row>
    <row r="631" spans="2:34" hidden="1">
      <c r="B631" s="4">
        <v>2018</v>
      </c>
      <c r="C631" s="4" t="s">
        <v>46</v>
      </c>
      <c r="D631" s="3">
        <v>6</v>
      </c>
      <c r="E631" s="3" t="s">
        <v>886</v>
      </c>
      <c r="F631" s="3" t="s">
        <v>2303</v>
      </c>
      <c r="G631" s="5" t="s">
        <v>53</v>
      </c>
      <c r="H631" s="5" t="s">
        <v>1428</v>
      </c>
      <c r="I631" s="5" t="s">
        <v>148</v>
      </c>
      <c r="J631" s="7">
        <v>6000000</v>
      </c>
      <c r="K631" s="7" t="s">
        <v>1411</v>
      </c>
      <c r="L631" s="7">
        <v>8955224</v>
      </c>
      <c r="M631" s="8">
        <v>2360</v>
      </c>
      <c r="N631" s="7">
        <v>6737049</v>
      </c>
      <c r="O631" s="7">
        <v>25820895</v>
      </c>
      <c r="P631" s="7">
        <v>28792065</v>
      </c>
      <c r="Q631" s="7">
        <v>28792065</v>
      </c>
      <c r="R631" s="5" t="str">
        <f>VLOOKUP($G631,Others!$E$630:$I$638,2,FALSE)</f>
        <v>Based on Comic/Graphic Novel</v>
      </c>
      <c r="S631" s="5" t="str">
        <f>VLOOKUP($G631,Others!$E$630:$I$638,3,FALSE)</f>
        <v>Live Action</v>
      </c>
      <c r="T631" s="5" t="str">
        <f>VLOOKUP($G631,Others!$E$630:$I$638,4,FALSE)</f>
        <v>Contemporary Fiction</v>
      </c>
      <c r="U631" s="5" t="str">
        <f>IFERROR(VLOOKUP($G631,Ratings!$E$112:$I$124,5,FALSE),"None")</f>
        <v>None</v>
      </c>
      <c r="V631" s="5" t="s">
        <v>2287</v>
      </c>
      <c r="W631" s="5" t="s">
        <v>2288</v>
      </c>
      <c r="X631" s="5" t="s">
        <v>2289</v>
      </c>
      <c r="Y631" s="5" t="s">
        <v>2290</v>
      </c>
      <c r="Z631" s="5"/>
      <c r="AA631" s="5" t="s">
        <v>2291</v>
      </c>
      <c r="AB631" s="5"/>
      <c r="AC631" s="5" t="s">
        <v>1911</v>
      </c>
      <c r="AD631" s="9">
        <v>8.5</v>
      </c>
      <c r="AE631" s="1" t="s">
        <v>1489</v>
      </c>
      <c r="AF631" s="79" t="s">
        <v>1883</v>
      </c>
      <c r="AG631" s="9"/>
      <c r="AH631" s="9"/>
    </row>
    <row r="632" spans="2:34" hidden="1">
      <c r="B632" s="4">
        <v>2018</v>
      </c>
      <c r="C632" s="4" t="s">
        <v>46</v>
      </c>
      <c r="D632" s="3">
        <v>7</v>
      </c>
      <c r="E632" s="3" t="s">
        <v>1042</v>
      </c>
      <c r="G632" s="5" t="s">
        <v>1043</v>
      </c>
      <c r="H632" s="5"/>
      <c r="I632" s="5" t="s">
        <v>129</v>
      </c>
      <c r="J632" s="7">
        <v>0</v>
      </c>
      <c r="M632" s="8">
        <v>0</v>
      </c>
      <c r="N632" s="7">
        <v>0</v>
      </c>
      <c r="P632" s="7">
        <v>0</v>
      </c>
      <c r="Q632" s="7">
        <v>0</v>
      </c>
      <c r="R632" s="5">
        <f>VLOOKUP($G632,Others!$E$630:$I$638,2,FALSE)</f>
        <v>0</v>
      </c>
      <c r="S632" s="5" t="str">
        <f>VLOOKUP($G632,Others!$E$630:$I$638,3,FALSE)</f>
        <v>Live Action</v>
      </c>
      <c r="T632" s="5">
        <f>VLOOKUP($G632,Others!$E$630:$I$638,4,FALSE)</f>
        <v>0</v>
      </c>
      <c r="U632" s="5" t="str">
        <f>IFERROR(VLOOKUP($G632,Ratings!$E$112:$I$124,5,FALSE),"None")</f>
        <v>None</v>
      </c>
      <c r="V632" s="5"/>
      <c r="X632" s="5"/>
      <c r="Y632" s="5"/>
      <c r="Z632" s="5"/>
      <c r="AA632" s="5"/>
      <c r="AB632" s="5"/>
      <c r="AC632" s="5"/>
      <c r="AF632" s="79" t="s">
        <v>1883</v>
      </c>
      <c r="AG632" s="9"/>
      <c r="AH632" s="9"/>
    </row>
    <row r="633" spans="2:34" hidden="1">
      <c r="B633" s="4">
        <v>2018</v>
      </c>
      <c r="C633" s="4" t="s">
        <v>46</v>
      </c>
      <c r="D633" s="3">
        <v>8</v>
      </c>
      <c r="E633" s="3" t="s">
        <v>886</v>
      </c>
      <c r="G633" s="5" t="s">
        <v>561</v>
      </c>
      <c r="H633" s="5"/>
      <c r="I633" s="5" t="s">
        <v>129</v>
      </c>
      <c r="J633" s="7">
        <v>0</v>
      </c>
      <c r="M633" s="8">
        <v>0</v>
      </c>
      <c r="N633" s="7">
        <v>0</v>
      </c>
      <c r="P633" s="7">
        <v>0</v>
      </c>
      <c r="Q633" s="7">
        <v>0</v>
      </c>
      <c r="R633" s="5" t="str">
        <f>VLOOKUP($G633,Others!$E$630:$I$638,2,FALSE)</f>
        <v>Original Screenplay</v>
      </c>
      <c r="S633" s="5" t="str">
        <f>VLOOKUP($G633,Others!$E$630:$I$638,3,FALSE)</f>
        <v>Live Action</v>
      </c>
      <c r="T633" s="5" t="str">
        <f>VLOOKUP($G633,Others!$E$630:$I$638,4,FALSE)</f>
        <v>Contemporary Fiction</v>
      </c>
      <c r="U633" s="5" t="str">
        <f>IFERROR(VLOOKUP($G633,Ratings!$E$112:$I$124,5,FALSE),"None")</f>
        <v>None</v>
      </c>
      <c r="V633" s="5"/>
      <c r="X633" s="5"/>
      <c r="Y633" s="5"/>
      <c r="Z633" s="5"/>
      <c r="AA633" s="5"/>
      <c r="AB633" s="5"/>
      <c r="AC633" s="5"/>
      <c r="AG633" s="9"/>
      <c r="AH633" s="9"/>
    </row>
    <row r="634" spans="2:34" hidden="1">
      <c r="B634" s="4">
        <v>2018</v>
      </c>
      <c r="C634" s="4" t="s">
        <v>46</v>
      </c>
      <c r="D634" s="3">
        <v>9</v>
      </c>
      <c r="E634" s="3" t="s">
        <v>886</v>
      </c>
      <c r="G634" s="5" t="s">
        <v>300</v>
      </c>
      <c r="H634" s="5"/>
      <c r="I634" s="5" t="s">
        <v>131</v>
      </c>
      <c r="J634" s="7">
        <v>0</v>
      </c>
      <c r="M634" s="8">
        <v>0</v>
      </c>
      <c r="N634" s="7">
        <v>0</v>
      </c>
      <c r="P634" s="7">
        <v>130446</v>
      </c>
      <c r="Q634" s="7">
        <v>130446</v>
      </c>
      <c r="R634" s="5" t="str">
        <f>VLOOKUP($G634,Others!$E$630:$I$638,2,FALSE)</f>
        <v>Original Screenplay</v>
      </c>
      <c r="S634" s="5" t="str">
        <f>VLOOKUP($G634,Others!$E$630:$I$638,3,FALSE)</f>
        <v>Live Action</v>
      </c>
      <c r="T634" s="5" t="str">
        <f>VLOOKUP($G634,Others!$E$630:$I$638,4,FALSE)</f>
        <v>Contemporary Fiction</v>
      </c>
      <c r="U634" s="5" t="str">
        <f>IFERROR(VLOOKUP($G634,Ratings!$E$112:$I$124,5,FALSE),"None")</f>
        <v>None</v>
      </c>
      <c r="V634" s="5"/>
      <c r="X634" s="5"/>
      <c r="Y634" s="5"/>
      <c r="Z634" s="5"/>
      <c r="AA634" s="5"/>
      <c r="AB634" s="5"/>
      <c r="AC634" s="5"/>
      <c r="AG634" s="9"/>
      <c r="AH634" s="9"/>
    </row>
    <row r="635" spans="2:34">
      <c r="B635" s="4">
        <v>2017</v>
      </c>
      <c r="C635" s="4" t="s">
        <v>44</v>
      </c>
      <c r="D635" s="3">
        <v>1</v>
      </c>
      <c r="E635" s="55" t="s">
        <v>1057</v>
      </c>
      <c r="F635" s="3" t="s">
        <v>1057</v>
      </c>
      <c r="G635" s="5" t="s">
        <v>1058</v>
      </c>
      <c r="H635" s="5" t="s">
        <v>653</v>
      </c>
      <c r="I635" s="5" t="s">
        <v>129</v>
      </c>
      <c r="J635" s="7">
        <v>150000000</v>
      </c>
      <c r="K635" s="57"/>
      <c r="M635" s="8">
        <v>3328</v>
      </c>
      <c r="N635" s="7">
        <v>18469620</v>
      </c>
      <c r="P635" s="7">
        <v>289329747</v>
      </c>
      <c r="Q635" s="7">
        <v>334486852</v>
      </c>
      <c r="R635" s="5" t="str">
        <f>VLOOKUP($G635,Others!$E$641:$I$931,2,FALSE)</f>
        <v>Original Screenplay</v>
      </c>
      <c r="S635" s="5" t="str">
        <f>VLOOKUP($G635,Others!$E$641:$I$931,3,FALSE)</f>
        <v>Live Action</v>
      </c>
      <c r="T635" s="5" t="str">
        <f>VLOOKUP($G635,Others!$E$641:$I$931,4,FALSE)</f>
        <v>Historical Fiction</v>
      </c>
      <c r="U635" s="5" t="str">
        <f>IFERROR(VLOOKUP($G635,Ratings!$E$125:$I$172,5,FALSE),"none")</f>
        <v>PG-13</v>
      </c>
      <c r="V635" s="39" t="s">
        <v>2304</v>
      </c>
      <c r="W635" s="39" t="s">
        <v>1058</v>
      </c>
      <c r="X635" s="39" t="s">
        <v>2305</v>
      </c>
      <c r="Y635" s="39" t="s">
        <v>2306</v>
      </c>
      <c r="Z635" s="39" t="s">
        <v>2307</v>
      </c>
      <c r="AA635" s="39" t="s">
        <v>1547</v>
      </c>
      <c r="AB635" s="5"/>
      <c r="AC635" s="39" t="s">
        <v>2308</v>
      </c>
      <c r="AD635" s="47">
        <v>8.4</v>
      </c>
      <c r="AG635" s="9"/>
      <c r="AH635" s="9"/>
    </row>
    <row r="636" spans="2:34">
      <c r="B636" s="4">
        <v>2017</v>
      </c>
      <c r="C636" s="4" t="s">
        <v>44</v>
      </c>
      <c r="D636" s="3">
        <f>D635+1</f>
        <v>2</v>
      </c>
      <c r="E636" s="55" t="s">
        <v>1059</v>
      </c>
      <c r="F636" s="3" t="s">
        <v>2309</v>
      </c>
      <c r="G636" s="5" t="s">
        <v>1060</v>
      </c>
      <c r="H636" s="5" t="s">
        <v>609</v>
      </c>
      <c r="I636" s="5" t="s">
        <v>129</v>
      </c>
      <c r="J636" s="7">
        <f>2*100000000/6.7</f>
        <v>29850746.268656716</v>
      </c>
      <c r="K636" s="7">
        <f>0.6*100000000/6.7</f>
        <v>8955223.880597014</v>
      </c>
      <c r="L636" s="7">
        <f>1.94*100000000/6.7</f>
        <v>28955223.880597014</v>
      </c>
      <c r="M636" s="8">
        <v>2515</v>
      </c>
      <c r="N636" s="7">
        <v>13113024</v>
      </c>
      <c r="O636" s="7">
        <f>5.13*100000000/6.7</f>
        <v>76567164.179104477</v>
      </c>
      <c r="P636" s="7">
        <v>106389853</v>
      </c>
      <c r="Q636" s="7">
        <v>140783360</v>
      </c>
      <c r="R636" s="5" t="str">
        <f>VLOOKUP($G636,Others!$E$641:$I$931,2,FALSE)</f>
        <v>Based on Fiction Book/Short Story</v>
      </c>
      <c r="S636" s="5" t="str">
        <f>VLOOKUP($G636,Others!$E$641:$I$931,3,FALSE)</f>
        <v>Live Action</v>
      </c>
      <c r="T636" s="5" t="str">
        <f>VLOOKUP($G636,Others!$E$641:$I$931,4,FALSE)</f>
        <v>Contemporary Fiction</v>
      </c>
      <c r="U636" s="5" t="str">
        <f>IFERROR(VLOOKUP($G636,Ratings!$E$125:$I$172,5,FALSE),"none")</f>
        <v>R</v>
      </c>
      <c r="V636" s="5" t="s">
        <v>2310</v>
      </c>
      <c r="W636" s="5" t="s">
        <v>1060</v>
      </c>
      <c r="X636" s="5" t="s">
        <v>2008</v>
      </c>
      <c r="Y636" s="5"/>
      <c r="Z636" s="5"/>
      <c r="AA636" s="5" t="s">
        <v>2311</v>
      </c>
      <c r="AB636" s="5"/>
      <c r="AC636" s="5" t="s">
        <v>2312</v>
      </c>
      <c r="AD636" s="9">
        <v>8.4</v>
      </c>
      <c r="AE636" s="9" t="s">
        <v>1489</v>
      </c>
      <c r="AG636" s="9"/>
      <c r="AH636" s="9"/>
    </row>
    <row r="637" spans="2:34" hidden="1">
      <c r="B637" s="4">
        <v>2017</v>
      </c>
      <c r="C637" s="4" t="s">
        <v>44</v>
      </c>
      <c r="D637" s="3">
        <f t="shared" ref="D637:D700" si="10">D636+1</f>
        <v>3</v>
      </c>
      <c r="E637" s="3" t="s">
        <v>1061</v>
      </c>
      <c r="G637" s="5" t="s">
        <v>1062</v>
      </c>
      <c r="H637" s="5" t="s">
        <v>1063</v>
      </c>
      <c r="I637" s="5" t="s">
        <v>191</v>
      </c>
      <c r="J637" s="7">
        <v>0</v>
      </c>
      <c r="M637" s="8">
        <v>1508</v>
      </c>
      <c r="N637" s="7">
        <v>4790367</v>
      </c>
      <c r="P637" s="7">
        <v>11164532</v>
      </c>
      <c r="Q637" s="7">
        <v>25037743</v>
      </c>
      <c r="R637" s="5" t="str">
        <f>VLOOKUP($G637,Others!$E$641:$I$931,2,FALSE)</f>
        <v>Based on Real Life Events</v>
      </c>
      <c r="S637" s="5" t="str">
        <f>VLOOKUP($G637,Others!$E$641:$I$931,3,FALSE)</f>
        <v>Live Action</v>
      </c>
      <c r="T637" s="5" t="str">
        <f>VLOOKUP($G637,Others!$E$641:$I$931,4,FALSE)</f>
        <v>Factual</v>
      </c>
      <c r="U637" s="5" t="str">
        <f>IFERROR(VLOOKUP($G637,Ratings!$E$125:$I$172,5,FALSE),"none")</f>
        <v>none</v>
      </c>
      <c r="V637" s="5"/>
      <c r="X637" s="5"/>
      <c r="Y637" s="5"/>
      <c r="Z637" s="5"/>
      <c r="AA637" s="5"/>
      <c r="AB637" s="5"/>
      <c r="AC637" s="5"/>
      <c r="AG637" s="9"/>
      <c r="AH637" s="9"/>
    </row>
    <row r="638" spans="2:34">
      <c r="B638" s="4">
        <v>2017</v>
      </c>
      <c r="C638" s="4" t="s">
        <v>44</v>
      </c>
      <c r="D638" s="3">
        <f t="shared" si="10"/>
        <v>4</v>
      </c>
      <c r="E638" s="55" t="s">
        <v>1064</v>
      </c>
      <c r="F638" s="3" t="s">
        <v>1064</v>
      </c>
      <c r="G638" s="5" t="s">
        <v>1065</v>
      </c>
      <c r="H638" s="5" t="s">
        <v>764</v>
      </c>
      <c r="I638" s="5" t="s">
        <v>127</v>
      </c>
      <c r="J638" s="7">
        <v>60000000</v>
      </c>
      <c r="K638" s="57"/>
      <c r="M638" s="8">
        <v>2077</v>
      </c>
      <c r="N638" s="7">
        <v>3704749</v>
      </c>
      <c r="P638" s="7">
        <v>14727942</v>
      </c>
      <c r="Q638" s="7">
        <v>24148488</v>
      </c>
      <c r="R638" s="5" t="str">
        <f>VLOOKUP($G638,Others!$E$641:$I$931,2,FALSE)</f>
        <v>Original Screenplay</v>
      </c>
      <c r="S638" s="5" t="str">
        <f>VLOOKUP($G638,Others!$E$641:$I$931,3,FALSE)</f>
        <v>Digital Animation</v>
      </c>
      <c r="T638" s="5" t="str">
        <f>VLOOKUP($G638,Others!$E$641:$I$931,4,FALSE)</f>
        <v>Kids Fiction</v>
      </c>
      <c r="U638" s="5" t="str">
        <f>IFERROR(VLOOKUP($G638,Ratings!$E$125:$I$172,5,FALSE),"none")</f>
        <v>PG</v>
      </c>
      <c r="V638" s="39" t="s">
        <v>2313</v>
      </c>
      <c r="W638" s="39" t="s">
        <v>1065</v>
      </c>
      <c r="X638" s="39" t="s">
        <v>2314</v>
      </c>
      <c r="Y638" s="39" t="s">
        <v>2315</v>
      </c>
      <c r="Z638" s="39" t="s">
        <v>2316</v>
      </c>
      <c r="AA638" s="39" t="s">
        <v>2317</v>
      </c>
      <c r="AB638" s="5"/>
      <c r="AC638" s="39" t="s">
        <v>2318</v>
      </c>
      <c r="AD638" s="47">
        <v>8.6</v>
      </c>
      <c r="AG638" s="9"/>
      <c r="AH638" s="9"/>
    </row>
    <row r="639" spans="2:34">
      <c r="B639" s="4">
        <v>2017</v>
      </c>
      <c r="C639" s="4" t="s">
        <v>44</v>
      </c>
      <c r="D639" s="3">
        <f t="shared" si="10"/>
        <v>5</v>
      </c>
      <c r="E639" s="55" t="s">
        <v>1066</v>
      </c>
      <c r="F639" s="3" t="s">
        <v>1066</v>
      </c>
      <c r="G639" s="5" t="s">
        <v>8</v>
      </c>
      <c r="H639" s="5" t="s">
        <v>1067</v>
      </c>
      <c r="I639" s="5" t="s">
        <v>129</v>
      </c>
      <c r="J639" s="7">
        <v>29850746.300000001</v>
      </c>
      <c r="K639" s="7">
        <v>14925373.1</v>
      </c>
      <c r="L639" s="7">
        <v>311044776</v>
      </c>
      <c r="M639" s="8">
        <v>53</v>
      </c>
      <c r="N639" s="7">
        <v>219022</v>
      </c>
      <c r="O639" s="7">
        <v>792537313</v>
      </c>
      <c r="P639" s="7">
        <v>832753071</v>
      </c>
      <c r="Q639" s="7">
        <v>835474171</v>
      </c>
      <c r="R639" s="5" t="str">
        <f>VLOOKUP($G639,Others!$E$641:$I$931,2,FALSE)</f>
        <v>Original Screenplay</v>
      </c>
      <c r="S639" s="5" t="str">
        <f>VLOOKUP($G639,Others!$E$641:$I$931,3,FALSE)</f>
        <v>Live Action</v>
      </c>
      <c r="T639" s="5" t="str">
        <f>VLOOKUP($G639,Others!$E$641:$I$931,4,FALSE)</f>
        <v>Contemporary Fiction</v>
      </c>
      <c r="U639" s="5" t="str">
        <f>IFERROR(VLOOKUP($G639,Ratings!$E$125:$I$172,5,FALSE),"none")</f>
        <v>Not Rated</v>
      </c>
      <c r="V639" s="5" t="s">
        <v>2319</v>
      </c>
      <c r="W639" s="5" t="s">
        <v>2320</v>
      </c>
      <c r="X639" s="5" t="s">
        <v>2321</v>
      </c>
      <c r="Y639" s="5"/>
      <c r="Z639" s="5"/>
      <c r="AA639" s="5" t="s">
        <v>2321</v>
      </c>
      <c r="AB639" s="5"/>
      <c r="AC639" s="5" t="s">
        <v>2322</v>
      </c>
      <c r="AD639" s="9">
        <v>9.6999999999999993</v>
      </c>
      <c r="AE639" s="1" t="s">
        <v>1489</v>
      </c>
      <c r="AG639" s="9"/>
      <c r="AH639" s="9"/>
    </row>
    <row r="640" spans="2:34">
      <c r="B640" s="4">
        <v>2017</v>
      </c>
      <c r="C640" s="4" t="s">
        <v>44</v>
      </c>
      <c r="D640" s="3">
        <f t="shared" si="10"/>
        <v>6</v>
      </c>
      <c r="E640" s="55" t="s">
        <v>1068</v>
      </c>
      <c r="F640" s="3" t="s">
        <v>1068</v>
      </c>
      <c r="G640" s="5" t="s">
        <v>1069</v>
      </c>
      <c r="H640" s="5" t="s">
        <v>641</v>
      </c>
      <c r="I640" s="5" t="s">
        <v>129</v>
      </c>
      <c r="J640" s="7">
        <v>65671641</v>
      </c>
      <c r="K640" s="7">
        <v>11940298</v>
      </c>
      <c r="L640" s="7">
        <v>76865671</v>
      </c>
      <c r="M640" s="8">
        <v>67</v>
      </c>
      <c r="N640" s="7">
        <v>463883</v>
      </c>
      <c r="O640" s="7">
        <v>233134328</v>
      </c>
      <c r="P640" s="7">
        <v>247924803</v>
      </c>
      <c r="Q640" s="7">
        <v>248805149</v>
      </c>
      <c r="R640" s="5" t="str">
        <f>VLOOKUP($G640,Others!$E$641:$I$931,2,FALSE)</f>
        <v>Original Screenplay</v>
      </c>
      <c r="S640" s="5" t="str">
        <f>VLOOKUP($G640,Others!$E$641:$I$931,3,FALSE)</f>
        <v>Live Action</v>
      </c>
      <c r="T640" s="5" t="str">
        <f>VLOOKUP($G640,Others!$E$641:$I$931,4,FALSE)</f>
        <v>Contemporary Fiction</v>
      </c>
      <c r="U640" s="5" t="str">
        <f>IFERROR(VLOOKUP($G640,Ratings!$E$125:$I$172,5,FALSE),"none")</f>
        <v>PG-13</v>
      </c>
      <c r="V640" s="5" t="s">
        <v>2323</v>
      </c>
      <c r="W640" s="5" t="s">
        <v>2324</v>
      </c>
      <c r="X640" s="5" t="s">
        <v>2325</v>
      </c>
      <c r="Y640" s="5"/>
      <c r="Z640" s="5"/>
      <c r="AA640" s="5" t="s">
        <v>2326</v>
      </c>
      <c r="AB640" s="5"/>
      <c r="AC640" s="5" t="s">
        <v>1948</v>
      </c>
      <c r="AD640" s="9">
        <v>7.7</v>
      </c>
      <c r="AE640" s="1" t="s">
        <v>1489</v>
      </c>
      <c r="AG640" s="9"/>
      <c r="AH640" s="9"/>
    </row>
    <row r="641" spans="2:34" ht="15">
      <c r="B641" s="4">
        <v>2017</v>
      </c>
      <c r="C641" s="4" t="s">
        <v>44</v>
      </c>
      <c r="D641" s="3">
        <f t="shared" si="10"/>
        <v>7</v>
      </c>
      <c r="E641" s="55" t="s">
        <v>1070</v>
      </c>
      <c r="F641" s="3" t="s">
        <v>1070</v>
      </c>
      <c r="G641" s="5" t="s">
        <v>1071</v>
      </c>
      <c r="H641" s="5" t="s">
        <v>626</v>
      </c>
      <c r="I641" s="5" t="s">
        <v>154</v>
      </c>
      <c r="J641" s="7">
        <f>40000000/6.7</f>
        <v>5970149.253731343</v>
      </c>
      <c r="K641" s="7">
        <f>80000000/6.7</f>
        <v>11940298.507462686</v>
      </c>
      <c r="L641" s="7">
        <f>1.42*100000000/6.7</f>
        <v>21194029.850746267</v>
      </c>
      <c r="M641" s="8">
        <v>46</v>
      </c>
      <c r="N641" s="7">
        <v>323207</v>
      </c>
      <c r="O641" s="7">
        <f>3.78*100000000/6.7</f>
        <v>56417910.447761193</v>
      </c>
      <c r="P641" s="7">
        <v>58576718</v>
      </c>
      <c r="Q641" s="7">
        <v>59263153</v>
      </c>
      <c r="R641" s="5" t="str">
        <f>VLOOKUP($G641,Others!$E$641:$I$931,2,FALSE)</f>
        <v>Based on Fiction Book/Short Story</v>
      </c>
      <c r="S641" s="5" t="str">
        <f>VLOOKUP($G641,Others!$E$641:$I$931,3,FALSE)</f>
        <v>Live Action</v>
      </c>
      <c r="T641" s="5" t="str">
        <f>VLOOKUP($G641,Others!$E$641:$I$931,4,FALSE)</f>
        <v>Contemporary Fiction</v>
      </c>
      <c r="U641" s="5" t="str">
        <f>IFERROR(VLOOKUP($G641,Ratings!$E$125:$I$172,5,FALSE),"none")</f>
        <v>Not Rated</v>
      </c>
      <c r="V641" s="5" t="s">
        <v>2327</v>
      </c>
      <c r="W641" s="5" t="s">
        <v>1071</v>
      </c>
      <c r="X641" s="5" t="s">
        <v>2328</v>
      </c>
      <c r="Y641" s="5" t="s">
        <v>2329</v>
      </c>
      <c r="Z641" s="5" t="s">
        <v>2330</v>
      </c>
      <c r="AA641" s="5" t="s">
        <v>2331</v>
      </c>
      <c r="AB641" s="5"/>
      <c r="AC641" s="5" t="s">
        <v>2332</v>
      </c>
      <c r="AD641" s="9">
        <v>8.6</v>
      </c>
      <c r="AE641" s="9" t="s">
        <v>1489</v>
      </c>
      <c r="AG641" s="9"/>
      <c r="AH641" s="9"/>
    </row>
    <row r="642" spans="2:34">
      <c r="B642" s="4">
        <v>2017</v>
      </c>
      <c r="C642" s="4" t="s">
        <v>44</v>
      </c>
      <c r="D642" s="3">
        <f t="shared" si="10"/>
        <v>8</v>
      </c>
      <c r="E642" s="55" t="s">
        <v>1072</v>
      </c>
      <c r="F642" s="3" t="s">
        <v>1072</v>
      </c>
      <c r="G642" s="5" t="s">
        <v>1073</v>
      </c>
      <c r="H642" s="5" t="s">
        <v>626</v>
      </c>
      <c r="I642" s="5" t="s">
        <v>154</v>
      </c>
      <c r="J642" s="7">
        <v>20000000</v>
      </c>
      <c r="K642" s="57"/>
      <c r="M642" s="8">
        <v>42</v>
      </c>
      <c r="N642" s="7">
        <v>224942</v>
      </c>
      <c r="P642" s="7">
        <v>43301061</v>
      </c>
      <c r="Q642" s="7">
        <v>43888531</v>
      </c>
      <c r="R642" s="5" t="str">
        <f>VLOOKUP($G642,Others!$E$641:$I$931,2,FALSE)</f>
        <v>Original Screenplay</v>
      </c>
      <c r="S642" s="5" t="str">
        <f>VLOOKUP($G642,Others!$E$641:$I$931,3,FALSE)</f>
        <v>Live Action</v>
      </c>
      <c r="T642" s="5" t="str">
        <f>VLOOKUP($G642,Others!$E$641:$I$931,4,FALSE)</f>
        <v>Contemporary Fiction</v>
      </c>
      <c r="U642" s="5" t="str">
        <f>IFERROR(VLOOKUP($G642,Ratings!$E$125:$I$172,5,FALSE),"none")</f>
        <v>Not Rated</v>
      </c>
      <c r="V642" s="39" t="s">
        <v>2333</v>
      </c>
      <c r="W642" s="39" t="s">
        <v>2334</v>
      </c>
      <c r="X642" s="39" t="s">
        <v>1639</v>
      </c>
      <c r="Y642" s="39" t="s">
        <v>2335</v>
      </c>
      <c r="Z642" s="39" t="s">
        <v>2336</v>
      </c>
      <c r="AA642" s="39" t="s">
        <v>2337</v>
      </c>
      <c r="AB642" s="5"/>
      <c r="AC642" s="39" t="s">
        <v>2338</v>
      </c>
      <c r="AD642" s="47">
        <v>8.6</v>
      </c>
      <c r="AG642" s="9"/>
      <c r="AH642" s="9"/>
    </row>
    <row r="643" spans="2:34">
      <c r="B643" s="4">
        <v>2017</v>
      </c>
      <c r="C643" s="4" t="s">
        <v>44</v>
      </c>
      <c r="D643" s="3">
        <f t="shared" si="10"/>
        <v>9</v>
      </c>
      <c r="E643" s="55" t="s">
        <v>1074</v>
      </c>
      <c r="F643" s="22" t="s">
        <v>2339</v>
      </c>
      <c r="G643" s="5" t="s">
        <v>1075</v>
      </c>
      <c r="H643" s="5" t="s">
        <v>601</v>
      </c>
      <c r="I643" s="5" t="s">
        <v>131</v>
      </c>
      <c r="J643" s="7">
        <f>2*100000000/6.7</f>
        <v>29850746.268656716</v>
      </c>
      <c r="K643" s="7">
        <f>1*100000000/6.7</f>
        <v>14925373.134328358</v>
      </c>
      <c r="L643" s="7">
        <f>1.89*100000000/6.7</f>
        <v>28208955.223880596</v>
      </c>
      <c r="M643" s="8">
        <v>51</v>
      </c>
      <c r="N643" s="7">
        <v>249933</v>
      </c>
      <c r="O643" s="7">
        <f>5.01*100000000/6.7</f>
        <v>74776119.402985066</v>
      </c>
      <c r="P643" s="7">
        <v>82406221</v>
      </c>
      <c r="Q643" s="7">
        <v>82891949</v>
      </c>
      <c r="R643" s="5" t="str">
        <f>VLOOKUP($G643,Others!$E$641:$I$931,2,FALSE)</f>
        <v>Based on Fiction Book/Short Story</v>
      </c>
      <c r="S643" s="5" t="str">
        <f>VLOOKUP($G643,Others!$E$641:$I$931,3,FALSE)</f>
        <v>Live Action</v>
      </c>
      <c r="T643" s="5" t="str">
        <f>VLOOKUP($G643,Others!$E$641:$I$931,4,FALSE)</f>
        <v>Fantasy</v>
      </c>
      <c r="U643" s="5" t="str">
        <f>IFERROR(VLOOKUP($G643,Ratings!$E$125:$I$172,5,FALSE),"none")</f>
        <v>Not Rated</v>
      </c>
      <c r="V643" s="5" t="s">
        <v>2340</v>
      </c>
      <c r="W643" s="5" t="s">
        <v>1075</v>
      </c>
      <c r="X643" s="5" t="s">
        <v>2014</v>
      </c>
      <c r="Y643" s="5" t="s">
        <v>2341</v>
      </c>
      <c r="Z643" s="5"/>
      <c r="AA643" s="5" t="s">
        <v>2342</v>
      </c>
      <c r="AB643" s="5" t="s">
        <v>2343</v>
      </c>
      <c r="AC643" s="5" t="s">
        <v>2344</v>
      </c>
      <c r="AD643" s="9">
        <v>7.1</v>
      </c>
      <c r="AE643" s="9" t="s">
        <v>1489</v>
      </c>
      <c r="AG643" s="9"/>
      <c r="AH643" s="9"/>
    </row>
    <row r="644" spans="2:34">
      <c r="B644" s="4">
        <v>2017</v>
      </c>
      <c r="C644" s="4" t="s">
        <v>44</v>
      </c>
      <c r="D644" s="3">
        <f t="shared" si="10"/>
        <v>10</v>
      </c>
      <c r="E644" s="55" t="s">
        <v>1076</v>
      </c>
      <c r="F644" s="3" t="s">
        <v>1076</v>
      </c>
      <c r="G644" s="5" t="s">
        <v>1077</v>
      </c>
      <c r="H644" s="5" t="s">
        <v>626</v>
      </c>
      <c r="I644" s="5" t="s">
        <v>131</v>
      </c>
      <c r="J644" s="7">
        <v>23880597</v>
      </c>
      <c r="K644" s="7">
        <v>8955223</v>
      </c>
      <c r="L644" s="7">
        <v>56119402</v>
      </c>
      <c r="M644" s="8">
        <v>30</v>
      </c>
      <c r="N644" s="7">
        <v>160739</v>
      </c>
      <c r="O644" s="7">
        <v>145970149</v>
      </c>
      <c r="P644" s="7">
        <v>152549032</v>
      </c>
      <c r="Q644" s="7">
        <v>153018738</v>
      </c>
      <c r="R644" s="5" t="str">
        <f>VLOOKUP($G644,Others!$E$641:$I$931,2,FALSE)</f>
        <v>Original Screenplay</v>
      </c>
      <c r="S644" s="5" t="str">
        <f>VLOOKUP($G644,Others!$E$641:$I$931,3,FALSE)</f>
        <v>Live Action</v>
      </c>
      <c r="T644" s="5" t="str">
        <f>VLOOKUP($G644,Others!$E$641:$I$931,4,FALSE)</f>
        <v>Contemporary Fiction</v>
      </c>
      <c r="U644" s="5" t="str">
        <f>IFERROR(VLOOKUP($G644,Ratings!$E$125:$I$172,5,FALSE),"none")</f>
        <v>Not Rated</v>
      </c>
      <c r="V644" s="5" t="s">
        <v>2345</v>
      </c>
      <c r="W644" s="5" t="s">
        <v>2346</v>
      </c>
      <c r="X644" s="5" t="s">
        <v>2045</v>
      </c>
      <c r="Y644" s="5" t="s">
        <v>2025</v>
      </c>
      <c r="Z644" s="5"/>
      <c r="AA644" s="5" t="s">
        <v>2195</v>
      </c>
      <c r="AB644" s="5"/>
      <c r="AC644" s="5" t="s">
        <v>2196</v>
      </c>
      <c r="AD644" s="9">
        <v>8.6999999999999993</v>
      </c>
      <c r="AE644" s="1" t="s">
        <v>1489</v>
      </c>
      <c r="AG644" s="9"/>
      <c r="AH644" s="9"/>
    </row>
    <row r="645" spans="2:34" hidden="1">
      <c r="B645" s="4">
        <v>2017</v>
      </c>
      <c r="C645" s="4" t="s">
        <v>44</v>
      </c>
      <c r="D645" s="3">
        <f t="shared" si="10"/>
        <v>11</v>
      </c>
      <c r="E645" s="3" t="s">
        <v>1078</v>
      </c>
      <c r="G645" s="5" t="s">
        <v>1079</v>
      </c>
      <c r="H645" s="5" t="s">
        <v>601</v>
      </c>
      <c r="I645" s="5" t="s">
        <v>129</v>
      </c>
      <c r="J645" s="7">
        <v>0</v>
      </c>
      <c r="M645" s="8">
        <v>52</v>
      </c>
      <c r="N645" s="7">
        <v>138346</v>
      </c>
      <c r="P645" s="7">
        <v>87512183</v>
      </c>
      <c r="Q645" s="7">
        <v>87969037</v>
      </c>
      <c r="R645" s="5" t="str">
        <f>VLOOKUP($G645,Others!$E$641:$I$931,2,FALSE)</f>
        <v>Remake</v>
      </c>
      <c r="S645" s="5" t="str">
        <f>VLOOKUP($G645,Others!$E$641:$I$931,3,FALSE)</f>
        <v>Live Action</v>
      </c>
      <c r="T645" s="5" t="str">
        <f>VLOOKUP($G645,Others!$E$641:$I$931,4,FALSE)</f>
        <v>Contemporary Fiction</v>
      </c>
      <c r="U645" s="5" t="str">
        <f>IFERROR(VLOOKUP($G645,Ratings!$E$125:$I$172,5,FALSE),"none")</f>
        <v>Not Rated</v>
      </c>
      <c r="V645" s="5"/>
      <c r="X645" s="5"/>
      <c r="Y645" s="5"/>
      <c r="Z645" s="5"/>
      <c r="AA645" s="5"/>
      <c r="AB645" s="5"/>
      <c r="AC645" s="5"/>
      <c r="AG645" s="9"/>
      <c r="AH645" s="9"/>
    </row>
    <row r="646" spans="2:34">
      <c r="B646" s="4">
        <v>2017</v>
      </c>
      <c r="C646" s="4" t="s">
        <v>44</v>
      </c>
      <c r="D646" s="3">
        <f t="shared" si="10"/>
        <v>12</v>
      </c>
      <c r="E646" s="55" t="s">
        <v>1080</v>
      </c>
      <c r="F646" s="3" t="s">
        <v>1080</v>
      </c>
      <c r="G646" s="5" t="s">
        <v>1081</v>
      </c>
      <c r="H646" s="5" t="s">
        <v>601</v>
      </c>
      <c r="I646" s="5" t="s">
        <v>129</v>
      </c>
      <c r="J646" s="7">
        <v>59701492</v>
      </c>
      <c r="K646" s="7">
        <v>11940298</v>
      </c>
      <c r="L646" s="7">
        <v>95373134</v>
      </c>
      <c r="M646" s="8">
        <v>245373134</v>
      </c>
      <c r="N646" s="7">
        <v>111979</v>
      </c>
      <c r="O646" s="7">
        <v>245373134</v>
      </c>
      <c r="P646" s="7">
        <v>255641470</v>
      </c>
      <c r="Q646" s="7">
        <v>256004127</v>
      </c>
      <c r="R646" s="5" t="str">
        <f>VLOOKUP($G646,Others!$E$641:$I$931,2,FALSE)</f>
        <v>Original Screenplay</v>
      </c>
      <c r="S646" s="5" t="str">
        <f>VLOOKUP($G646,Others!$E$641:$I$931,3,FALSE)</f>
        <v>Live Action</v>
      </c>
      <c r="T646" s="5" t="str">
        <f>VLOOKUP($G646,Others!$E$641:$I$931,4,FALSE)</f>
        <v>Contemporary Fiction</v>
      </c>
      <c r="U646" s="5" t="str">
        <f>IFERROR(VLOOKUP($G646,Ratings!$E$125:$I$172,5,FALSE),"none")</f>
        <v>Not Rated</v>
      </c>
      <c r="V646" s="5" t="s">
        <v>2347</v>
      </c>
      <c r="W646" s="5" t="s">
        <v>2348</v>
      </c>
      <c r="X646" s="5" t="s">
        <v>2008</v>
      </c>
      <c r="Y646" s="5"/>
      <c r="Z646" s="5"/>
      <c r="AA646" s="5" t="s">
        <v>2349</v>
      </c>
      <c r="AB646" s="5"/>
      <c r="AC646" s="5" t="s">
        <v>2350</v>
      </c>
      <c r="AD646" s="9">
        <v>8.4</v>
      </c>
      <c r="AE646" s="1" t="s">
        <v>1489</v>
      </c>
      <c r="AG646" s="9"/>
      <c r="AH646" s="9"/>
    </row>
    <row r="647" spans="2:34">
      <c r="B647" s="4">
        <v>2017</v>
      </c>
      <c r="C647" s="4" t="s">
        <v>44</v>
      </c>
      <c r="D647" s="3">
        <f t="shared" si="10"/>
        <v>13</v>
      </c>
      <c r="E647" s="55" t="s">
        <v>1082</v>
      </c>
      <c r="F647" s="3" t="s">
        <v>1082</v>
      </c>
      <c r="G647" s="5" t="s">
        <v>1083</v>
      </c>
      <c r="H647" s="5" t="s">
        <v>601</v>
      </c>
      <c r="I647" s="5" t="s">
        <v>136</v>
      </c>
      <c r="J647" s="7">
        <f>70000000/6.7</f>
        <v>10447761.194029851</v>
      </c>
      <c r="K647" s="7">
        <f>40000000/6.7</f>
        <v>5970149.253731343</v>
      </c>
      <c r="L647" s="7">
        <f>73940000/6.7</f>
        <v>11035820.895522388</v>
      </c>
      <c r="M647" s="8">
        <v>36</v>
      </c>
      <c r="N647" s="7">
        <v>135252</v>
      </c>
      <c r="O647" s="7">
        <f>1.98*100000000/6.7</f>
        <v>29552238.805970147</v>
      </c>
      <c r="P647" s="7">
        <v>30658944</v>
      </c>
      <c r="Q647" s="7">
        <v>30996614</v>
      </c>
      <c r="R647" s="5" t="str">
        <f>VLOOKUP($G647,Others!$E$641:$I$931,2,FALSE)</f>
        <v>Original Screenplay</v>
      </c>
      <c r="S647" s="5" t="str">
        <f>VLOOKUP($G647,Others!$E$641:$I$931,3,FALSE)</f>
        <v>Live Action</v>
      </c>
      <c r="T647" s="5" t="str">
        <f>VLOOKUP($G647,Others!$E$641:$I$931,4,FALSE)</f>
        <v>Contemporary Fiction</v>
      </c>
      <c r="U647" s="5" t="str">
        <f>IFERROR(VLOOKUP($G647,Ratings!$E$125:$I$172,5,FALSE),"none")</f>
        <v>Not Rated</v>
      </c>
      <c r="V647" s="5" t="s">
        <v>2351</v>
      </c>
      <c r="W647" s="5" t="s">
        <v>1083</v>
      </c>
      <c r="X647" s="5" t="s">
        <v>2352</v>
      </c>
      <c r="Y647" s="5" t="s">
        <v>2122</v>
      </c>
      <c r="Z647" s="5"/>
      <c r="AA647" s="5" t="s">
        <v>2353</v>
      </c>
      <c r="AB647" s="5"/>
      <c r="AC647" s="5" t="s">
        <v>2354</v>
      </c>
      <c r="AD647" s="9">
        <v>8.9</v>
      </c>
      <c r="AE647" s="9" t="s">
        <v>1489</v>
      </c>
      <c r="AG647" s="9"/>
      <c r="AH647" s="9"/>
    </row>
    <row r="648" spans="2:34">
      <c r="B648" s="4">
        <v>2017</v>
      </c>
      <c r="C648" s="4" t="s">
        <v>44</v>
      </c>
      <c r="D648" s="3">
        <f t="shared" si="10"/>
        <v>14</v>
      </c>
      <c r="E648" s="55" t="s">
        <v>1084</v>
      </c>
      <c r="F648" s="3" t="s">
        <v>1084</v>
      </c>
      <c r="G648" s="5" t="s">
        <v>1085</v>
      </c>
      <c r="H648" s="5" t="s">
        <v>601</v>
      </c>
      <c r="I648" s="5" t="s">
        <v>264</v>
      </c>
      <c r="J648" s="7">
        <v>10447761</v>
      </c>
      <c r="K648" s="7">
        <v>7462686</v>
      </c>
      <c r="L648" s="7">
        <v>24179104</v>
      </c>
      <c r="M648" s="8">
        <v>43</v>
      </c>
      <c r="N648" s="7">
        <v>115524</v>
      </c>
      <c r="O648" s="7">
        <v>64328358</v>
      </c>
      <c r="P648" s="7">
        <v>68409784</v>
      </c>
      <c r="Q648" s="7">
        <v>68722321</v>
      </c>
      <c r="R648" s="5" t="str">
        <f>VLOOKUP($G648,Others!$E$641:$I$931,2,FALSE)</f>
        <v>Original Screenplay</v>
      </c>
      <c r="S648" s="5" t="str">
        <f>VLOOKUP($G648,Others!$E$641:$I$931,3,FALSE)</f>
        <v>Live Action</v>
      </c>
      <c r="T648" s="5" t="str">
        <f>VLOOKUP($G648,Others!$E$641:$I$931,4,FALSE)</f>
        <v>Contemporary Fiction</v>
      </c>
      <c r="U648" s="5" t="str">
        <f>IFERROR(VLOOKUP($G648,Ratings!$E$125:$I$172,5,FALSE),"none")</f>
        <v>Not Rated</v>
      </c>
      <c r="V648" s="5" t="s">
        <v>2355</v>
      </c>
      <c r="W648" s="5" t="s">
        <v>2356</v>
      </c>
      <c r="X648" s="5" t="s">
        <v>2357</v>
      </c>
      <c r="Y648" s="5" t="s">
        <v>2132</v>
      </c>
      <c r="Z648" s="5"/>
      <c r="AA648" s="5" t="s">
        <v>2357</v>
      </c>
      <c r="AB648" s="5"/>
      <c r="AC648" s="5" t="s">
        <v>2358</v>
      </c>
      <c r="AD648" s="9">
        <v>9.1999999999999993</v>
      </c>
      <c r="AE648" s="1" t="s">
        <v>1489</v>
      </c>
      <c r="AG648" s="9"/>
      <c r="AH648" s="9"/>
    </row>
    <row r="649" spans="2:34">
      <c r="B649" s="4">
        <v>2017</v>
      </c>
      <c r="C649" s="4" t="s">
        <v>44</v>
      </c>
      <c r="D649" s="3">
        <f t="shared" si="10"/>
        <v>15</v>
      </c>
      <c r="E649" s="55" t="s">
        <v>1080</v>
      </c>
      <c r="F649" s="3" t="s">
        <v>1080</v>
      </c>
      <c r="G649" s="5" t="s">
        <v>1086</v>
      </c>
      <c r="H649" s="5" t="s">
        <v>626</v>
      </c>
      <c r="I649" s="5" t="s">
        <v>129</v>
      </c>
      <c r="J649" s="7">
        <f>1.2*100000000/6.7</f>
        <v>17910447.761194028</v>
      </c>
      <c r="K649" s="7">
        <f>60000000/6.7</f>
        <v>8955223.880597014</v>
      </c>
      <c r="L649" s="7">
        <f>2.74*100000000/6.7</f>
        <v>40895522.388059698</v>
      </c>
      <c r="M649" s="8">
        <v>55</v>
      </c>
      <c r="N649" s="7">
        <v>181705</v>
      </c>
      <c r="O649" s="7">
        <f>7.18*100000000/6.7</f>
        <v>107164179.10447761</v>
      </c>
      <c r="P649" s="7">
        <v>109911139</v>
      </c>
      <c r="Q649" s="7">
        <v>110203801</v>
      </c>
      <c r="R649" s="5" t="str">
        <f>VLOOKUP($G649,Others!$E$641:$I$931,2,FALSE)</f>
        <v>Original Screenplay</v>
      </c>
      <c r="S649" s="5" t="str">
        <f>VLOOKUP($G649,Others!$E$641:$I$931,3,FALSE)</f>
        <v>Live Action</v>
      </c>
      <c r="T649" s="5" t="str">
        <f>VLOOKUP($G649,Others!$E$641:$I$931,4,FALSE)</f>
        <v>Contemporary Fiction</v>
      </c>
      <c r="U649" s="5" t="str">
        <f>IFERROR(VLOOKUP($G649,Ratings!$E$125:$I$172,5,FALSE),"none")</f>
        <v>Not Rated</v>
      </c>
      <c r="V649" s="5" t="s">
        <v>2359</v>
      </c>
      <c r="W649" s="5" t="s">
        <v>1086</v>
      </c>
      <c r="X649" s="5" t="s">
        <v>1946</v>
      </c>
      <c r="Y649" s="5"/>
      <c r="Z649" s="5"/>
      <c r="AA649" s="5" t="s">
        <v>1946</v>
      </c>
      <c r="AB649" s="5"/>
      <c r="AC649" s="5" t="s">
        <v>2360</v>
      </c>
      <c r="AD649" s="9">
        <v>7.4</v>
      </c>
      <c r="AE649" s="9" t="s">
        <v>1489</v>
      </c>
      <c r="AG649" s="9"/>
      <c r="AH649" s="9"/>
    </row>
    <row r="650" spans="2:34" hidden="1">
      <c r="B650" s="4">
        <v>2017</v>
      </c>
      <c r="C650" s="4" t="s">
        <v>44</v>
      </c>
      <c r="D650" s="3">
        <f t="shared" si="10"/>
        <v>16</v>
      </c>
      <c r="E650" s="3" t="s">
        <v>1087</v>
      </c>
      <c r="G650" s="5" t="s">
        <v>1088</v>
      </c>
      <c r="H650" s="5" t="s">
        <v>601</v>
      </c>
      <c r="I650" s="5" t="s">
        <v>129</v>
      </c>
      <c r="J650" s="7">
        <v>0</v>
      </c>
      <c r="M650" s="8">
        <v>43</v>
      </c>
      <c r="N650" s="7">
        <v>116211</v>
      </c>
      <c r="P650" s="7">
        <v>101595233</v>
      </c>
      <c r="Q650" s="7">
        <v>101813277</v>
      </c>
      <c r="R650" s="5" t="str">
        <f>VLOOKUP($G650,Others!$E$641:$I$931,2,FALSE)</f>
        <v>Original Screenplay</v>
      </c>
      <c r="S650" s="5" t="str">
        <f>VLOOKUP($G650,Others!$E$641:$I$931,3,FALSE)</f>
        <v>Live Action</v>
      </c>
      <c r="T650" s="5" t="str">
        <f>VLOOKUP($G650,Others!$E$641:$I$931,4,FALSE)</f>
        <v>Historical Fiction</v>
      </c>
      <c r="U650" s="5" t="str">
        <f>IFERROR(VLOOKUP($G650,Ratings!$E$125:$I$172,5,FALSE),"none")</f>
        <v>Not Rated</v>
      </c>
      <c r="V650" s="5"/>
      <c r="X650" s="5"/>
      <c r="Y650" s="5"/>
      <c r="Z650" s="5"/>
      <c r="AA650" s="5"/>
      <c r="AB650" s="5"/>
      <c r="AC650" s="5"/>
      <c r="AG650" s="9"/>
      <c r="AH650" s="9"/>
    </row>
    <row r="651" spans="2:34">
      <c r="B651" s="4">
        <v>2017</v>
      </c>
      <c r="C651" s="4" t="s">
        <v>44</v>
      </c>
      <c r="D651" s="3">
        <f t="shared" si="10"/>
        <v>17</v>
      </c>
      <c r="E651" s="55" t="s">
        <v>1089</v>
      </c>
      <c r="F651" s="3" t="s">
        <v>1089</v>
      </c>
      <c r="G651" s="5" t="s">
        <v>1090</v>
      </c>
      <c r="H651" s="5" t="s">
        <v>601</v>
      </c>
      <c r="I651" s="5" t="s">
        <v>1404</v>
      </c>
      <c r="J651" s="7">
        <f>80000000/6.7</f>
        <v>11940298.507462686</v>
      </c>
      <c r="K651" s="7">
        <f>20000000/6.7</f>
        <v>2985074.6268656715</v>
      </c>
      <c r="L651" s="7">
        <f>818350000/6.7</f>
        <v>122141791.04477611</v>
      </c>
      <c r="M651" s="41">
        <v>60692</v>
      </c>
      <c r="N651" s="42">
        <v>22180000</v>
      </c>
      <c r="O651" s="7">
        <f>2.19*100000000/6.7</f>
        <v>32686567.164179105</v>
      </c>
      <c r="P651" s="7">
        <v>36585148</v>
      </c>
      <c r="Q651" s="7">
        <v>36801704</v>
      </c>
      <c r="R651" s="5" t="str">
        <f>VLOOKUP($G651,Others!$E$641:$I$931,2,FALSE)</f>
        <v>Original Screenplay</v>
      </c>
      <c r="S651" s="5" t="str">
        <f>VLOOKUP($G651,Others!$E$641:$I$931,3,FALSE)</f>
        <v>Live Action</v>
      </c>
      <c r="T651" s="5" t="str">
        <f>VLOOKUP($G651,Others!$E$641:$I$931,4,FALSE)</f>
        <v>Contemporary Fiction</v>
      </c>
      <c r="U651" s="5" t="str">
        <f>IFERROR(VLOOKUP($G651,Ratings!$E$125:$I$172,5,FALSE),"none")</f>
        <v>Not Rated</v>
      </c>
      <c r="V651" s="5" t="s">
        <v>2361</v>
      </c>
      <c r="W651" s="5" t="s">
        <v>1090</v>
      </c>
      <c r="X651" s="5" t="s">
        <v>2362</v>
      </c>
      <c r="Y651" s="5" t="s">
        <v>2363</v>
      </c>
      <c r="Z651" s="5"/>
      <c r="AA651" s="5" t="s">
        <v>2364</v>
      </c>
      <c r="AB651" s="5"/>
      <c r="AC651" s="5" t="s">
        <v>2365</v>
      </c>
      <c r="AD651" s="9">
        <v>8.1</v>
      </c>
      <c r="AE651" s="9" t="s">
        <v>1489</v>
      </c>
      <c r="AG651" s="9"/>
      <c r="AH651" s="9"/>
    </row>
    <row r="652" spans="2:34">
      <c r="B652" s="4">
        <v>2017</v>
      </c>
      <c r="C652" s="4" t="s">
        <v>44</v>
      </c>
      <c r="D652" s="3">
        <f t="shared" si="10"/>
        <v>18</v>
      </c>
      <c r="E652" s="55" t="s">
        <v>1091</v>
      </c>
      <c r="F652" s="3" t="s">
        <v>1091</v>
      </c>
      <c r="G652" s="5" t="s">
        <v>1092</v>
      </c>
      <c r="H652" s="5" t="s">
        <v>626</v>
      </c>
      <c r="I652" s="5" t="s">
        <v>129</v>
      </c>
      <c r="J652" s="7">
        <f>50000000/6.7</f>
        <v>7462686.5671641789</v>
      </c>
      <c r="K652" s="7">
        <f>20000000/6.7</f>
        <v>2985074.6268656715</v>
      </c>
      <c r="L652" s="7">
        <f>17166000/6.7</f>
        <v>2562089.5522388057</v>
      </c>
      <c r="M652" s="8">
        <v>33</v>
      </c>
      <c r="N652" s="7">
        <v>55307</v>
      </c>
      <c r="O652" s="7">
        <f>46798000/6.7</f>
        <v>6984776.1194029851</v>
      </c>
      <c r="P652" s="7">
        <v>7618024</v>
      </c>
      <c r="Q652" s="7">
        <v>7736408</v>
      </c>
      <c r="R652" s="5" t="str">
        <f>VLOOKUP($G652,Others!$E$641:$I$931,2,FALSE)</f>
        <v>Original Screenplay</v>
      </c>
      <c r="S652" s="5" t="str">
        <f>VLOOKUP($G652,Others!$E$641:$I$931,3,FALSE)</f>
        <v>Live Action</v>
      </c>
      <c r="T652" s="5" t="str">
        <f>VLOOKUP($G652,Others!$E$641:$I$931,4,FALSE)</f>
        <v>Contemporary Fiction</v>
      </c>
      <c r="U652" s="5" t="str">
        <f>IFERROR(VLOOKUP($G652,Ratings!$E$125:$I$172,5,FALSE),"none")</f>
        <v>Not Rated</v>
      </c>
      <c r="V652" s="5" t="s">
        <v>2366</v>
      </c>
      <c r="W652" s="5" t="s">
        <v>2367</v>
      </c>
      <c r="X652" s="5" t="s">
        <v>2019</v>
      </c>
      <c r="Y652" s="5" t="s">
        <v>2188</v>
      </c>
      <c r="Z652" s="5" t="s">
        <v>2266</v>
      </c>
      <c r="AA652" s="5" t="s">
        <v>2368</v>
      </c>
      <c r="AB652" s="5"/>
      <c r="AC652" s="5" t="s">
        <v>2369</v>
      </c>
      <c r="AD652" s="9">
        <v>8.1999999999999993</v>
      </c>
      <c r="AE652" s="1" t="s">
        <v>1489</v>
      </c>
      <c r="AG652" s="9"/>
      <c r="AH652" s="9"/>
    </row>
    <row r="653" spans="2:34" hidden="1">
      <c r="B653" s="4">
        <v>2017</v>
      </c>
      <c r="C653" s="4" t="s">
        <v>44</v>
      </c>
      <c r="D653" s="3">
        <f t="shared" si="10"/>
        <v>19</v>
      </c>
      <c r="E653" s="3" t="s">
        <v>1093</v>
      </c>
      <c r="G653" s="5" t="s">
        <v>1094</v>
      </c>
      <c r="H653" s="5" t="s">
        <v>626</v>
      </c>
      <c r="I653" s="5" t="s">
        <v>131</v>
      </c>
      <c r="J653" s="7">
        <v>0</v>
      </c>
      <c r="M653" s="8">
        <v>18</v>
      </c>
      <c r="N653" s="7">
        <v>50619</v>
      </c>
      <c r="P653" s="7">
        <v>9387872</v>
      </c>
      <c r="Q653" s="7">
        <v>9499456</v>
      </c>
      <c r="R653" s="5" t="str">
        <f>VLOOKUP($G653,Others!$E$641:$I$931,2,FALSE)</f>
        <v>Original Screenplay</v>
      </c>
      <c r="S653" s="5" t="str">
        <f>VLOOKUP($G653,Others!$E$641:$I$931,3,FALSE)</f>
        <v>Live Action</v>
      </c>
      <c r="T653" s="5" t="str">
        <f>VLOOKUP($G653,Others!$E$641:$I$931,4,FALSE)</f>
        <v>Contemporary Fiction</v>
      </c>
      <c r="U653" s="5" t="str">
        <f>IFERROR(VLOOKUP($G653,Ratings!$E$125:$I$172,5,FALSE),"none")</f>
        <v>Not Rated</v>
      </c>
      <c r="V653" s="5"/>
      <c r="X653" s="5"/>
      <c r="Y653" s="5"/>
      <c r="AA653" s="5"/>
      <c r="AB653" s="5"/>
      <c r="AC653" s="5"/>
      <c r="AG653" s="9"/>
      <c r="AH653" s="9"/>
    </row>
    <row r="654" spans="2:34">
      <c r="B654" s="4">
        <v>2017</v>
      </c>
      <c r="C654" s="4" t="s">
        <v>44</v>
      </c>
      <c r="D654" s="3">
        <f t="shared" si="10"/>
        <v>20</v>
      </c>
      <c r="E654" s="55" t="s">
        <v>1095</v>
      </c>
      <c r="F654" s="3" t="s">
        <v>1095</v>
      </c>
      <c r="G654" s="5" t="s">
        <v>1096</v>
      </c>
      <c r="H654" s="5" t="s">
        <v>601</v>
      </c>
      <c r="I654" s="5" t="s">
        <v>129</v>
      </c>
      <c r="J654" s="7">
        <v>11940298</v>
      </c>
      <c r="K654" s="7">
        <v>4477611</v>
      </c>
      <c r="L654" s="7">
        <v>10474626</v>
      </c>
      <c r="M654" s="8">
        <v>20</v>
      </c>
      <c r="N654" s="7">
        <v>54276</v>
      </c>
      <c r="O654" s="7">
        <v>16119402</v>
      </c>
      <c r="P654" s="7">
        <v>29836276</v>
      </c>
      <c r="Q654" s="7">
        <v>29945246</v>
      </c>
      <c r="R654" s="5" t="str">
        <f>VLOOKUP($G654,Others!$E$641:$I$931,2,FALSE)</f>
        <v>Original Screenplay</v>
      </c>
      <c r="S654" s="5" t="str">
        <f>VLOOKUP($G654,Others!$E$641:$I$931,3,FALSE)</f>
        <v>Live Action</v>
      </c>
      <c r="T654" s="5" t="str">
        <f>VLOOKUP($G654,Others!$E$641:$I$931,4,FALSE)</f>
        <v>Science Fiction</v>
      </c>
      <c r="U654" s="5" t="str">
        <f>IFERROR(VLOOKUP($G654,Ratings!$E$125:$I$172,5,FALSE),"none")</f>
        <v>Not Rated</v>
      </c>
      <c r="V654" s="5" t="s">
        <v>2370</v>
      </c>
      <c r="W654" s="5" t="s">
        <v>2371</v>
      </c>
      <c r="X654" s="5" t="s">
        <v>2372</v>
      </c>
      <c r="Y654" s="5" t="s">
        <v>2373</v>
      </c>
      <c r="AA654" s="5" t="s">
        <v>2374</v>
      </c>
      <c r="AB654" s="5"/>
      <c r="AC654" s="5" t="s">
        <v>2375</v>
      </c>
      <c r="AD654" s="9">
        <v>7.9</v>
      </c>
      <c r="AE654" s="1" t="s">
        <v>1489</v>
      </c>
      <c r="AG654" s="9"/>
      <c r="AH654" s="9"/>
    </row>
    <row r="655" spans="2:34">
      <c r="B655" s="4">
        <v>2017</v>
      </c>
      <c r="C655" s="4" t="s">
        <v>44</v>
      </c>
      <c r="D655" s="3">
        <f t="shared" si="10"/>
        <v>21</v>
      </c>
      <c r="E655" s="55" t="s">
        <v>1097</v>
      </c>
      <c r="F655" s="3" t="s">
        <v>1097</v>
      </c>
      <c r="G655" s="5" t="s">
        <v>1098</v>
      </c>
      <c r="H655" s="5" t="s">
        <v>601</v>
      </c>
      <c r="I655" s="5" t="s">
        <v>129</v>
      </c>
      <c r="J655" s="7">
        <f>100000000/6.7</f>
        <v>14925373.134328358</v>
      </c>
      <c r="K655" s="7">
        <f>20000000/6.7</f>
        <v>2985074.6268656715</v>
      </c>
      <c r="L655" s="7">
        <f>22396000/6.7</f>
        <v>3342686.5671641789</v>
      </c>
      <c r="M655" s="8">
        <v>27</v>
      </c>
      <c r="N655" s="7">
        <v>23912</v>
      </c>
      <c r="O655" s="7">
        <f>60899000/6.7</f>
        <v>9089402.9850746263</v>
      </c>
      <c r="P655" s="7">
        <v>9506524</v>
      </c>
      <c r="Q655" s="7">
        <v>9560020</v>
      </c>
      <c r="R655" s="5" t="str">
        <f>VLOOKUP($G655,Others!$E$641:$I$931,2,FALSE)</f>
        <v>Original Screenplay</v>
      </c>
      <c r="S655" s="5" t="str">
        <f>VLOOKUP($G655,Others!$E$641:$I$931,3,FALSE)</f>
        <v>Live Action</v>
      </c>
      <c r="T655" s="5" t="str">
        <f>VLOOKUP($G655,Others!$E$641:$I$931,4,FALSE)</f>
        <v>Historical Fiction</v>
      </c>
      <c r="U655" s="5" t="str">
        <f>IFERROR(VLOOKUP($G655,Ratings!$E$125:$I$172,5,FALSE),"none")</f>
        <v>Not Rated</v>
      </c>
      <c r="V655" s="5" t="s">
        <v>2376</v>
      </c>
      <c r="W655" s="5" t="s">
        <v>2377</v>
      </c>
      <c r="X655" s="5" t="s">
        <v>2378</v>
      </c>
      <c r="Y655" s="5" t="s">
        <v>2379</v>
      </c>
      <c r="AA655" s="5" t="s">
        <v>2380</v>
      </c>
      <c r="AB655" s="5"/>
      <c r="AC655" s="5" t="s">
        <v>1954</v>
      </c>
      <c r="AD655" s="9">
        <v>8.3000000000000007</v>
      </c>
      <c r="AE655" s="1" t="s">
        <v>1489</v>
      </c>
      <c r="AG655" s="9"/>
      <c r="AH655" s="9"/>
    </row>
    <row r="656" spans="2:34">
      <c r="B656" s="4">
        <v>2017</v>
      </c>
      <c r="C656" s="4" t="s">
        <v>44</v>
      </c>
      <c r="D656" s="3">
        <f t="shared" si="10"/>
        <v>22</v>
      </c>
      <c r="E656" s="55" t="s">
        <v>1099</v>
      </c>
      <c r="F656" s="3" t="s">
        <v>1099</v>
      </c>
      <c r="G656" s="5" t="s">
        <v>1100</v>
      </c>
      <c r="H656" s="5" t="s">
        <v>626</v>
      </c>
      <c r="I656" s="5" t="s">
        <v>131</v>
      </c>
      <c r="J656" s="7">
        <v>8955223</v>
      </c>
      <c r="K656" s="7">
        <v>2238805</v>
      </c>
      <c r="L656" s="7">
        <v>908955</v>
      </c>
      <c r="M656" s="8">
        <v>6</v>
      </c>
      <c r="N656" s="7">
        <v>5942</v>
      </c>
      <c r="O656" s="7">
        <v>2480597</v>
      </c>
      <c r="P656" s="7">
        <v>2580320</v>
      </c>
      <c r="Q656" s="7">
        <v>2632086</v>
      </c>
      <c r="R656" s="5" t="str">
        <f>VLOOKUP($G656,Others!$E$641:$I$931,2,FALSE)</f>
        <v>Original Screenplay</v>
      </c>
      <c r="S656" s="5" t="str">
        <f>VLOOKUP($G656,Others!$E$641:$I$931,3,FALSE)</f>
        <v>Live Action</v>
      </c>
      <c r="T656" s="5" t="str">
        <f>VLOOKUP($G656,Others!$E$641:$I$931,4,FALSE)</f>
        <v>Contemporary Fiction</v>
      </c>
      <c r="U656" s="5" t="str">
        <f>IFERROR(VLOOKUP($G656,Ratings!$E$125:$I$172,5,FALSE),"none")</f>
        <v>Not Rated</v>
      </c>
      <c r="V656" s="5" t="s">
        <v>2381</v>
      </c>
      <c r="W656" s="5" t="s">
        <v>2382</v>
      </c>
      <c r="X656" s="5" t="s">
        <v>2383</v>
      </c>
      <c r="Y656" s="5" t="s">
        <v>2266</v>
      </c>
      <c r="AA656" s="5" t="s">
        <v>2384</v>
      </c>
      <c r="AB656" s="5"/>
      <c r="AC656" s="5" t="s">
        <v>2369</v>
      </c>
      <c r="AD656" s="9">
        <v>8.1999999999999993</v>
      </c>
      <c r="AE656" s="1" t="s">
        <v>1489</v>
      </c>
      <c r="AG656" s="9"/>
      <c r="AH656" s="9"/>
    </row>
    <row r="657" spans="2:34" hidden="1">
      <c r="B657" s="4">
        <v>2017</v>
      </c>
      <c r="C657" s="4" t="s">
        <v>44</v>
      </c>
      <c r="D657" s="3">
        <f t="shared" si="10"/>
        <v>23</v>
      </c>
      <c r="E657" s="3" t="s">
        <v>1101</v>
      </c>
      <c r="G657" s="5" t="s">
        <v>1102</v>
      </c>
      <c r="H657" s="5" t="s">
        <v>626</v>
      </c>
      <c r="I657" s="5" t="s">
        <v>148</v>
      </c>
      <c r="J657" s="7">
        <v>0</v>
      </c>
      <c r="M657" s="8">
        <v>10</v>
      </c>
      <c r="N657" s="7">
        <v>42230</v>
      </c>
      <c r="P657" s="7">
        <v>95655578</v>
      </c>
      <c r="Q657" s="7">
        <v>95697808</v>
      </c>
      <c r="R657" s="5" t="str">
        <f>VLOOKUP($G657,Others!$E$641:$I$931,2,FALSE)</f>
        <v>Original Screenplay</v>
      </c>
      <c r="S657" s="5" t="str">
        <f>VLOOKUP($G657,Others!$E$641:$I$931,3,FALSE)</f>
        <v>Live Action</v>
      </c>
      <c r="T657" s="5" t="str">
        <f>VLOOKUP($G657,Others!$E$641:$I$931,4,FALSE)</f>
        <v>Contemporary Fiction</v>
      </c>
      <c r="U657" s="5" t="str">
        <f>IFERROR(VLOOKUP($G657,Ratings!$E$125:$I$172,5,FALSE),"none")</f>
        <v>Not Rated</v>
      </c>
      <c r="V657" s="5"/>
      <c r="X657" s="5"/>
      <c r="Y657" s="5"/>
      <c r="AA657" s="5"/>
      <c r="AB657" s="5"/>
      <c r="AC657" s="5"/>
      <c r="AG657" s="9"/>
      <c r="AH657" s="9"/>
    </row>
    <row r="658" spans="2:34" hidden="1">
      <c r="B658" s="4">
        <v>2017</v>
      </c>
      <c r="C658" s="4" t="s">
        <v>44</v>
      </c>
      <c r="D658" s="3">
        <f t="shared" si="10"/>
        <v>24</v>
      </c>
      <c r="E658" s="3" t="s">
        <v>1103</v>
      </c>
      <c r="G658" s="5" t="s">
        <v>1104</v>
      </c>
      <c r="H658" s="5" t="s">
        <v>622</v>
      </c>
      <c r="I658" s="5" t="s">
        <v>191</v>
      </c>
      <c r="J658" s="7">
        <v>0</v>
      </c>
      <c r="M658" s="8">
        <v>1</v>
      </c>
      <c r="N658" s="7">
        <v>5141</v>
      </c>
      <c r="P658" s="7">
        <v>12006</v>
      </c>
      <c r="Q658" s="7">
        <v>41056</v>
      </c>
      <c r="R658" s="5" t="str">
        <f>VLOOKUP($G658,Others!$E$641:$I$931,2,FALSE)</f>
        <v>Based on Real Life Events</v>
      </c>
      <c r="S658" s="5" t="str">
        <f>VLOOKUP($G658,Others!$E$641:$I$931,3,FALSE)</f>
        <v>Live Action</v>
      </c>
      <c r="T658" s="5" t="str">
        <f>VLOOKUP($G658,Others!$E$641:$I$931,4,FALSE)</f>
        <v>Factual</v>
      </c>
      <c r="U658" s="5" t="str">
        <f>IFERROR(VLOOKUP($G658,Ratings!$E$125:$I$172,5,FALSE),"none")</f>
        <v>Not Rated</v>
      </c>
      <c r="V658" s="5"/>
      <c r="X658" s="5"/>
      <c r="Y658" s="5"/>
      <c r="AA658" s="5"/>
      <c r="AB658" s="5"/>
      <c r="AC658" s="5"/>
      <c r="AG658" s="9"/>
      <c r="AH658" s="9"/>
    </row>
    <row r="659" spans="2:34">
      <c r="B659" s="4">
        <v>2017</v>
      </c>
      <c r="C659" s="4" t="s">
        <v>44</v>
      </c>
      <c r="D659" s="3">
        <f t="shared" si="10"/>
        <v>25</v>
      </c>
      <c r="E659" s="55" t="s">
        <v>1105</v>
      </c>
      <c r="F659" s="3" t="s">
        <v>1105</v>
      </c>
      <c r="G659" s="5" t="s">
        <v>1106</v>
      </c>
      <c r="H659" s="5" t="s">
        <v>626</v>
      </c>
      <c r="I659" s="5" t="s">
        <v>191</v>
      </c>
      <c r="J659" s="7">
        <f>3000000/6.7</f>
        <v>447761.19402985071</v>
      </c>
      <c r="K659" s="7">
        <f>800000/6.7</f>
        <v>119402.98507462686</v>
      </c>
      <c r="L659" s="7">
        <f>58150000/6.7</f>
        <v>8679104.4776119404</v>
      </c>
      <c r="M659" s="8">
        <v>11</v>
      </c>
      <c r="N659" s="7">
        <v>22222</v>
      </c>
      <c r="O659" s="7">
        <f>1.56*100000000/6.7</f>
        <v>23283582.089552239</v>
      </c>
      <c r="P659" s="7">
        <v>25711603</v>
      </c>
      <c r="Q659" s="7">
        <v>25733825</v>
      </c>
      <c r="R659" s="5" t="str">
        <f>VLOOKUP($G659,Others!$E$641:$I$931,2,FALSE)</f>
        <v>Based on Real Life Events</v>
      </c>
      <c r="S659" s="5" t="str">
        <f>VLOOKUP($G659,Others!$E$641:$I$931,3,FALSE)</f>
        <v>Live Action</v>
      </c>
      <c r="T659" s="5" t="str">
        <f>VLOOKUP($G659,Others!$E$641:$I$931,4,FALSE)</f>
        <v>Factual</v>
      </c>
      <c r="U659" s="5" t="str">
        <f>IFERROR(VLOOKUP($G659,Ratings!$E$125:$I$172,5,FALSE),"none")</f>
        <v>Not Rated</v>
      </c>
      <c r="V659" s="5" t="s">
        <v>2385</v>
      </c>
      <c r="W659" s="5" t="s">
        <v>1106</v>
      </c>
      <c r="X659" s="6" t="s">
        <v>1411</v>
      </c>
      <c r="Y659" s="5"/>
      <c r="AA659" s="5" t="s">
        <v>2386</v>
      </c>
      <c r="AB659" s="5"/>
      <c r="AC659" s="5" t="s">
        <v>2387</v>
      </c>
      <c r="AD659" s="9">
        <v>9.1999999999999993</v>
      </c>
      <c r="AE659" s="9" t="s">
        <v>1489</v>
      </c>
      <c r="AG659" s="9"/>
      <c r="AH659" s="9"/>
    </row>
    <row r="660" spans="2:34">
      <c r="B660" s="4">
        <v>2017</v>
      </c>
      <c r="C660" s="4" t="s">
        <v>44</v>
      </c>
      <c r="D660" s="3">
        <f t="shared" si="10"/>
        <v>26</v>
      </c>
      <c r="E660" s="55" t="s">
        <v>1107</v>
      </c>
      <c r="F660" s="3" t="s">
        <v>1107</v>
      </c>
      <c r="G660" s="5" t="s">
        <v>1108</v>
      </c>
      <c r="H660" s="5" t="s">
        <v>601</v>
      </c>
      <c r="I660" s="5" t="s">
        <v>129</v>
      </c>
      <c r="J660" s="7">
        <v>17910447</v>
      </c>
      <c r="K660" s="7">
        <v>2985074</v>
      </c>
      <c r="L660" s="7">
        <v>5985074</v>
      </c>
      <c r="M660" s="8">
        <v>4</v>
      </c>
      <c r="N660" s="7">
        <v>5122</v>
      </c>
      <c r="O660" s="7">
        <v>16119402</v>
      </c>
      <c r="P660" s="7">
        <v>17269548</v>
      </c>
      <c r="Q660" s="7">
        <v>17283136</v>
      </c>
      <c r="R660" s="5" t="str">
        <f>VLOOKUP($G660,Others!$E$641:$I$931,2,FALSE)</f>
        <v>Original Screenplay</v>
      </c>
      <c r="S660" s="5" t="str">
        <f>VLOOKUP($G660,Others!$E$641:$I$931,3,FALSE)</f>
        <v>Live Action</v>
      </c>
      <c r="T660" s="5" t="str">
        <f>VLOOKUP($G660,Others!$E$641:$I$931,4,FALSE)</f>
        <v>Fantasy</v>
      </c>
      <c r="U660" s="5" t="str">
        <f>IFERROR(VLOOKUP($G660,Ratings!$E$125:$I$172,5,FALSE),"none")</f>
        <v>Not Rated</v>
      </c>
      <c r="V660" s="5" t="s">
        <v>2388</v>
      </c>
      <c r="W660" s="5" t="s">
        <v>2389</v>
      </c>
      <c r="X660" s="5" t="s">
        <v>2289</v>
      </c>
      <c r="Y660" s="5" t="s">
        <v>1699</v>
      </c>
      <c r="AA660" s="5" t="s">
        <v>2390</v>
      </c>
      <c r="AB660" s="5"/>
      <c r="AC660" s="5" t="s">
        <v>2048</v>
      </c>
      <c r="AD660" s="9">
        <v>7.9</v>
      </c>
      <c r="AE660" s="1" t="s">
        <v>1489</v>
      </c>
      <c r="AG660" s="9"/>
      <c r="AH660" s="9"/>
    </row>
    <row r="661" spans="2:34" hidden="1">
      <c r="B661" s="4">
        <v>2017</v>
      </c>
      <c r="C661" s="4" t="s">
        <v>44</v>
      </c>
      <c r="D661" s="3">
        <f t="shared" si="10"/>
        <v>27</v>
      </c>
      <c r="E661" s="3" t="s">
        <v>1109</v>
      </c>
      <c r="G661" s="5" t="s">
        <v>1110</v>
      </c>
      <c r="H661" s="5" t="s">
        <v>774</v>
      </c>
      <c r="I661" s="5" t="s">
        <v>131</v>
      </c>
      <c r="J661" s="7">
        <v>0</v>
      </c>
      <c r="M661" s="8">
        <v>2</v>
      </c>
      <c r="N661" s="7">
        <v>1355</v>
      </c>
      <c r="P661" s="7">
        <v>487625</v>
      </c>
      <c r="Q661" s="7">
        <v>491294</v>
      </c>
      <c r="R661" s="5" t="str">
        <f>VLOOKUP($G661,Others!$E$641:$I$931,2,FALSE)</f>
        <v>Original Screenplay</v>
      </c>
      <c r="S661" s="5" t="str">
        <f>VLOOKUP($G661,Others!$E$641:$I$931,3,FALSE)</f>
        <v>Live Action</v>
      </c>
      <c r="T661" s="5" t="str">
        <f>VLOOKUP($G661,Others!$E$641:$I$931,4,FALSE)</f>
        <v>Contemporary Fiction</v>
      </c>
      <c r="U661" s="5" t="str">
        <f>IFERROR(VLOOKUP($G661,Ratings!$E$125:$I$172,5,FALSE),"none")</f>
        <v>Not Rated</v>
      </c>
      <c r="V661" s="5"/>
      <c r="X661" s="5"/>
      <c r="Y661" s="5"/>
      <c r="AA661" s="5"/>
      <c r="AB661" s="5"/>
      <c r="AC661" s="5"/>
      <c r="AG661" s="9"/>
      <c r="AH661" s="9"/>
    </row>
    <row r="662" spans="2:34" hidden="1">
      <c r="B662" s="4">
        <v>2017</v>
      </c>
      <c r="C662" s="4" t="s">
        <v>44</v>
      </c>
      <c r="D662" s="3">
        <f t="shared" si="10"/>
        <v>28</v>
      </c>
      <c r="E662" s="3" t="s">
        <v>1111</v>
      </c>
      <c r="G662" s="5" t="s">
        <v>1112</v>
      </c>
      <c r="H662" s="5" t="s">
        <v>1113</v>
      </c>
      <c r="I662" s="5" t="s">
        <v>131</v>
      </c>
      <c r="J662" s="7">
        <v>0</v>
      </c>
      <c r="M662" s="8">
        <v>0</v>
      </c>
      <c r="N662" s="7">
        <v>0</v>
      </c>
      <c r="P662" s="7">
        <v>0</v>
      </c>
      <c r="Q662" s="7">
        <v>0</v>
      </c>
      <c r="R662" s="5" t="str">
        <f>VLOOKUP($G662,Others!$E$641:$I$931,2,FALSE)</f>
        <v>Based on Real Life Events</v>
      </c>
      <c r="S662" s="5" t="str">
        <f>VLOOKUP($G662,Others!$E$641:$I$931,3,FALSE)</f>
        <v>Live Action</v>
      </c>
      <c r="T662" s="5" t="str">
        <f>VLOOKUP($G662,Others!$E$641:$I$931,4,FALSE)</f>
        <v>Dramatization</v>
      </c>
      <c r="U662" s="5" t="str">
        <f>IFERROR(VLOOKUP($G662,Ratings!$E$125:$I$172,5,FALSE),"none")</f>
        <v>PG-13</v>
      </c>
      <c r="V662" s="5"/>
      <c r="X662" s="5"/>
      <c r="Y662" s="5"/>
      <c r="AA662" s="5"/>
      <c r="AB662" s="5"/>
      <c r="AC662" s="5"/>
      <c r="AG662" s="9"/>
      <c r="AH662" s="9"/>
    </row>
    <row r="663" spans="2:34" hidden="1">
      <c r="B663" s="4">
        <v>2017</v>
      </c>
      <c r="C663" s="4" t="s">
        <v>44</v>
      </c>
      <c r="D663" s="3">
        <f t="shared" si="10"/>
        <v>29</v>
      </c>
      <c r="E663" s="3" t="s">
        <v>1114</v>
      </c>
      <c r="G663" s="5" t="s">
        <v>1115</v>
      </c>
      <c r="H663" s="5"/>
      <c r="I663" s="5" t="s">
        <v>129</v>
      </c>
      <c r="J663" s="7">
        <v>0</v>
      </c>
      <c r="M663" s="8">
        <v>0</v>
      </c>
      <c r="N663" s="7">
        <v>0</v>
      </c>
      <c r="P663" s="7">
        <v>230000</v>
      </c>
      <c r="Q663" s="7">
        <v>230000</v>
      </c>
      <c r="R663" s="5" t="str">
        <f>VLOOKUP($G663,Others!$E$641:$I$931,2,FALSE)</f>
        <v>Original Screenplay</v>
      </c>
      <c r="S663" s="5" t="str">
        <f>VLOOKUP($G663,Others!$E$641:$I$931,3,FALSE)</f>
        <v>Live Action</v>
      </c>
      <c r="T663" s="5" t="str">
        <f>VLOOKUP($G663,Others!$E$641:$I$931,4,FALSE)</f>
        <v>Contemporary Fiction</v>
      </c>
      <c r="U663" s="5" t="str">
        <f>IFERROR(VLOOKUP($G663,Ratings!$E$125:$I$172,5,FALSE),"none")</f>
        <v>none</v>
      </c>
      <c r="V663" s="5"/>
      <c r="X663" s="5"/>
      <c r="Y663" s="5"/>
      <c r="AA663" s="5"/>
      <c r="AB663" s="5"/>
      <c r="AC663" s="5"/>
      <c r="AG663" s="9"/>
      <c r="AH663" s="9"/>
    </row>
    <row r="664" spans="2:34" hidden="1">
      <c r="B664" s="4">
        <v>2017</v>
      </c>
      <c r="C664" s="4" t="s">
        <v>44</v>
      </c>
      <c r="D664" s="3">
        <f t="shared" si="10"/>
        <v>30</v>
      </c>
      <c r="E664" s="3" t="s">
        <v>1082</v>
      </c>
      <c r="G664" s="5" t="s">
        <v>1116</v>
      </c>
      <c r="H664" s="5" t="s">
        <v>1117</v>
      </c>
      <c r="I664" s="5" t="s">
        <v>129</v>
      </c>
      <c r="J664" s="7">
        <v>0</v>
      </c>
      <c r="M664" s="8">
        <v>0</v>
      </c>
      <c r="N664" s="7">
        <v>0</v>
      </c>
      <c r="P664" s="7">
        <v>3303741</v>
      </c>
      <c r="Q664" s="7">
        <v>3303741</v>
      </c>
      <c r="R664" s="5" t="str">
        <f>VLOOKUP($G664,Others!$E$641:$I$931,2,FALSE)</f>
        <v>Original Screenplay</v>
      </c>
      <c r="S664" s="5" t="str">
        <f>VLOOKUP($G664,Others!$E$641:$I$931,3,FALSE)</f>
        <v>Live Action</v>
      </c>
      <c r="T664" s="5" t="str">
        <f>VLOOKUP($G664,Others!$E$641:$I$931,4,FALSE)</f>
        <v>Contemporary Fiction</v>
      </c>
      <c r="U664" s="5" t="str">
        <f>IFERROR(VLOOKUP($G664,Ratings!$E$125:$I$172,5,FALSE),"none")</f>
        <v>PG-13</v>
      </c>
      <c r="V664" s="5"/>
      <c r="X664" s="5"/>
      <c r="Y664" s="5"/>
      <c r="AA664" s="5"/>
      <c r="AB664" s="5"/>
      <c r="AC664" s="5"/>
      <c r="AG664" s="9"/>
      <c r="AH664" s="9"/>
    </row>
    <row r="665" spans="2:34" hidden="1">
      <c r="B665" s="4">
        <v>2017</v>
      </c>
      <c r="C665" s="4" t="s">
        <v>44</v>
      </c>
      <c r="D665" s="3">
        <f t="shared" si="10"/>
        <v>31</v>
      </c>
      <c r="E665" s="3" t="s">
        <v>1080</v>
      </c>
      <c r="G665" s="5" t="s">
        <v>1118</v>
      </c>
      <c r="H665" s="5" t="s">
        <v>1119</v>
      </c>
      <c r="I665" s="5" t="s">
        <v>191</v>
      </c>
      <c r="J665" s="7">
        <v>0</v>
      </c>
      <c r="M665" s="8">
        <v>0</v>
      </c>
      <c r="N665" s="7">
        <v>0</v>
      </c>
      <c r="P665" s="7">
        <v>0</v>
      </c>
      <c r="Q665" s="7">
        <v>0</v>
      </c>
      <c r="R665" s="5" t="str">
        <f>VLOOKUP($G665,Others!$E$641:$I$931,2,FALSE)</f>
        <v>Original Screenplay</v>
      </c>
      <c r="S665" s="5" t="str">
        <f>VLOOKUP($G665,Others!$E$641:$I$931,3,FALSE)</f>
        <v>Live Action</v>
      </c>
      <c r="T665" s="5" t="str">
        <f>VLOOKUP($G665,Others!$E$641:$I$931,4,FALSE)</f>
        <v>Factual</v>
      </c>
      <c r="U665" s="5" t="str">
        <f>IFERROR(VLOOKUP($G665,Ratings!$E$125:$I$172,5,FALSE),"none")</f>
        <v>none</v>
      </c>
      <c r="V665" s="5"/>
      <c r="X665" s="5"/>
      <c r="Y665" s="5"/>
      <c r="AA665" s="5"/>
      <c r="AB665" s="5"/>
      <c r="AC665" s="5"/>
      <c r="AG665" s="9"/>
      <c r="AH665" s="9"/>
    </row>
    <row r="666" spans="2:34" hidden="1">
      <c r="B666" s="4">
        <v>2017</v>
      </c>
      <c r="C666" s="4" t="s">
        <v>44</v>
      </c>
      <c r="D666" s="3">
        <f t="shared" si="10"/>
        <v>32</v>
      </c>
      <c r="E666" s="3" t="s">
        <v>1120</v>
      </c>
      <c r="G666" s="5" t="s">
        <v>1121</v>
      </c>
      <c r="H666" s="5"/>
      <c r="I666" s="5" t="s">
        <v>136</v>
      </c>
      <c r="J666" s="7">
        <v>0</v>
      </c>
      <c r="M666" s="8">
        <v>0</v>
      </c>
      <c r="N666" s="7">
        <v>0</v>
      </c>
      <c r="P666" s="7">
        <v>0</v>
      </c>
      <c r="Q666" s="7">
        <v>0</v>
      </c>
      <c r="R666" s="5" t="str">
        <f>VLOOKUP($G666,Others!$E$641:$I$931,2,FALSE)</f>
        <v>Original Screenplay</v>
      </c>
      <c r="S666" s="5" t="str">
        <f>VLOOKUP($G666,Others!$E$641:$I$931,3,FALSE)</f>
        <v>Live Action</v>
      </c>
      <c r="T666" s="5" t="str">
        <f>VLOOKUP($G666,Others!$E$641:$I$931,4,FALSE)</f>
        <v>Contemporary Fiction</v>
      </c>
      <c r="U666" s="5" t="str">
        <f>IFERROR(VLOOKUP($G666,Ratings!$E$125:$I$172,5,FALSE),"none")</f>
        <v>none</v>
      </c>
      <c r="V666" s="5"/>
      <c r="X666" s="5"/>
      <c r="Y666" s="5"/>
      <c r="AA666" s="5"/>
      <c r="AB666" s="5"/>
      <c r="AC666" s="5"/>
      <c r="AG666" s="9"/>
      <c r="AH666" s="9"/>
    </row>
    <row r="667" spans="2:34" hidden="1">
      <c r="B667" s="4">
        <v>2017</v>
      </c>
      <c r="C667" s="4" t="s">
        <v>44</v>
      </c>
      <c r="D667" s="3">
        <f t="shared" si="10"/>
        <v>33</v>
      </c>
      <c r="E667" s="3" t="s">
        <v>1122</v>
      </c>
      <c r="G667" s="5" t="s">
        <v>1123</v>
      </c>
      <c r="H667" s="5"/>
      <c r="I667" s="5" t="s">
        <v>127</v>
      </c>
      <c r="J667" s="7">
        <v>0</v>
      </c>
      <c r="M667" s="8">
        <v>0</v>
      </c>
      <c r="N667" s="7">
        <v>0</v>
      </c>
      <c r="P667" s="7">
        <v>916822</v>
      </c>
      <c r="Q667" s="7">
        <v>916822</v>
      </c>
      <c r="R667" s="5" t="str">
        <f>VLOOKUP($G667,Others!$E$641:$I$931,2,FALSE)</f>
        <v>Original Screenplay</v>
      </c>
      <c r="S667" s="5" t="str">
        <f>VLOOKUP($G667,Others!$E$641:$I$931,3,FALSE)</f>
        <v>Digital Animation</v>
      </c>
      <c r="T667" s="5" t="str">
        <f>VLOOKUP($G667,Others!$E$641:$I$931,4,FALSE)</f>
        <v>Kids Fiction</v>
      </c>
      <c r="U667" s="5" t="str">
        <f>IFERROR(VLOOKUP($G667,Ratings!$E$125:$I$172,5,FALSE),"none")</f>
        <v>none</v>
      </c>
      <c r="V667" s="5"/>
      <c r="X667" s="5"/>
      <c r="Y667" s="5"/>
      <c r="AA667" s="5"/>
      <c r="AB667" s="5"/>
      <c r="AC667" s="5"/>
      <c r="AG667" s="9"/>
      <c r="AH667" s="9"/>
    </row>
    <row r="668" spans="2:34" hidden="1">
      <c r="B668" s="4">
        <v>2017</v>
      </c>
      <c r="C668" s="4" t="s">
        <v>44</v>
      </c>
      <c r="D668" s="3">
        <f t="shared" si="10"/>
        <v>34</v>
      </c>
      <c r="E668" s="3" t="s">
        <v>1124</v>
      </c>
      <c r="G668" s="5" t="s">
        <v>1125</v>
      </c>
      <c r="H668" s="5"/>
      <c r="I668" s="5" t="s">
        <v>136</v>
      </c>
      <c r="J668" s="7">
        <v>0</v>
      </c>
      <c r="M668" s="8">
        <v>0</v>
      </c>
      <c r="N668" s="7">
        <v>0</v>
      </c>
      <c r="P668" s="7">
        <v>790000</v>
      </c>
      <c r="Q668" s="7">
        <v>790000</v>
      </c>
      <c r="R668" s="5" t="str">
        <f>VLOOKUP($G668,Others!$E$641:$I$931,2,FALSE)</f>
        <v>Original Screenplay</v>
      </c>
      <c r="S668" s="5" t="str">
        <f>VLOOKUP($G668,Others!$E$641:$I$931,3,FALSE)</f>
        <v>Live Action</v>
      </c>
      <c r="T668" s="5" t="str">
        <f>VLOOKUP($G668,Others!$E$641:$I$931,4,FALSE)</f>
        <v>Contemporary Fiction</v>
      </c>
      <c r="U668" s="5" t="str">
        <f>IFERROR(VLOOKUP($G668,Ratings!$E$125:$I$172,5,FALSE),"none")</f>
        <v>PG-13</v>
      </c>
      <c r="V668" s="5"/>
      <c r="X668" s="5"/>
      <c r="Y668" s="5"/>
      <c r="AA668" s="5"/>
      <c r="AB668" s="5"/>
      <c r="AC668" s="5"/>
      <c r="AG668" s="9"/>
      <c r="AH668" s="9"/>
    </row>
    <row r="669" spans="2:34" hidden="1">
      <c r="B669" s="4">
        <v>2017</v>
      </c>
      <c r="C669" s="4" t="s">
        <v>44</v>
      </c>
      <c r="D669" s="3">
        <f t="shared" si="10"/>
        <v>35</v>
      </c>
      <c r="E669" s="3" t="s">
        <v>1126</v>
      </c>
      <c r="G669" s="5" t="s">
        <v>1127</v>
      </c>
      <c r="H669" s="5"/>
      <c r="J669" s="7">
        <v>0</v>
      </c>
      <c r="M669" s="8">
        <v>0</v>
      </c>
      <c r="N669" s="7">
        <v>0</v>
      </c>
      <c r="P669" s="7">
        <v>41413</v>
      </c>
      <c r="Q669" s="7">
        <v>41413</v>
      </c>
      <c r="R669" s="5">
        <f>VLOOKUP($G669,Others!$E$641:$I$931,2,FALSE)</f>
        <v>0</v>
      </c>
      <c r="S669" s="5">
        <f>VLOOKUP($G669,Others!$E$641:$I$931,3,FALSE)</f>
        <v>0</v>
      </c>
      <c r="T669" s="5">
        <f>VLOOKUP($G669,Others!$E$641:$I$931,4,FALSE)</f>
        <v>0</v>
      </c>
      <c r="U669" s="5" t="str">
        <f>IFERROR(VLOOKUP($G669,Ratings!$E$125:$I$172,5,FALSE),"none")</f>
        <v>none</v>
      </c>
      <c r="V669" s="5"/>
      <c r="X669" s="5"/>
      <c r="Y669" s="5"/>
      <c r="AA669" s="5"/>
      <c r="AB669" s="5"/>
      <c r="AC669" s="5"/>
      <c r="AG669" s="9"/>
      <c r="AH669" s="9"/>
    </row>
    <row r="670" spans="2:34" hidden="1">
      <c r="B670" s="4">
        <v>2017</v>
      </c>
      <c r="C670" s="4" t="s">
        <v>44</v>
      </c>
      <c r="D670" s="3">
        <f t="shared" si="10"/>
        <v>36</v>
      </c>
      <c r="E670" s="3" t="s">
        <v>1126</v>
      </c>
      <c r="G670" s="5" t="s">
        <v>1128</v>
      </c>
      <c r="H670" s="5"/>
      <c r="I670" s="5" t="s">
        <v>193</v>
      </c>
      <c r="J670" s="7">
        <v>0</v>
      </c>
      <c r="M670" s="8">
        <v>0</v>
      </c>
      <c r="N670" s="7">
        <v>0</v>
      </c>
      <c r="P670" s="7">
        <v>203386</v>
      </c>
      <c r="Q670" s="7">
        <v>203386</v>
      </c>
      <c r="R670" s="5">
        <f>VLOOKUP($G670,Others!$E$641:$I$931,2,FALSE)</f>
        <v>0</v>
      </c>
      <c r="S670" s="5">
        <f>VLOOKUP($G670,Others!$E$641:$I$931,3,FALSE)</f>
        <v>0</v>
      </c>
      <c r="T670" s="5">
        <f>VLOOKUP($G670,Others!$E$641:$I$931,4,FALSE)</f>
        <v>0</v>
      </c>
      <c r="U670" s="5" t="str">
        <f>IFERROR(VLOOKUP($G670,Ratings!$E$125:$I$172,5,FALSE),"none")</f>
        <v>none</v>
      </c>
      <c r="V670" s="5"/>
      <c r="X670" s="5"/>
      <c r="Y670" s="5"/>
      <c r="AA670" s="5"/>
      <c r="AB670" s="5"/>
      <c r="AC670" s="5"/>
      <c r="AG670" s="9"/>
      <c r="AH670" s="9"/>
    </row>
    <row r="671" spans="2:34" hidden="1">
      <c r="B671" s="4">
        <v>2017</v>
      </c>
      <c r="C671" s="4" t="s">
        <v>44</v>
      </c>
      <c r="D671" s="3">
        <f t="shared" si="10"/>
        <v>37</v>
      </c>
      <c r="E671" s="3" t="s">
        <v>1126</v>
      </c>
      <c r="G671" s="5" t="s">
        <v>1129</v>
      </c>
      <c r="H671" s="5"/>
      <c r="J671" s="7">
        <v>0</v>
      </c>
      <c r="M671" s="8">
        <v>0</v>
      </c>
      <c r="N671" s="7">
        <v>0</v>
      </c>
      <c r="P671" s="7">
        <v>9215</v>
      </c>
      <c r="Q671" s="7">
        <v>9215</v>
      </c>
      <c r="R671" s="5">
        <f>VLOOKUP($G671,Others!$E$641:$I$931,2,FALSE)</f>
        <v>0</v>
      </c>
      <c r="S671" s="5">
        <f>VLOOKUP($G671,Others!$E$641:$I$931,3,FALSE)</f>
        <v>0</v>
      </c>
      <c r="T671" s="5">
        <f>VLOOKUP($G671,Others!$E$641:$I$931,4,FALSE)</f>
        <v>0</v>
      </c>
      <c r="U671" s="5" t="str">
        <f>IFERROR(VLOOKUP($G671,Ratings!$E$125:$I$172,5,FALSE),"none")</f>
        <v>none</v>
      </c>
      <c r="V671" s="5"/>
      <c r="X671" s="5"/>
      <c r="Y671" s="5"/>
      <c r="AA671" s="5"/>
      <c r="AB671" s="5"/>
      <c r="AC671" s="5"/>
      <c r="AG671" s="9"/>
      <c r="AH671" s="9"/>
    </row>
    <row r="672" spans="2:34" hidden="1">
      <c r="B672" s="4">
        <v>2017</v>
      </c>
      <c r="C672" s="4" t="s">
        <v>44</v>
      </c>
      <c r="D672" s="3">
        <f t="shared" si="10"/>
        <v>38</v>
      </c>
      <c r="E672" s="3" t="s">
        <v>1126</v>
      </c>
      <c r="G672" s="5" t="s">
        <v>1130</v>
      </c>
      <c r="H672" s="5"/>
      <c r="I672" s="5" t="s">
        <v>127</v>
      </c>
      <c r="J672" s="7">
        <v>0</v>
      </c>
      <c r="M672" s="8">
        <v>0</v>
      </c>
      <c r="N672" s="7">
        <v>0</v>
      </c>
      <c r="P672" s="7">
        <v>185876</v>
      </c>
      <c r="Q672" s="7">
        <v>185876</v>
      </c>
      <c r="R672" s="5" t="str">
        <f>VLOOKUP($G672,Others!$E$641:$I$931,2,FALSE)</f>
        <v>Original Screenplay</v>
      </c>
      <c r="S672" s="5" t="str">
        <f>VLOOKUP($G672,Others!$E$641:$I$931,3,FALSE)</f>
        <v>Digital Animation</v>
      </c>
      <c r="T672" s="5" t="str">
        <f>VLOOKUP($G672,Others!$E$641:$I$931,4,FALSE)</f>
        <v>Kids Fiction</v>
      </c>
      <c r="U672" s="5" t="str">
        <f>IFERROR(VLOOKUP($G672,Ratings!$E$125:$I$172,5,FALSE),"none")</f>
        <v>none</v>
      </c>
      <c r="V672" s="5"/>
      <c r="X672" s="5"/>
      <c r="Y672" s="5"/>
      <c r="AA672" s="5"/>
      <c r="AB672" s="5"/>
      <c r="AC672" s="5"/>
      <c r="AG672" s="9"/>
      <c r="AH672" s="9"/>
    </row>
    <row r="673" spans="2:34" hidden="1">
      <c r="B673" s="4">
        <v>2017</v>
      </c>
      <c r="C673" s="4" t="s">
        <v>44</v>
      </c>
      <c r="D673" s="3">
        <f t="shared" si="10"/>
        <v>39</v>
      </c>
      <c r="E673" s="3" t="s">
        <v>1126</v>
      </c>
      <c r="G673" s="5" t="s">
        <v>1131</v>
      </c>
      <c r="H673" s="5"/>
      <c r="I673" s="5" t="s">
        <v>129</v>
      </c>
      <c r="J673" s="7">
        <v>0</v>
      </c>
      <c r="M673" s="8">
        <v>0</v>
      </c>
      <c r="N673" s="7">
        <v>0</v>
      </c>
      <c r="P673" s="7">
        <v>0</v>
      </c>
      <c r="Q673" s="7">
        <v>0</v>
      </c>
      <c r="R673" s="5" t="str">
        <f>VLOOKUP($G673,Others!$E$641:$I$931,2,FALSE)</f>
        <v>Original Screenplay</v>
      </c>
      <c r="S673" s="5" t="str">
        <f>VLOOKUP($G673,Others!$E$641:$I$931,3,FALSE)</f>
        <v>Live Action</v>
      </c>
      <c r="T673" s="5" t="str">
        <f>VLOOKUP($G673,Others!$E$641:$I$931,4,FALSE)</f>
        <v>Contemporary Fiction</v>
      </c>
      <c r="U673" s="5" t="str">
        <f>IFERROR(VLOOKUP($G673,Ratings!$E$125:$I$172,5,FALSE),"none")</f>
        <v>none</v>
      </c>
      <c r="V673" s="5"/>
      <c r="X673" s="5"/>
      <c r="Y673" s="5"/>
      <c r="AA673" s="5"/>
      <c r="AB673" s="5"/>
      <c r="AC673" s="5"/>
      <c r="AG673" s="9"/>
      <c r="AH673" s="9"/>
    </row>
    <row r="674" spans="2:34" hidden="1">
      <c r="B674" s="4">
        <v>2017</v>
      </c>
      <c r="C674" s="4" t="s">
        <v>44</v>
      </c>
      <c r="D674" s="3">
        <f t="shared" si="10"/>
        <v>40</v>
      </c>
      <c r="E674" s="3" t="s">
        <v>1126</v>
      </c>
      <c r="G674" s="5" t="s">
        <v>488</v>
      </c>
      <c r="H674" s="5"/>
      <c r="I674" s="5" t="s">
        <v>127</v>
      </c>
      <c r="J674" s="7">
        <v>0</v>
      </c>
      <c r="M674" s="8">
        <v>0</v>
      </c>
      <c r="N674" s="7">
        <v>0</v>
      </c>
      <c r="P674" s="7">
        <v>238049</v>
      </c>
      <c r="Q674" s="7">
        <v>238049</v>
      </c>
      <c r="R674" s="5" t="str">
        <f>VLOOKUP($G674,Others!$E$641:$I$931,2,FALSE)</f>
        <v>Original Screenplay</v>
      </c>
      <c r="S674" s="5" t="str">
        <f>VLOOKUP($G674,Others!$E$641:$I$931,3,FALSE)</f>
        <v>Digital Animation</v>
      </c>
      <c r="T674" s="5" t="str">
        <f>VLOOKUP($G674,Others!$E$641:$I$931,4,FALSE)</f>
        <v>Kids Fiction</v>
      </c>
      <c r="U674" s="5" t="str">
        <f>IFERROR(VLOOKUP($G674,Ratings!$E$125:$I$172,5,FALSE),"none")</f>
        <v>none</v>
      </c>
      <c r="V674" s="5"/>
      <c r="X674" s="5"/>
      <c r="Y674" s="5"/>
      <c r="AA674" s="5"/>
      <c r="AB674" s="5"/>
      <c r="AC674" s="5"/>
      <c r="AG674" s="9"/>
      <c r="AH674" s="9"/>
    </row>
    <row r="675" spans="2:34" hidden="1">
      <c r="B675" s="4">
        <v>2017</v>
      </c>
      <c r="C675" s="4" t="s">
        <v>44</v>
      </c>
      <c r="D675" s="3">
        <f t="shared" si="10"/>
        <v>41</v>
      </c>
      <c r="E675" s="3" t="s">
        <v>1126</v>
      </c>
      <c r="G675" s="5" t="s">
        <v>1132</v>
      </c>
      <c r="H675" s="5"/>
      <c r="I675" s="5" t="s">
        <v>193</v>
      </c>
      <c r="J675" s="7">
        <v>0</v>
      </c>
      <c r="M675" s="8">
        <v>0</v>
      </c>
      <c r="N675" s="7">
        <v>0</v>
      </c>
      <c r="P675" s="7">
        <v>18487</v>
      </c>
      <c r="Q675" s="7">
        <v>18487</v>
      </c>
      <c r="R675" s="5">
        <f>VLOOKUP($G675,Others!$E$641:$I$931,2,FALSE)</f>
        <v>0</v>
      </c>
      <c r="S675" s="5">
        <f>VLOOKUP($G675,Others!$E$641:$I$931,3,FALSE)</f>
        <v>0</v>
      </c>
      <c r="T675" s="5">
        <f>VLOOKUP($G675,Others!$E$641:$I$931,4,FALSE)</f>
        <v>0</v>
      </c>
      <c r="U675" s="5" t="str">
        <f>IFERROR(VLOOKUP($G675,Ratings!$E$125:$I$172,5,FALSE),"none")</f>
        <v>none</v>
      </c>
      <c r="V675" s="5"/>
      <c r="X675" s="5"/>
      <c r="Y675" s="5"/>
      <c r="AA675" s="5"/>
      <c r="AB675" s="5"/>
      <c r="AC675" s="5"/>
      <c r="AG675" s="9"/>
      <c r="AH675" s="9"/>
    </row>
    <row r="676" spans="2:34" hidden="1">
      <c r="B676" s="4">
        <v>2017</v>
      </c>
      <c r="C676" s="4" t="s">
        <v>44</v>
      </c>
      <c r="D676" s="3">
        <f t="shared" si="10"/>
        <v>42</v>
      </c>
      <c r="E676" s="3" t="s">
        <v>1126</v>
      </c>
      <c r="G676" s="5" t="s">
        <v>1133</v>
      </c>
      <c r="H676" s="5"/>
      <c r="J676" s="7">
        <v>0</v>
      </c>
      <c r="M676" s="8">
        <v>0</v>
      </c>
      <c r="N676" s="7">
        <v>0</v>
      </c>
      <c r="P676" s="7">
        <v>36568</v>
      </c>
      <c r="Q676" s="7">
        <v>36568</v>
      </c>
      <c r="R676" s="5">
        <f>VLOOKUP($G676,Others!$E$641:$I$931,2,FALSE)</f>
        <v>0</v>
      </c>
      <c r="S676" s="5">
        <f>VLOOKUP($G676,Others!$E$641:$I$931,3,FALSE)</f>
        <v>0</v>
      </c>
      <c r="T676" s="5">
        <f>VLOOKUP($G676,Others!$E$641:$I$931,4,FALSE)</f>
        <v>0</v>
      </c>
      <c r="U676" s="5" t="str">
        <f>IFERROR(VLOOKUP($G676,Ratings!$E$125:$I$172,5,FALSE),"none")</f>
        <v>none</v>
      </c>
      <c r="V676" s="5"/>
      <c r="X676" s="5"/>
      <c r="Y676" s="5"/>
      <c r="AA676" s="5"/>
      <c r="AB676" s="5"/>
      <c r="AC676" s="5"/>
      <c r="AG676" s="9"/>
      <c r="AH676" s="9"/>
    </row>
    <row r="677" spans="2:34" hidden="1">
      <c r="B677" s="4">
        <v>2017</v>
      </c>
      <c r="C677" s="4" t="s">
        <v>44</v>
      </c>
      <c r="D677" s="3">
        <f t="shared" si="10"/>
        <v>43</v>
      </c>
      <c r="E677" s="3" t="s">
        <v>1126</v>
      </c>
      <c r="G677" s="5" t="s">
        <v>1134</v>
      </c>
      <c r="H677" s="5"/>
      <c r="I677" s="5" t="s">
        <v>154</v>
      </c>
      <c r="J677" s="7">
        <v>0</v>
      </c>
      <c r="M677" s="8">
        <v>0</v>
      </c>
      <c r="N677" s="7">
        <v>0</v>
      </c>
      <c r="P677" s="7">
        <v>2155017</v>
      </c>
      <c r="Q677" s="7">
        <v>2155017</v>
      </c>
      <c r="R677" s="5" t="str">
        <f>VLOOKUP($G677,Others!$E$641:$I$931,2,FALSE)</f>
        <v>Original Screenplay</v>
      </c>
      <c r="S677" s="5" t="str">
        <f>VLOOKUP($G677,Others!$E$641:$I$931,3,FALSE)</f>
        <v>Live Action</v>
      </c>
      <c r="T677" s="5" t="str">
        <f>VLOOKUP($G677,Others!$E$641:$I$931,4,FALSE)</f>
        <v>Contemporary Fiction</v>
      </c>
      <c r="U677" s="5" t="str">
        <f>IFERROR(VLOOKUP($G677,Ratings!$E$125:$I$172,5,FALSE),"none")</f>
        <v>none</v>
      </c>
      <c r="V677" s="5"/>
      <c r="X677" s="5"/>
      <c r="Y677" s="5"/>
      <c r="AA677" s="5"/>
      <c r="AB677" s="5"/>
      <c r="AC677" s="5"/>
      <c r="AG677" s="9"/>
      <c r="AH677" s="9"/>
    </row>
    <row r="678" spans="2:34" hidden="1">
      <c r="B678" s="4">
        <v>2017</v>
      </c>
      <c r="C678" s="4" t="s">
        <v>44</v>
      </c>
      <c r="D678" s="3">
        <f t="shared" si="10"/>
        <v>44</v>
      </c>
      <c r="E678" s="3" t="s">
        <v>1126</v>
      </c>
      <c r="G678" s="5" t="s">
        <v>1135</v>
      </c>
      <c r="H678" s="5"/>
      <c r="I678" s="5" t="s">
        <v>131</v>
      </c>
      <c r="J678" s="7">
        <v>0</v>
      </c>
      <c r="M678" s="8">
        <v>0</v>
      </c>
      <c r="N678" s="7">
        <v>0</v>
      </c>
      <c r="P678" s="7">
        <v>1270000</v>
      </c>
      <c r="Q678" s="7">
        <v>1270000</v>
      </c>
      <c r="R678" s="5" t="str">
        <f>VLOOKUP($G678,Others!$E$641:$I$931,2,FALSE)</f>
        <v>Original Screenplay</v>
      </c>
      <c r="S678" s="5" t="str">
        <f>VLOOKUP($G678,Others!$E$641:$I$931,3,FALSE)</f>
        <v>Live Action</v>
      </c>
      <c r="T678" s="5" t="str">
        <f>VLOOKUP($G678,Others!$E$641:$I$931,4,FALSE)</f>
        <v>Contemporary Fiction</v>
      </c>
      <c r="U678" s="5" t="str">
        <f>IFERROR(VLOOKUP($G678,Ratings!$E$125:$I$172,5,FALSE),"none")</f>
        <v>none</v>
      </c>
      <c r="V678" s="5"/>
      <c r="X678" s="5"/>
      <c r="Y678" s="5"/>
      <c r="AA678" s="5"/>
      <c r="AB678" s="5"/>
      <c r="AC678" s="5"/>
      <c r="AG678" s="9"/>
      <c r="AH678" s="9"/>
    </row>
    <row r="679" spans="2:34" hidden="1">
      <c r="B679" s="4">
        <v>2017</v>
      </c>
      <c r="C679" s="4" t="s">
        <v>44</v>
      </c>
      <c r="D679" s="3">
        <f t="shared" si="10"/>
        <v>45</v>
      </c>
      <c r="E679" s="3" t="s">
        <v>1126</v>
      </c>
      <c r="G679" s="5" t="s">
        <v>1136</v>
      </c>
      <c r="H679" s="5"/>
      <c r="J679" s="7">
        <v>0</v>
      </c>
      <c r="M679" s="8">
        <v>0</v>
      </c>
      <c r="N679" s="7">
        <v>0</v>
      </c>
      <c r="P679" s="7">
        <v>5726</v>
      </c>
      <c r="Q679" s="7">
        <v>5726</v>
      </c>
      <c r="R679" s="5">
        <f>VLOOKUP($G679,Others!$E$641:$I$931,2,FALSE)</f>
        <v>0</v>
      </c>
      <c r="S679" s="5">
        <f>VLOOKUP($G679,Others!$E$641:$I$931,3,FALSE)</f>
        <v>0</v>
      </c>
      <c r="T679" s="5">
        <f>VLOOKUP($G679,Others!$E$641:$I$931,4,FALSE)</f>
        <v>0</v>
      </c>
      <c r="U679" s="5" t="str">
        <f>IFERROR(VLOOKUP($G679,Ratings!$E$125:$I$172,5,FALSE),"none")</f>
        <v>none</v>
      </c>
      <c r="V679" s="5"/>
      <c r="X679" s="5"/>
      <c r="Y679" s="5"/>
      <c r="AA679" s="5"/>
      <c r="AB679" s="5"/>
      <c r="AC679" s="5"/>
      <c r="AG679" s="9"/>
      <c r="AH679" s="9"/>
    </row>
    <row r="680" spans="2:34" hidden="1">
      <c r="B680" s="4">
        <v>2017</v>
      </c>
      <c r="C680" s="4" t="s">
        <v>44</v>
      </c>
      <c r="D680" s="3">
        <f t="shared" si="10"/>
        <v>46</v>
      </c>
      <c r="E680" s="3" t="s">
        <v>1126</v>
      </c>
      <c r="G680" s="5" t="s">
        <v>1137</v>
      </c>
      <c r="H680" s="5"/>
      <c r="I680" s="5" t="s">
        <v>127</v>
      </c>
      <c r="J680" s="7">
        <v>0</v>
      </c>
      <c r="M680" s="8">
        <v>0</v>
      </c>
      <c r="N680" s="7">
        <v>0</v>
      </c>
      <c r="P680" s="7">
        <v>4483</v>
      </c>
      <c r="Q680" s="7">
        <v>4483</v>
      </c>
      <c r="R680" s="5">
        <f>VLOOKUP($G680,Others!$E$641:$I$931,2,FALSE)</f>
        <v>0</v>
      </c>
      <c r="S680" s="5" t="str">
        <f>VLOOKUP($G680,Others!$E$641:$I$931,3,FALSE)</f>
        <v>Digital Animation</v>
      </c>
      <c r="T680" s="5">
        <f>VLOOKUP($G680,Others!$E$641:$I$931,4,FALSE)</f>
        <v>0</v>
      </c>
      <c r="U680" s="5" t="str">
        <f>IFERROR(VLOOKUP($G680,Ratings!$E$125:$I$172,5,FALSE),"none")</f>
        <v>none</v>
      </c>
      <c r="V680" s="5"/>
      <c r="X680" s="5"/>
      <c r="Y680" s="5"/>
      <c r="AA680" s="5"/>
      <c r="AB680" s="5"/>
      <c r="AC680" s="5"/>
      <c r="AG680" s="9"/>
      <c r="AH680" s="9"/>
    </row>
    <row r="681" spans="2:34">
      <c r="B681" s="4">
        <v>2017</v>
      </c>
      <c r="C681" s="4" t="s">
        <v>44</v>
      </c>
      <c r="D681" s="3">
        <f t="shared" si="10"/>
        <v>47</v>
      </c>
      <c r="E681" s="55" t="s">
        <v>1126</v>
      </c>
      <c r="F681" s="3" t="s">
        <v>2391</v>
      </c>
      <c r="G681" s="5" t="s">
        <v>1138</v>
      </c>
      <c r="H681" s="5" t="s">
        <v>2392</v>
      </c>
      <c r="I681" s="5" t="s">
        <v>131</v>
      </c>
      <c r="J681" s="7">
        <f>3000000/6.7</f>
        <v>447761.19402985071</v>
      </c>
      <c r="K681" s="7">
        <f>2000000/6.7</f>
        <v>298507.46268656716</v>
      </c>
      <c r="L681" s="7">
        <f>8560000/6.7</f>
        <v>1277611.9402985075</v>
      </c>
      <c r="M681" s="41">
        <v>6214</v>
      </c>
      <c r="N681" s="42">
        <v>280000</v>
      </c>
      <c r="O681" s="7">
        <f>23340000/6.7</f>
        <v>3483582.0895522386</v>
      </c>
      <c r="P681" s="7">
        <v>3741863</v>
      </c>
      <c r="Q681" s="7">
        <v>3741863</v>
      </c>
      <c r="R681" s="5" t="str">
        <f>VLOOKUP($G681,Others!$E$641:$I$931,2,FALSE)</f>
        <v>Original Screenplay</v>
      </c>
      <c r="S681" s="5" t="str">
        <f>VLOOKUP($G681,Others!$E$641:$I$931,3,FALSE)</f>
        <v>Live Action</v>
      </c>
      <c r="T681" s="5" t="str">
        <f>VLOOKUP($G681,Others!$E$641:$I$931,4,FALSE)</f>
        <v>Kids Fiction</v>
      </c>
      <c r="U681" s="5" t="str">
        <f>IFERROR(VLOOKUP($G681,Ratings!$E$125:$I$172,5,FALSE),"none")</f>
        <v>none</v>
      </c>
      <c r="V681" s="5" t="s">
        <v>2393</v>
      </c>
      <c r="W681" s="5" t="s">
        <v>1138</v>
      </c>
      <c r="X681" s="5" t="s">
        <v>2394</v>
      </c>
      <c r="Y681" s="5" t="s">
        <v>2395</v>
      </c>
      <c r="AA681" s="5" t="s">
        <v>2396</v>
      </c>
      <c r="AB681" s="5"/>
      <c r="AC681" s="5" t="s">
        <v>2392</v>
      </c>
      <c r="AD681" s="9">
        <v>9.1999999999999993</v>
      </c>
      <c r="AE681" s="9" t="s">
        <v>1489</v>
      </c>
      <c r="AG681" s="9"/>
      <c r="AH681" s="9"/>
    </row>
    <row r="682" spans="2:34" hidden="1">
      <c r="B682" s="4">
        <v>2017</v>
      </c>
      <c r="C682" s="4" t="s">
        <v>44</v>
      </c>
      <c r="D682" s="3">
        <f t="shared" si="10"/>
        <v>48</v>
      </c>
      <c r="E682" s="3" t="s">
        <v>1126</v>
      </c>
      <c r="G682" s="5" t="s">
        <v>1139</v>
      </c>
      <c r="H682" s="5"/>
      <c r="I682" s="5" t="s">
        <v>127</v>
      </c>
      <c r="J682" s="7">
        <v>0</v>
      </c>
      <c r="M682" s="8">
        <v>0</v>
      </c>
      <c r="N682" s="7">
        <v>0</v>
      </c>
      <c r="P682" s="7">
        <v>506150</v>
      </c>
      <c r="Q682" s="7">
        <v>506150</v>
      </c>
      <c r="R682" s="5" t="str">
        <f>VLOOKUP($G682,Others!$E$641:$I$931,2,FALSE)</f>
        <v>Original Screenplay</v>
      </c>
      <c r="S682" s="5" t="str">
        <f>VLOOKUP($G682,Others!$E$641:$I$931,3,FALSE)</f>
        <v>Digital Animation</v>
      </c>
      <c r="T682" s="5" t="str">
        <f>VLOOKUP($G682,Others!$E$641:$I$931,4,FALSE)</f>
        <v>Kids Fiction</v>
      </c>
      <c r="U682" s="5" t="str">
        <f>IFERROR(VLOOKUP($G682,Ratings!$E$125:$I$172,5,FALSE),"none")</f>
        <v>none</v>
      </c>
      <c r="V682" s="5"/>
      <c r="X682" s="5"/>
      <c r="Y682" s="5"/>
      <c r="AA682" s="5"/>
      <c r="AB682" s="5"/>
      <c r="AC682" s="5"/>
      <c r="AG682" s="9"/>
      <c r="AH682" s="9"/>
    </row>
    <row r="683" spans="2:34" hidden="1">
      <c r="B683" s="4">
        <v>2017</v>
      </c>
      <c r="C683" s="4" t="s">
        <v>44</v>
      </c>
      <c r="D683" s="3">
        <f t="shared" si="10"/>
        <v>49</v>
      </c>
      <c r="E683" s="3" t="s">
        <v>1126</v>
      </c>
      <c r="G683" s="5" t="s">
        <v>1140</v>
      </c>
      <c r="H683" s="5"/>
      <c r="I683" s="5" t="s">
        <v>129</v>
      </c>
      <c r="J683" s="7">
        <v>0</v>
      </c>
      <c r="M683" s="8">
        <v>0</v>
      </c>
      <c r="N683" s="7">
        <v>0</v>
      </c>
      <c r="P683" s="7">
        <v>15044</v>
      </c>
      <c r="Q683" s="7">
        <v>15044</v>
      </c>
      <c r="R683" s="5" t="str">
        <f>VLOOKUP($G683,Others!$E$641:$I$931,2,FALSE)</f>
        <v>Original Screenplay</v>
      </c>
      <c r="S683" s="5" t="str">
        <f>VLOOKUP($G683,Others!$E$641:$I$931,3,FALSE)</f>
        <v>Live Action</v>
      </c>
      <c r="T683" s="5" t="str">
        <f>VLOOKUP($G683,Others!$E$641:$I$931,4,FALSE)</f>
        <v>Contemporary Fiction</v>
      </c>
      <c r="U683" s="5" t="str">
        <f>IFERROR(VLOOKUP($G683,Ratings!$E$125:$I$172,5,FALSE),"none")</f>
        <v>none</v>
      </c>
      <c r="V683" s="5"/>
      <c r="X683" s="5"/>
      <c r="Y683" s="5"/>
      <c r="AA683" s="5"/>
      <c r="AB683" s="5"/>
      <c r="AC683" s="5"/>
      <c r="AG683" s="9"/>
      <c r="AH683" s="9"/>
    </row>
    <row r="684" spans="2:34" hidden="1">
      <c r="B684" s="4">
        <v>2017</v>
      </c>
      <c r="C684" s="4" t="s">
        <v>44</v>
      </c>
      <c r="D684" s="3">
        <f t="shared" si="10"/>
        <v>50</v>
      </c>
      <c r="E684" s="3" t="s">
        <v>1126</v>
      </c>
      <c r="G684" s="5" t="s">
        <v>1141</v>
      </c>
      <c r="H684" s="5"/>
      <c r="J684" s="7">
        <v>0</v>
      </c>
      <c r="M684" s="8">
        <v>0</v>
      </c>
      <c r="N684" s="7">
        <v>0</v>
      </c>
      <c r="P684" s="7">
        <v>157828</v>
      </c>
      <c r="Q684" s="7">
        <v>157828</v>
      </c>
      <c r="R684" s="5">
        <f>VLOOKUP($G684,Others!$E$641:$I$931,2,FALSE)</f>
        <v>0</v>
      </c>
      <c r="S684" s="5">
        <f>VLOOKUP($G684,Others!$E$641:$I$931,3,FALSE)</f>
        <v>0</v>
      </c>
      <c r="T684" s="5">
        <f>VLOOKUP($G684,Others!$E$641:$I$931,4,FALSE)</f>
        <v>0</v>
      </c>
      <c r="U684" s="5" t="str">
        <f>IFERROR(VLOOKUP($G684,Ratings!$E$125:$I$172,5,FALSE),"none")</f>
        <v>none</v>
      </c>
      <c r="V684" s="5"/>
      <c r="X684" s="5"/>
      <c r="Y684" s="5"/>
      <c r="AA684" s="5"/>
      <c r="AB684" s="5"/>
      <c r="AC684" s="5"/>
      <c r="AG684" s="9"/>
      <c r="AH684" s="9"/>
    </row>
    <row r="685" spans="2:34" hidden="1">
      <c r="B685" s="4">
        <v>2017</v>
      </c>
      <c r="C685" s="4" t="s">
        <v>44</v>
      </c>
      <c r="D685" s="3">
        <f t="shared" si="10"/>
        <v>51</v>
      </c>
      <c r="E685" s="3" t="s">
        <v>1126</v>
      </c>
      <c r="G685" s="5" t="s">
        <v>1142</v>
      </c>
      <c r="H685" s="5"/>
      <c r="I685" s="5" t="s">
        <v>127</v>
      </c>
      <c r="J685" s="7">
        <v>0</v>
      </c>
      <c r="M685" s="8">
        <v>0</v>
      </c>
      <c r="N685" s="7">
        <v>0</v>
      </c>
      <c r="P685" s="7">
        <v>7784033</v>
      </c>
      <c r="Q685" s="7">
        <v>7784033</v>
      </c>
      <c r="R685" s="5" t="str">
        <f>VLOOKUP($G685,Others!$E$641:$I$931,2,FALSE)</f>
        <v>Original Screenplay</v>
      </c>
      <c r="S685" s="5" t="str">
        <f>VLOOKUP($G685,Others!$E$641:$I$931,3,FALSE)</f>
        <v>Digital Animation</v>
      </c>
      <c r="T685" s="5" t="str">
        <f>VLOOKUP($G685,Others!$E$641:$I$931,4,FALSE)</f>
        <v>Kids Fiction</v>
      </c>
      <c r="U685" s="5" t="str">
        <f>IFERROR(VLOOKUP($G685,Ratings!$E$125:$I$172,5,FALSE),"none")</f>
        <v>none</v>
      </c>
      <c r="V685" s="5"/>
      <c r="X685" s="5"/>
      <c r="Y685" s="5"/>
      <c r="AA685" s="5"/>
      <c r="AB685" s="5"/>
      <c r="AC685" s="5"/>
      <c r="AG685" s="9"/>
      <c r="AH685" s="9"/>
    </row>
    <row r="686" spans="2:34" hidden="1">
      <c r="B686" s="4">
        <v>2017</v>
      </c>
      <c r="C686" s="4" t="s">
        <v>44</v>
      </c>
      <c r="D686" s="3">
        <f t="shared" si="10"/>
        <v>52</v>
      </c>
      <c r="E686" s="3" t="s">
        <v>1126</v>
      </c>
      <c r="G686" s="5" t="s">
        <v>1143</v>
      </c>
      <c r="H686" s="5"/>
      <c r="J686" s="7">
        <v>0</v>
      </c>
      <c r="M686" s="8">
        <v>0</v>
      </c>
      <c r="N686" s="7">
        <v>0</v>
      </c>
      <c r="P686" s="7">
        <v>55966</v>
      </c>
      <c r="Q686" s="7">
        <v>55966</v>
      </c>
      <c r="R686" s="5">
        <f>VLOOKUP($G686,Others!$E$641:$I$931,2,FALSE)</f>
        <v>0</v>
      </c>
      <c r="S686" s="5">
        <f>VLOOKUP($G686,Others!$E$641:$I$931,3,FALSE)</f>
        <v>0</v>
      </c>
      <c r="T686" s="5">
        <f>VLOOKUP($G686,Others!$E$641:$I$931,4,FALSE)</f>
        <v>0</v>
      </c>
      <c r="U686" s="5" t="str">
        <f>IFERROR(VLOOKUP($G686,Ratings!$E$125:$I$172,5,FALSE),"none")</f>
        <v>none</v>
      </c>
      <c r="V686" s="5"/>
      <c r="X686" s="5"/>
      <c r="Y686" s="5"/>
      <c r="AA686" s="5"/>
      <c r="AB686" s="5"/>
      <c r="AC686" s="5"/>
      <c r="AG686" s="9"/>
      <c r="AH686" s="9"/>
    </row>
    <row r="687" spans="2:34" hidden="1">
      <c r="B687" s="4">
        <v>2017</v>
      </c>
      <c r="C687" s="4" t="s">
        <v>44</v>
      </c>
      <c r="D687" s="3">
        <f t="shared" si="10"/>
        <v>53</v>
      </c>
      <c r="E687" s="3" t="s">
        <v>1126</v>
      </c>
      <c r="G687" s="5" t="s">
        <v>545</v>
      </c>
      <c r="H687" s="5"/>
      <c r="I687" s="5" t="s">
        <v>136</v>
      </c>
      <c r="J687" s="7">
        <v>0</v>
      </c>
      <c r="M687" s="8">
        <v>0</v>
      </c>
      <c r="N687" s="7">
        <v>0</v>
      </c>
      <c r="P687" s="7">
        <v>7432</v>
      </c>
      <c r="Q687" s="7">
        <v>7432</v>
      </c>
      <c r="R687" s="5">
        <f>VLOOKUP($G687,Others!$E$641:$I$931,2,FALSE)</f>
        <v>0</v>
      </c>
      <c r="S687" s="5" t="str">
        <f>VLOOKUP($G687,Others!$E$641:$I$931,3,FALSE)</f>
        <v>Live Action</v>
      </c>
      <c r="T687" s="5" t="str">
        <f>VLOOKUP($G687,Others!$E$641:$I$931,4,FALSE)</f>
        <v>Fantasy</v>
      </c>
      <c r="U687" s="5" t="str">
        <f>IFERROR(VLOOKUP($G687,Ratings!$E$125:$I$172,5,FALSE),"none")</f>
        <v>none</v>
      </c>
      <c r="V687" s="5"/>
      <c r="X687" s="5"/>
      <c r="Y687" s="5"/>
      <c r="AA687" s="5"/>
      <c r="AB687" s="5"/>
      <c r="AC687" s="5"/>
      <c r="AG687" s="9"/>
      <c r="AH687" s="9"/>
    </row>
    <row r="688" spans="2:34" hidden="1">
      <c r="B688" s="4">
        <v>2017</v>
      </c>
      <c r="C688" s="4" t="s">
        <v>44</v>
      </c>
      <c r="D688" s="3">
        <f t="shared" si="10"/>
        <v>54</v>
      </c>
      <c r="E688" s="3" t="s">
        <v>1126</v>
      </c>
      <c r="G688" s="5" t="s">
        <v>1144</v>
      </c>
      <c r="H688" s="5"/>
      <c r="J688" s="7">
        <v>0</v>
      </c>
      <c r="M688" s="8">
        <v>0</v>
      </c>
      <c r="N688" s="7">
        <v>0</v>
      </c>
      <c r="P688" s="7">
        <v>19287</v>
      </c>
      <c r="Q688" s="7">
        <v>19287</v>
      </c>
      <c r="R688" s="5">
        <f>VLOOKUP($G688,Others!$E$641:$I$931,2,FALSE)</f>
        <v>0</v>
      </c>
      <c r="S688" s="5">
        <f>VLOOKUP($G688,Others!$E$641:$I$931,3,FALSE)</f>
        <v>0</v>
      </c>
      <c r="T688" s="5">
        <f>VLOOKUP($G688,Others!$E$641:$I$931,4,FALSE)</f>
        <v>0</v>
      </c>
      <c r="U688" s="5" t="str">
        <f>IFERROR(VLOOKUP($G688,Ratings!$E$125:$I$172,5,FALSE),"none")</f>
        <v>none</v>
      </c>
      <c r="V688" s="5"/>
      <c r="X688" s="5"/>
      <c r="Y688" s="5"/>
      <c r="AA688" s="5"/>
      <c r="AB688" s="5"/>
      <c r="AC688" s="5"/>
      <c r="AG688" s="9"/>
      <c r="AH688" s="9"/>
    </row>
    <row r="689" spans="2:34" hidden="1">
      <c r="B689" s="4">
        <v>2017</v>
      </c>
      <c r="C689" s="4" t="s">
        <v>44</v>
      </c>
      <c r="D689" s="3">
        <f t="shared" si="10"/>
        <v>55</v>
      </c>
      <c r="E689" s="3" t="s">
        <v>1126</v>
      </c>
      <c r="G689" s="5" t="s">
        <v>1145</v>
      </c>
      <c r="H689" s="5"/>
      <c r="I689" s="5" t="s">
        <v>131</v>
      </c>
      <c r="J689" s="7">
        <v>0</v>
      </c>
      <c r="M689" s="8">
        <v>0</v>
      </c>
      <c r="N689" s="7">
        <v>0</v>
      </c>
      <c r="P689" s="7">
        <v>73772</v>
      </c>
      <c r="Q689" s="7">
        <v>73772</v>
      </c>
      <c r="R689" s="5" t="str">
        <f>VLOOKUP($G689,Others!$E$641:$I$931,2,FALSE)</f>
        <v>Based on Real Life Events</v>
      </c>
      <c r="S689" s="5" t="str">
        <f>VLOOKUP($G689,Others!$E$641:$I$931,3,FALSE)</f>
        <v>Live Action</v>
      </c>
      <c r="T689" s="5" t="str">
        <f>VLOOKUP($G689,Others!$E$641:$I$931,4,FALSE)</f>
        <v>Contemporary Fiction</v>
      </c>
      <c r="U689" s="5" t="str">
        <f>IFERROR(VLOOKUP($G689,Ratings!$E$125:$I$172,5,FALSE),"none")</f>
        <v>none</v>
      </c>
      <c r="V689" s="5"/>
      <c r="X689" s="5"/>
      <c r="Y689" s="5"/>
      <c r="AA689" s="5"/>
      <c r="AB689" s="5"/>
      <c r="AC689" s="5"/>
      <c r="AG689" s="9"/>
      <c r="AH689" s="9"/>
    </row>
    <row r="690" spans="2:34" hidden="1">
      <c r="B690" s="4">
        <v>2017</v>
      </c>
      <c r="C690" s="4" t="s">
        <v>44</v>
      </c>
      <c r="D690" s="3">
        <f t="shared" si="10"/>
        <v>56</v>
      </c>
      <c r="E690" s="3" t="s">
        <v>1126</v>
      </c>
      <c r="G690" s="5" t="s">
        <v>1146</v>
      </c>
      <c r="H690" s="5"/>
      <c r="I690" s="5" t="s">
        <v>131</v>
      </c>
      <c r="J690" s="7">
        <v>0</v>
      </c>
      <c r="M690" s="8">
        <v>0</v>
      </c>
      <c r="N690" s="7">
        <v>0</v>
      </c>
      <c r="P690" s="7">
        <v>60000</v>
      </c>
      <c r="Q690" s="7">
        <v>60000</v>
      </c>
      <c r="R690" s="5">
        <f>VLOOKUP($G690,Others!$E$641:$I$931,2,FALSE)</f>
        <v>0</v>
      </c>
      <c r="S690" s="5">
        <f>VLOOKUP($G690,Others!$E$641:$I$931,3,FALSE)</f>
        <v>0</v>
      </c>
      <c r="T690" s="5">
        <f>VLOOKUP($G690,Others!$E$641:$I$931,4,FALSE)</f>
        <v>0</v>
      </c>
      <c r="U690" s="5" t="str">
        <f>IFERROR(VLOOKUP($G690,Ratings!$E$125:$I$172,5,FALSE),"none")</f>
        <v>none</v>
      </c>
      <c r="V690" s="5"/>
      <c r="X690" s="5"/>
      <c r="Y690" s="5"/>
      <c r="AA690" s="5"/>
      <c r="AB690" s="5"/>
      <c r="AC690" s="5"/>
      <c r="AG690" s="9"/>
      <c r="AH690" s="9"/>
    </row>
    <row r="691" spans="2:34" hidden="1">
      <c r="B691" s="4">
        <v>2017</v>
      </c>
      <c r="C691" s="4" t="s">
        <v>44</v>
      </c>
      <c r="D691" s="3">
        <f t="shared" si="10"/>
        <v>57</v>
      </c>
      <c r="E691" s="3" t="s">
        <v>1126</v>
      </c>
      <c r="G691" s="5" t="s">
        <v>1147</v>
      </c>
      <c r="H691" s="5"/>
      <c r="I691" s="5" t="s">
        <v>191</v>
      </c>
      <c r="J691" s="7">
        <v>0</v>
      </c>
      <c r="M691" s="8">
        <v>0</v>
      </c>
      <c r="N691" s="7">
        <v>0</v>
      </c>
      <c r="P691" s="7">
        <v>156145</v>
      </c>
      <c r="Q691" s="7">
        <v>156145</v>
      </c>
      <c r="R691" s="5">
        <f>VLOOKUP($G691,Others!$E$641:$I$931,2,FALSE)</f>
        <v>0</v>
      </c>
      <c r="S691" s="5">
        <f>VLOOKUP($G691,Others!$E$641:$I$931,3,FALSE)</f>
        <v>0</v>
      </c>
      <c r="T691" s="5" t="str">
        <f>VLOOKUP($G691,Others!$E$641:$I$931,4,FALSE)</f>
        <v>Factual</v>
      </c>
      <c r="U691" s="5" t="str">
        <f>IFERROR(VLOOKUP($G691,Ratings!$E$125:$I$172,5,FALSE),"none")</f>
        <v>none</v>
      </c>
      <c r="V691" s="5"/>
      <c r="X691" s="5"/>
      <c r="Y691" s="5"/>
      <c r="AA691" s="5"/>
      <c r="AB691" s="5"/>
      <c r="AC691" s="5"/>
      <c r="AG691" s="9"/>
      <c r="AH691" s="9"/>
    </row>
    <row r="692" spans="2:34" hidden="1">
      <c r="B692" s="4">
        <v>2017</v>
      </c>
      <c r="C692" s="4" t="s">
        <v>44</v>
      </c>
      <c r="D692" s="3">
        <f t="shared" si="10"/>
        <v>58</v>
      </c>
      <c r="E692" s="3" t="s">
        <v>1126</v>
      </c>
      <c r="G692" s="5" t="s">
        <v>1148</v>
      </c>
      <c r="H692" s="5"/>
      <c r="J692" s="7">
        <v>0</v>
      </c>
      <c r="M692" s="8">
        <v>0</v>
      </c>
      <c r="N692" s="7">
        <v>0</v>
      </c>
      <c r="P692" s="7">
        <v>12536</v>
      </c>
      <c r="Q692" s="7">
        <v>12536</v>
      </c>
      <c r="R692" s="5">
        <f>VLOOKUP($G692,Others!$E$641:$I$931,2,FALSE)</f>
        <v>0</v>
      </c>
      <c r="S692" s="5">
        <f>VLOOKUP($G692,Others!$E$641:$I$931,3,FALSE)</f>
        <v>0</v>
      </c>
      <c r="T692" s="5">
        <f>VLOOKUP($G692,Others!$E$641:$I$931,4,FALSE)</f>
        <v>0</v>
      </c>
      <c r="U692" s="5" t="str">
        <f>IFERROR(VLOOKUP($G692,Ratings!$E$125:$I$172,5,FALSE),"none")</f>
        <v>none</v>
      </c>
      <c r="V692" s="5"/>
      <c r="X692" s="5"/>
      <c r="Y692" s="5"/>
      <c r="AA692" s="5"/>
      <c r="AB692" s="5"/>
      <c r="AC692" s="5"/>
      <c r="AG692" s="9"/>
      <c r="AH692" s="9"/>
    </row>
    <row r="693" spans="2:34" hidden="1">
      <c r="B693" s="4">
        <v>2017</v>
      </c>
      <c r="C693" s="4" t="s">
        <v>44</v>
      </c>
      <c r="D693" s="3">
        <f t="shared" si="10"/>
        <v>59</v>
      </c>
      <c r="E693" s="3" t="s">
        <v>1126</v>
      </c>
      <c r="G693" s="5" t="s">
        <v>1149</v>
      </c>
      <c r="H693" s="5"/>
      <c r="I693" s="5" t="s">
        <v>193</v>
      </c>
      <c r="J693" s="7">
        <v>0</v>
      </c>
      <c r="M693" s="8">
        <v>0</v>
      </c>
      <c r="N693" s="7">
        <v>0</v>
      </c>
      <c r="P693" s="7">
        <v>306411</v>
      </c>
      <c r="Q693" s="7">
        <v>306411</v>
      </c>
      <c r="R693" s="5">
        <f>VLOOKUP($G693,Others!$E$641:$I$931,2,FALSE)</f>
        <v>0</v>
      </c>
      <c r="S693" s="5">
        <f>VLOOKUP($G693,Others!$E$641:$I$931,3,FALSE)</f>
        <v>0</v>
      </c>
      <c r="T693" s="5">
        <f>VLOOKUP($G693,Others!$E$641:$I$931,4,FALSE)</f>
        <v>0</v>
      </c>
      <c r="U693" s="5" t="str">
        <f>IFERROR(VLOOKUP($G693,Ratings!$E$125:$I$172,5,FALSE),"none")</f>
        <v>none</v>
      </c>
      <c r="V693" s="5"/>
      <c r="X693" s="5"/>
      <c r="Y693" s="5"/>
      <c r="AA693" s="5"/>
      <c r="AB693" s="5"/>
      <c r="AC693" s="5"/>
      <c r="AG693" s="9"/>
      <c r="AH693" s="9"/>
    </row>
    <row r="694" spans="2:34" hidden="1">
      <c r="B694" s="4">
        <v>2017</v>
      </c>
      <c r="C694" s="4" t="s">
        <v>44</v>
      </c>
      <c r="D694" s="3">
        <f t="shared" si="10"/>
        <v>60</v>
      </c>
      <c r="E694" s="3" t="s">
        <v>1126</v>
      </c>
      <c r="G694" s="5" t="s">
        <v>1150</v>
      </c>
      <c r="H694" s="5"/>
      <c r="I694" s="5" t="s">
        <v>129</v>
      </c>
      <c r="J694" s="7">
        <v>0</v>
      </c>
      <c r="M694" s="8">
        <v>0</v>
      </c>
      <c r="N694" s="7">
        <v>0</v>
      </c>
      <c r="P694" s="7">
        <v>381071</v>
      </c>
      <c r="Q694" s="7">
        <v>381071</v>
      </c>
      <c r="R694" s="5">
        <f>VLOOKUP($G694,Others!$E$641:$I$931,2,FALSE)</f>
        <v>0</v>
      </c>
      <c r="S694" s="5" t="str">
        <f>VLOOKUP($G694,Others!$E$641:$I$931,3,FALSE)</f>
        <v>Live Action</v>
      </c>
      <c r="T694" s="5" t="str">
        <f>VLOOKUP($G694,Others!$E$641:$I$931,4,FALSE)</f>
        <v>Fantasy</v>
      </c>
      <c r="U694" s="5" t="str">
        <f>IFERROR(VLOOKUP($G694,Ratings!$E$125:$I$172,5,FALSE),"none")</f>
        <v>none</v>
      </c>
      <c r="V694" s="5"/>
      <c r="X694" s="5"/>
      <c r="Y694" s="5"/>
      <c r="AA694" s="5"/>
      <c r="AB694" s="5"/>
      <c r="AC694" s="5"/>
      <c r="AG694" s="9"/>
      <c r="AH694" s="9"/>
    </row>
    <row r="695" spans="2:34" hidden="1">
      <c r="B695" s="4">
        <v>2017</v>
      </c>
      <c r="C695" s="4" t="s">
        <v>44</v>
      </c>
      <c r="D695" s="3">
        <f t="shared" si="10"/>
        <v>61</v>
      </c>
      <c r="E695" s="3" t="s">
        <v>1126</v>
      </c>
      <c r="G695" s="5" t="s">
        <v>1151</v>
      </c>
      <c r="H695" s="5"/>
      <c r="J695" s="7">
        <v>0</v>
      </c>
      <c r="M695" s="8">
        <v>0</v>
      </c>
      <c r="N695" s="7">
        <v>0</v>
      </c>
      <c r="P695" s="7">
        <v>126654</v>
      </c>
      <c r="Q695" s="7">
        <v>126654</v>
      </c>
      <c r="R695" s="5">
        <f>VLOOKUP($G695,Others!$E$641:$I$931,2,FALSE)</f>
        <v>0</v>
      </c>
      <c r="S695" s="5">
        <f>VLOOKUP($G695,Others!$E$641:$I$931,3,FALSE)</f>
        <v>0</v>
      </c>
      <c r="T695" s="5">
        <f>VLOOKUP($G695,Others!$E$641:$I$931,4,FALSE)</f>
        <v>0</v>
      </c>
      <c r="U695" s="5" t="str">
        <f>IFERROR(VLOOKUP($G695,Ratings!$E$125:$I$172,5,FALSE),"none")</f>
        <v>none</v>
      </c>
      <c r="V695" s="5"/>
      <c r="X695" s="5"/>
      <c r="Y695" s="5"/>
      <c r="AA695" s="5"/>
      <c r="AB695" s="5"/>
      <c r="AC695" s="5"/>
      <c r="AG695" s="9"/>
      <c r="AH695" s="9"/>
    </row>
    <row r="696" spans="2:34" hidden="1">
      <c r="B696" s="4">
        <v>2017</v>
      </c>
      <c r="C696" s="4" t="s">
        <v>44</v>
      </c>
      <c r="D696" s="3">
        <f t="shared" si="10"/>
        <v>62</v>
      </c>
      <c r="E696" s="3" t="s">
        <v>1126</v>
      </c>
      <c r="G696" s="5" t="s">
        <v>1152</v>
      </c>
      <c r="H696" s="5"/>
      <c r="J696" s="7">
        <v>0</v>
      </c>
      <c r="M696" s="8">
        <v>0</v>
      </c>
      <c r="N696" s="7">
        <v>0</v>
      </c>
      <c r="P696" s="7">
        <v>30652</v>
      </c>
      <c r="Q696" s="7">
        <v>30652</v>
      </c>
      <c r="R696" s="5">
        <f>VLOOKUP($G696,Others!$E$641:$I$931,2,FALSE)</f>
        <v>0</v>
      </c>
      <c r="S696" s="5">
        <f>VLOOKUP($G696,Others!$E$641:$I$931,3,FALSE)</f>
        <v>0</v>
      </c>
      <c r="T696" s="5">
        <f>VLOOKUP($G696,Others!$E$641:$I$931,4,FALSE)</f>
        <v>0</v>
      </c>
      <c r="U696" s="5" t="str">
        <f>IFERROR(VLOOKUP($G696,Ratings!$E$125:$I$172,5,FALSE),"none")</f>
        <v>none</v>
      </c>
      <c r="V696" s="5"/>
      <c r="X696" s="5"/>
      <c r="Y696" s="5"/>
      <c r="AA696" s="5"/>
      <c r="AB696" s="5"/>
      <c r="AC696" s="5"/>
      <c r="AG696" s="9"/>
      <c r="AH696" s="9"/>
    </row>
    <row r="697" spans="2:34" hidden="1">
      <c r="B697" s="4">
        <v>2017</v>
      </c>
      <c r="C697" s="4" t="s">
        <v>44</v>
      </c>
      <c r="D697" s="3">
        <f t="shared" si="10"/>
        <v>63</v>
      </c>
      <c r="E697" s="3" t="s">
        <v>1126</v>
      </c>
      <c r="G697" s="5" t="s">
        <v>1153</v>
      </c>
      <c r="H697" s="5"/>
      <c r="I697" s="5" t="s">
        <v>193</v>
      </c>
      <c r="J697" s="7">
        <v>0</v>
      </c>
      <c r="M697" s="8">
        <v>0</v>
      </c>
      <c r="N697" s="7">
        <v>0</v>
      </c>
      <c r="P697" s="7">
        <v>378192</v>
      </c>
      <c r="Q697" s="7">
        <v>378192</v>
      </c>
      <c r="R697" s="5" t="str">
        <f>VLOOKUP($G697,Others!$E$641:$I$931,2,FALSE)</f>
        <v>Original Screenplay</v>
      </c>
      <c r="S697" s="5" t="str">
        <f>VLOOKUP($G697,Others!$E$641:$I$931,3,FALSE)</f>
        <v>Live Action</v>
      </c>
      <c r="T697" s="5" t="str">
        <f>VLOOKUP($G697,Others!$E$641:$I$931,4,FALSE)</f>
        <v>Contemporary Fiction</v>
      </c>
      <c r="U697" s="5" t="str">
        <f>IFERROR(VLOOKUP($G697,Ratings!$E$125:$I$172,5,FALSE),"none")</f>
        <v>none</v>
      </c>
      <c r="V697" s="5"/>
      <c r="X697" s="5"/>
      <c r="Y697" s="5"/>
      <c r="AA697" s="5"/>
      <c r="AB697" s="5"/>
      <c r="AC697" s="5"/>
      <c r="AG697" s="9"/>
      <c r="AH697" s="9"/>
    </row>
    <row r="698" spans="2:34" hidden="1">
      <c r="B698" s="4">
        <v>2017</v>
      </c>
      <c r="C698" s="4" t="s">
        <v>44</v>
      </c>
      <c r="D698" s="3">
        <f t="shared" si="10"/>
        <v>64</v>
      </c>
      <c r="E698" s="3" t="s">
        <v>1126</v>
      </c>
      <c r="G698" s="5" t="s">
        <v>1154</v>
      </c>
      <c r="H698" s="5"/>
      <c r="I698" s="5" t="s">
        <v>131</v>
      </c>
      <c r="J698" s="7">
        <v>0</v>
      </c>
      <c r="M698" s="8">
        <v>0</v>
      </c>
      <c r="N698" s="7">
        <v>0</v>
      </c>
      <c r="P698" s="7">
        <v>5726</v>
      </c>
      <c r="Q698" s="7">
        <v>5726</v>
      </c>
      <c r="R698" s="5">
        <f>VLOOKUP($G698,Others!$E$641:$I$931,2,FALSE)</f>
        <v>0</v>
      </c>
      <c r="S698" s="5" t="str">
        <f>VLOOKUP($G698,Others!$E$641:$I$931,3,FALSE)</f>
        <v>Live Action</v>
      </c>
      <c r="T698" s="5">
        <f>VLOOKUP($G698,Others!$E$641:$I$931,4,FALSE)</f>
        <v>0</v>
      </c>
      <c r="U698" s="5" t="str">
        <f>IFERROR(VLOOKUP($G698,Ratings!$E$125:$I$172,5,FALSE),"none")</f>
        <v>none</v>
      </c>
      <c r="V698" s="5"/>
      <c r="X698" s="5"/>
      <c r="Y698" s="5"/>
      <c r="AA698" s="5"/>
      <c r="AB698" s="5"/>
      <c r="AC698" s="5"/>
      <c r="AG698" s="9"/>
      <c r="AH698" s="9"/>
    </row>
    <row r="699" spans="2:34" hidden="1">
      <c r="B699" s="4">
        <v>2017</v>
      </c>
      <c r="C699" s="4" t="s">
        <v>44</v>
      </c>
      <c r="D699" s="3">
        <f t="shared" si="10"/>
        <v>65</v>
      </c>
      <c r="E699" s="3" t="s">
        <v>1126</v>
      </c>
      <c r="G699" s="5" t="s">
        <v>1155</v>
      </c>
      <c r="H699" s="5"/>
      <c r="I699" s="5" t="s">
        <v>127</v>
      </c>
      <c r="J699" s="7">
        <v>0</v>
      </c>
      <c r="M699" s="8">
        <v>0</v>
      </c>
      <c r="N699" s="7">
        <v>0</v>
      </c>
      <c r="P699" s="7">
        <v>4015456</v>
      </c>
      <c r="Q699" s="7">
        <v>4015456</v>
      </c>
      <c r="R699" s="5" t="str">
        <f>VLOOKUP($G699,Others!$E$641:$I$931,2,FALSE)</f>
        <v>Original Screenplay</v>
      </c>
      <c r="S699" s="5" t="str">
        <f>VLOOKUP($G699,Others!$E$641:$I$931,3,FALSE)</f>
        <v>Animation/Live Action</v>
      </c>
      <c r="T699" s="5" t="str">
        <f>VLOOKUP($G699,Others!$E$641:$I$931,4,FALSE)</f>
        <v>Kids Fiction</v>
      </c>
      <c r="U699" s="5" t="str">
        <f>IFERROR(VLOOKUP($G699,Ratings!$E$125:$I$172,5,FALSE),"none")</f>
        <v>none</v>
      </c>
      <c r="V699" s="5"/>
      <c r="X699" s="5"/>
      <c r="Y699" s="5"/>
      <c r="AA699" s="5"/>
      <c r="AB699" s="5"/>
      <c r="AC699" s="5"/>
      <c r="AG699" s="9"/>
      <c r="AH699" s="9"/>
    </row>
    <row r="700" spans="2:34" hidden="1">
      <c r="B700" s="4">
        <v>2017</v>
      </c>
      <c r="C700" s="4" t="s">
        <v>44</v>
      </c>
      <c r="D700" s="3">
        <f t="shared" si="10"/>
        <v>66</v>
      </c>
      <c r="E700" s="3" t="s">
        <v>1126</v>
      </c>
      <c r="G700" s="5" t="s">
        <v>1156</v>
      </c>
      <c r="H700" s="5"/>
      <c r="J700" s="7">
        <v>0</v>
      </c>
      <c r="M700" s="8">
        <v>0</v>
      </c>
      <c r="N700" s="7">
        <v>0</v>
      </c>
      <c r="P700" s="7">
        <v>313957</v>
      </c>
      <c r="Q700" s="7">
        <v>313957</v>
      </c>
      <c r="R700" s="5">
        <f>VLOOKUP($G700,Others!$E$641:$I$931,2,FALSE)</f>
        <v>0</v>
      </c>
      <c r="S700" s="5">
        <f>VLOOKUP($G700,Others!$E$641:$I$931,3,FALSE)</f>
        <v>0</v>
      </c>
      <c r="T700" s="5">
        <f>VLOOKUP($G700,Others!$E$641:$I$931,4,FALSE)</f>
        <v>0</v>
      </c>
      <c r="U700" s="5" t="str">
        <f>IFERROR(VLOOKUP($G700,Ratings!$E$125:$I$172,5,FALSE),"none")</f>
        <v>none</v>
      </c>
      <c r="V700" s="5"/>
      <c r="X700" s="5"/>
      <c r="Y700" s="5"/>
      <c r="AA700" s="5"/>
      <c r="AB700" s="5"/>
      <c r="AC700" s="5"/>
      <c r="AG700" s="9"/>
      <c r="AH700" s="9"/>
    </row>
    <row r="701" spans="2:34" hidden="1">
      <c r="B701" s="4">
        <v>2017</v>
      </c>
      <c r="C701" s="4" t="s">
        <v>44</v>
      </c>
      <c r="D701" s="3">
        <f t="shared" ref="D701:D764" si="11">D700+1</f>
        <v>67</v>
      </c>
      <c r="E701" s="3" t="s">
        <v>1126</v>
      </c>
      <c r="G701" s="5" t="s">
        <v>1157</v>
      </c>
      <c r="H701" s="5"/>
      <c r="I701" s="5" t="s">
        <v>193</v>
      </c>
      <c r="J701" s="7">
        <v>0</v>
      </c>
      <c r="M701" s="8">
        <v>0</v>
      </c>
      <c r="N701" s="7">
        <v>0</v>
      </c>
      <c r="P701" s="7">
        <v>439839</v>
      </c>
      <c r="Q701" s="7">
        <v>439839</v>
      </c>
      <c r="R701" s="5" t="str">
        <f>VLOOKUP($G701,Others!$E$641:$I$931,2,FALSE)</f>
        <v>Original Screenplay</v>
      </c>
      <c r="S701" s="5" t="str">
        <f>VLOOKUP($G701,Others!$E$641:$I$931,3,FALSE)</f>
        <v>Live Action</v>
      </c>
      <c r="T701" s="5" t="str">
        <f>VLOOKUP($G701,Others!$E$641:$I$931,4,FALSE)</f>
        <v>Contemporary Fiction</v>
      </c>
      <c r="U701" s="5" t="str">
        <f>IFERROR(VLOOKUP($G701,Ratings!$E$125:$I$172,5,FALSE),"none")</f>
        <v>none</v>
      </c>
      <c r="V701" s="5"/>
      <c r="X701" s="5"/>
      <c r="Y701" s="5"/>
      <c r="AA701" s="5"/>
      <c r="AB701" s="5"/>
      <c r="AC701" s="5"/>
      <c r="AG701" s="9"/>
      <c r="AH701" s="9"/>
    </row>
    <row r="702" spans="2:34" hidden="1">
      <c r="B702" s="4">
        <v>2017</v>
      </c>
      <c r="C702" s="4" t="s">
        <v>44</v>
      </c>
      <c r="D702" s="3">
        <f t="shared" si="11"/>
        <v>68</v>
      </c>
      <c r="E702" s="3" t="s">
        <v>1126</v>
      </c>
      <c r="G702" s="5" t="s">
        <v>1158</v>
      </c>
      <c r="H702" s="5"/>
      <c r="J702" s="7">
        <v>0</v>
      </c>
      <c r="M702" s="8">
        <v>0</v>
      </c>
      <c r="N702" s="7">
        <v>0</v>
      </c>
      <c r="P702" s="7">
        <v>3805</v>
      </c>
      <c r="Q702" s="7">
        <v>3805</v>
      </c>
      <c r="R702" s="5">
        <f>VLOOKUP($G702,Others!$E$641:$I$931,2,FALSE)</f>
        <v>0</v>
      </c>
      <c r="S702" s="5">
        <f>VLOOKUP($G702,Others!$E$641:$I$931,3,FALSE)</f>
        <v>0</v>
      </c>
      <c r="T702" s="5">
        <f>VLOOKUP($G702,Others!$E$641:$I$931,4,FALSE)</f>
        <v>0</v>
      </c>
      <c r="U702" s="5" t="str">
        <f>IFERROR(VLOOKUP($G702,Ratings!$E$125:$I$172,5,FALSE),"none")</f>
        <v>none</v>
      </c>
      <c r="V702" s="5"/>
      <c r="X702" s="5"/>
      <c r="Y702" s="5"/>
      <c r="AA702" s="5"/>
      <c r="AB702" s="5"/>
      <c r="AC702" s="5"/>
      <c r="AG702" s="9"/>
      <c r="AH702" s="9"/>
    </row>
    <row r="703" spans="2:34" hidden="1">
      <c r="B703" s="4">
        <v>2017</v>
      </c>
      <c r="C703" s="4" t="s">
        <v>44</v>
      </c>
      <c r="D703" s="3">
        <f t="shared" si="11"/>
        <v>69</v>
      </c>
      <c r="E703" s="3" t="s">
        <v>1126</v>
      </c>
      <c r="G703" s="5" t="s">
        <v>1159</v>
      </c>
      <c r="H703" s="5"/>
      <c r="I703" s="5" t="s">
        <v>127</v>
      </c>
      <c r="J703" s="7">
        <v>0</v>
      </c>
      <c r="M703" s="8">
        <v>0</v>
      </c>
      <c r="N703" s="7">
        <v>0</v>
      </c>
      <c r="P703" s="7">
        <v>2813572</v>
      </c>
      <c r="Q703" s="7">
        <v>2813572</v>
      </c>
      <c r="R703" s="5" t="str">
        <f>VLOOKUP($G703,Others!$E$641:$I$931,2,FALSE)</f>
        <v>Original Screenplay</v>
      </c>
      <c r="S703" s="5" t="str">
        <f>VLOOKUP($G703,Others!$E$641:$I$931,3,FALSE)</f>
        <v>Digital Animation</v>
      </c>
      <c r="T703" s="5" t="str">
        <f>VLOOKUP($G703,Others!$E$641:$I$931,4,FALSE)</f>
        <v>Kids Fiction</v>
      </c>
      <c r="U703" s="5" t="str">
        <f>IFERROR(VLOOKUP($G703,Ratings!$E$125:$I$172,5,FALSE),"none")</f>
        <v>none</v>
      </c>
      <c r="V703" s="5"/>
      <c r="X703" s="5"/>
      <c r="Y703" s="5"/>
      <c r="AA703" s="5"/>
      <c r="AB703" s="5"/>
      <c r="AC703" s="5"/>
      <c r="AG703" s="9"/>
      <c r="AH703" s="9"/>
    </row>
    <row r="704" spans="2:34" hidden="1">
      <c r="B704" s="4">
        <v>2017</v>
      </c>
      <c r="C704" s="4" t="s">
        <v>44</v>
      </c>
      <c r="D704" s="3">
        <f t="shared" si="11"/>
        <v>70</v>
      </c>
      <c r="E704" s="3" t="s">
        <v>1126</v>
      </c>
      <c r="G704" s="5" t="s">
        <v>1160</v>
      </c>
      <c r="H704" s="5"/>
      <c r="I704" s="5" t="s">
        <v>193</v>
      </c>
      <c r="J704" s="7">
        <v>0</v>
      </c>
      <c r="M704" s="8">
        <v>0</v>
      </c>
      <c r="N704" s="7">
        <v>0</v>
      </c>
      <c r="P704" s="7">
        <v>143451</v>
      </c>
      <c r="Q704" s="7">
        <v>143451</v>
      </c>
      <c r="R704" s="5">
        <f>VLOOKUP($G704,Others!$E$641:$I$931,2,FALSE)</f>
        <v>0</v>
      </c>
      <c r="S704" s="5">
        <f>VLOOKUP($G704,Others!$E$641:$I$931,3,FALSE)</f>
        <v>0</v>
      </c>
      <c r="T704" s="5">
        <f>VLOOKUP($G704,Others!$E$641:$I$931,4,FALSE)</f>
        <v>0</v>
      </c>
      <c r="U704" s="5" t="str">
        <f>IFERROR(VLOOKUP($G704,Ratings!$E$125:$I$172,5,FALSE),"none")</f>
        <v>none</v>
      </c>
      <c r="V704" s="5"/>
      <c r="X704" s="5"/>
      <c r="Y704" s="5"/>
      <c r="AA704" s="5"/>
      <c r="AB704" s="5"/>
      <c r="AC704" s="5"/>
      <c r="AG704" s="9"/>
      <c r="AH704" s="9"/>
    </row>
    <row r="705" spans="2:34">
      <c r="B705" s="4">
        <v>2017</v>
      </c>
      <c r="C705" s="4" t="s">
        <v>44</v>
      </c>
      <c r="D705" s="3">
        <f t="shared" si="11"/>
        <v>71</v>
      </c>
      <c r="E705" s="55" t="s">
        <v>1126</v>
      </c>
      <c r="F705" s="56" t="s">
        <v>2397</v>
      </c>
      <c r="G705" s="5" t="s">
        <v>1161</v>
      </c>
      <c r="H705" s="5" t="s">
        <v>1415</v>
      </c>
      <c r="I705" s="5" t="s">
        <v>129</v>
      </c>
      <c r="J705" s="7">
        <f>0.2*100000000/6.7</f>
        <v>2985074.6268656715</v>
      </c>
      <c r="K705" s="57" t="s">
        <v>1411</v>
      </c>
      <c r="M705" s="8">
        <v>11051</v>
      </c>
      <c r="N705" s="7">
        <v>1410000</v>
      </c>
      <c r="P705" s="7">
        <v>6120728</v>
      </c>
      <c r="Q705" s="7">
        <v>6120728</v>
      </c>
      <c r="R705" s="5" t="str">
        <f>VLOOKUP($G705,Others!$E$641:$I$931,2,FALSE)</f>
        <v>Based on TV</v>
      </c>
      <c r="S705" s="5" t="str">
        <f>VLOOKUP($G705,Others!$E$641:$I$931,3,FALSE)</f>
        <v>Digital Animation</v>
      </c>
      <c r="T705" s="5" t="str">
        <f>VLOOKUP($G705,Others!$E$641:$I$931,4,FALSE)</f>
        <v>Science Fiction</v>
      </c>
      <c r="U705" s="5" t="str">
        <f>IFERROR(VLOOKUP($G705,Ratings!$E$125:$I$172,5,FALSE),"none")</f>
        <v>none</v>
      </c>
      <c r="V705" s="5" t="s">
        <v>2398</v>
      </c>
      <c r="W705" s="5" t="s">
        <v>2399</v>
      </c>
      <c r="X705" s="39" t="s">
        <v>2400</v>
      </c>
      <c r="Y705" s="39" t="s">
        <v>2401</v>
      </c>
      <c r="Z705" s="80" t="s">
        <v>2402</v>
      </c>
      <c r="AA705" s="39" t="s">
        <v>2403</v>
      </c>
      <c r="AB705" s="5"/>
      <c r="AC705" s="5" t="s">
        <v>2404</v>
      </c>
      <c r="AD705" s="59">
        <v>8</v>
      </c>
      <c r="AE705" s="1" t="s">
        <v>1489</v>
      </c>
      <c r="AG705" s="9"/>
      <c r="AH705" s="9"/>
    </row>
    <row r="706" spans="2:34" hidden="1">
      <c r="B706" s="4">
        <v>2017</v>
      </c>
      <c r="C706" s="4" t="s">
        <v>44</v>
      </c>
      <c r="D706" s="3">
        <f t="shared" si="11"/>
        <v>72</v>
      </c>
      <c r="E706" s="3" t="s">
        <v>1126</v>
      </c>
      <c r="G706" s="5" t="s">
        <v>1162</v>
      </c>
      <c r="H706" s="5"/>
      <c r="I706" s="5" t="s">
        <v>193</v>
      </c>
      <c r="J706" s="7">
        <v>0</v>
      </c>
      <c r="M706" s="8">
        <v>0</v>
      </c>
      <c r="N706" s="7">
        <v>0</v>
      </c>
      <c r="P706" s="7">
        <v>558953</v>
      </c>
      <c r="Q706" s="7">
        <v>558953</v>
      </c>
      <c r="R706" s="5">
        <f>VLOOKUP($G706,Others!$E$641:$I$931,2,FALSE)</f>
        <v>0</v>
      </c>
      <c r="S706" s="5" t="str">
        <f>VLOOKUP($G706,Others!$E$641:$I$931,3,FALSE)</f>
        <v>Live Action</v>
      </c>
      <c r="T706" s="5">
        <f>VLOOKUP($G706,Others!$E$641:$I$931,4,FALSE)</f>
        <v>0</v>
      </c>
      <c r="U706" s="5" t="str">
        <f>IFERROR(VLOOKUP($G706,Ratings!$E$125:$I$172,5,FALSE),"none")</f>
        <v>none</v>
      </c>
      <c r="V706" s="5"/>
      <c r="X706" s="5"/>
      <c r="Y706" s="5"/>
      <c r="AA706" s="5"/>
      <c r="AB706" s="5"/>
      <c r="AC706" s="5"/>
      <c r="AG706" s="9"/>
      <c r="AH706" s="9"/>
    </row>
    <row r="707" spans="2:34">
      <c r="B707" s="4">
        <v>2018</v>
      </c>
      <c r="C707" s="4" t="s">
        <v>44</v>
      </c>
      <c r="D707" s="3">
        <f t="shared" si="11"/>
        <v>73</v>
      </c>
      <c r="E707" s="55" t="s">
        <v>1126</v>
      </c>
      <c r="F707" s="3" t="s">
        <v>2064</v>
      </c>
      <c r="G707" s="5" t="s">
        <v>1163</v>
      </c>
      <c r="H707" s="5" t="s">
        <v>2405</v>
      </c>
      <c r="I707" s="5" t="s">
        <v>127</v>
      </c>
      <c r="J707" s="7">
        <v>2985074</v>
      </c>
      <c r="K707" s="7">
        <v>1194029</v>
      </c>
      <c r="L707" s="7">
        <v>3714925</v>
      </c>
      <c r="M707" s="8">
        <v>49354</v>
      </c>
      <c r="N707" s="7">
        <v>153225</v>
      </c>
      <c r="O707" s="7">
        <v>10079104</v>
      </c>
      <c r="P707" s="7">
        <v>11264408</v>
      </c>
      <c r="Q707" s="7">
        <v>11264408</v>
      </c>
      <c r="R707" s="5" t="str">
        <f>VLOOKUP($G707,Others!$E$641:$I$931,2,FALSE)</f>
        <v>Based on Fiction Book/Short Story</v>
      </c>
      <c r="S707" s="5" t="str">
        <f>VLOOKUP($G707,Others!$E$641:$I$931,3,FALSE)</f>
        <v>Digital Animation</v>
      </c>
      <c r="T707" s="5" t="str">
        <f>VLOOKUP($G707,Others!$E$641:$I$931,4,FALSE)</f>
        <v>Kids Fiction</v>
      </c>
      <c r="U707" s="5" t="str">
        <f>IFERROR(VLOOKUP($G707,Ratings!$E$125:$I$172,5,FALSE),"none")</f>
        <v>none</v>
      </c>
      <c r="V707" s="5" t="s">
        <v>2406</v>
      </c>
      <c r="W707" s="5" t="s">
        <v>2407</v>
      </c>
      <c r="X707" s="5" t="s">
        <v>2408</v>
      </c>
      <c r="Y707" s="5" t="s">
        <v>2409</v>
      </c>
      <c r="Z707" s="5"/>
      <c r="AA707" s="5" t="s">
        <v>1744</v>
      </c>
      <c r="AB707" s="5"/>
      <c r="AC707" s="5" t="s">
        <v>1746</v>
      </c>
      <c r="AD707" s="9">
        <v>8.4</v>
      </c>
      <c r="AE707" s="1" t="s">
        <v>1489</v>
      </c>
      <c r="AG707" s="9"/>
      <c r="AH707" s="9"/>
    </row>
    <row r="708" spans="2:34" hidden="1">
      <c r="B708" s="4">
        <v>2017</v>
      </c>
      <c r="C708" s="4" t="s">
        <v>44</v>
      </c>
      <c r="D708" s="3">
        <f t="shared" si="11"/>
        <v>74</v>
      </c>
      <c r="E708" s="3" t="s">
        <v>1126</v>
      </c>
      <c r="G708" s="5" t="s">
        <v>1164</v>
      </c>
      <c r="H708" s="5"/>
      <c r="J708" s="7">
        <v>0</v>
      </c>
      <c r="M708" s="8">
        <v>0</v>
      </c>
      <c r="N708" s="7">
        <v>0</v>
      </c>
      <c r="P708" s="7">
        <v>34521</v>
      </c>
      <c r="Q708" s="7">
        <v>34521</v>
      </c>
      <c r="R708" s="5">
        <f>VLOOKUP($G708,Others!$E$641:$I$931,2,FALSE)</f>
        <v>0</v>
      </c>
      <c r="S708" s="5">
        <f>VLOOKUP($G708,Others!$E$641:$I$931,3,FALSE)</f>
        <v>0</v>
      </c>
      <c r="T708" s="5">
        <f>VLOOKUP($G708,Others!$E$641:$I$931,4,FALSE)</f>
        <v>0</v>
      </c>
      <c r="U708" s="5" t="str">
        <f>IFERROR(VLOOKUP($G708,Ratings!$E$125:$I$172,5,FALSE),"none")</f>
        <v>none</v>
      </c>
      <c r="V708" s="5"/>
      <c r="X708" s="5"/>
      <c r="Y708" s="5"/>
      <c r="Z708" s="5"/>
      <c r="AA708" s="5"/>
      <c r="AB708" s="5"/>
      <c r="AC708" s="5"/>
      <c r="AG708" s="9"/>
      <c r="AH708" s="9"/>
    </row>
    <row r="709" spans="2:34" hidden="1">
      <c r="B709" s="4">
        <v>2017</v>
      </c>
      <c r="C709" s="4" t="s">
        <v>44</v>
      </c>
      <c r="D709" s="3">
        <f t="shared" si="11"/>
        <v>75</v>
      </c>
      <c r="E709" s="3" t="s">
        <v>1126</v>
      </c>
      <c r="G709" s="5" t="s">
        <v>1165</v>
      </c>
      <c r="H709" s="5"/>
      <c r="I709" s="5" t="s">
        <v>131</v>
      </c>
      <c r="J709" s="7">
        <v>0</v>
      </c>
      <c r="M709" s="8">
        <v>0</v>
      </c>
      <c r="N709" s="7">
        <v>0</v>
      </c>
      <c r="P709" s="7">
        <v>600768</v>
      </c>
      <c r="Q709" s="7">
        <v>600768</v>
      </c>
      <c r="R709" s="5">
        <f>VLOOKUP($G709,Others!$E$641:$I$931,2,FALSE)</f>
        <v>0</v>
      </c>
      <c r="S709" s="5" t="str">
        <f>VLOOKUP($G709,Others!$E$641:$I$931,3,FALSE)</f>
        <v>Live Action</v>
      </c>
      <c r="T709" s="5">
        <f>VLOOKUP($G709,Others!$E$641:$I$931,4,FALSE)</f>
        <v>0</v>
      </c>
      <c r="U709" s="5" t="str">
        <f>IFERROR(VLOOKUP($G709,Ratings!$E$125:$I$172,5,FALSE),"none")</f>
        <v>none</v>
      </c>
      <c r="V709" s="5"/>
      <c r="X709" s="5"/>
      <c r="Y709" s="5"/>
      <c r="Z709" s="5"/>
      <c r="AA709" s="5"/>
      <c r="AB709" s="5"/>
      <c r="AC709" s="5"/>
      <c r="AG709" s="9"/>
      <c r="AH709" s="9"/>
    </row>
    <row r="710" spans="2:34" hidden="1">
      <c r="B710" s="4">
        <v>2017</v>
      </c>
      <c r="C710" s="4" t="s">
        <v>44</v>
      </c>
      <c r="D710" s="3">
        <f t="shared" si="11"/>
        <v>76</v>
      </c>
      <c r="E710" s="3" t="s">
        <v>1126</v>
      </c>
      <c r="G710" s="5" t="s">
        <v>523</v>
      </c>
      <c r="H710" s="5"/>
      <c r="I710" s="5" t="s">
        <v>131</v>
      </c>
      <c r="J710" s="7">
        <v>0</v>
      </c>
      <c r="M710" s="8">
        <v>0</v>
      </c>
      <c r="N710" s="7">
        <v>0</v>
      </c>
      <c r="P710" s="7">
        <v>44311</v>
      </c>
      <c r="Q710" s="7">
        <v>44311</v>
      </c>
      <c r="R710" s="5" t="str">
        <f>VLOOKUP($G710,Others!$E$641:$I$931,2,FALSE)</f>
        <v>Original Screenplay</v>
      </c>
      <c r="S710" s="5" t="str">
        <f>VLOOKUP($G710,Others!$E$641:$I$931,3,FALSE)</f>
        <v>Live Action</v>
      </c>
      <c r="T710" s="5" t="str">
        <f>VLOOKUP($G710,Others!$E$641:$I$931,4,FALSE)</f>
        <v>Contemporary Fiction</v>
      </c>
      <c r="U710" s="5" t="str">
        <f>IFERROR(VLOOKUP($G710,Ratings!$E$125:$I$172,5,FALSE),"none")</f>
        <v>none</v>
      </c>
      <c r="V710" s="5"/>
      <c r="X710" s="5"/>
      <c r="Y710" s="5"/>
      <c r="Z710" s="5"/>
      <c r="AA710" s="5"/>
      <c r="AB710" s="5"/>
      <c r="AC710" s="5"/>
      <c r="AG710" s="9"/>
      <c r="AH710" s="9"/>
    </row>
    <row r="711" spans="2:34" hidden="1">
      <c r="B711" s="4">
        <v>2017</v>
      </c>
      <c r="C711" s="4" t="s">
        <v>44</v>
      </c>
      <c r="D711" s="3">
        <f t="shared" si="11"/>
        <v>77</v>
      </c>
      <c r="E711" s="3" t="s">
        <v>1126</v>
      </c>
      <c r="G711" s="5" t="s">
        <v>1166</v>
      </c>
      <c r="H711" s="5"/>
      <c r="I711" s="5" t="s">
        <v>191</v>
      </c>
      <c r="J711" s="7">
        <v>0</v>
      </c>
      <c r="M711" s="8">
        <v>0</v>
      </c>
      <c r="N711" s="7">
        <v>0</v>
      </c>
      <c r="P711" s="7">
        <v>346515</v>
      </c>
      <c r="Q711" s="7">
        <v>346515</v>
      </c>
      <c r="R711" s="5" t="str">
        <f>VLOOKUP($G711,Others!$E$641:$I$931,2,FALSE)</f>
        <v>Based on Real Life Events</v>
      </c>
      <c r="S711" s="5" t="str">
        <f>VLOOKUP($G711,Others!$E$641:$I$931,3,FALSE)</f>
        <v>Live Action</v>
      </c>
      <c r="T711" s="5" t="str">
        <f>VLOOKUP($G711,Others!$E$641:$I$931,4,FALSE)</f>
        <v>Factual</v>
      </c>
      <c r="U711" s="5" t="str">
        <f>IFERROR(VLOOKUP($G711,Ratings!$E$125:$I$172,5,FALSE),"none")</f>
        <v>none</v>
      </c>
      <c r="V711" s="5"/>
      <c r="X711" s="5"/>
      <c r="Y711" s="5"/>
      <c r="Z711" s="5"/>
      <c r="AA711" s="5"/>
      <c r="AB711" s="5"/>
      <c r="AC711" s="5"/>
      <c r="AG711" s="9"/>
      <c r="AH711" s="9"/>
    </row>
    <row r="712" spans="2:34" hidden="1">
      <c r="B712" s="4">
        <v>2017</v>
      </c>
      <c r="C712" s="4" t="s">
        <v>44</v>
      </c>
      <c r="D712" s="3">
        <f t="shared" si="11"/>
        <v>78</v>
      </c>
      <c r="E712" s="3" t="s">
        <v>1126</v>
      </c>
      <c r="G712" s="5" t="s">
        <v>1167</v>
      </c>
      <c r="H712" s="5"/>
      <c r="I712" s="5" t="s">
        <v>193</v>
      </c>
      <c r="J712" s="7">
        <v>0</v>
      </c>
      <c r="M712" s="8">
        <v>0</v>
      </c>
      <c r="N712" s="7">
        <v>0</v>
      </c>
      <c r="P712" s="7">
        <v>416698</v>
      </c>
      <c r="Q712" s="7">
        <v>416698</v>
      </c>
      <c r="R712" s="5">
        <f>VLOOKUP($G712,Others!$E$641:$I$931,2,FALSE)</f>
        <v>0</v>
      </c>
      <c r="S712" s="5" t="str">
        <f>VLOOKUP($G712,Others!$E$641:$I$931,3,FALSE)</f>
        <v>Live Action</v>
      </c>
      <c r="T712" s="5" t="str">
        <f>VLOOKUP($G712,Others!$E$641:$I$931,4,FALSE)</f>
        <v>Science Fiction</v>
      </c>
      <c r="U712" s="5" t="str">
        <f>IFERROR(VLOOKUP($G712,Ratings!$E$125:$I$172,5,FALSE),"none")</f>
        <v>none</v>
      </c>
      <c r="V712" s="5"/>
      <c r="X712" s="5"/>
      <c r="Y712" s="5"/>
      <c r="Z712" s="5"/>
      <c r="AA712" s="5"/>
      <c r="AB712" s="5"/>
      <c r="AC712" s="5"/>
      <c r="AG712" s="9"/>
      <c r="AH712" s="9"/>
    </row>
    <row r="713" spans="2:34" hidden="1">
      <c r="B713" s="4">
        <v>2017</v>
      </c>
      <c r="C713" s="4" t="s">
        <v>44</v>
      </c>
      <c r="D713" s="3">
        <f t="shared" si="11"/>
        <v>79</v>
      </c>
      <c r="E713" s="3" t="s">
        <v>1126</v>
      </c>
      <c r="G713" s="5" t="s">
        <v>1168</v>
      </c>
      <c r="H713" s="5"/>
      <c r="I713" s="5" t="s">
        <v>136</v>
      </c>
      <c r="J713" s="7">
        <v>0</v>
      </c>
      <c r="M713" s="8">
        <v>0</v>
      </c>
      <c r="N713" s="7">
        <v>0</v>
      </c>
      <c r="P713" s="7">
        <v>33523</v>
      </c>
      <c r="Q713" s="7">
        <v>33523</v>
      </c>
      <c r="R713" s="5">
        <f>VLOOKUP($G713,Others!$E$641:$I$931,2,FALSE)</f>
        <v>0</v>
      </c>
      <c r="S713" s="5">
        <f>VLOOKUP($G713,Others!$E$641:$I$931,3,FALSE)</f>
        <v>0</v>
      </c>
      <c r="T713" s="5">
        <f>VLOOKUP($G713,Others!$E$641:$I$931,4,FALSE)</f>
        <v>0</v>
      </c>
      <c r="U713" s="5" t="str">
        <f>IFERROR(VLOOKUP($G713,Ratings!$E$125:$I$172,5,FALSE),"none")</f>
        <v>none</v>
      </c>
      <c r="V713" s="5"/>
      <c r="X713" s="5"/>
      <c r="Y713" s="5"/>
      <c r="Z713" s="5"/>
      <c r="AA713" s="5"/>
      <c r="AB713" s="5"/>
      <c r="AC713" s="5"/>
      <c r="AG713" s="9"/>
      <c r="AH713" s="9"/>
    </row>
    <row r="714" spans="2:34" hidden="1">
      <c r="B714" s="4">
        <v>2017</v>
      </c>
      <c r="C714" s="4" t="s">
        <v>44</v>
      </c>
      <c r="D714" s="3">
        <f t="shared" si="11"/>
        <v>80</v>
      </c>
      <c r="E714" s="3" t="s">
        <v>1126</v>
      </c>
      <c r="G714" s="5" t="s">
        <v>1169</v>
      </c>
      <c r="H714" s="5"/>
      <c r="I714" s="5" t="s">
        <v>131</v>
      </c>
      <c r="J714" s="7">
        <v>0</v>
      </c>
      <c r="M714" s="8">
        <v>0</v>
      </c>
      <c r="N714" s="7">
        <v>0</v>
      </c>
      <c r="P714" s="7">
        <v>120690</v>
      </c>
      <c r="Q714" s="7">
        <v>120690</v>
      </c>
      <c r="R714" s="5">
        <f>VLOOKUP($G714,Others!$E$641:$I$931,2,FALSE)</f>
        <v>0</v>
      </c>
      <c r="S714" s="5">
        <f>VLOOKUP($G714,Others!$E$641:$I$931,3,FALSE)</f>
        <v>0</v>
      </c>
      <c r="T714" s="5">
        <f>VLOOKUP($G714,Others!$E$641:$I$931,4,FALSE)</f>
        <v>0</v>
      </c>
      <c r="U714" s="5" t="str">
        <f>IFERROR(VLOOKUP($G714,Ratings!$E$125:$I$172,5,FALSE),"none")</f>
        <v>none</v>
      </c>
      <c r="V714" s="5"/>
      <c r="X714" s="5"/>
      <c r="Y714" s="5"/>
      <c r="Z714" s="5"/>
      <c r="AA714" s="5"/>
      <c r="AB714" s="5"/>
      <c r="AC714" s="5"/>
      <c r="AG714" s="9"/>
      <c r="AH714" s="9"/>
    </row>
    <row r="715" spans="2:34" hidden="1">
      <c r="B715" s="4">
        <v>2017</v>
      </c>
      <c r="C715" s="4" t="s">
        <v>44</v>
      </c>
      <c r="D715" s="3">
        <f t="shared" si="11"/>
        <v>81</v>
      </c>
      <c r="E715" s="3" t="s">
        <v>1126</v>
      </c>
      <c r="G715" s="5" t="s">
        <v>1170</v>
      </c>
      <c r="H715" s="5"/>
      <c r="J715" s="7">
        <v>0</v>
      </c>
      <c r="M715" s="8">
        <v>0</v>
      </c>
      <c r="N715" s="7">
        <v>0</v>
      </c>
      <c r="P715" s="7">
        <v>94532</v>
      </c>
      <c r="Q715" s="7">
        <v>94532</v>
      </c>
      <c r="R715" s="5">
        <f>VLOOKUP($G715,Others!$E$641:$I$931,2,FALSE)</f>
        <v>0</v>
      </c>
      <c r="S715" s="5">
        <f>VLOOKUP($G715,Others!$E$641:$I$931,3,FALSE)</f>
        <v>0</v>
      </c>
      <c r="T715" s="5">
        <f>VLOOKUP($G715,Others!$E$641:$I$931,4,FALSE)</f>
        <v>0</v>
      </c>
      <c r="U715" s="5" t="str">
        <f>IFERROR(VLOOKUP($G715,Ratings!$E$125:$I$172,5,FALSE),"none")</f>
        <v>none</v>
      </c>
      <c r="V715" s="5"/>
      <c r="X715" s="5"/>
      <c r="Y715" s="5"/>
      <c r="Z715" s="5"/>
      <c r="AA715" s="5"/>
      <c r="AB715" s="5"/>
      <c r="AC715" s="5"/>
      <c r="AG715" s="9"/>
      <c r="AH715" s="9"/>
    </row>
    <row r="716" spans="2:34" hidden="1">
      <c r="B716" s="4">
        <v>2017</v>
      </c>
      <c r="C716" s="4" t="s">
        <v>44</v>
      </c>
      <c r="D716" s="3">
        <f t="shared" si="11"/>
        <v>82</v>
      </c>
      <c r="E716" s="3" t="s">
        <v>1126</v>
      </c>
      <c r="G716" s="5" t="s">
        <v>348</v>
      </c>
      <c r="H716" s="5"/>
      <c r="I716" s="5" t="s">
        <v>129</v>
      </c>
      <c r="J716" s="7">
        <v>0</v>
      </c>
      <c r="M716" s="8">
        <v>0</v>
      </c>
      <c r="N716" s="7">
        <v>0</v>
      </c>
      <c r="P716" s="7">
        <v>2033</v>
      </c>
      <c r="Q716" s="7">
        <v>2033</v>
      </c>
      <c r="R716" s="5" t="str">
        <f>VLOOKUP($G716,Others!$E$641:$I$931,2,FALSE)</f>
        <v>Original Screenplay</v>
      </c>
      <c r="S716" s="5" t="str">
        <f>VLOOKUP($G716,Others!$E$641:$I$931,3,FALSE)</f>
        <v>Live Action</v>
      </c>
      <c r="T716" s="5" t="str">
        <f>VLOOKUP($G716,Others!$E$641:$I$931,4,FALSE)</f>
        <v>Fantasy</v>
      </c>
      <c r="U716" s="5" t="str">
        <f>IFERROR(VLOOKUP($G716,Ratings!$E$125:$I$172,5,FALSE),"none")</f>
        <v>none</v>
      </c>
      <c r="V716" s="5"/>
      <c r="X716" s="5"/>
      <c r="Y716" s="5"/>
      <c r="Z716" s="5"/>
      <c r="AA716" s="5"/>
      <c r="AB716" s="5"/>
      <c r="AC716" s="5"/>
      <c r="AG716" s="9"/>
      <c r="AH716" s="9"/>
    </row>
    <row r="717" spans="2:34" hidden="1">
      <c r="B717" s="4">
        <v>2017</v>
      </c>
      <c r="C717" s="4" t="s">
        <v>44</v>
      </c>
      <c r="D717" s="3">
        <f t="shared" si="11"/>
        <v>83</v>
      </c>
      <c r="E717" s="3" t="s">
        <v>1126</v>
      </c>
      <c r="G717" s="5" t="s">
        <v>1171</v>
      </c>
      <c r="H717" s="5"/>
      <c r="I717" s="5" t="s">
        <v>131</v>
      </c>
      <c r="J717" s="7">
        <v>0</v>
      </c>
      <c r="M717" s="8">
        <v>0</v>
      </c>
      <c r="N717" s="7">
        <v>0</v>
      </c>
      <c r="P717" s="7">
        <v>107199</v>
      </c>
      <c r="Q717" s="7">
        <v>107199</v>
      </c>
      <c r="R717" s="5">
        <f>VLOOKUP($G717,Others!$E$641:$I$931,2,FALSE)</f>
        <v>0</v>
      </c>
      <c r="S717" s="5">
        <f>VLOOKUP($G717,Others!$E$641:$I$931,3,FALSE)</f>
        <v>0</v>
      </c>
      <c r="T717" s="5">
        <f>VLOOKUP($G717,Others!$E$641:$I$931,4,FALSE)</f>
        <v>0</v>
      </c>
      <c r="U717" s="5" t="str">
        <f>IFERROR(VLOOKUP($G717,Ratings!$E$125:$I$172,5,FALSE),"none")</f>
        <v>none</v>
      </c>
      <c r="V717" s="5"/>
      <c r="X717" s="5"/>
      <c r="Y717" s="5"/>
      <c r="Z717" s="5"/>
      <c r="AA717" s="5"/>
      <c r="AB717" s="5"/>
      <c r="AC717" s="5"/>
      <c r="AG717" s="9"/>
      <c r="AH717" s="9"/>
    </row>
    <row r="718" spans="2:34" hidden="1">
      <c r="B718" s="4">
        <v>2017</v>
      </c>
      <c r="C718" s="4" t="s">
        <v>44</v>
      </c>
      <c r="D718" s="3">
        <f t="shared" si="11"/>
        <v>84</v>
      </c>
      <c r="E718" s="3" t="s">
        <v>1126</v>
      </c>
      <c r="G718" s="5" t="s">
        <v>1172</v>
      </c>
      <c r="H718" s="5"/>
      <c r="J718" s="7">
        <v>0</v>
      </c>
      <c r="M718" s="8">
        <v>0</v>
      </c>
      <c r="N718" s="7">
        <v>0</v>
      </c>
      <c r="P718" s="7">
        <v>684806</v>
      </c>
      <c r="Q718" s="7">
        <v>684806</v>
      </c>
      <c r="R718" s="5">
        <f>VLOOKUP($G718,Others!$E$641:$I$931,2,FALSE)</f>
        <v>0</v>
      </c>
      <c r="S718" s="5">
        <f>VLOOKUP($G718,Others!$E$641:$I$931,3,FALSE)</f>
        <v>0</v>
      </c>
      <c r="T718" s="5">
        <f>VLOOKUP($G718,Others!$E$641:$I$931,4,FALSE)</f>
        <v>0</v>
      </c>
      <c r="U718" s="5" t="str">
        <f>IFERROR(VLOOKUP($G718,Ratings!$E$125:$I$172,5,FALSE),"none")</f>
        <v>none</v>
      </c>
      <c r="V718" s="5"/>
      <c r="X718" s="5"/>
      <c r="Y718" s="5"/>
      <c r="Z718" s="5"/>
      <c r="AA718" s="5"/>
      <c r="AB718" s="5"/>
      <c r="AC718" s="5"/>
      <c r="AG718" s="9"/>
      <c r="AH718" s="9"/>
    </row>
    <row r="719" spans="2:34" hidden="1">
      <c r="B719" s="4">
        <v>2017</v>
      </c>
      <c r="C719" s="4" t="s">
        <v>44</v>
      </c>
      <c r="D719" s="3">
        <f t="shared" si="11"/>
        <v>85</v>
      </c>
      <c r="E719" s="3" t="s">
        <v>1126</v>
      </c>
      <c r="G719" s="5" t="s">
        <v>1173</v>
      </c>
      <c r="H719" s="5"/>
      <c r="I719" s="5" t="s">
        <v>193</v>
      </c>
      <c r="J719" s="7">
        <v>0</v>
      </c>
      <c r="M719" s="8">
        <v>0</v>
      </c>
      <c r="N719" s="7">
        <v>0</v>
      </c>
      <c r="P719" s="7">
        <v>171807</v>
      </c>
      <c r="Q719" s="7">
        <v>171807</v>
      </c>
      <c r="R719" s="5" t="str">
        <f>VLOOKUP($G719,Others!$E$641:$I$931,2,FALSE)</f>
        <v>Original Screenplay</v>
      </c>
      <c r="S719" s="5" t="str">
        <f>VLOOKUP($G719,Others!$E$641:$I$931,3,FALSE)</f>
        <v>Live Action</v>
      </c>
      <c r="T719" s="5" t="str">
        <f>VLOOKUP($G719,Others!$E$641:$I$931,4,FALSE)</f>
        <v>Contemporary Fiction</v>
      </c>
      <c r="U719" s="5" t="str">
        <f>IFERROR(VLOOKUP($G719,Ratings!$E$125:$I$172,5,FALSE),"none")</f>
        <v>none</v>
      </c>
      <c r="V719" s="5"/>
      <c r="X719" s="5"/>
      <c r="Y719" s="5"/>
      <c r="Z719" s="5"/>
      <c r="AA719" s="5"/>
      <c r="AB719" s="5"/>
      <c r="AC719" s="5"/>
      <c r="AG719" s="9"/>
      <c r="AH719" s="9"/>
    </row>
    <row r="720" spans="2:34" hidden="1">
      <c r="B720" s="4">
        <v>2017</v>
      </c>
      <c r="C720" s="4" t="s">
        <v>44</v>
      </c>
      <c r="D720" s="3">
        <f t="shared" si="11"/>
        <v>86</v>
      </c>
      <c r="E720" s="3" t="s">
        <v>1126</v>
      </c>
      <c r="G720" s="5" t="s">
        <v>1174</v>
      </c>
      <c r="H720" s="5"/>
      <c r="I720" s="5" t="s">
        <v>127</v>
      </c>
      <c r="J720" s="7">
        <v>0</v>
      </c>
      <c r="M720" s="8">
        <v>0</v>
      </c>
      <c r="N720" s="7">
        <v>0</v>
      </c>
      <c r="P720" s="7">
        <v>2280212</v>
      </c>
      <c r="Q720" s="7">
        <v>2280212</v>
      </c>
      <c r="R720" s="5" t="str">
        <f>VLOOKUP($G720,Others!$E$641:$I$931,2,FALSE)</f>
        <v>Original Screenplay</v>
      </c>
      <c r="S720" s="5" t="str">
        <f>VLOOKUP($G720,Others!$E$641:$I$931,3,FALSE)</f>
        <v>Animation/Live Action</v>
      </c>
      <c r="T720" s="5" t="str">
        <f>VLOOKUP($G720,Others!$E$641:$I$931,4,FALSE)</f>
        <v>Kids Fiction</v>
      </c>
      <c r="U720" s="5" t="str">
        <f>IFERROR(VLOOKUP($G720,Ratings!$E$125:$I$172,5,FALSE),"none")</f>
        <v>none</v>
      </c>
      <c r="V720" s="5"/>
      <c r="X720" s="5"/>
      <c r="Y720" s="5"/>
      <c r="Z720" s="5"/>
      <c r="AA720" s="5"/>
      <c r="AB720" s="5"/>
      <c r="AC720" s="5"/>
      <c r="AG720" s="9"/>
      <c r="AH720" s="9"/>
    </row>
    <row r="721" spans="2:34" hidden="1">
      <c r="B721" s="4">
        <v>2017</v>
      </c>
      <c r="C721" s="4" t="s">
        <v>44</v>
      </c>
      <c r="D721" s="3">
        <f t="shared" si="11"/>
        <v>87</v>
      </c>
      <c r="E721" s="3" t="s">
        <v>1126</v>
      </c>
      <c r="G721" s="5" t="s">
        <v>1175</v>
      </c>
      <c r="H721" s="5"/>
      <c r="J721" s="7">
        <v>0</v>
      </c>
      <c r="M721" s="8">
        <v>0</v>
      </c>
      <c r="N721" s="7">
        <v>0</v>
      </c>
      <c r="P721" s="7">
        <v>38558</v>
      </c>
      <c r="Q721" s="7">
        <v>38558</v>
      </c>
      <c r="R721" s="5">
        <f>VLOOKUP($G721,Others!$E$641:$I$931,2,FALSE)</f>
        <v>0</v>
      </c>
      <c r="S721" s="5">
        <f>VLOOKUP($G721,Others!$E$641:$I$931,3,FALSE)</f>
        <v>0</v>
      </c>
      <c r="T721" s="5">
        <f>VLOOKUP($G721,Others!$E$641:$I$931,4,FALSE)</f>
        <v>0</v>
      </c>
      <c r="U721" s="5" t="str">
        <f>IFERROR(VLOOKUP($G721,Ratings!$E$125:$I$172,5,FALSE),"none")</f>
        <v>none</v>
      </c>
      <c r="V721" s="5"/>
      <c r="X721" s="5"/>
      <c r="Y721" s="5"/>
      <c r="Z721" s="5"/>
      <c r="AA721" s="5"/>
      <c r="AB721" s="5"/>
      <c r="AC721" s="5"/>
      <c r="AG721" s="9"/>
      <c r="AH721" s="9"/>
    </row>
    <row r="722" spans="2:34" hidden="1">
      <c r="B722" s="4">
        <v>2017</v>
      </c>
      <c r="C722" s="4" t="s">
        <v>44</v>
      </c>
      <c r="D722" s="3">
        <f t="shared" si="11"/>
        <v>88</v>
      </c>
      <c r="E722" s="3" t="s">
        <v>1126</v>
      </c>
      <c r="G722" s="5" t="s">
        <v>1176</v>
      </c>
      <c r="H722" s="5"/>
      <c r="J722" s="7">
        <v>0</v>
      </c>
      <c r="M722" s="8">
        <v>0</v>
      </c>
      <c r="N722" s="7">
        <v>0</v>
      </c>
      <c r="P722" s="7">
        <v>35625</v>
      </c>
      <c r="Q722" s="7">
        <v>35625</v>
      </c>
      <c r="R722" s="5">
        <f>VLOOKUP($G722,Others!$E$641:$I$931,2,FALSE)</f>
        <v>0</v>
      </c>
      <c r="S722" s="5">
        <f>VLOOKUP($G722,Others!$E$641:$I$931,3,FALSE)</f>
        <v>0</v>
      </c>
      <c r="T722" s="5">
        <f>VLOOKUP($G722,Others!$E$641:$I$931,4,FALSE)</f>
        <v>0</v>
      </c>
      <c r="U722" s="5" t="str">
        <f>IFERROR(VLOOKUP($G722,Ratings!$E$125:$I$172,5,FALSE),"none")</f>
        <v>none</v>
      </c>
      <c r="V722" s="5"/>
      <c r="X722" s="5"/>
      <c r="Y722" s="5"/>
      <c r="Z722" s="5"/>
      <c r="AA722" s="5"/>
      <c r="AB722" s="5"/>
      <c r="AC722" s="5"/>
      <c r="AG722" s="9"/>
      <c r="AH722" s="9"/>
    </row>
    <row r="723" spans="2:34" hidden="1">
      <c r="B723" s="4">
        <v>2017</v>
      </c>
      <c r="C723" s="4" t="s">
        <v>44</v>
      </c>
      <c r="D723" s="3">
        <f t="shared" si="11"/>
        <v>89</v>
      </c>
      <c r="E723" s="3" t="s">
        <v>1126</v>
      </c>
      <c r="G723" s="5" t="s">
        <v>1177</v>
      </c>
      <c r="H723" s="5"/>
      <c r="I723" s="5" t="s">
        <v>154</v>
      </c>
      <c r="J723" s="7">
        <v>0</v>
      </c>
      <c r="M723" s="8">
        <v>0</v>
      </c>
      <c r="N723" s="7">
        <v>0</v>
      </c>
      <c r="P723" s="7">
        <v>1459015</v>
      </c>
      <c r="Q723" s="7">
        <v>1459015</v>
      </c>
      <c r="R723" s="5" t="str">
        <f>VLOOKUP($G723,Others!$E$641:$I$931,2,FALSE)</f>
        <v>Original Screenplay</v>
      </c>
      <c r="S723" s="5" t="str">
        <f>VLOOKUP($G723,Others!$E$641:$I$931,3,FALSE)</f>
        <v>Animation/Live Action</v>
      </c>
      <c r="T723" s="5" t="str">
        <f>VLOOKUP($G723,Others!$E$641:$I$931,4,FALSE)</f>
        <v>Science Fiction</v>
      </c>
      <c r="U723" s="5" t="str">
        <f>IFERROR(VLOOKUP($G723,Ratings!$E$125:$I$172,5,FALSE),"none")</f>
        <v>none</v>
      </c>
      <c r="V723" s="5"/>
      <c r="X723" s="5"/>
      <c r="Y723" s="5"/>
      <c r="Z723" s="5"/>
      <c r="AA723" s="5"/>
      <c r="AB723" s="5"/>
      <c r="AC723" s="5"/>
      <c r="AG723" s="9"/>
      <c r="AH723" s="9"/>
    </row>
    <row r="724" spans="2:34">
      <c r="B724" s="4">
        <v>2017</v>
      </c>
      <c r="C724" s="4" t="s">
        <v>44</v>
      </c>
      <c r="D724" s="3">
        <f t="shared" si="11"/>
        <v>90</v>
      </c>
      <c r="E724" s="55" t="s">
        <v>1126</v>
      </c>
      <c r="F724" s="56" t="s">
        <v>668</v>
      </c>
      <c r="G724" s="5" t="s">
        <v>1178</v>
      </c>
      <c r="H724" s="5" t="s">
        <v>2410</v>
      </c>
      <c r="I724" s="5" t="s">
        <v>127</v>
      </c>
      <c r="J724" s="7">
        <f>20000000/6.7</f>
        <v>2985074.6268656715</v>
      </c>
      <c r="K724" s="7">
        <f>10000000/6.7</f>
        <v>1492537.3134328357</v>
      </c>
      <c r="L724" s="7">
        <f>11198000/6.7</f>
        <v>1671343.2835820895</v>
      </c>
      <c r="M724" s="8">
        <v>8751</v>
      </c>
      <c r="N724" s="7">
        <v>49286</v>
      </c>
      <c r="O724" s="7">
        <f>30530000/6.7</f>
        <v>4556716.4179104473</v>
      </c>
      <c r="P724" s="7">
        <v>4884807</v>
      </c>
      <c r="Q724" s="7">
        <v>4884807</v>
      </c>
      <c r="R724" s="5" t="str">
        <f>VLOOKUP($G724,Others!$E$641:$I$931,2,FALSE)</f>
        <v>Original Screenplay</v>
      </c>
      <c r="S724" s="5" t="str">
        <f>VLOOKUP($G724,Others!$E$641:$I$931,3,FALSE)</f>
        <v>Digital Animation</v>
      </c>
      <c r="T724" s="5" t="str">
        <f>VLOOKUP($G724,Others!$E$641:$I$931,4,FALSE)</f>
        <v>Kids Fiction</v>
      </c>
      <c r="U724" s="5" t="str">
        <f>IFERROR(VLOOKUP($G724,Ratings!$E$125:$I$172,5,FALSE),"none")</f>
        <v>none</v>
      </c>
      <c r="V724" s="5" t="s">
        <v>2411</v>
      </c>
      <c r="W724" s="5" t="s">
        <v>2412</v>
      </c>
      <c r="X724" s="5" t="s">
        <v>2413</v>
      </c>
      <c r="Y724" s="5" t="s">
        <v>2414</v>
      </c>
      <c r="Z724" s="5" t="s">
        <v>2415</v>
      </c>
      <c r="AA724" s="39" t="s">
        <v>2416</v>
      </c>
      <c r="AB724" s="39" t="s">
        <v>1744</v>
      </c>
      <c r="AC724" s="5" t="s">
        <v>1746</v>
      </c>
      <c r="AD724" s="9">
        <v>8.6</v>
      </c>
      <c r="AE724" s="1" t="s">
        <v>1489</v>
      </c>
      <c r="AG724" s="9"/>
      <c r="AH724" s="9"/>
    </row>
    <row r="725" spans="2:34" hidden="1">
      <c r="B725" s="4">
        <v>2017</v>
      </c>
      <c r="C725" s="4" t="s">
        <v>44</v>
      </c>
      <c r="D725" s="3">
        <f t="shared" si="11"/>
        <v>91</v>
      </c>
      <c r="E725" s="3" t="s">
        <v>1126</v>
      </c>
      <c r="G725" s="5" t="s">
        <v>1179</v>
      </c>
      <c r="H725" s="5"/>
      <c r="I725" s="5" t="s">
        <v>148</v>
      </c>
      <c r="J725" s="7">
        <v>0</v>
      </c>
      <c r="M725" s="8">
        <v>0</v>
      </c>
      <c r="N725" s="7">
        <v>0</v>
      </c>
      <c r="P725" s="7">
        <v>672565</v>
      </c>
      <c r="Q725" s="7">
        <v>672565</v>
      </c>
      <c r="R725" s="5">
        <f>VLOOKUP($G725,Others!$E$641:$I$931,2,FALSE)</f>
        <v>0</v>
      </c>
      <c r="S725" s="5">
        <f>VLOOKUP($G725,Others!$E$641:$I$931,3,FALSE)</f>
        <v>0</v>
      </c>
      <c r="T725" s="5">
        <f>VLOOKUP($G725,Others!$E$641:$I$931,4,FALSE)</f>
        <v>0</v>
      </c>
      <c r="U725" s="5" t="str">
        <f>IFERROR(VLOOKUP($G725,Ratings!$E$125:$I$172,5,FALSE),"none")</f>
        <v>none</v>
      </c>
      <c r="V725" s="5"/>
      <c r="X725" s="5"/>
      <c r="Y725" s="5"/>
      <c r="Z725" s="5"/>
      <c r="AA725" s="5"/>
      <c r="AB725" s="5"/>
      <c r="AC725" s="5"/>
      <c r="AG725" s="9"/>
      <c r="AH725" s="9"/>
    </row>
    <row r="726" spans="2:34" hidden="1">
      <c r="B726" s="4">
        <v>2017</v>
      </c>
      <c r="C726" s="4" t="s">
        <v>44</v>
      </c>
      <c r="D726" s="3">
        <f t="shared" si="11"/>
        <v>92</v>
      </c>
      <c r="E726" s="3" t="s">
        <v>1126</v>
      </c>
      <c r="G726" s="5" t="s">
        <v>1180</v>
      </c>
      <c r="H726" s="5"/>
      <c r="I726" s="5" t="s">
        <v>131</v>
      </c>
      <c r="J726" s="7">
        <v>0</v>
      </c>
      <c r="M726" s="8">
        <v>0</v>
      </c>
      <c r="N726" s="7">
        <v>0</v>
      </c>
      <c r="P726" s="7">
        <v>9780</v>
      </c>
      <c r="Q726" s="7">
        <v>9780</v>
      </c>
      <c r="R726" s="5">
        <f>VLOOKUP($G726,Others!$E$641:$I$931,2,FALSE)</f>
        <v>0</v>
      </c>
      <c r="S726" s="5" t="str">
        <f>VLOOKUP($G726,Others!$E$641:$I$931,3,FALSE)</f>
        <v>Live Action</v>
      </c>
      <c r="T726" s="5">
        <f>VLOOKUP($G726,Others!$E$641:$I$931,4,FALSE)</f>
        <v>0</v>
      </c>
      <c r="U726" s="5" t="str">
        <f>IFERROR(VLOOKUP($G726,Ratings!$E$125:$I$172,5,FALSE),"none")</f>
        <v>none</v>
      </c>
      <c r="V726" s="5"/>
      <c r="X726" s="5"/>
      <c r="Y726" s="5"/>
      <c r="Z726" s="5"/>
      <c r="AA726" s="5"/>
      <c r="AB726" s="5"/>
      <c r="AC726" s="5"/>
      <c r="AG726" s="9"/>
      <c r="AH726" s="9"/>
    </row>
    <row r="727" spans="2:34" hidden="1">
      <c r="B727" s="4">
        <v>2017</v>
      </c>
      <c r="C727" s="4" t="s">
        <v>44</v>
      </c>
      <c r="D727" s="3">
        <f t="shared" si="11"/>
        <v>93</v>
      </c>
      <c r="E727" s="3" t="s">
        <v>1126</v>
      </c>
      <c r="G727" s="5" t="s">
        <v>1181</v>
      </c>
      <c r="H727" s="5"/>
      <c r="I727" s="5" t="s">
        <v>193</v>
      </c>
      <c r="J727" s="7">
        <v>0</v>
      </c>
      <c r="M727" s="8">
        <v>0</v>
      </c>
      <c r="N727" s="7">
        <v>0</v>
      </c>
      <c r="P727" s="7">
        <v>1320000</v>
      </c>
      <c r="Q727" s="7">
        <v>1320000</v>
      </c>
      <c r="R727" s="5" t="str">
        <f>VLOOKUP($G727,Others!$E$641:$I$931,2,FALSE)</f>
        <v>Original Screenplay</v>
      </c>
      <c r="S727" s="5" t="str">
        <f>VLOOKUP($G727,Others!$E$641:$I$931,3,FALSE)</f>
        <v>Live Action</v>
      </c>
      <c r="T727" s="5" t="str">
        <f>VLOOKUP($G727,Others!$E$641:$I$931,4,FALSE)</f>
        <v>Contemporary Fiction</v>
      </c>
      <c r="U727" s="5" t="str">
        <f>IFERROR(VLOOKUP($G727,Ratings!$E$125:$I$172,5,FALSE),"none")</f>
        <v>none</v>
      </c>
      <c r="V727" s="5"/>
      <c r="X727" s="5"/>
      <c r="Y727" s="5"/>
      <c r="Z727" s="5"/>
      <c r="AA727" s="5"/>
      <c r="AB727" s="5"/>
      <c r="AC727" s="5"/>
      <c r="AG727" s="9"/>
      <c r="AH727" s="9"/>
    </row>
    <row r="728" spans="2:34" hidden="1">
      <c r="B728" s="4">
        <v>2017</v>
      </c>
      <c r="C728" s="4" t="s">
        <v>44</v>
      </c>
      <c r="D728" s="3">
        <f t="shared" si="11"/>
        <v>94</v>
      </c>
      <c r="E728" s="3" t="s">
        <v>1126</v>
      </c>
      <c r="G728" s="5" t="s">
        <v>1182</v>
      </c>
      <c r="H728" s="5"/>
      <c r="J728" s="7">
        <v>0</v>
      </c>
      <c r="M728" s="8">
        <v>0</v>
      </c>
      <c r="N728" s="7">
        <v>0</v>
      </c>
      <c r="P728" s="7">
        <v>480000</v>
      </c>
      <c r="Q728" s="7">
        <v>480000</v>
      </c>
      <c r="R728" s="5">
        <f>VLOOKUP($G728,Others!$E$641:$I$931,2,FALSE)</f>
        <v>0</v>
      </c>
      <c r="S728" s="5">
        <f>VLOOKUP($G728,Others!$E$641:$I$931,3,FALSE)</f>
        <v>0</v>
      </c>
      <c r="T728" s="5">
        <f>VLOOKUP($G728,Others!$E$641:$I$931,4,FALSE)</f>
        <v>0</v>
      </c>
      <c r="U728" s="5" t="str">
        <f>IFERROR(VLOOKUP($G728,Ratings!$E$125:$I$172,5,FALSE),"none")</f>
        <v>none</v>
      </c>
      <c r="V728" s="5"/>
      <c r="X728" s="5"/>
      <c r="Y728" s="5"/>
      <c r="Z728" s="5"/>
      <c r="AA728" s="5"/>
      <c r="AB728" s="5"/>
      <c r="AC728" s="5"/>
      <c r="AG728" s="9"/>
      <c r="AH728" s="9"/>
    </row>
    <row r="729" spans="2:34" hidden="1">
      <c r="B729" s="4">
        <v>2017</v>
      </c>
      <c r="C729" s="4" t="s">
        <v>44</v>
      </c>
      <c r="D729" s="3">
        <f t="shared" si="11"/>
        <v>95</v>
      </c>
      <c r="E729" s="3" t="s">
        <v>1126</v>
      </c>
      <c r="G729" s="5" t="s">
        <v>1183</v>
      </c>
      <c r="H729" s="5"/>
      <c r="I729" s="5" t="s">
        <v>136</v>
      </c>
      <c r="J729" s="7">
        <v>0</v>
      </c>
      <c r="M729" s="8">
        <v>0</v>
      </c>
      <c r="N729" s="7">
        <v>0</v>
      </c>
      <c r="P729" s="7">
        <v>338690</v>
      </c>
      <c r="Q729" s="7">
        <v>338690</v>
      </c>
      <c r="R729" s="5">
        <f>VLOOKUP($G729,Others!$E$641:$I$931,2,FALSE)</f>
        <v>0</v>
      </c>
      <c r="S729" s="5" t="str">
        <f>VLOOKUP($G729,Others!$E$641:$I$931,3,FALSE)</f>
        <v>Digital Animation</v>
      </c>
      <c r="T729" s="5">
        <f>VLOOKUP($G729,Others!$E$641:$I$931,4,FALSE)</f>
        <v>0</v>
      </c>
      <c r="U729" s="5" t="str">
        <f>IFERROR(VLOOKUP($G729,Ratings!$E$125:$I$172,5,FALSE),"none")</f>
        <v>none</v>
      </c>
      <c r="V729" s="5"/>
      <c r="X729" s="5"/>
      <c r="Y729" s="5"/>
      <c r="Z729" s="5"/>
      <c r="AA729" s="5"/>
      <c r="AB729" s="5"/>
      <c r="AC729" s="5"/>
      <c r="AG729" s="9"/>
      <c r="AH729" s="9"/>
    </row>
    <row r="730" spans="2:34" hidden="1">
      <c r="B730" s="4">
        <v>2017</v>
      </c>
      <c r="C730" s="4" t="s">
        <v>44</v>
      </c>
      <c r="D730" s="3">
        <f t="shared" si="11"/>
        <v>96</v>
      </c>
      <c r="E730" s="3" t="s">
        <v>1126</v>
      </c>
      <c r="G730" s="5" t="s">
        <v>1184</v>
      </c>
      <c r="H730" s="5"/>
      <c r="J730" s="7">
        <v>0</v>
      </c>
      <c r="M730" s="8">
        <v>0</v>
      </c>
      <c r="N730" s="7">
        <v>0</v>
      </c>
      <c r="P730" s="7">
        <v>1863</v>
      </c>
      <c r="Q730" s="7">
        <v>1863</v>
      </c>
      <c r="R730" s="5">
        <f>VLOOKUP($G730,Others!$E$641:$I$931,2,FALSE)</f>
        <v>0</v>
      </c>
      <c r="S730" s="5">
        <f>VLOOKUP($G730,Others!$E$641:$I$931,3,FALSE)</f>
        <v>0</v>
      </c>
      <c r="T730" s="5">
        <f>VLOOKUP($G730,Others!$E$641:$I$931,4,FALSE)</f>
        <v>0</v>
      </c>
      <c r="U730" s="5" t="str">
        <f>IFERROR(VLOOKUP($G730,Ratings!$E$125:$I$172,5,FALSE),"none")</f>
        <v>none</v>
      </c>
      <c r="V730" s="5"/>
      <c r="X730" s="5"/>
      <c r="Y730" s="5"/>
      <c r="Z730" s="5"/>
      <c r="AA730" s="5"/>
      <c r="AB730" s="5"/>
      <c r="AC730" s="5"/>
      <c r="AG730" s="9"/>
      <c r="AH730" s="9"/>
    </row>
    <row r="731" spans="2:34" hidden="1">
      <c r="B731" s="4">
        <v>2017</v>
      </c>
      <c r="C731" s="4" t="s">
        <v>44</v>
      </c>
      <c r="D731" s="3">
        <f t="shared" si="11"/>
        <v>97</v>
      </c>
      <c r="E731" s="3" t="s">
        <v>1126</v>
      </c>
      <c r="G731" s="5" t="s">
        <v>538</v>
      </c>
      <c r="H731" s="5"/>
      <c r="I731" s="5" t="s">
        <v>131</v>
      </c>
      <c r="J731" s="7">
        <v>0</v>
      </c>
      <c r="M731" s="8">
        <v>0</v>
      </c>
      <c r="N731" s="7">
        <v>0</v>
      </c>
      <c r="P731" s="7">
        <v>15069</v>
      </c>
      <c r="Q731" s="7">
        <v>15069</v>
      </c>
      <c r="R731" s="5">
        <f>VLOOKUP($G731,Others!$E$641:$I$931,2,FALSE)</f>
        <v>0</v>
      </c>
      <c r="S731" s="5" t="str">
        <f>VLOOKUP($G731,Others!$E$641:$I$931,3,FALSE)</f>
        <v>Live Action</v>
      </c>
      <c r="T731" s="5" t="str">
        <f>VLOOKUP($G731,Others!$E$641:$I$931,4,FALSE)</f>
        <v>Kids Fiction</v>
      </c>
      <c r="U731" s="5" t="str">
        <f>IFERROR(VLOOKUP($G731,Ratings!$E$125:$I$172,5,FALSE),"none")</f>
        <v>none</v>
      </c>
      <c r="V731" s="5"/>
      <c r="X731" s="5"/>
      <c r="Y731" s="5"/>
      <c r="Z731" s="5"/>
      <c r="AA731" s="5"/>
      <c r="AB731" s="5"/>
      <c r="AC731" s="5"/>
      <c r="AG731" s="9"/>
      <c r="AH731" s="9"/>
    </row>
    <row r="732" spans="2:34" hidden="1">
      <c r="B732" s="4">
        <v>2017</v>
      </c>
      <c r="C732" s="4" t="s">
        <v>44</v>
      </c>
      <c r="D732" s="3">
        <f t="shared" si="11"/>
        <v>98</v>
      </c>
      <c r="E732" s="3" t="s">
        <v>1126</v>
      </c>
      <c r="G732" s="5" t="s">
        <v>536</v>
      </c>
      <c r="H732" s="5"/>
      <c r="I732" s="5" t="s">
        <v>154</v>
      </c>
      <c r="J732" s="7">
        <v>0</v>
      </c>
      <c r="M732" s="8">
        <v>0</v>
      </c>
      <c r="N732" s="7">
        <v>0</v>
      </c>
      <c r="P732" s="7">
        <v>17177</v>
      </c>
      <c r="Q732" s="7">
        <v>17177</v>
      </c>
      <c r="R732" s="5" t="str">
        <f>VLOOKUP($G732,Others!$E$641:$I$931,2,FALSE)</f>
        <v>Original Screenplay</v>
      </c>
      <c r="S732" s="5" t="str">
        <f>VLOOKUP($G732,Others!$E$641:$I$931,3,FALSE)</f>
        <v>Live Action</v>
      </c>
      <c r="T732" s="5" t="str">
        <f>VLOOKUP($G732,Others!$E$641:$I$931,4,FALSE)</f>
        <v>Contemporary Fiction</v>
      </c>
      <c r="U732" s="5" t="str">
        <f>IFERROR(VLOOKUP($G732,Ratings!$E$125:$I$172,5,FALSE),"none")</f>
        <v>none</v>
      </c>
      <c r="V732" s="5"/>
      <c r="X732" s="5"/>
      <c r="Y732" s="5"/>
      <c r="Z732" s="5"/>
      <c r="AA732" s="5"/>
      <c r="AB732" s="5"/>
      <c r="AC732" s="5"/>
      <c r="AG732" s="9"/>
      <c r="AH732" s="9"/>
    </row>
    <row r="733" spans="2:34" hidden="1">
      <c r="B733" s="4">
        <v>2017</v>
      </c>
      <c r="C733" s="4" t="s">
        <v>44</v>
      </c>
      <c r="D733" s="3">
        <f t="shared" si="11"/>
        <v>99</v>
      </c>
      <c r="E733" s="3" t="s">
        <v>1126</v>
      </c>
      <c r="G733" s="5" t="s">
        <v>1185</v>
      </c>
      <c r="H733" s="5"/>
      <c r="J733" s="7">
        <v>0</v>
      </c>
      <c r="M733" s="8">
        <v>0</v>
      </c>
      <c r="N733" s="7">
        <v>0</v>
      </c>
      <c r="P733" s="7">
        <v>42388</v>
      </c>
      <c r="Q733" s="7">
        <v>42388</v>
      </c>
      <c r="R733" s="5">
        <f>VLOOKUP($G733,Others!$E$641:$I$931,2,FALSE)</f>
        <v>0</v>
      </c>
      <c r="S733" s="5">
        <f>VLOOKUP($G733,Others!$E$641:$I$931,3,FALSE)</f>
        <v>0</v>
      </c>
      <c r="T733" s="5">
        <f>VLOOKUP($G733,Others!$E$641:$I$931,4,FALSE)</f>
        <v>0</v>
      </c>
      <c r="U733" s="5" t="str">
        <f>IFERROR(VLOOKUP($G733,Ratings!$E$125:$I$172,5,FALSE),"none")</f>
        <v>none</v>
      </c>
      <c r="V733" s="5"/>
      <c r="X733" s="5"/>
      <c r="Y733" s="5"/>
      <c r="Z733" s="5"/>
      <c r="AA733" s="5"/>
      <c r="AB733" s="5"/>
      <c r="AC733" s="5"/>
      <c r="AG733" s="9"/>
      <c r="AH733" s="9"/>
    </row>
    <row r="734" spans="2:34" hidden="1">
      <c r="B734" s="4">
        <v>2017</v>
      </c>
      <c r="C734" s="4" t="s">
        <v>44</v>
      </c>
      <c r="D734" s="3">
        <f t="shared" si="11"/>
        <v>100</v>
      </c>
      <c r="E734" s="3" t="s">
        <v>1126</v>
      </c>
      <c r="G734" s="5" t="s">
        <v>1187</v>
      </c>
      <c r="H734" s="5"/>
      <c r="J734" s="7">
        <v>0</v>
      </c>
      <c r="M734" s="8">
        <v>0</v>
      </c>
      <c r="N734" s="7">
        <v>0</v>
      </c>
      <c r="P734" s="7">
        <v>11347</v>
      </c>
      <c r="Q734" s="7">
        <v>11347</v>
      </c>
      <c r="R734" s="5">
        <f>VLOOKUP($G734,Others!$E$641:$I$931,2,FALSE)</f>
        <v>0</v>
      </c>
      <c r="S734" s="5">
        <f>VLOOKUP($G734,Others!$E$641:$I$931,3,FALSE)</f>
        <v>0</v>
      </c>
      <c r="T734" s="5">
        <f>VLOOKUP($G734,Others!$E$641:$I$931,4,FALSE)</f>
        <v>0</v>
      </c>
      <c r="U734" s="5" t="str">
        <f>IFERROR(VLOOKUP($G734,Ratings!$E$125:$I$172,5,FALSE),"none")</f>
        <v>none</v>
      </c>
      <c r="V734" s="5"/>
      <c r="X734" s="5"/>
      <c r="Y734" s="5"/>
      <c r="Z734" s="5"/>
      <c r="AA734" s="5"/>
      <c r="AB734" s="5"/>
      <c r="AC734" s="5"/>
      <c r="AG734" s="9"/>
      <c r="AH734" s="9"/>
    </row>
    <row r="735" spans="2:34" hidden="1">
      <c r="B735" s="4">
        <v>2017</v>
      </c>
      <c r="C735" s="4" t="s">
        <v>44</v>
      </c>
      <c r="D735" s="3">
        <f t="shared" si="11"/>
        <v>101</v>
      </c>
      <c r="E735" s="3" t="s">
        <v>1126</v>
      </c>
      <c r="G735" s="5" t="s">
        <v>1188</v>
      </c>
      <c r="H735" s="5"/>
      <c r="I735" s="5" t="s">
        <v>131</v>
      </c>
      <c r="J735" s="7">
        <v>0</v>
      </c>
      <c r="M735" s="8">
        <v>0</v>
      </c>
      <c r="N735" s="7">
        <v>0</v>
      </c>
      <c r="P735" s="7">
        <v>1556202</v>
      </c>
      <c r="Q735" s="7">
        <v>1556202</v>
      </c>
      <c r="R735" s="5" t="str">
        <f>VLOOKUP($G735,Others!$E$641:$I$931,2,FALSE)</f>
        <v>Based on Fiction Book/Short Story</v>
      </c>
      <c r="S735" s="5" t="str">
        <f>VLOOKUP($G735,Others!$E$641:$I$931,3,FALSE)</f>
        <v>Live Action</v>
      </c>
      <c r="T735" s="5" t="str">
        <f>VLOOKUP($G735,Others!$E$641:$I$931,4,FALSE)</f>
        <v>Contemporary Fiction</v>
      </c>
      <c r="U735" s="5" t="str">
        <f>IFERROR(VLOOKUP($G735,Ratings!$E$125:$I$172,5,FALSE),"none")</f>
        <v>none</v>
      </c>
      <c r="V735" s="5"/>
      <c r="X735" s="5"/>
      <c r="Y735" s="5"/>
      <c r="Z735" s="5"/>
      <c r="AA735" s="5"/>
      <c r="AB735" s="5"/>
      <c r="AC735" s="5"/>
      <c r="AG735" s="9"/>
      <c r="AH735" s="9"/>
    </row>
    <row r="736" spans="2:34" hidden="1">
      <c r="B736" s="4">
        <v>2017</v>
      </c>
      <c r="C736" s="4" t="s">
        <v>44</v>
      </c>
      <c r="D736" s="3">
        <f t="shared" si="11"/>
        <v>102</v>
      </c>
      <c r="E736" s="3" t="s">
        <v>1126</v>
      </c>
      <c r="G736" s="5" t="s">
        <v>1189</v>
      </c>
      <c r="H736" s="5"/>
      <c r="I736" s="5" t="s">
        <v>131</v>
      </c>
      <c r="J736" s="7">
        <v>0</v>
      </c>
      <c r="M736" s="8">
        <v>0</v>
      </c>
      <c r="N736" s="7">
        <v>0</v>
      </c>
      <c r="P736" s="7">
        <v>24077</v>
      </c>
      <c r="Q736" s="7">
        <v>24077</v>
      </c>
      <c r="R736" s="5">
        <f>VLOOKUP($G736,Others!$E$641:$I$931,2,FALSE)</f>
        <v>0</v>
      </c>
      <c r="S736" s="5">
        <f>VLOOKUP($G736,Others!$E$641:$I$931,3,FALSE)</f>
        <v>0</v>
      </c>
      <c r="T736" s="5">
        <f>VLOOKUP($G736,Others!$E$641:$I$931,4,FALSE)</f>
        <v>0</v>
      </c>
      <c r="U736" s="5" t="str">
        <f>IFERROR(VLOOKUP($G736,Ratings!$E$125:$I$172,5,FALSE),"none")</f>
        <v>none</v>
      </c>
      <c r="V736" s="5"/>
      <c r="X736" s="5"/>
      <c r="Y736" s="5"/>
      <c r="Z736" s="5"/>
      <c r="AA736" s="5"/>
      <c r="AB736" s="5"/>
      <c r="AC736" s="5"/>
      <c r="AG736" s="9"/>
      <c r="AH736" s="9"/>
    </row>
    <row r="737" spans="2:34">
      <c r="B737" s="4">
        <v>2018</v>
      </c>
      <c r="C737" s="4" t="s">
        <v>44</v>
      </c>
      <c r="D737" s="3">
        <f t="shared" si="11"/>
        <v>103</v>
      </c>
      <c r="E737" s="55" t="s">
        <v>1126</v>
      </c>
      <c r="F737" s="3" t="s">
        <v>2397</v>
      </c>
      <c r="G737" s="5" t="s">
        <v>409</v>
      </c>
      <c r="H737" s="5" t="s">
        <v>2276</v>
      </c>
      <c r="I737" s="5" t="s">
        <v>129</v>
      </c>
      <c r="J737" s="7">
        <v>14925373</v>
      </c>
      <c r="K737" s="7">
        <v>5522388</v>
      </c>
      <c r="L737" s="7">
        <v>3305970</v>
      </c>
      <c r="M737" s="8">
        <v>44945</v>
      </c>
      <c r="N737" s="7">
        <v>6465642</v>
      </c>
      <c r="O737" s="7">
        <v>8992537</v>
      </c>
      <c r="P737" s="7">
        <v>10079961</v>
      </c>
      <c r="Q737" s="7">
        <v>10079961</v>
      </c>
      <c r="R737" s="5" t="str">
        <f>VLOOKUP($G737,Others!$E$641:$I$931,2,FALSE)</f>
        <v>Original Screenplay</v>
      </c>
      <c r="S737" s="5" t="str">
        <f>VLOOKUP($G737,Others!$E$641:$I$931,3,FALSE)</f>
        <v>Live Action</v>
      </c>
      <c r="T737" s="5" t="str">
        <f>VLOOKUP($G737,Others!$E$641:$I$931,4,FALSE)</f>
        <v>Contemporary Fiction</v>
      </c>
      <c r="U737" s="5" t="str">
        <f>IFERROR(VLOOKUP($G737,Ratings!$E$125:$I$172,5,FALSE),"none")</f>
        <v>none</v>
      </c>
      <c r="V737" s="5" t="s">
        <v>2417</v>
      </c>
      <c r="W737" s="5" t="s">
        <v>2418</v>
      </c>
      <c r="X737" s="5" t="s">
        <v>2328</v>
      </c>
      <c r="Y737" s="5"/>
      <c r="Z737" s="5" t="s">
        <v>2419</v>
      </c>
      <c r="AA737" s="5" t="s">
        <v>2420</v>
      </c>
      <c r="AB737" s="5"/>
      <c r="AC737" s="5" t="s">
        <v>1488</v>
      </c>
      <c r="AD737" s="9">
        <v>7.9</v>
      </c>
      <c r="AE737" s="1" t="s">
        <v>1489</v>
      </c>
      <c r="AG737" s="9"/>
      <c r="AH737" s="9"/>
    </row>
    <row r="738" spans="2:34" hidden="1">
      <c r="B738" s="4">
        <v>2017</v>
      </c>
      <c r="C738" s="4" t="s">
        <v>44</v>
      </c>
      <c r="D738" s="3">
        <f t="shared" si="11"/>
        <v>104</v>
      </c>
      <c r="E738" s="3" t="s">
        <v>1126</v>
      </c>
      <c r="G738" s="5" t="s">
        <v>1190</v>
      </c>
      <c r="H738" s="5"/>
      <c r="I738" s="5" t="s">
        <v>148</v>
      </c>
      <c r="J738" s="7">
        <v>0</v>
      </c>
      <c r="M738" s="8">
        <v>0</v>
      </c>
      <c r="N738" s="7">
        <v>0</v>
      </c>
      <c r="P738" s="7">
        <v>51485</v>
      </c>
      <c r="Q738" s="7">
        <v>51485</v>
      </c>
      <c r="R738" s="5">
        <f>VLOOKUP($G738,Others!$E$641:$I$931,2,FALSE)</f>
        <v>0</v>
      </c>
      <c r="S738" s="5" t="str">
        <f>VLOOKUP($G738,Others!$E$641:$I$931,3,FALSE)</f>
        <v>Live Action</v>
      </c>
      <c r="T738" s="5">
        <f>VLOOKUP($G738,Others!$E$641:$I$931,4,FALSE)</f>
        <v>0</v>
      </c>
      <c r="U738" s="5" t="str">
        <f>IFERROR(VLOOKUP($G738,Ratings!$E$125:$I$172,5,FALSE),"none")</f>
        <v>none</v>
      </c>
      <c r="V738" s="5"/>
      <c r="X738" s="5"/>
      <c r="Y738" s="5"/>
      <c r="Z738" s="5"/>
      <c r="AA738" s="5"/>
      <c r="AB738" s="5"/>
      <c r="AC738" s="5"/>
      <c r="AG738" s="9"/>
      <c r="AH738" s="9"/>
    </row>
    <row r="739" spans="2:34" hidden="1">
      <c r="B739" s="4">
        <v>2017</v>
      </c>
      <c r="C739" s="4" t="s">
        <v>44</v>
      </c>
      <c r="D739" s="3">
        <f t="shared" si="11"/>
        <v>105</v>
      </c>
      <c r="E739" s="3" t="s">
        <v>1126</v>
      </c>
      <c r="G739" s="5" t="s">
        <v>1191</v>
      </c>
      <c r="H739" s="5"/>
      <c r="I739" s="5" t="s">
        <v>131</v>
      </c>
      <c r="J739" s="7">
        <v>0</v>
      </c>
      <c r="M739" s="8">
        <v>0</v>
      </c>
      <c r="N739" s="7">
        <v>0</v>
      </c>
      <c r="P739" s="7">
        <v>89226</v>
      </c>
      <c r="Q739" s="7">
        <v>89226</v>
      </c>
      <c r="R739" s="5" t="str">
        <f>VLOOKUP($G739,Others!$E$641:$I$931,2,FALSE)</f>
        <v>Original Screenplay</v>
      </c>
      <c r="S739" s="5" t="str">
        <f>VLOOKUP($G739,Others!$E$641:$I$931,3,FALSE)</f>
        <v>Live Action</v>
      </c>
      <c r="T739" s="5" t="str">
        <f>VLOOKUP($G739,Others!$E$641:$I$931,4,FALSE)</f>
        <v>Contemporary Fiction</v>
      </c>
      <c r="U739" s="5" t="str">
        <f>IFERROR(VLOOKUP($G739,Ratings!$E$125:$I$172,5,FALSE),"none")</f>
        <v>none</v>
      </c>
      <c r="V739" s="5"/>
      <c r="X739" s="5"/>
      <c r="Y739" s="5"/>
      <c r="Z739" s="5"/>
      <c r="AA739" s="5"/>
      <c r="AB739" s="5"/>
      <c r="AC739" s="5"/>
      <c r="AG739" s="9"/>
      <c r="AH739" s="9"/>
    </row>
    <row r="740" spans="2:34" hidden="1">
      <c r="B740" s="4">
        <v>2017</v>
      </c>
      <c r="C740" s="4" t="s">
        <v>44</v>
      </c>
      <c r="D740" s="3">
        <f t="shared" si="11"/>
        <v>106</v>
      </c>
      <c r="E740" s="3" t="s">
        <v>1126</v>
      </c>
      <c r="G740" s="5" t="s">
        <v>1192</v>
      </c>
      <c r="H740" s="5"/>
      <c r="I740" s="5" t="s">
        <v>193</v>
      </c>
      <c r="J740" s="7">
        <v>0</v>
      </c>
      <c r="M740" s="8">
        <v>0</v>
      </c>
      <c r="N740" s="7">
        <v>0</v>
      </c>
      <c r="P740" s="7">
        <v>81834</v>
      </c>
      <c r="Q740" s="7">
        <v>81834</v>
      </c>
      <c r="R740" s="5">
        <f>VLOOKUP($G740,Others!$E$641:$I$931,2,FALSE)</f>
        <v>0</v>
      </c>
      <c r="S740" s="5">
        <f>VLOOKUP($G740,Others!$E$641:$I$931,3,FALSE)</f>
        <v>0</v>
      </c>
      <c r="T740" s="5">
        <f>VLOOKUP($G740,Others!$E$641:$I$931,4,FALSE)</f>
        <v>0</v>
      </c>
      <c r="U740" s="5" t="str">
        <f>IFERROR(VLOOKUP($G740,Ratings!$E$125:$I$172,5,FALSE),"none")</f>
        <v>none</v>
      </c>
      <c r="V740" s="5"/>
      <c r="X740" s="5"/>
      <c r="Y740" s="5"/>
      <c r="Z740" s="5"/>
      <c r="AA740" s="5"/>
      <c r="AB740" s="5"/>
      <c r="AC740" s="5"/>
      <c r="AG740" s="9"/>
      <c r="AH740" s="9"/>
    </row>
    <row r="741" spans="2:34" hidden="1">
      <c r="B741" s="4">
        <v>2017</v>
      </c>
      <c r="C741" s="4" t="s">
        <v>44</v>
      </c>
      <c r="D741" s="3">
        <f t="shared" si="11"/>
        <v>107</v>
      </c>
      <c r="E741" s="3" t="s">
        <v>1126</v>
      </c>
      <c r="G741" s="5" t="s">
        <v>497</v>
      </c>
      <c r="H741" s="5"/>
      <c r="I741" s="5" t="s">
        <v>131</v>
      </c>
      <c r="J741" s="7">
        <v>0</v>
      </c>
      <c r="M741" s="8">
        <v>0</v>
      </c>
      <c r="N741" s="7">
        <v>0</v>
      </c>
      <c r="P741" s="7">
        <v>175696</v>
      </c>
      <c r="Q741" s="7">
        <v>175696</v>
      </c>
      <c r="R741" s="5" t="str">
        <f>VLOOKUP($G741,Others!$E$641:$I$931,2,FALSE)</f>
        <v>Original Screenplay</v>
      </c>
      <c r="S741" s="5" t="str">
        <f>VLOOKUP($G741,Others!$E$641:$I$931,3,FALSE)</f>
        <v>Live Action</v>
      </c>
      <c r="T741" s="5" t="str">
        <f>VLOOKUP($G741,Others!$E$641:$I$931,4,FALSE)</f>
        <v>Fantasy</v>
      </c>
      <c r="U741" s="5" t="str">
        <f>IFERROR(VLOOKUP($G741,Ratings!$E$125:$I$172,5,FALSE),"none")</f>
        <v>none</v>
      </c>
      <c r="V741" s="5"/>
      <c r="X741" s="5"/>
      <c r="Y741" s="5"/>
      <c r="Z741" s="5"/>
      <c r="AA741" s="5"/>
      <c r="AB741" s="5"/>
      <c r="AC741" s="5"/>
      <c r="AG741" s="9"/>
      <c r="AH741" s="9"/>
    </row>
    <row r="742" spans="2:34" hidden="1">
      <c r="B742" s="4">
        <v>2017</v>
      </c>
      <c r="C742" s="4" t="s">
        <v>44</v>
      </c>
      <c r="D742" s="3">
        <f t="shared" si="11"/>
        <v>108</v>
      </c>
      <c r="E742" s="3" t="s">
        <v>1126</v>
      </c>
      <c r="G742" s="5" t="s">
        <v>1193</v>
      </c>
      <c r="H742" s="5"/>
      <c r="I742" s="5" t="s">
        <v>131</v>
      </c>
      <c r="J742" s="7">
        <v>0</v>
      </c>
      <c r="M742" s="8">
        <v>0</v>
      </c>
      <c r="N742" s="7">
        <v>0</v>
      </c>
      <c r="P742" s="7">
        <v>3314</v>
      </c>
      <c r="Q742" s="7">
        <v>3314</v>
      </c>
      <c r="R742" s="5" t="str">
        <f>VLOOKUP($G742,Others!$E$641:$I$931,2,FALSE)</f>
        <v>Based on Real Life Events</v>
      </c>
      <c r="S742" s="5" t="str">
        <f>VLOOKUP($G742,Others!$E$641:$I$931,3,FALSE)</f>
        <v>Live Action</v>
      </c>
      <c r="T742" s="5" t="str">
        <f>VLOOKUP($G742,Others!$E$641:$I$931,4,FALSE)</f>
        <v>Dramatization</v>
      </c>
      <c r="U742" s="5" t="str">
        <f>IFERROR(VLOOKUP($G742,Ratings!$E$125:$I$172,5,FALSE),"none")</f>
        <v>none</v>
      </c>
      <c r="V742" s="5"/>
      <c r="X742" s="5"/>
      <c r="Y742" s="5"/>
      <c r="Z742" s="5"/>
      <c r="AA742" s="5"/>
      <c r="AB742" s="5"/>
      <c r="AC742" s="5"/>
      <c r="AG742" s="9"/>
      <c r="AH742" s="9"/>
    </row>
    <row r="743" spans="2:34">
      <c r="B743" s="4">
        <v>2018</v>
      </c>
      <c r="C743" s="4" t="s">
        <v>44</v>
      </c>
      <c r="D743" s="3">
        <f t="shared" si="11"/>
        <v>109</v>
      </c>
      <c r="E743" s="55" t="s">
        <v>1126</v>
      </c>
      <c r="F743" s="3" t="s">
        <v>2421</v>
      </c>
      <c r="G743" s="5" t="s">
        <v>388</v>
      </c>
      <c r="H743" s="5" t="s">
        <v>2422</v>
      </c>
      <c r="I743" s="5" t="s">
        <v>136</v>
      </c>
      <c r="J743" s="7">
        <v>4477611</v>
      </c>
      <c r="K743" s="7">
        <v>2238805</v>
      </c>
      <c r="L743" s="7">
        <v>8679104</v>
      </c>
      <c r="M743" s="8">
        <v>12122</v>
      </c>
      <c r="N743" s="7">
        <v>7460000</v>
      </c>
      <c r="O743" s="7">
        <v>23432835</v>
      </c>
      <c r="P743" s="7">
        <v>26796280</v>
      </c>
      <c r="Q743" s="7">
        <v>26796280</v>
      </c>
      <c r="R743" s="5" t="str">
        <f>VLOOKUP($G743,Others!$E$641:$I$931,2,FALSE)</f>
        <v>Original Screenplay</v>
      </c>
      <c r="S743" s="5" t="str">
        <f>VLOOKUP($G743,Others!$E$641:$I$931,3,FALSE)</f>
        <v>Live Action</v>
      </c>
      <c r="T743" s="5" t="str">
        <f>VLOOKUP($G743,Others!$E$641:$I$931,4,FALSE)</f>
        <v>Fantasy</v>
      </c>
      <c r="U743" s="5" t="str">
        <f>IFERROR(VLOOKUP($G743,Ratings!$E$125:$I$172,5,FALSE),"none")</f>
        <v>none</v>
      </c>
      <c r="V743" s="5" t="s">
        <v>2423</v>
      </c>
      <c r="W743" s="5" t="s">
        <v>2424</v>
      </c>
      <c r="X743" s="5" t="s">
        <v>2425</v>
      </c>
      <c r="Y743" s="5" t="s">
        <v>2426</v>
      </c>
      <c r="Z743" s="5"/>
      <c r="AA743" s="5" t="s">
        <v>2427</v>
      </c>
      <c r="AB743" s="5"/>
      <c r="AC743" s="5" t="s">
        <v>2422</v>
      </c>
      <c r="AD743" s="9">
        <v>7.6</v>
      </c>
      <c r="AE743" s="1" t="s">
        <v>1489</v>
      </c>
      <c r="AG743" s="9"/>
      <c r="AH743" s="9"/>
    </row>
    <row r="744" spans="2:34" hidden="1">
      <c r="B744" s="4">
        <v>2017</v>
      </c>
      <c r="C744" s="4" t="s">
        <v>44</v>
      </c>
      <c r="D744" s="3">
        <f t="shared" si="11"/>
        <v>110</v>
      </c>
      <c r="E744" s="3" t="s">
        <v>1126</v>
      </c>
      <c r="G744" s="5" t="s">
        <v>1194</v>
      </c>
      <c r="H744" s="5"/>
      <c r="J744" s="7">
        <v>0</v>
      </c>
      <c r="M744" s="8">
        <v>0</v>
      </c>
      <c r="N744" s="7">
        <v>0</v>
      </c>
      <c r="P744" s="7">
        <v>278865</v>
      </c>
      <c r="Q744" s="7">
        <v>278865</v>
      </c>
      <c r="R744" s="5">
        <f>VLOOKUP($G744,Others!$E$641:$I$931,2,FALSE)</f>
        <v>0</v>
      </c>
      <c r="S744" s="5">
        <f>VLOOKUP($G744,Others!$E$641:$I$931,3,FALSE)</f>
        <v>0</v>
      </c>
      <c r="T744" s="5">
        <f>VLOOKUP($G744,Others!$E$641:$I$931,4,FALSE)</f>
        <v>0</v>
      </c>
      <c r="U744" s="5" t="str">
        <f>IFERROR(VLOOKUP($G744,Ratings!$E$125:$I$172,5,FALSE),"none")</f>
        <v>none</v>
      </c>
      <c r="V744" s="5"/>
      <c r="X744" s="5"/>
      <c r="Y744" s="5"/>
      <c r="Z744" s="5"/>
      <c r="AA744" s="5"/>
      <c r="AB744" s="5"/>
      <c r="AC744" s="5"/>
      <c r="AG744" s="9"/>
      <c r="AH744" s="9"/>
    </row>
    <row r="745" spans="2:34" hidden="1">
      <c r="B745" s="4">
        <v>2017</v>
      </c>
      <c r="C745" s="4" t="s">
        <v>44</v>
      </c>
      <c r="D745" s="3">
        <f t="shared" si="11"/>
        <v>111</v>
      </c>
      <c r="E745" s="3" t="s">
        <v>1126</v>
      </c>
      <c r="G745" s="5" t="s">
        <v>535</v>
      </c>
      <c r="H745" s="5"/>
      <c r="I745" s="5" t="s">
        <v>131</v>
      </c>
      <c r="J745" s="7">
        <v>0</v>
      </c>
      <c r="M745" s="8">
        <v>0</v>
      </c>
      <c r="N745" s="7">
        <v>0</v>
      </c>
      <c r="P745" s="7">
        <v>18824</v>
      </c>
      <c r="Q745" s="7">
        <v>18824</v>
      </c>
      <c r="R745" s="5">
        <f>VLOOKUP($G745,Others!$E$641:$I$931,2,FALSE)</f>
        <v>0</v>
      </c>
      <c r="S745" s="5">
        <f>VLOOKUP($G745,Others!$E$641:$I$931,3,FALSE)</f>
        <v>0</v>
      </c>
      <c r="T745" s="5">
        <f>VLOOKUP($G745,Others!$E$641:$I$931,4,FALSE)</f>
        <v>0</v>
      </c>
      <c r="U745" s="5" t="str">
        <f>IFERROR(VLOOKUP($G745,Ratings!$E$125:$I$172,5,FALSE),"none")</f>
        <v>none</v>
      </c>
      <c r="V745" s="5"/>
      <c r="X745" s="5"/>
      <c r="Y745" s="5"/>
      <c r="Z745" s="5"/>
      <c r="AA745" s="5"/>
      <c r="AB745" s="5"/>
      <c r="AC745" s="5"/>
      <c r="AG745" s="9"/>
      <c r="AH745" s="9"/>
    </row>
    <row r="746" spans="2:34" hidden="1">
      <c r="B746" s="4">
        <v>2017</v>
      </c>
      <c r="C746" s="4" t="s">
        <v>44</v>
      </c>
      <c r="D746" s="3">
        <f t="shared" si="11"/>
        <v>112</v>
      </c>
      <c r="E746" s="3" t="s">
        <v>1126</v>
      </c>
      <c r="G746" s="5" t="s">
        <v>1195</v>
      </c>
      <c r="H746" s="5"/>
      <c r="I746" s="5" t="s">
        <v>129</v>
      </c>
      <c r="J746" s="7">
        <v>0</v>
      </c>
      <c r="M746" s="8">
        <v>0</v>
      </c>
      <c r="N746" s="7">
        <v>0</v>
      </c>
      <c r="P746" s="7">
        <v>23276</v>
      </c>
      <c r="Q746" s="7">
        <v>23276</v>
      </c>
      <c r="R746" s="5">
        <f>VLOOKUP($G746,Others!$E$641:$I$931,2,FALSE)</f>
        <v>0</v>
      </c>
      <c r="S746" s="5">
        <f>VLOOKUP($G746,Others!$E$641:$I$931,3,FALSE)</f>
        <v>0</v>
      </c>
      <c r="T746" s="5">
        <f>VLOOKUP($G746,Others!$E$641:$I$931,4,FALSE)</f>
        <v>0</v>
      </c>
      <c r="U746" s="5" t="str">
        <f>IFERROR(VLOOKUP($G746,Ratings!$E$125:$I$172,5,FALSE),"none")</f>
        <v>none</v>
      </c>
      <c r="V746" s="5"/>
      <c r="X746" s="5"/>
      <c r="Y746" s="5"/>
      <c r="Z746" s="5"/>
      <c r="AA746" s="5"/>
      <c r="AB746" s="5"/>
      <c r="AC746" s="5"/>
      <c r="AG746" s="9"/>
      <c r="AH746" s="9"/>
    </row>
    <row r="747" spans="2:34">
      <c r="B747" s="4">
        <v>2018</v>
      </c>
      <c r="C747" s="4" t="s">
        <v>44</v>
      </c>
      <c r="D747" s="3">
        <f t="shared" si="11"/>
        <v>113</v>
      </c>
      <c r="E747" s="55" t="s">
        <v>1126</v>
      </c>
      <c r="F747" s="3" t="s">
        <v>2209</v>
      </c>
      <c r="G747" s="5" t="s">
        <v>395</v>
      </c>
      <c r="H747" s="5" t="s">
        <v>1414</v>
      </c>
      <c r="I747" s="5" t="s">
        <v>148</v>
      </c>
      <c r="J747" s="7">
        <v>3731343</v>
      </c>
      <c r="K747" s="7">
        <v>2238805</v>
      </c>
      <c r="L747" s="7">
        <v>5592537</v>
      </c>
      <c r="M747" s="8">
        <v>64645</v>
      </c>
      <c r="N747" s="7">
        <v>9920000</v>
      </c>
      <c r="O747" s="7">
        <v>15074626</v>
      </c>
      <c r="P747" s="7">
        <v>17241380</v>
      </c>
      <c r="Q747" s="7">
        <v>17241380</v>
      </c>
      <c r="R747" s="5" t="str">
        <f>VLOOKUP($G747,Others!$E$641:$I$931,2,FALSE)</f>
        <v>Original Screenplay</v>
      </c>
      <c r="S747" s="5" t="str">
        <f>VLOOKUP($G747,Others!$E$641:$I$931,3,FALSE)</f>
        <v>Live Action</v>
      </c>
      <c r="T747" s="5" t="str">
        <f>VLOOKUP($G747,Others!$E$641:$I$931,4,FALSE)</f>
        <v>Contemporary Fiction</v>
      </c>
      <c r="U747" s="5" t="str">
        <f>IFERROR(VLOOKUP($G747,Ratings!$E$125:$I$172,5,FALSE),"none")</f>
        <v>none</v>
      </c>
      <c r="V747" s="5" t="s">
        <v>2428</v>
      </c>
      <c r="W747" s="5" t="s">
        <v>2429</v>
      </c>
      <c r="X747" s="5" t="s">
        <v>2430</v>
      </c>
      <c r="Y747" s="5" t="s">
        <v>2431</v>
      </c>
      <c r="Z747" s="5"/>
      <c r="AA747" s="5" t="s">
        <v>2432</v>
      </c>
      <c r="AB747" s="5"/>
      <c r="AC747" s="5" t="s">
        <v>2433</v>
      </c>
      <c r="AD747" s="9">
        <v>8.3000000000000007</v>
      </c>
      <c r="AE747" s="1" t="s">
        <v>1489</v>
      </c>
      <c r="AG747" s="9"/>
      <c r="AH747" s="9"/>
    </row>
    <row r="748" spans="2:34" hidden="1">
      <c r="B748" s="4">
        <v>2017</v>
      </c>
      <c r="C748" s="4" t="s">
        <v>44</v>
      </c>
      <c r="D748" s="3">
        <f t="shared" si="11"/>
        <v>114</v>
      </c>
      <c r="E748" s="3" t="s">
        <v>1126</v>
      </c>
      <c r="G748" s="5" t="s">
        <v>1196</v>
      </c>
      <c r="H748" s="5"/>
      <c r="I748" s="5" t="s">
        <v>148</v>
      </c>
      <c r="J748" s="7">
        <v>0</v>
      </c>
      <c r="M748" s="8">
        <v>0</v>
      </c>
      <c r="N748" s="7">
        <v>0</v>
      </c>
      <c r="P748" s="7">
        <v>1443658</v>
      </c>
      <c r="Q748" s="7">
        <v>1443658</v>
      </c>
      <c r="R748" s="5" t="str">
        <f>VLOOKUP($G748,Others!$E$641:$I$931,2,FALSE)</f>
        <v>Original Screenplay</v>
      </c>
      <c r="S748" s="5" t="str">
        <f>VLOOKUP($G748,Others!$E$641:$I$931,3,FALSE)</f>
        <v>Live Action</v>
      </c>
      <c r="T748" s="5" t="str">
        <f>VLOOKUP($G748,Others!$E$641:$I$931,4,FALSE)</f>
        <v>Contemporary Fiction</v>
      </c>
      <c r="U748" s="5" t="str">
        <f>IFERROR(VLOOKUP($G748,Ratings!$E$125:$I$172,5,FALSE),"none")</f>
        <v>none</v>
      </c>
      <c r="V748" s="5"/>
      <c r="X748" s="5"/>
      <c r="Y748" s="5"/>
      <c r="Z748" s="5"/>
      <c r="AA748" s="5"/>
      <c r="AB748" s="5"/>
      <c r="AC748" s="5"/>
      <c r="AG748" s="9"/>
      <c r="AH748" s="9"/>
    </row>
    <row r="749" spans="2:34" hidden="1">
      <c r="B749" s="4">
        <v>2017</v>
      </c>
      <c r="C749" s="4" t="s">
        <v>44</v>
      </c>
      <c r="D749" s="3">
        <f t="shared" si="11"/>
        <v>115</v>
      </c>
      <c r="E749" s="3" t="s">
        <v>1126</v>
      </c>
      <c r="G749" s="5" t="s">
        <v>462</v>
      </c>
      <c r="H749" s="5"/>
      <c r="I749" s="5" t="s">
        <v>127</v>
      </c>
      <c r="J749" s="7">
        <v>0</v>
      </c>
      <c r="M749" s="8">
        <v>0</v>
      </c>
      <c r="N749" s="7">
        <v>0</v>
      </c>
      <c r="P749" s="7">
        <v>669128</v>
      </c>
      <c r="Q749" s="7">
        <v>669128</v>
      </c>
      <c r="R749" s="5" t="str">
        <f>VLOOKUP($G749,Others!$E$641:$I$931,2,FALSE)</f>
        <v>Original Screenplay</v>
      </c>
      <c r="S749" s="5" t="str">
        <f>VLOOKUP($G749,Others!$E$641:$I$931,3,FALSE)</f>
        <v>Live Action</v>
      </c>
      <c r="T749" s="5">
        <f>VLOOKUP($G749,Others!$E$641:$I$931,4,FALSE)</f>
        <v>0</v>
      </c>
      <c r="U749" s="5" t="str">
        <f>IFERROR(VLOOKUP($G749,Ratings!$E$125:$I$172,5,FALSE),"none")</f>
        <v>none</v>
      </c>
      <c r="V749" s="5"/>
      <c r="X749" s="5"/>
      <c r="Y749" s="5"/>
      <c r="Z749" s="5"/>
      <c r="AA749" s="5"/>
      <c r="AB749" s="5"/>
      <c r="AC749" s="5"/>
      <c r="AG749" s="9"/>
      <c r="AH749" s="9"/>
    </row>
    <row r="750" spans="2:34">
      <c r="B750" s="4">
        <v>2017</v>
      </c>
      <c r="C750" s="4" t="s">
        <v>44</v>
      </c>
      <c r="D750" s="3">
        <f t="shared" si="11"/>
        <v>116</v>
      </c>
      <c r="E750" s="55" t="s">
        <v>1126</v>
      </c>
      <c r="F750" s="3" t="s">
        <v>863</v>
      </c>
      <c r="G750" s="5" t="s">
        <v>446</v>
      </c>
      <c r="H750" s="5" t="s">
        <v>2434</v>
      </c>
      <c r="I750" s="5" t="s">
        <v>131</v>
      </c>
      <c r="J750" s="7">
        <f>60000000/6.7</f>
        <v>8955223.880597014</v>
      </c>
      <c r="K750" s="7">
        <f>8000000/6.7</f>
        <v>1194029.8507462686</v>
      </c>
      <c r="L750" s="7">
        <f>2400000/6.7</f>
        <v>358208.95522388059</v>
      </c>
      <c r="M750" s="8">
        <v>7655</v>
      </c>
      <c r="N750" s="7">
        <v>8323</v>
      </c>
      <c r="O750" s="7">
        <f>6650000/6.7</f>
        <v>992537.31343283574</v>
      </c>
      <c r="P750" s="7">
        <v>1034623</v>
      </c>
      <c r="Q750" s="7">
        <v>1034623</v>
      </c>
      <c r="R750" s="5" t="str">
        <f>VLOOKUP($G750,Others!$E$641:$I$931,2,FALSE)</f>
        <v>Based on Real Life Events</v>
      </c>
      <c r="S750" s="5" t="str">
        <f>VLOOKUP($G750,Others!$E$641:$I$931,3,FALSE)</f>
        <v>Live Action</v>
      </c>
      <c r="T750" s="5" t="str">
        <f>VLOOKUP($G750,Others!$E$641:$I$931,4,FALSE)</f>
        <v>Historical Fiction</v>
      </c>
      <c r="U750" s="5" t="str">
        <f>IFERROR(VLOOKUP($G750,Ratings!$E$125:$I$172,5,FALSE),"none")</f>
        <v>none</v>
      </c>
      <c r="V750" s="5" t="s">
        <v>2435</v>
      </c>
      <c r="W750" s="39" t="s">
        <v>2436</v>
      </c>
      <c r="X750" s="5" t="s">
        <v>2437</v>
      </c>
      <c r="Y750" s="5" t="s">
        <v>2438</v>
      </c>
      <c r="Z750" s="5" t="s">
        <v>2439</v>
      </c>
      <c r="AA750" s="5" t="s">
        <v>2440</v>
      </c>
      <c r="AB750" s="5"/>
      <c r="AC750" s="5" t="s">
        <v>2441</v>
      </c>
      <c r="AD750" s="9">
        <v>7.6</v>
      </c>
      <c r="AE750" s="1" t="s">
        <v>1489</v>
      </c>
      <c r="AG750" s="9"/>
      <c r="AH750" s="9"/>
    </row>
    <row r="751" spans="2:34" hidden="1">
      <c r="B751" s="4">
        <v>2017</v>
      </c>
      <c r="C751" s="4" t="s">
        <v>44</v>
      </c>
      <c r="D751" s="3">
        <f t="shared" si="11"/>
        <v>117</v>
      </c>
      <c r="E751" s="3" t="s">
        <v>1126</v>
      </c>
      <c r="G751" s="5" t="s">
        <v>1197</v>
      </c>
      <c r="H751" s="5"/>
      <c r="I751" s="5" t="s">
        <v>193</v>
      </c>
      <c r="J751" s="7">
        <v>0</v>
      </c>
      <c r="M751" s="8">
        <v>0</v>
      </c>
      <c r="N751" s="7">
        <v>0</v>
      </c>
      <c r="P751" s="7">
        <v>30000</v>
      </c>
      <c r="Q751" s="7">
        <v>30000</v>
      </c>
      <c r="R751" s="5" t="str">
        <f>VLOOKUP($G751,Others!$E$641:$I$931,2,FALSE)</f>
        <v>Original Screenplay</v>
      </c>
      <c r="S751" s="5" t="str">
        <f>VLOOKUP($G751,Others!$E$641:$I$931,3,FALSE)</f>
        <v>Live Action</v>
      </c>
      <c r="T751" s="5" t="str">
        <f>VLOOKUP($G751,Others!$E$641:$I$931,4,FALSE)</f>
        <v>Contemporary Fiction</v>
      </c>
      <c r="U751" s="5" t="str">
        <f>IFERROR(VLOOKUP($G751,Ratings!$E$125:$I$172,5,FALSE),"none")</f>
        <v>none</v>
      </c>
      <c r="V751" s="5"/>
      <c r="X751" s="5"/>
      <c r="Y751" s="5"/>
      <c r="Z751" s="5"/>
      <c r="AA751" s="5"/>
      <c r="AB751" s="5"/>
      <c r="AC751" s="5"/>
      <c r="AG751" s="9"/>
      <c r="AH751" s="9"/>
    </row>
    <row r="752" spans="2:34" hidden="1">
      <c r="B752" s="4">
        <v>2017</v>
      </c>
      <c r="C752" s="4" t="s">
        <v>44</v>
      </c>
      <c r="D752" s="3">
        <f t="shared" si="11"/>
        <v>118</v>
      </c>
      <c r="E752" s="3" t="s">
        <v>1126</v>
      </c>
      <c r="G752" s="5" t="s">
        <v>1198</v>
      </c>
      <c r="H752" s="5"/>
      <c r="I752" s="5" t="s">
        <v>127</v>
      </c>
      <c r="J752" s="7">
        <v>0</v>
      </c>
      <c r="M752" s="8">
        <v>0</v>
      </c>
      <c r="N752" s="7">
        <v>0</v>
      </c>
      <c r="P752" s="7">
        <v>79980</v>
      </c>
      <c r="Q752" s="7">
        <v>79980</v>
      </c>
      <c r="R752" s="5" t="str">
        <f>VLOOKUP($G752,Others!$E$641:$I$931,2,FALSE)</f>
        <v>Original Screenplay</v>
      </c>
      <c r="S752" s="5" t="str">
        <f>VLOOKUP($G752,Others!$E$641:$I$931,3,FALSE)</f>
        <v>Live Action</v>
      </c>
      <c r="T752" s="5" t="str">
        <f>VLOOKUP($G752,Others!$E$641:$I$931,4,FALSE)</f>
        <v>Contemporary Fiction</v>
      </c>
      <c r="U752" s="5" t="str">
        <f>IFERROR(VLOOKUP($G752,Ratings!$E$125:$I$172,5,FALSE),"none")</f>
        <v>none</v>
      </c>
      <c r="V752" s="5"/>
      <c r="X752" s="5"/>
      <c r="Y752" s="5"/>
      <c r="Z752" s="5"/>
      <c r="AA752" s="5"/>
      <c r="AB752" s="5"/>
      <c r="AC752" s="5"/>
      <c r="AG752" s="9"/>
      <c r="AH752" s="9"/>
    </row>
    <row r="753" spans="1:34">
      <c r="B753" s="4">
        <v>2017</v>
      </c>
      <c r="C753" s="4" t="s">
        <v>44</v>
      </c>
      <c r="D753" s="3">
        <f t="shared" si="11"/>
        <v>119</v>
      </c>
      <c r="E753" s="55" t="s">
        <v>1126</v>
      </c>
      <c r="F753" s="56" t="s">
        <v>1095</v>
      </c>
      <c r="G753" s="5" t="s">
        <v>1199</v>
      </c>
      <c r="H753" s="5" t="s">
        <v>1417</v>
      </c>
      <c r="I753" s="5" t="s">
        <v>131</v>
      </c>
      <c r="J753" s="7">
        <v>8955223.8800000008</v>
      </c>
      <c r="K753" s="7">
        <v>2238805.9700000002</v>
      </c>
      <c r="L753" s="7">
        <v>4051343.28</v>
      </c>
      <c r="M753" s="8">
        <v>4272</v>
      </c>
      <c r="N753" s="7">
        <v>1860000</v>
      </c>
      <c r="O753" s="7">
        <v>10971343.300000001</v>
      </c>
      <c r="P753" s="7">
        <v>11037772</v>
      </c>
      <c r="Q753" s="7">
        <v>11037772</v>
      </c>
      <c r="R753" s="5" t="str">
        <f>VLOOKUP($G753,Others!$E$641:$I$931,2,FALSE)</f>
        <v>Based on Real Life Events</v>
      </c>
      <c r="S753" s="5" t="str">
        <f>VLOOKUP($G753,Others!$E$641:$I$931,3,FALSE)</f>
        <v>Live Action</v>
      </c>
      <c r="T753" s="5" t="str">
        <f>VLOOKUP($G753,Others!$E$641:$I$931,4,FALSE)</f>
        <v>Dramatization</v>
      </c>
      <c r="U753" s="5" t="str">
        <f>IFERROR(VLOOKUP($G753,Ratings!$E$125:$I$172,5,FALSE),"none")</f>
        <v>none</v>
      </c>
      <c r="V753" s="5" t="s">
        <v>2442</v>
      </c>
      <c r="W753" s="5" t="s">
        <v>2443</v>
      </c>
      <c r="X753" s="5" t="s">
        <v>2444</v>
      </c>
      <c r="Y753" s="5" t="s">
        <v>2445</v>
      </c>
      <c r="Z753" s="5" t="s">
        <v>2446</v>
      </c>
      <c r="AA753" s="5" t="s">
        <v>2447</v>
      </c>
      <c r="AB753" s="5"/>
      <c r="AC753" s="5" t="s">
        <v>2448</v>
      </c>
      <c r="AD753" s="47">
        <v>9.1</v>
      </c>
      <c r="AE753" s="1" t="s">
        <v>1489</v>
      </c>
      <c r="AG753" s="9"/>
      <c r="AH753" s="9"/>
    </row>
    <row r="754" spans="1:34" hidden="1">
      <c r="B754" s="4">
        <v>2017</v>
      </c>
      <c r="C754" s="4" t="s">
        <v>44</v>
      </c>
      <c r="D754" s="3">
        <f t="shared" si="11"/>
        <v>120</v>
      </c>
      <c r="E754" s="3" t="s">
        <v>1126</v>
      </c>
      <c r="G754" s="5" t="s">
        <v>1200</v>
      </c>
      <c r="H754" s="5"/>
      <c r="I754" s="5" t="s">
        <v>129</v>
      </c>
      <c r="J754" s="7">
        <v>0</v>
      </c>
      <c r="M754" s="8">
        <v>0</v>
      </c>
      <c r="N754" s="7">
        <v>0</v>
      </c>
      <c r="P754" s="7">
        <v>11280</v>
      </c>
      <c r="Q754" s="7">
        <v>11280</v>
      </c>
      <c r="R754" s="5">
        <f>VLOOKUP($G754,Others!$E$641:$I$931,2,FALSE)</f>
        <v>0</v>
      </c>
      <c r="S754" s="5" t="str">
        <f>VLOOKUP($G754,Others!$E$641:$I$931,3,FALSE)</f>
        <v>Live Action</v>
      </c>
      <c r="T754" s="5">
        <f>VLOOKUP($G754,Others!$E$641:$I$931,4,FALSE)</f>
        <v>0</v>
      </c>
      <c r="U754" s="5" t="str">
        <f>IFERROR(VLOOKUP($G754,Ratings!$E$125:$I$172,5,FALSE),"none")</f>
        <v>none</v>
      </c>
      <c r="V754" s="5"/>
      <c r="X754" s="5"/>
      <c r="Y754" s="5"/>
      <c r="Z754" s="5"/>
      <c r="AA754" s="5"/>
      <c r="AB754" s="5"/>
      <c r="AC754" s="5"/>
      <c r="AG754" s="9"/>
      <c r="AH754" s="9"/>
    </row>
    <row r="755" spans="1:34" hidden="1">
      <c r="B755" s="4">
        <v>2017</v>
      </c>
      <c r="C755" s="4" t="s">
        <v>44</v>
      </c>
      <c r="D755" s="3">
        <f t="shared" si="11"/>
        <v>121</v>
      </c>
      <c r="E755" s="3" t="s">
        <v>1126</v>
      </c>
      <c r="G755" s="5" t="s">
        <v>1201</v>
      </c>
      <c r="H755" s="5"/>
      <c r="I755" s="5" t="s">
        <v>193</v>
      </c>
      <c r="J755" s="7">
        <v>0</v>
      </c>
      <c r="M755" s="8">
        <v>0</v>
      </c>
      <c r="N755" s="7">
        <v>0</v>
      </c>
      <c r="P755" s="7">
        <v>114402</v>
      </c>
      <c r="Q755" s="7">
        <v>114402</v>
      </c>
      <c r="R755" s="5" t="str">
        <f>VLOOKUP($G755,Others!$E$641:$I$931,2,FALSE)</f>
        <v>Original Screenplay</v>
      </c>
      <c r="S755" s="5" t="str">
        <f>VLOOKUP($G755,Others!$E$641:$I$931,3,FALSE)</f>
        <v>Live Action</v>
      </c>
      <c r="T755" s="5" t="str">
        <f>VLOOKUP($G755,Others!$E$641:$I$931,4,FALSE)</f>
        <v>Contemporary Fiction</v>
      </c>
      <c r="U755" s="5" t="str">
        <f>IFERROR(VLOOKUP($G755,Ratings!$E$125:$I$172,5,FALSE),"none")</f>
        <v>none</v>
      </c>
      <c r="V755" s="5"/>
      <c r="X755" s="5"/>
      <c r="Y755" s="5"/>
      <c r="Z755" s="5"/>
      <c r="AA755" s="5"/>
      <c r="AB755" s="5"/>
      <c r="AC755" s="5"/>
      <c r="AG755" s="9"/>
      <c r="AH755" s="9"/>
    </row>
    <row r="756" spans="1:34" hidden="1">
      <c r="B756" s="4">
        <v>2017</v>
      </c>
      <c r="C756" s="4" t="s">
        <v>44</v>
      </c>
      <c r="D756" s="3">
        <f t="shared" si="11"/>
        <v>122</v>
      </c>
      <c r="E756" s="3" t="s">
        <v>1126</v>
      </c>
      <c r="G756" s="5" t="s">
        <v>550</v>
      </c>
      <c r="H756" s="5"/>
      <c r="I756" s="5" t="s">
        <v>148</v>
      </c>
      <c r="J756" s="7">
        <v>0</v>
      </c>
      <c r="M756" s="8">
        <v>0</v>
      </c>
      <c r="N756" s="7">
        <v>0</v>
      </c>
      <c r="P756" s="7">
        <v>4482</v>
      </c>
      <c r="Q756" s="7">
        <v>4482</v>
      </c>
      <c r="R756" s="5" t="str">
        <f>VLOOKUP($G756,Others!$E$641:$I$931,2,FALSE)</f>
        <v>Original Screenplay</v>
      </c>
      <c r="S756" s="5" t="str">
        <f>VLOOKUP($G756,Others!$E$641:$I$931,3,FALSE)</f>
        <v>Live Action</v>
      </c>
      <c r="T756" s="5" t="str">
        <f>VLOOKUP($G756,Others!$E$641:$I$931,4,FALSE)</f>
        <v>Contemporary Fiction</v>
      </c>
      <c r="U756" s="5" t="str">
        <f>IFERROR(VLOOKUP($G756,Ratings!$E$125:$I$172,5,FALSE),"none")</f>
        <v>none</v>
      </c>
      <c r="V756" s="5"/>
      <c r="X756" s="5"/>
      <c r="Y756" s="5"/>
      <c r="Z756" s="5"/>
      <c r="AA756" s="5"/>
      <c r="AB756" s="5"/>
      <c r="AC756" s="5"/>
      <c r="AG756" s="9"/>
      <c r="AH756" s="9"/>
    </row>
    <row r="757" spans="1:34" hidden="1">
      <c r="B757" s="4">
        <v>2017</v>
      </c>
      <c r="C757" s="4" t="s">
        <v>44</v>
      </c>
      <c r="D757" s="3">
        <f t="shared" si="11"/>
        <v>123</v>
      </c>
      <c r="E757" s="3" t="s">
        <v>1126</v>
      </c>
      <c r="G757" s="5" t="s">
        <v>1202</v>
      </c>
      <c r="H757" s="5"/>
      <c r="I757" s="5" t="s">
        <v>127</v>
      </c>
      <c r="J757" s="7">
        <v>0</v>
      </c>
      <c r="M757" s="8">
        <v>0</v>
      </c>
      <c r="N757" s="7">
        <v>0</v>
      </c>
      <c r="P757" s="7">
        <v>6425179</v>
      </c>
      <c r="Q757" s="7">
        <v>6425179</v>
      </c>
      <c r="R757" s="5" t="str">
        <f>VLOOKUP($G757,Others!$E$641:$I$931,2,FALSE)</f>
        <v>Original Screenplay</v>
      </c>
      <c r="S757" s="5" t="str">
        <f>VLOOKUP($G757,Others!$E$641:$I$931,3,FALSE)</f>
        <v>Digital Animation</v>
      </c>
      <c r="T757" s="5" t="str">
        <f>VLOOKUP($G757,Others!$E$641:$I$931,4,FALSE)</f>
        <v>Kids Fiction</v>
      </c>
      <c r="U757" s="5" t="str">
        <f>IFERROR(VLOOKUP($G757,Ratings!$E$125:$I$172,5,FALSE),"none")</f>
        <v>none</v>
      </c>
      <c r="V757" s="5"/>
      <c r="X757" s="5"/>
      <c r="Y757" s="5"/>
      <c r="Z757" s="5"/>
      <c r="AA757" s="5"/>
      <c r="AB757" s="5"/>
      <c r="AC757" s="5"/>
      <c r="AG757" s="9"/>
      <c r="AH757" s="9"/>
    </row>
    <row r="758" spans="1:34" hidden="1">
      <c r="B758" s="4">
        <v>2017</v>
      </c>
      <c r="C758" s="4" t="s">
        <v>44</v>
      </c>
      <c r="D758" s="3">
        <f t="shared" si="11"/>
        <v>124</v>
      </c>
      <c r="E758" s="3" t="s">
        <v>1126</v>
      </c>
      <c r="G758" s="5" t="s">
        <v>1203</v>
      </c>
      <c r="H758" s="5"/>
      <c r="J758" s="7">
        <v>0</v>
      </c>
      <c r="M758" s="8">
        <v>0</v>
      </c>
      <c r="N758" s="7">
        <v>0</v>
      </c>
      <c r="P758" s="7">
        <v>36355</v>
      </c>
      <c r="Q758" s="7">
        <v>36355</v>
      </c>
      <c r="R758" s="5">
        <f>VLOOKUP($G758,Others!$E$641:$I$931,2,FALSE)</f>
        <v>0</v>
      </c>
      <c r="S758" s="5">
        <f>VLOOKUP($G758,Others!$E$641:$I$931,3,FALSE)</f>
        <v>0</v>
      </c>
      <c r="T758" s="5">
        <f>VLOOKUP($G758,Others!$E$641:$I$931,4,FALSE)</f>
        <v>0</v>
      </c>
      <c r="U758" s="5" t="str">
        <f>IFERROR(VLOOKUP($G758,Ratings!$E$125:$I$172,5,FALSE),"none")</f>
        <v>none</v>
      </c>
      <c r="V758" s="5"/>
      <c r="X758" s="5"/>
      <c r="Y758" s="5"/>
      <c r="Z758" s="5"/>
      <c r="AA758" s="5"/>
      <c r="AB758" s="5"/>
      <c r="AC758" s="5"/>
      <c r="AG758" s="9"/>
      <c r="AH758" s="9"/>
    </row>
    <row r="759" spans="1:34">
      <c r="B759" s="4">
        <v>2017</v>
      </c>
      <c r="C759" s="4" t="s">
        <v>44</v>
      </c>
      <c r="D759" s="3">
        <f t="shared" si="11"/>
        <v>125</v>
      </c>
      <c r="E759" s="55" t="s">
        <v>1126</v>
      </c>
      <c r="F759" s="3" t="s">
        <v>1126</v>
      </c>
      <c r="G759" s="5" t="s">
        <v>1204</v>
      </c>
      <c r="H759" s="5" t="s">
        <v>2449</v>
      </c>
      <c r="I759" s="5" t="s">
        <v>127</v>
      </c>
      <c r="J759" s="7">
        <f>30000000/6.7</f>
        <v>4477611.940298507</v>
      </c>
      <c r="K759" s="7">
        <f>8000000/6.7</f>
        <v>1194029.8507462686</v>
      </c>
      <c r="L759" s="7">
        <f>17854000/6.7</f>
        <v>2664776.1194029851</v>
      </c>
      <c r="M759" s="8">
        <v>4871</v>
      </c>
      <c r="N759" s="7">
        <v>570000</v>
      </c>
      <c r="O759" s="7">
        <f>48674000/6.7</f>
        <v>7264776.1194029851</v>
      </c>
      <c r="P759" s="7">
        <v>1110000</v>
      </c>
      <c r="Q759" s="7">
        <v>1110000</v>
      </c>
      <c r="R759" s="5" t="str">
        <f>VLOOKUP($G759,Others!$E$641:$I$931,2,FALSE)</f>
        <v>Original Screenplay</v>
      </c>
      <c r="S759" s="5" t="str">
        <f>VLOOKUP($G759,Others!$E$641:$I$931,3,FALSE)</f>
        <v>Digital Animation</v>
      </c>
      <c r="T759" s="5" t="str">
        <f>VLOOKUP($G759,Others!$E$641:$I$931,4,FALSE)</f>
        <v>Contemporary Fiction</v>
      </c>
      <c r="U759" s="5" t="str">
        <f>IFERROR(VLOOKUP($G759,Ratings!$E$125:$I$172,5,FALSE),"none")</f>
        <v>none</v>
      </c>
      <c r="V759" s="5" t="s">
        <v>2450</v>
      </c>
      <c r="W759" s="5" t="s">
        <v>1204</v>
      </c>
      <c r="X759" s="5" t="s">
        <v>2451</v>
      </c>
      <c r="Y759" s="5" t="s">
        <v>2409</v>
      </c>
      <c r="Z759" s="5" t="s">
        <v>2452</v>
      </c>
      <c r="AA759" s="5" t="s">
        <v>2453</v>
      </c>
      <c r="AB759" s="5"/>
      <c r="AC759" s="5" t="s">
        <v>2454</v>
      </c>
      <c r="AD759" s="9">
        <v>8.5</v>
      </c>
      <c r="AE759" s="1" t="s">
        <v>1489</v>
      </c>
      <c r="AG759" s="9"/>
      <c r="AH759" s="9"/>
    </row>
    <row r="760" spans="1:34" hidden="1">
      <c r="B760" s="4">
        <v>2017</v>
      </c>
      <c r="C760" s="4" t="s">
        <v>44</v>
      </c>
      <c r="D760" s="3">
        <f t="shared" si="11"/>
        <v>126</v>
      </c>
      <c r="E760" s="3" t="s">
        <v>1126</v>
      </c>
      <c r="G760" s="5" t="s">
        <v>1205</v>
      </c>
      <c r="H760" s="5"/>
      <c r="I760" s="5" t="s">
        <v>131</v>
      </c>
      <c r="J760" s="7">
        <v>0</v>
      </c>
      <c r="M760" s="8">
        <v>0</v>
      </c>
      <c r="N760" s="7">
        <v>0</v>
      </c>
      <c r="P760" s="7">
        <v>8134</v>
      </c>
      <c r="Q760" s="7">
        <v>8134</v>
      </c>
      <c r="R760" s="5">
        <f>VLOOKUP($G760,Others!$E$641:$I$931,2,FALSE)</f>
        <v>0</v>
      </c>
      <c r="S760" s="5">
        <f>VLOOKUP($G760,Others!$E$641:$I$931,3,FALSE)</f>
        <v>0</v>
      </c>
      <c r="T760" s="5">
        <f>VLOOKUP($G760,Others!$E$641:$I$931,4,FALSE)</f>
        <v>0</v>
      </c>
      <c r="U760" s="5" t="str">
        <f>IFERROR(VLOOKUP($G760,Ratings!$E$125:$I$172,5,FALSE),"none")</f>
        <v>none</v>
      </c>
      <c r="V760" s="5"/>
      <c r="X760" s="5"/>
      <c r="Y760" s="5"/>
      <c r="Z760" s="5"/>
      <c r="AA760" s="5"/>
      <c r="AB760" s="5"/>
      <c r="AC760" s="5"/>
      <c r="AG760" s="9"/>
      <c r="AH760" s="9"/>
    </row>
    <row r="761" spans="1:34" hidden="1">
      <c r="B761" s="4">
        <v>2017</v>
      </c>
      <c r="C761" s="4" t="s">
        <v>44</v>
      </c>
      <c r="D761" s="3">
        <f t="shared" si="11"/>
        <v>127</v>
      </c>
      <c r="E761" s="3" t="s">
        <v>1126</v>
      </c>
      <c r="G761" s="5" t="s">
        <v>1206</v>
      </c>
      <c r="H761" s="5"/>
      <c r="I761" s="5" t="s">
        <v>131</v>
      </c>
      <c r="J761" s="7">
        <v>0</v>
      </c>
      <c r="M761" s="8">
        <v>0</v>
      </c>
      <c r="N761" s="7">
        <v>0</v>
      </c>
      <c r="P761" s="7">
        <v>2820000</v>
      </c>
      <c r="Q761" s="7">
        <v>2820000</v>
      </c>
      <c r="R761" s="5" t="str">
        <f>VLOOKUP($G761,Others!$E$641:$I$931,2,FALSE)</f>
        <v>Based on Real Life Events</v>
      </c>
      <c r="S761" s="5" t="str">
        <f>VLOOKUP($G761,Others!$E$641:$I$931,3,FALSE)</f>
        <v>Live Action</v>
      </c>
      <c r="T761" s="5" t="str">
        <f>VLOOKUP($G761,Others!$E$641:$I$931,4,FALSE)</f>
        <v>Dramatization</v>
      </c>
      <c r="U761" s="5" t="str">
        <f>IFERROR(VLOOKUP($G761,Ratings!$E$125:$I$172,5,FALSE),"none")</f>
        <v>none</v>
      </c>
      <c r="V761" s="5"/>
      <c r="X761" s="5"/>
      <c r="Y761" s="5"/>
      <c r="Z761" s="5"/>
      <c r="AA761" s="5"/>
      <c r="AB761" s="5"/>
      <c r="AC761" s="5"/>
      <c r="AG761" s="9"/>
      <c r="AH761" s="9"/>
    </row>
    <row r="762" spans="1:34" s="2" customFormat="1" hidden="1">
      <c r="A762" s="16"/>
      <c r="B762" s="17">
        <v>2017</v>
      </c>
      <c r="C762" s="4" t="s">
        <v>44</v>
      </c>
      <c r="D762" s="3">
        <f t="shared" si="11"/>
        <v>128</v>
      </c>
      <c r="E762" s="3" t="s">
        <v>1126</v>
      </c>
      <c r="F762" s="16"/>
      <c r="G762" s="18" t="s">
        <v>1207</v>
      </c>
      <c r="H762" s="6"/>
      <c r="I762" s="18"/>
      <c r="J762" s="19"/>
      <c r="K762" s="19"/>
      <c r="L762" s="19"/>
      <c r="M762" s="8" t="s">
        <v>1411</v>
      </c>
      <c r="N762" s="7" t="s">
        <v>1411</v>
      </c>
      <c r="O762" s="19"/>
      <c r="P762" s="19">
        <v>23337</v>
      </c>
      <c r="Q762" s="19">
        <v>23337</v>
      </c>
      <c r="R762" s="5"/>
      <c r="S762" s="5" t="str">
        <f>VLOOKUP($G762,Others!$E$641:$I$931,3,FALSE)</f>
        <v>Live Action</v>
      </c>
      <c r="T762" s="5" t="str">
        <f>VLOOKUP($G762,Others!$E$641:$I$931,4,FALSE)</f>
        <v>Factual</v>
      </c>
      <c r="U762" s="5" t="str">
        <f>IFERROR(VLOOKUP($G762,Ratings!$E$125:$I$172,5,FALSE),"none")</f>
        <v>none</v>
      </c>
      <c r="V762" s="5"/>
      <c r="W762" s="5"/>
      <c r="X762" s="5"/>
      <c r="Y762" s="5"/>
      <c r="Z762" s="5"/>
      <c r="AA762" s="5"/>
      <c r="AB762" s="5"/>
      <c r="AC762" s="5"/>
    </row>
    <row r="763" spans="1:34">
      <c r="B763" s="4">
        <v>2017</v>
      </c>
      <c r="C763" s="4" t="s">
        <v>44</v>
      </c>
      <c r="D763" s="3">
        <f t="shared" si="11"/>
        <v>129</v>
      </c>
      <c r="E763" s="55" t="s">
        <v>1126</v>
      </c>
      <c r="F763" s="56" t="s">
        <v>1111</v>
      </c>
      <c r="G763" s="5" t="s">
        <v>1208</v>
      </c>
      <c r="H763" s="5" t="s">
        <v>2455</v>
      </c>
      <c r="I763" s="5" t="s">
        <v>127</v>
      </c>
      <c r="J763" s="7">
        <v>1492537</v>
      </c>
      <c r="K763" s="7">
        <v>2238805</v>
      </c>
      <c r="L763" s="7">
        <v>5395522</v>
      </c>
      <c r="M763" s="8">
        <v>14290</v>
      </c>
      <c r="N763" s="7">
        <v>1690000</v>
      </c>
      <c r="O763" s="7">
        <v>14552238</v>
      </c>
      <c r="P763" s="7">
        <v>15988889</v>
      </c>
      <c r="Q763" s="7">
        <v>15988889</v>
      </c>
      <c r="R763" s="5" t="str">
        <f>VLOOKUP($G763,Others!$E$641:$I$931,2,FALSE)</f>
        <v>Original Screenplay</v>
      </c>
      <c r="S763" s="5" t="str">
        <f>VLOOKUP($G763,Others!$E$641:$I$931,3,FALSE)</f>
        <v>Live Action</v>
      </c>
      <c r="T763" s="5" t="str">
        <f>VLOOKUP($G763,Others!$E$641:$I$931,4,FALSE)</f>
        <v>Contemporary Fiction</v>
      </c>
      <c r="U763" s="5" t="str">
        <f>IFERROR(VLOOKUP($G763,Ratings!$E$125:$I$172,5,FALSE),"none")</f>
        <v>none</v>
      </c>
      <c r="V763" s="5" t="s">
        <v>2456</v>
      </c>
      <c r="W763" s="5" t="s">
        <v>2457</v>
      </c>
      <c r="X763" s="5" t="s">
        <v>2458</v>
      </c>
      <c r="Y763" s="5" t="s">
        <v>2459</v>
      </c>
      <c r="Z763" s="5"/>
      <c r="AA763" s="5" t="s">
        <v>2458</v>
      </c>
      <c r="AB763" s="5"/>
      <c r="AC763" s="5" t="s">
        <v>2460</v>
      </c>
      <c r="AD763" s="9">
        <v>8.6</v>
      </c>
      <c r="AE763" s="1" t="s">
        <v>1489</v>
      </c>
      <c r="AG763" s="9"/>
      <c r="AH763" s="9"/>
    </row>
    <row r="764" spans="1:34" hidden="1">
      <c r="B764" s="4">
        <v>2017</v>
      </c>
      <c r="C764" s="4" t="s">
        <v>44</v>
      </c>
      <c r="D764" s="3">
        <f t="shared" si="11"/>
        <v>130</v>
      </c>
      <c r="E764" s="3" t="s">
        <v>1126</v>
      </c>
      <c r="G764" s="5" t="s">
        <v>1209</v>
      </c>
      <c r="H764" s="5"/>
      <c r="I764" s="5" t="s">
        <v>193</v>
      </c>
      <c r="J764" s="7">
        <v>0</v>
      </c>
      <c r="M764" s="8">
        <v>0</v>
      </c>
      <c r="N764" s="7">
        <v>0</v>
      </c>
      <c r="P764" s="7">
        <v>16919</v>
      </c>
      <c r="Q764" s="7">
        <v>16919</v>
      </c>
      <c r="R764" s="5">
        <f>VLOOKUP($G764,Others!$E$641:$I$931,2,FALSE)</f>
        <v>0</v>
      </c>
      <c r="S764" s="5" t="str">
        <f>VLOOKUP($G764,Others!$E$641:$I$931,3,FALSE)</f>
        <v>Live Action</v>
      </c>
      <c r="T764" s="5">
        <f>VLOOKUP($G764,Others!$E$641:$I$931,4,FALSE)</f>
        <v>0</v>
      </c>
      <c r="U764" s="5" t="str">
        <f>IFERROR(VLOOKUP($G764,Ratings!$E$125:$I$172,5,FALSE),"none")</f>
        <v>none</v>
      </c>
      <c r="V764" s="5"/>
      <c r="X764" s="5"/>
      <c r="Y764" s="5"/>
      <c r="Z764" s="5"/>
      <c r="AA764" s="5"/>
      <c r="AB764" s="5"/>
      <c r="AC764" s="5"/>
      <c r="AG764" s="9"/>
      <c r="AH764" s="9"/>
    </row>
    <row r="765" spans="1:34" hidden="1">
      <c r="B765" s="4">
        <v>2017</v>
      </c>
      <c r="C765" s="4" t="s">
        <v>44</v>
      </c>
      <c r="D765" s="3">
        <f t="shared" ref="D765:D828" si="12">D764+1</f>
        <v>131</v>
      </c>
      <c r="E765" s="3" t="s">
        <v>1126</v>
      </c>
      <c r="G765" s="5" t="s">
        <v>1210</v>
      </c>
      <c r="H765" s="5"/>
      <c r="I765" s="5" t="s">
        <v>136</v>
      </c>
      <c r="J765" s="7">
        <v>0</v>
      </c>
      <c r="M765" s="8">
        <v>0</v>
      </c>
      <c r="N765" s="7">
        <v>0</v>
      </c>
      <c r="P765" s="7">
        <v>1806679</v>
      </c>
      <c r="Q765" s="7">
        <v>1806679</v>
      </c>
      <c r="R765" s="5" t="str">
        <f>VLOOKUP($G765,Others!$E$641:$I$931,2,FALSE)</f>
        <v>Original Screenplay</v>
      </c>
      <c r="S765" s="5" t="str">
        <f>VLOOKUP($G765,Others!$E$641:$I$931,3,FALSE)</f>
        <v>Live Action</v>
      </c>
      <c r="T765" s="5" t="str">
        <f>VLOOKUP($G765,Others!$E$641:$I$931,4,FALSE)</f>
        <v>Contemporary Fiction</v>
      </c>
      <c r="U765" s="5" t="str">
        <f>IFERROR(VLOOKUP($G765,Ratings!$E$125:$I$172,5,FALSE),"none")</f>
        <v>none</v>
      </c>
      <c r="V765" s="5"/>
      <c r="X765" s="5"/>
      <c r="Y765" s="5"/>
      <c r="Z765" s="5"/>
      <c r="AA765" s="5"/>
      <c r="AB765" s="5"/>
      <c r="AC765" s="5"/>
      <c r="AG765" s="9"/>
      <c r="AH765" s="9"/>
    </row>
    <row r="766" spans="1:34" hidden="1">
      <c r="B766" s="4">
        <v>2017</v>
      </c>
      <c r="C766" s="4" t="s">
        <v>44</v>
      </c>
      <c r="D766" s="3">
        <f t="shared" si="12"/>
        <v>132</v>
      </c>
      <c r="E766" s="3" t="s">
        <v>1126</v>
      </c>
      <c r="G766" s="5" t="s">
        <v>1211</v>
      </c>
      <c r="H766" s="5"/>
      <c r="I766" s="5" t="s">
        <v>193</v>
      </c>
      <c r="J766" s="7">
        <v>0</v>
      </c>
      <c r="M766" s="8">
        <v>0</v>
      </c>
      <c r="N766" s="7">
        <v>0</v>
      </c>
      <c r="P766" s="7">
        <v>386634</v>
      </c>
      <c r="Q766" s="7">
        <v>386634</v>
      </c>
      <c r="R766" s="5">
        <f>VLOOKUP($G766,Others!$E$641:$I$931,2,FALSE)</f>
        <v>0</v>
      </c>
      <c r="S766" s="5">
        <f>VLOOKUP($G766,Others!$E$641:$I$931,3,FALSE)</f>
        <v>0</v>
      </c>
      <c r="T766" s="5">
        <f>VLOOKUP($G766,Others!$E$641:$I$931,4,FALSE)</f>
        <v>0</v>
      </c>
      <c r="U766" s="5" t="str">
        <f>IFERROR(VLOOKUP($G766,Ratings!$E$125:$I$172,5,FALSE),"none")</f>
        <v>none</v>
      </c>
      <c r="V766" s="5"/>
      <c r="X766" s="5"/>
      <c r="Y766" s="5"/>
      <c r="Z766" s="5"/>
      <c r="AA766" s="5"/>
      <c r="AB766" s="5"/>
      <c r="AC766" s="5"/>
      <c r="AG766" s="9"/>
      <c r="AH766" s="9"/>
    </row>
    <row r="767" spans="1:34" hidden="1">
      <c r="B767" s="4">
        <v>2017</v>
      </c>
      <c r="C767" s="4" t="s">
        <v>44</v>
      </c>
      <c r="D767" s="3">
        <f t="shared" si="12"/>
        <v>133</v>
      </c>
      <c r="E767" s="3" t="s">
        <v>1126</v>
      </c>
      <c r="G767" s="5" t="s">
        <v>1212</v>
      </c>
      <c r="H767" s="5"/>
      <c r="I767" s="5" t="s">
        <v>136</v>
      </c>
      <c r="J767" s="7">
        <v>0</v>
      </c>
      <c r="M767" s="8">
        <v>0</v>
      </c>
      <c r="N767" s="7">
        <v>0</v>
      </c>
      <c r="P767" s="7">
        <v>209711</v>
      </c>
      <c r="Q767" s="7">
        <v>209711</v>
      </c>
      <c r="R767" s="5" t="str">
        <f>VLOOKUP($G767,Others!$E$641:$I$931,2,FALSE)</f>
        <v>Original Screenplay</v>
      </c>
      <c r="S767" s="5" t="str">
        <f>VLOOKUP($G767,Others!$E$641:$I$931,3,FALSE)</f>
        <v>Live Action</v>
      </c>
      <c r="T767" s="5" t="str">
        <f>VLOOKUP($G767,Others!$E$641:$I$931,4,FALSE)</f>
        <v>Contemporary Fiction</v>
      </c>
      <c r="U767" s="5" t="str">
        <f>IFERROR(VLOOKUP($G767,Ratings!$E$125:$I$172,5,FALSE),"none")</f>
        <v>none</v>
      </c>
      <c r="V767" s="5"/>
      <c r="X767" s="5"/>
      <c r="Y767" s="5"/>
      <c r="Z767" s="5"/>
      <c r="AA767" s="5"/>
      <c r="AB767" s="5"/>
      <c r="AC767" s="5"/>
      <c r="AG767" s="9"/>
      <c r="AH767" s="9"/>
    </row>
    <row r="768" spans="1:34" hidden="1">
      <c r="B768" s="4">
        <v>2017</v>
      </c>
      <c r="C768" s="4" t="s">
        <v>44</v>
      </c>
      <c r="D768" s="3">
        <f t="shared" si="12"/>
        <v>134</v>
      </c>
      <c r="E768" s="3" t="s">
        <v>1126</v>
      </c>
      <c r="G768" s="5" t="s">
        <v>1213</v>
      </c>
      <c r="H768" s="5"/>
      <c r="I768" s="5" t="s">
        <v>148</v>
      </c>
      <c r="J768" s="7">
        <v>0</v>
      </c>
      <c r="M768" s="8">
        <v>0</v>
      </c>
      <c r="N768" s="7">
        <v>0</v>
      </c>
      <c r="P768" s="7">
        <v>337786</v>
      </c>
      <c r="Q768" s="7">
        <v>337786</v>
      </c>
      <c r="R768" s="5">
        <f>VLOOKUP($G768,Others!$E$641:$I$931,2,FALSE)</f>
        <v>0</v>
      </c>
      <c r="S768" s="5">
        <f>VLOOKUP($G768,Others!$E$641:$I$931,3,FALSE)</f>
        <v>0</v>
      </c>
      <c r="T768" s="5">
        <f>VLOOKUP($G768,Others!$E$641:$I$931,4,FALSE)</f>
        <v>0</v>
      </c>
      <c r="U768" s="5" t="str">
        <f>IFERROR(VLOOKUP($G768,Ratings!$E$125:$I$172,5,FALSE),"none")</f>
        <v>none</v>
      </c>
      <c r="V768" s="5"/>
      <c r="X768" s="5"/>
      <c r="Y768" s="5"/>
      <c r="Z768" s="5"/>
      <c r="AA768" s="5"/>
      <c r="AB768" s="5"/>
      <c r="AC768" s="5"/>
      <c r="AG768" s="9"/>
      <c r="AH768" s="9"/>
    </row>
    <row r="769" spans="1:34" hidden="1">
      <c r="B769" s="4">
        <v>2017</v>
      </c>
      <c r="C769" s="4" t="s">
        <v>44</v>
      </c>
      <c r="D769" s="3">
        <f t="shared" si="12"/>
        <v>135</v>
      </c>
      <c r="E769" s="3" t="s">
        <v>1126</v>
      </c>
      <c r="G769" s="5" t="s">
        <v>1214</v>
      </c>
      <c r="H769" s="5"/>
      <c r="I769" s="5" t="s">
        <v>193</v>
      </c>
      <c r="J769" s="7">
        <v>0</v>
      </c>
      <c r="M769" s="8">
        <v>0</v>
      </c>
      <c r="N769" s="7">
        <v>0</v>
      </c>
      <c r="P769" s="7">
        <v>169861</v>
      </c>
      <c r="Q769" s="7">
        <v>169861</v>
      </c>
      <c r="R769" s="5">
        <f>VLOOKUP($G769,Others!$E$641:$I$931,2,FALSE)</f>
        <v>0</v>
      </c>
      <c r="S769" s="5">
        <f>VLOOKUP($G769,Others!$E$641:$I$931,3,FALSE)</f>
        <v>0</v>
      </c>
      <c r="T769" s="5">
        <f>VLOOKUP($G769,Others!$E$641:$I$931,4,FALSE)</f>
        <v>0</v>
      </c>
      <c r="U769" s="5" t="str">
        <f>IFERROR(VLOOKUP($G769,Ratings!$E$125:$I$172,5,FALSE),"none")</f>
        <v>none</v>
      </c>
      <c r="V769" s="5"/>
      <c r="X769" s="5"/>
      <c r="Y769" s="5"/>
      <c r="Z769" s="5"/>
      <c r="AA769" s="5"/>
      <c r="AB769" s="5"/>
      <c r="AC769" s="5"/>
      <c r="AG769" s="9"/>
      <c r="AH769" s="9"/>
    </row>
    <row r="770" spans="1:34" s="2" customFormat="1">
      <c r="A770" s="16"/>
      <c r="B770" s="17">
        <v>2017</v>
      </c>
      <c r="C770" s="4" t="s">
        <v>44</v>
      </c>
      <c r="D770" s="3">
        <f t="shared" si="12"/>
        <v>136</v>
      </c>
      <c r="E770" s="55" t="s">
        <v>1126</v>
      </c>
      <c r="F770" s="56" t="s">
        <v>2461</v>
      </c>
      <c r="G770" s="18" t="s">
        <v>1215</v>
      </c>
      <c r="H770" s="5" t="s">
        <v>1658</v>
      </c>
      <c r="I770" s="18" t="s">
        <v>1404</v>
      </c>
      <c r="J770" s="19">
        <f>50000000/6.7</f>
        <v>7462686.5671641789</v>
      </c>
      <c r="K770" s="19">
        <f>20000000/6.7</f>
        <v>2985074.6268656715</v>
      </c>
      <c r="L770" s="19">
        <f>18989000/6.7</f>
        <v>2834179.1044776118</v>
      </c>
      <c r="M770" s="8">
        <v>48475</v>
      </c>
      <c r="N770" s="7">
        <v>5690000</v>
      </c>
      <c r="O770" s="19">
        <f>51769000/6.74</f>
        <v>7680860.5341246286</v>
      </c>
      <c r="P770" s="19">
        <v>8595808</v>
      </c>
      <c r="Q770" s="19">
        <v>8595808</v>
      </c>
      <c r="R770" s="5" t="str">
        <f>VLOOKUP($G770,Others!$E$641:$I$931,2,FALSE)</f>
        <v>Original Screenplay</v>
      </c>
      <c r="S770" s="5" t="str">
        <f>VLOOKUP($G770,Others!$E$641:$I$931,3,FALSE)</f>
        <v>Live Action</v>
      </c>
      <c r="T770" s="5" t="str">
        <f>VLOOKUP($G770,Others!$E$641:$I$931,4,FALSE)</f>
        <v>Contemporary Fiction</v>
      </c>
      <c r="U770" s="5" t="str">
        <f>IFERROR(VLOOKUP($G770,Ratings!$E$125:$I$172,5,FALSE),"none")</f>
        <v>none</v>
      </c>
      <c r="V770" s="5" t="s">
        <v>2462</v>
      </c>
      <c r="W770" s="5" t="s">
        <v>2463</v>
      </c>
      <c r="X770" s="5" t="s">
        <v>1647</v>
      </c>
      <c r="Y770" s="5" t="s">
        <v>1561</v>
      </c>
      <c r="Z770" s="5" t="s">
        <v>2383</v>
      </c>
      <c r="AA770" s="5" t="s">
        <v>2464</v>
      </c>
      <c r="AB770" s="5"/>
      <c r="AC770" s="5" t="s">
        <v>2465</v>
      </c>
      <c r="AD770" s="2">
        <v>8.4</v>
      </c>
      <c r="AE770" s="21" t="s">
        <v>1489</v>
      </c>
    </row>
    <row r="771" spans="1:34" hidden="1">
      <c r="B771" s="4">
        <v>2017</v>
      </c>
      <c r="C771" s="4" t="s">
        <v>44</v>
      </c>
      <c r="D771" s="3">
        <f t="shared" si="12"/>
        <v>137</v>
      </c>
      <c r="E771" s="3" t="s">
        <v>1126</v>
      </c>
      <c r="G771" s="5" t="s">
        <v>369</v>
      </c>
      <c r="H771" s="5"/>
      <c r="I771" s="5" t="s">
        <v>127</v>
      </c>
      <c r="J771" s="7">
        <v>0</v>
      </c>
      <c r="M771" s="8">
        <v>0</v>
      </c>
      <c r="N771" s="7">
        <v>0</v>
      </c>
      <c r="P771" s="7">
        <v>96755799</v>
      </c>
      <c r="Q771" s="7">
        <v>96755799</v>
      </c>
      <c r="R771" s="5" t="str">
        <f>VLOOKUP($G771,Others!$E$641:$I$931,2,FALSE)</f>
        <v>Original Screenplay</v>
      </c>
      <c r="S771" s="5" t="str">
        <f>VLOOKUP($G771,Others!$E$641:$I$931,3,FALSE)</f>
        <v>Digital Animation</v>
      </c>
      <c r="T771" s="5" t="str">
        <f>VLOOKUP($G771,Others!$E$641:$I$931,4,FALSE)</f>
        <v>Kids Fiction</v>
      </c>
      <c r="U771" s="5" t="str">
        <f>IFERROR(VLOOKUP($G771,Ratings!$E$125:$I$172,5,FALSE),"none")</f>
        <v>none</v>
      </c>
      <c r="V771" s="5"/>
      <c r="X771" s="5"/>
      <c r="Y771" s="5"/>
      <c r="Z771" s="5"/>
      <c r="AA771" s="5"/>
      <c r="AB771" s="5"/>
      <c r="AC771" s="5"/>
      <c r="AG771" s="9"/>
      <c r="AH771" s="9"/>
    </row>
    <row r="772" spans="1:34" hidden="1">
      <c r="B772" s="4">
        <v>2017</v>
      </c>
      <c r="C772" s="4" t="s">
        <v>44</v>
      </c>
      <c r="D772" s="3">
        <f t="shared" si="12"/>
        <v>138</v>
      </c>
      <c r="E772" s="3" t="s">
        <v>1126</v>
      </c>
      <c r="G772" s="5" t="s">
        <v>1216</v>
      </c>
      <c r="H772" s="5"/>
      <c r="I772" s="5" t="s">
        <v>136</v>
      </c>
      <c r="J772" s="7">
        <v>0</v>
      </c>
      <c r="M772" s="8">
        <v>0</v>
      </c>
      <c r="N772" s="7">
        <v>0</v>
      </c>
      <c r="P772" s="7">
        <v>28219</v>
      </c>
      <c r="Q772" s="7">
        <v>28219</v>
      </c>
      <c r="R772" s="5" t="str">
        <f>VLOOKUP($G772,Others!$E$641:$I$931,2,FALSE)</f>
        <v>Original Screenplay</v>
      </c>
      <c r="S772" s="5" t="str">
        <f>VLOOKUP($G772,Others!$E$641:$I$931,3,FALSE)</f>
        <v>Live Action</v>
      </c>
      <c r="T772" s="5" t="str">
        <f>VLOOKUP($G772,Others!$E$641:$I$931,4,FALSE)</f>
        <v>Contemporary Fiction</v>
      </c>
      <c r="U772" s="5" t="str">
        <f>IFERROR(VLOOKUP($G772,Ratings!$E$125:$I$172,5,FALSE),"none")</f>
        <v>none</v>
      </c>
      <c r="V772" s="5"/>
      <c r="X772" s="5"/>
      <c r="Y772" s="5"/>
      <c r="Z772" s="5"/>
      <c r="AA772" s="5"/>
      <c r="AB772" s="5"/>
      <c r="AC772" s="5"/>
      <c r="AG772" s="9"/>
      <c r="AH772" s="9"/>
    </row>
    <row r="773" spans="1:34" hidden="1">
      <c r="B773" s="4">
        <v>2017</v>
      </c>
      <c r="C773" s="4" t="s">
        <v>44</v>
      </c>
      <c r="D773" s="3">
        <f t="shared" si="12"/>
        <v>139</v>
      </c>
      <c r="E773" s="3" t="s">
        <v>1126</v>
      </c>
      <c r="G773" s="5" t="s">
        <v>1217</v>
      </c>
      <c r="H773" s="5"/>
      <c r="I773" s="5" t="s">
        <v>131</v>
      </c>
      <c r="J773" s="7">
        <v>0</v>
      </c>
      <c r="M773" s="8">
        <v>0</v>
      </c>
      <c r="N773" s="7">
        <v>0</v>
      </c>
      <c r="P773" s="7">
        <v>5737</v>
      </c>
      <c r="Q773" s="7">
        <v>5737</v>
      </c>
      <c r="R773" s="5">
        <f>VLOOKUP($G773,Others!$E$641:$I$931,2,FALSE)</f>
        <v>0</v>
      </c>
      <c r="S773" s="5">
        <f>VLOOKUP($G773,Others!$E$641:$I$931,3,FALSE)</f>
        <v>0</v>
      </c>
      <c r="T773" s="5">
        <f>VLOOKUP($G773,Others!$E$641:$I$931,4,FALSE)</f>
        <v>0</v>
      </c>
      <c r="U773" s="5" t="str">
        <f>IFERROR(VLOOKUP($G773,Ratings!$E$125:$I$172,5,FALSE),"none")</f>
        <v>none</v>
      </c>
      <c r="V773" s="5"/>
      <c r="X773" s="5"/>
      <c r="Y773" s="5"/>
      <c r="Z773" s="5"/>
      <c r="AA773" s="5"/>
      <c r="AB773" s="5"/>
      <c r="AC773" s="5"/>
      <c r="AG773" s="9"/>
      <c r="AH773" s="9"/>
    </row>
    <row r="774" spans="1:34" hidden="1">
      <c r="B774" s="4">
        <v>2017</v>
      </c>
      <c r="C774" s="4" t="s">
        <v>44</v>
      </c>
      <c r="D774" s="3">
        <f t="shared" si="12"/>
        <v>140</v>
      </c>
      <c r="E774" s="3" t="s">
        <v>1126</v>
      </c>
      <c r="G774" s="5" t="s">
        <v>1218</v>
      </c>
      <c r="H774" s="5"/>
      <c r="I774" s="5" t="s">
        <v>131</v>
      </c>
      <c r="J774" s="7">
        <v>0</v>
      </c>
      <c r="M774" s="8">
        <v>0</v>
      </c>
      <c r="N774" s="7">
        <v>0</v>
      </c>
      <c r="P774" s="7">
        <v>1034133</v>
      </c>
      <c r="Q774" s="7">
        <v>1034133</v>
      </c>
      <c r="R774" s="5">
        <f>VLOOKUP($G774,Others!$E$641:$I$931,2,FALSE)</f>
        <v>0</v>
      </c>
      <c r="S774" s="5" t="str">
        <f>VLOOKUP($G774,Others!$E$641:$I$931,3,FALSE)</f>
        <v>Live Action</v>
      </c>
      <c r="T774" s="5">
        <f>VLOOKUP($G774,Others!$E$641:$I$931,4,FALSE)</f>
        <v>0</v>
      </c>
      <c r="U774" s="5" t="str">
        <f>IFERROR(VLOOKUP($G774,Ratings!$E$125:$I$172,5,FALSE),"none")</f>
        <v>none</v>
      </c>
      <c r="V774" s="5"/>
      <c r="X774" s="5"/>
      <c r="Y774" s="5"/>
      <c r="Z774" s="5"/>
      <c r="AA774" s="5"/>
      <c r="AB774" s="5"/>
      <c r="AC774" s="5"/>
      <c r="AG774" s="9"/>
      <c r="AH774" s="9"/>
    </row>
    <row r="775" spans="1:34" hidden="1">
      <c r="B775" s="4">
        <v>2017</v>
      </c>
      <c r="C775" s="4" t="s">
        <v>44</v>
      </c>
      <c r="D775" s="3">
        <f t="shared" si="12"/>
        <v>141</v>
      </c>
      <c r="E775" s="3" t="s">
        <v>1126</v>
      </c>
      <c r="G775" s="5" t="s">
        <v>1219</v>
      </c>
      <c r="H775" s="5"/>
      <c r="I775" s="5" t="s">
        <v>131</v>
      </c>
      <c r="J775" s="7">
        <v>0</v>
      </c>
      <c r="M775" s="8">
        <v>0</v>
      </c>
      <c r="N775" s="7">
        <v>0</v>
      </c>
      <c r="P775" s="7">
        <v>26334</v>
      </c>
      <c r="Q775" s="7">
        <v>26334</v>
      </c>
      <c r="R775" s="5">
        <f>VLOOKUP($G775,Others!$E$641:$I$931,2,FALSE)</f>
        <v>0</v>
      </c>
      <c r="S775" s="5">
        <f>VLOOKUP($G775,Others!$E$641:$I$931,3,FALSE)</f>
        <v>0</v>
      </c>
      <c r="T775" s="5">
        <f>VLOOKUP($G775,Others!$E$641:$I$931,4,FALSE)</f>
        <v>0</v>
      </c>
      <c r="U775" s="5" t="str">
        <f>IFERROR(VLOOKUP($G775,Ratings!$E$125:$I$172,5,FALSE),"none")</f>
        <v>none</v>
      </c>
      <c r="V775" s="5"/>
      <c r="X775" s="5"/>
      <c r="Y775" s="5"/>
      <c r="Z775" s="5"/>
      <c r="AA775" s="5"/>
      <c r="AB775" s="5"/>
      <c r="AC775" s="5"/>
      <c r="AG775" s="9"/>
      <c r="AH775" s="9"/>
    </row>
    <row r="776" spans="1:34">
      <c r="B776" s="4">
        <v>2017</v>
      </c>
      <c r="C776" s="4" t="s">
        <v>44</v>
      </c>
      <c r="D776" s="3">
        <f t="shared" si="12"/>
        <v>142</v>
      </c>
      <c r="E776" s="55" t="s">
        <v>1126</v>
      </c>
      <c r="F776" s="3" t="s">
        <v>824</v>
      </c>
      <c r="G776" s="5" t="s">
        <v>424</v>
      </c>
      <c r="H776" s="39" t="s">
        <v>1501</v>
      </c>
      <c r="I776" s="5" t="s">
        <v>136</v>
      </c>
      <c r="J776" s="7">
        <f>30000000/6.7</f>
        <v>4477611.940298507</v>
      </c>
      <c r="K776" s="7">
        <f>5000000/6.7</f>
        <v>746268.65671641787</v>
      </c>
      <c r="L776" s="7">
        <f>8960000/6.7</f>
        <v>1337313.4328358208</v>
      </c>
      <c r="M776" s="41" t="s">
        <v>1501</v>
      </c>
      <c r="N776" s="7">
        <v>2292772</v>
      </c>
      <c r="O776" s="7">
        <f>24420000/6.7</f>
        <v>3644776.1194029851</v>
      </c>
      <c r="P776" s="7">
        <v>3791880</v>
      </c>
      <c r="Q776" s="7">
        <v>3791880</v>
      </c>
      <c r="R776" s="5" t="str">
        <f>VLOOKUP($G776,Others!$E$641:$I$931,2,FALSE)</f>
        <v>Original Screenplay</v>
      </c>
      <c r="S776" s="5" t="str">
        <f>VLOOKUP($G776,Others!$E$641:$I$931,3,FALSE)</f>
        <v>Live Action</v>
      </c>
      <c r="T776" s="5" t="str">
        <f>VLOOKUP($G776,Others!$E$641:$I$931,4,FALSE)</f>
        <v>Kids Fiction</v>
      </c>
      <c r="U776" s="5" t="str">
        <f>IFERROR(VLOOKUP($G776,Ratings!$E$125:$I$172,5,FALSE),"none")</f>
        <v>none</v>
      </c>
      <c r="V776" s="5" t="s">
        <v>2466</v>
      </c>
      <c r="W776" s="5" t="s">
        <v>2467</v>
      </c>
      <c r="X776" s="5" t="s">
        <v>1824</v>
      </c>
      <c r="Y776" s="5" t="s">
        <v>2468</v>
      </c>
      <c r="Z776" s="5" t="s">
        <v>2469</v>
      </c>
      <c r="AA776" s="5" t="s">
        <v>2470</v>
      </c>
      <c r="AB776" s="5"/>
      <c r="AC776" s="5" t="s">
        <v>2471</v>
      </c>
      <c r="AD776" s="9">
        <v>8.4</v>
      </c>
      <c r="AE776" s="1" t="s">
        <v>1489</v>
      </c>
      <c r="AG776" s="9"/>
      <c r="AH776" s="9"/>
    </row>
    <row r="777" spans="1:34" hidden="1">
      <c r="B777" s="4">
        <v>2018</v>
      </c>
      <c r="C777" s="4" t="s">
        <v>44</v>
      </c>
      <c r="D777" s="3">
        <f t="shared" si="12"/>
        <v>143</v>
      </c>
      <c r="E777" s="3" t="s">
        <v>1126</v>
      </c>
      <c r="F777" s="3" t="s">
        <v>2472</v>
      </c>
      <c r="G777" s="5" t="s">
        <v>378</v>
      </c>
      <c r="H777" s="5" t="s">
        <v>1417</v>
      </c>
      <c r="I777" s="5" t="s">
        <v>191</v>
      </c>
      <c r="L777" s="7">
        <v>26567164</v>
      </c>
      <c r="M777" s="8">
        <v>28455</v>
      </c>
      <c r="N777" s="7">
        <v>14590000</v>
      </c>
      <c r="O777" s="7">
        <v>70298507</v>
      </c>
      <c r="P777" s="7">
        <v>72506344</v>
      </c>
      <c r="Q777" s="7">
        <v>72506344</v>
      </c>
      <c r="R777" s="5" t="str">
        <f>VLOOKUP($G777,Others!$E$641:$I$931,2,FALSE)</f>
        <v>Based on Real Life Events</v>
      </c>
      <c r="S777" s="5" t="str">
        <f>VLOOKUP($G777,Others!$E$641:$I$931,3,FALSE)</f>
        <v>Live Action</v>
      </c>
      <c r="T777" s="5" t="str">
        <f>VLOOKUP($G777,Others!$E$641:$I$931,4,FALSE)</f>
        <v>Factual</v>
      </c>
      <c r="U777" s="5" t="str">
        <f>IFERROR(VLOOKUP($G777,Ratings!$E$125:$I$172,5,FALSE),"none")</f>
        <v>none</v>
      </c>
      <c r="V777" s="5" t="s">
        <v>2473</v>
      </c>
      <c r="W777" s="5" t="s">
        <v>2474</v>
      </c>
      <c r="X777" s="5"/>
      <c r="Y777" s="5"/>
      <c r="Z777" s="5"/>
      <c r="AA777" s="5" t="s">
        <v>2475</v>
      </c>
      <c r="AB777" s="5"/>
      <c r="AC777" s="5" t="s">
        <v>1417</v>
      </c>
      <c r="AD777" s="9">
        <v>9.6</v>
      </c>
      <c r="AE777" s="1" t="s">
        <v>1489</v>
      </c>
      <c r="AG777" s="9"/>
      <c r="AH777" s="9"/>
    </row>
    <row r="778" spans="1:34">
      <c r="B778" s="4">
        <v>2017</v>
      </c>
      <c r="C778" s="4" t="s">
        <v>44</v>
      </c>
      <c r="D778" s="3">
        <f t="shared" si="12"/>
        <v>144</v>
      </c>
      <c r="E778" s="55" t="s">
        <v>1126</v>
      </c>
      <c r="F778" s="3" t="s">
        <v>1061</v>
      </c>
      <c r="G778" s="5" t="s">
        <v>1220</v>
      </c>
      <c r="H778" s="5" t="s">
        <v>2476</v>
      </c>
      <c r="I778" s="5" t="s">
        <v>127</v>
      </c>
      <c r="J778" s="7">
        <f>7000000/6.7</f>
        <v>1044776.1194029851</v>
      </c>
      <c r="K778" s="7">
        <f>3000000/6.7</f>
        <v>447761.19402985071</v>
      </c>
      <c r="L778" s="7">
        <f>9100000/6.7</f>
        <v>1358208.9552238805</v>
      </c>
      <c r="M778" s="41">
        <v>5959</v>
      </c>
      <c r="N778" s="42">
        <v>1860000</v>
      </c>
      <c r="O778" s="7">
        <f>24810000/6.7</f>
        <v>3702985.0746268658</v>
      </c>
      <c r="P778" s="7">
        <v>3660871</v>
      </c>
      <c r="Q778" s="7">
        <v>3660871</v>
      </c>
      <c r="R778" s="5" t="str">
        <f>VLOOKUP($G778,Others!$E$641:$I$931,2,FALSE)</f>
        <v>Original Screenplay</v>
      </c>
      <c r="S778" s="5" t="str">
        <f>VLOOKUP($G778,Others!$E$641:$I$931,3,FALSE)</f>
        <v>Live Action</v>
      </c>
      <c r="T778" s="5" t="str">
        <f>VLOOKUP($G778,Others!$E$641:$I$931,4,FALSE)</f>
        <v>Contemporary Fiction</v>
      </c>
      <c r="U778" s="5" t="str">
        <f>IFERROR(VLOOKUP($G778,Ratings!$E$125:$I$172,5,FALSE),"none")</f>
        <v>none</v>
      </c>
      <c r="V778" s="5" t="s">
        <v>2477</v>
      </c>
      <c r="W778" s="5" t="s">
        <v>1220</v>
      </c>
      <c r="X778" s="5" t="s">
        <v>2478</v>
      </c>
      <c r="Y778" s="5" t="s">
        <v>2479</v>
      </c>
      <c r="Z778" s="5" t="s">
        <v>2480</v>
      </c>
      <c r="AA778" s="5" t="s">
        <v>2481</v>
      </c>
      <c r="AB778" s="5"/>
      <c r="AC778" s="5" t="s">
        <v>2482</v>
      </c>
      <c r="AD778" s="9">
        <v>8.4</v>
      </c>
      <c r="AE778" s="9" t="s">
        <v>1489</v>
      </c>
      <c r="AG778" s="9"/>
      <c r="AH778" s="9"/>
    </row>
    <row r="779" spans="1:34" hidden="1">
      <c r="B779" s="4">
        <v>2017</v>
      </c>
      <c r="C779" s="4" t="s">
        <v>44</v>
      </c>
      <c r="D779" s="3">
        <f t="shared" si="12"/>
        <v>145</v>
      </c>
      <c r="E779" s="3" t="s">
        <v>1126</v>
      </c>
      <c r="G779" s="5" t="s">
        <v>483</v>
      </c>
      <c r="H779" s="5"/>
      <c r="I779" s="5" t="s">
        <v>131</v>
      </c>
      <c r="J779" s="7">
        <v>0</v>
      </c>
      <c r="M779" s="8">
        <v>0</v>
      </c>
      <c r="N779" s="7">
        <v>0</v>
      </c>
      <c r="P779" s="7">
        <v>300158</v>
      </c>
      <c r="Q779" s="7">
        <v>300158</v>
      </c>
      <c r="R779" s="5">
        <f>VLOOKUP($G779,Others!$E$641:$I$931,2,FALSE)</f>
        <v>0</v>
      </c>
      <c r="S779" s="5" t="str">
        <f>VLOOKUP($G779,Others!$E$641:$I$931,3,FALSE)</f>
        <v>Live Action</v>
      </c>
      <c r="T779" s="5" t="str">
        <f>VLOOKUP($G779,Others!$E$641:$I$931,4,FALSE)</f>
        <v>Fantasy</v>
      </c>
      <c r="U779" s="5" t="str">
        <f>IFERROR(VLOOKUP($G779,Ratings!$E$125:$I$172,5,FALSE),"none")</f>
        <v>none</v>
      </c>
      <c r="V779" s="5"/>
      <c r="X779" s="5"/>
      <c r="Y779" s="5"/>
      <c r="Z779" s="5"/>
      <c r="AA779" s="5"/>
      <c r="AB779" s="5"/>
      <c r="AC779" s="5"/>
      <c r="AG779" s="9"/>
      <c r="AH779" s="9"/>
    </row>
    <row r="780" spans="1:34" hidden="1">
      <c r="B780" s="4">
        <v>2017</v>
      </c>
      <c r="C780" s="4" t="s">
        <v>44</v>
      </c>
      <c r="D780" s="3">
        <f t="shared" si="12"/>
        <v>146</v>
      </c>
      <c r="E780" s="3" t="s">
        <v>1126</v>
      </c>
      <c r="G780" s="5" t="s">
        <v>1221</v>
      </c>
      <c r="H780" s="5"/>
      <c r="I780" s="5" t="s">
        <v>193</v>
      </c>
      <c r="J780" s="7">
        <v>0</v>
      </c>
      <c r="M780" s="8">
        <v>0</v>
      </c>
      <c r="N780" s="7">
        <v>0</v>
      </c>
      <c r="P780" s="7">
        <v>341673</v>
      </c>
      <c r="Q780" s="7">
        <v>341673</v>
      </c>
      <c r="R780" s="5">
        <f>VLOOKUP($G780,Others!$E$641:$I$931,2,FALSE)</f>
        <v>0</v>
      </c>
      <c r="S780" s="5" t="str">
        <f>VLOOKUP($G780,Others!$E$641:$I$931,3,FALSE)</f>
        <v>Live Action</v>
      </c>
      <c r="T780" s="5">
        <f>VLOOKUP($G780,Others!$E$641:$I$931,4,FALSE)</f>
        <v>0</v>
      </c>
      <c r="U780" s="5" t="str">
        <f>IFERROR(VLOOKUP($G780,Ratings!$E$125:$I$172,5,FALSE),"none")</f>
        <v>none</v>
      </c>
      <c r="V780" s="5"/>
      <c r="X780" s="5"/>
      <c r="Y780" s="5"/>
      <c r="Z780" s="5"/>
      <c r="AA780" s="5"/>
      <c r="AB780" s="5"/>
      <c r="AC780" s="5"/>
      <c r="AG780" s="9"/>
      <c r="AH780" s="9"/>
    </row>
    <row r="781" spans="1:34" hidden="1">
      <c r="B781" s="4">
        <v>2017</v>
      </c>
      <c r="C781" s="4" t="s">
        <v>44</v>
      </c>
      <c r="D781" s="3">
        <f t="shared" si="12"/>
        <v>147</v>
      </c>
      <c r="E781" s="3" t="s">
        <v>1126</v>
      </c>
      <c r="G781" s="5" t="s">
        <v>1222</v>
      </c>
      <c r="H781" s="5"/>
      <c r="I781" s="5" t="s">
        <v>129</v>
      </c>
      <c r="J781" s="7">
        <v>0</v>
      </c>
      <c r="M781" s="8">
        <v>0</v>
      </c>
      <c r="N781" s="7">
        <v>0</v>
      </c>
      <c r="P781" s="7">
        <v>2350000</v>
      </c>
      <c r="Q781" s="7">
        <v>2350000</v>
      </c>
      <c r="R781" s="5" t="str">
        <f>VLOOKUP($G781,Others!$E$641:$I$931,2,FALSE)</f>
        <v>Original Screenplay</v>
      </c>
      <c r="S781" s="5" t="str">
        <f>VLOOKUP($G781,Others!$E$641:$I$931,3,FALSE)</f>
        <v>Live Action</v>
      </c>
      <c r="T781" s="5" t="str">
        <f>VLOOKUP($G781,Others!$E$641:$I$931,4,FALSE)</f>
        <v>Contemporary Fiction</v>
      </c>
      <c r="U781" s="5" t="str">
        <f>IFERROR(VLOOKUP($G781,Ratings!$E$125:$I$172,5,FALSE),"none")</f>
        <v>none</v>
      </c>
      <c r="V781" s="5"/>
      <c r="X781" s="5"/>
      <c r="Y781" s="5"/>
      <c r="Z781" s="5"/>
      <c r="AA781" s="5"/>
      <c r="AB781" s="5"/>
      <c r="AC781" s="5"/>
      <c r="AG781" s="9"/>
      <c r="AH781" s="9"/>
    </row>
    <row r="782" spans="1:34" hidden="1">
      <c r="B782" s="4">
        <v>2017</v>
      </c>
      <c r="C782" s="4" t="s">
        <v>44</v>
      </c>
      <c r="D782" s="3">
        <f t="shared" si="12"/>
        <v>148</v>
      </c>
      <c r="E782" s="3" t="s">
        <v>1126</v>
      </c>
      <c r="G782" s="5" t="s">
        <v>1223</v>
      </c>
      <c r="H782" s="5"/>
      <c r="I782" s="5" t="s">
        <v>131</v>
      </c>
      <c r="J782" s="7">
        <v>0</v>
      </c>
      <c r="M782" s="8">
        <v>0</v>
      </c>
      <c r="N782" s="7">
        <v>0</v>
      </c>
      <c r="P782" s="7">
        <v>0</v>
      </c>
      <c r="Q782" s="7">
        <v>0</v>
      </c>
      <c r="R782" s="5" t="str">
        <f>VLOOKUP($G782,Others!$E$641:$I$931,2,FALSE)</f>
        <v>Original Screenplay</v>
      </c>
      <c r="S782" s="5" t="str">
        <f>VLOOKUP($G782,Others!$E$641:$I$931,3,FALSE)</f>
        <v>Live Action</v>
      </c>
      <c r="T782" s="5" t="str">
        <f>VLOOKUP($G782,Others!$E$641:$I$931,4,FALSE)</f>
        <v>Historical Fiction</v>
      </c>
      <c r="U782" s="5" t="str">
        <f>IFERROR(VLOOKUP($G782,Ratings!$E$125:$I$172,5,FALSE),"none")</f>
        <v>none</v>
      </c>
      <c r="V782" s="5"/>
      <c r="X782" s="5"/>
      <c r="Y782" s="5"/>
      <c r="Z782" s="5"/>
      <c r="AA782" s="5"/>
      <c r="AB782" s="5"/>
      <c r="AC782" s="5"/>
      <c r="AG782" s="9"/>
      <c r="AH782" s="9"/>
    </row>
    <row r="783" spans="1:34" hidden="1">
      <c r="B783" s="4">
        <v>2017</v>
      </c>
      <c r="C783" s="4" t="s">
        <v>44</v>
      </c>
      <c r="D783" s="3">
        <f t="shared" si="12"/>
        <v>149</v>
      </c>
      <c r="E783" s="3" t="s">
        <v>1126</v>
      </c>
      <c r="G783" s="5" t="s">
        <v>1224</v>
      </c>
      <c r="H783" s="5"/>
      <c r="I783" s="5" t="s">
        <v>131</v>
      </c>
      <c r="J783" s="7">
        <v>0</v>
      </c>
      <c r="M783" s="8">
        <v>0</v>
      </c>
      <c r="N783" s="7">
        <v>0</v>
      </c>
      <c r="P783" s="7">
        <v>57229</v>
      </c>
      <c r="Q783" s="7">
        <v>57229</v>
      </c>
      <c r="R783" s="5">
        <f>VLOOKUP($G783,Others!$E$641:$I$931,2,FALSE)</f>
        <v>0</v>
      </c>
      <c r="S783" s="5">
        <f>VLOOKUP($G783,Others!$E$641:$I$931,3,FALSE)</f>
        <v>0</v>
      </c>
      <c r="T783" s="5">
        <f>VLOOKUP($G783,Others!$E$641:$I$931,4,FALSE)</f>
        <v>0</v>
      </c>
      <c r="U783" s="5" t="str">
        <f>IFERROR(VLOOKUP($G783,Ratings!$E$125:$I$172,5,FALSE),"none")</f>
        <v>none</v>
      </c>
      <c r="V783" s="5"/>
      <c r="X783" s="5"/>
      <c r="Y783" s="5"/>
      <c r="Z783" s="5"/>
      <c r="AA783" s="5"/>
      <c r="AB783" s="5"/>
      <c r="AC783" s="5"/>
      <c r="AG783" s="9"/>
      <c r="AH783" s="9"/>
    </row>
    <row r="784" spans="1:34">
      <c r="B784" s="4">
        <v>2018</v>
      </c>
      <c r="C784" s="4" t="s">
        <v>44</v>
      </c>
      <c r="D784" s="3">
        <f t="shared" si="12"/>
        <v>150</v>
      </c>
      <c r="E784" s="55" t="s">
        <v>1126</v>
      </c>
      <c r="F784" s="3" t="s">
        <v>2148</v>
      </c>
      <c r="G784" s="5" t="s">
        <v>379</v>
      </c>
      <c r="H784" s="5" t="s">
        <v>2455</v>
      </c>
      <c r="I784" s="5" t="s">
        <v>131</v>
      </c>
      <c r="J784" s="7">
        <v>11194029</v>
      </c>
      <c r="K784" s="7">
        <v>4477611</v>
      </c>
      <c r="L784" s="7">
        <v>18656716</v>
      </c>
      <c r="M784" s="8">
        <v>67157</v>
      </c>
      <c r="N784" s="7">
        <v>15041365</v>
      </c>
      <c r="O784" s="7">
        <v>49850746</v>
      </c>
      <c r="P784" s="7">
        <v>56235548</v>
      </c>
      <c r="Q784" s="7">
        <v>56235548</v>
      </c>
      <c r="R784" s="5" t="str">
        <f>VLOOKUP($G784,Others!$E$641:$I$931,2,FALSE)</f>
        <v>Original Screenplay</v>
      </c>
      <c r="S784" s="5" t="str">
        <f>VLOOKUP($G784,Others!$E$641:$I$931,3,FALSE)</f>
        <v>Live Action</v>
      </c>
      <c r="T784" s="5" t="str">
        <f>VLOOKUP($G784,Others!$E$641:$I$931,4,FALSE)</f>
        <v>Contemporary Fiction</v>
      </c>
      <c r="U784" s="5" t="str">
        <f>IFERROR(VLOOKUP($G784,Ratings!$E$125:$I$172,5,FALSE),"none")</f>
        <v>none</v>
      </c>
      <c r="V784" s="5" t="s">
        <v>2483</v>
      </c>
      <c r="W784" s="5" t="s">
        <v>2484</v>
      </c>
      <c r="X784" s="5" t="s">
        <v>2220</v>
      </c>
      <c r="Y784" s="5" t="s">
        <v>2485</v>
      </c>
      <c r="Z784" s="5"/>
      <c r="AA784" s="5" t="s">
        <v>2486</v>
      </c>
      <c r="AB784" s="5"/>
      <c r="AC784" s="5" t="s">
        <v>2487</v>
      </c>
      <c r="AD784" s="9">
        <v>8.4</v>
      </c>
      <c r="AE784" s="1" t="s">
        <v>1489</v>
      </c>
      <c r="AG784" s="9"/>
      <c r="AH784" s="9"/>
    </row>
    <row r="785" spans="2:34" hidden="1">
      <c r="B785" s="4">
        <v>2017</v>
      </c>
      <c r="C785" s="4" t="s">
        <v>44</v>
      </c>
      <c r="D785" s="3">
        <f t="shared" si="12"/>
        <v>151</v>
      </c>
      <c r="E785" s="3" t="s">
        <v>1126</v>
      </c>
      <c r="G785" s="5" t="s">
        <v>1225</v>
      </c>
      <c r="H785" s="5"/>
      <c r="I785" s="5" t="s">
        <v>193</v>
      </c>
      <c r="J785" s="7">
        <v>0</v>
      </c>
      <c r="M785" s="8">
        <v>0</v>
      </c>
      <c r="N785" s="7">
        <v>0</v>
      </c>
      <c r="P785" s="7">
        <v>300741</v>
      </c>
      <c r="Q785" s="7">
        <v>300741</v>
      </c>
      <c r="R785" s="5">
        <f>VLOOKUP($G785,Others!$E$641:$I$931,2,FALSE)</f>
        <v>0</v>
      </c>
      <c r="S785" s="5">
        <f>VLOOKUP($G785,Others!$E$641:$I$931,3,FALSE)</f>
        <v>0</v>
      </c>
      <c r="T785" s="5">
        <f>VLOOKUP($G785,Others!$E$641:$I$931,4,FALSE)</f>
        <v>0</v>
      </c>
      <c r="U785" s="5" t="str">
        <f>IFERROR(VLOOKUP($G785,Ratings!$E$125:$I$172,5,FALSE),"none")</f>
        <v>none</v>
      </c>
      <c r="V785" s="5"/>
      <c r="X785" s="5"/>
      <c r="Y785" s="5"/>
      <c r="AA785" s="5"/>
      <c r="AB785" s="5"/>
      <c r="AC785" s="5"/>
      <c r="AG785" s="9"/>
      <c r="AH785" s="9"/>
    </row>
    <row r="786" spans="2:34" hidden="1">
      <c r="B786" s="4">
        <v>2017</v>
      </c>
      <c r="C786" s="4" t="s">
        <v>44</v>
      </c>
      <c r="D786" s="3">
        <f t="shared" si="12"/>
        <v>152</v>
      </c>
      <c r="E786" s="3" t="s">
        <v>1126</v>
      </c>
      <c r="G786" s="5" t="s">
        <v>510</v>
      </c>
      <c r="H786" s="5"/>
      <c r="I786" s="5" t="s">
        <v>131</v>
      </c>
      <c r="J786" s="7">
        <v>0</v>
      </c>
      <c r="M786" s="8">
        <v>0</v>
      </c>
      <c r="N786" s="7">
        <v>0</v>
      </c>
      <c r="P786" s="7">
        <v>92700</v>
      </c>
      <c r="Q786" s="7">
        <v>92700</v>
      </c>
      <c r="R786" s="5" t="str">
        <f>VLOOKUP($G786,Others!$E$641:$I$931,2,FALSE)</f>
        <v>Original Screenplay</v>
      </c>
      <c r="S786" s="5" t="str">
        <f>VLOOKUP($G786,Others!$E$641:$I$931,3,FALSE)</f>
        <v>Live Action</v>
      </c>
      <c r="T786" s="5" t="str">
        <f>VLOOKUP($G786,Others!$E$641:$I$931,4,FALSE)</f>
        <v>Contemporary Fiction</v>
      </c>
      <c r="U786" s="5" t="str">
        <f>IFERROR(VLOOKUP($G786,Ratings!$E$125:$I$172,5,FALSE),"none")</f>
        <v>none</v>
      </c>
      <c r="V786" s="5"/>
      <c r="X786" s="5"/>
      <c r="Y786" s="5"/>
      <c r="AA786" s="5"/>
      <c r="AB786" s="5"/>
      <c r="AC786" s="5"/>
      <c r="AG786" s="9"/>
      <c r="AH786" s="9"/>
    </row>
    <row r="787" spans="2:34" hidden="1">
      <c r="B787" s="4">
        <v>2017</v>
      </c>
      <c r="C787" s="4" t="s">
        <v>44</v>
      </c>
      <c r="D787" s="3">
        <f t="shared" si="12"/>
        <v>153</v>
      </c>
      <c r="E787" s="3" t="s">
        <v>1126</v>
      </c>
      <c r="G787" s="5" t="s">
        <v>1226</v>
      </c>
      <c r="H787" s="5"/>
      <c r="I787" s="5" t="s">
        <v>148</v>
      </c>
      <c r="J787" s="7">
        <v>0</v>
      </c>
      <c r="M787" s="8">
        <v>0</v>
      </c>
      <c r="N787" s="7">
        <v>0</v>
      </c>
      <c r="P787" s="7">
        <v>1890232</v>
      </c>
      <c r="Q787" s="7">
        <v>1890232</v>
      </c>
      <c r="R787" s="5" t="str">
        <f>VLOOKUP($G787,Others!$E$641:$I$931,2,FALSE)</f>
        <v>Original Screenplay</v>
      </c>
      <c r="S787" s="5" t="str">
        <f>VLOOKUP($G787,Others!$E$641:$I$931,3,FALSE)</f>
        <v>Live Action</v>
      </c>
      <c r="T787" s="5" t="str">
        <f>VLOOKUP($G787,Others!$E$641:$I$931,4,FALSE)</f>
        <v>Contemporary Fiction</v>
      </c>
      <c r="U787" s="5" t="str">
        <f>IFERROR(VLOOKUP($G787,Ratings!$E$125:$I$172,5,FALSE),"none")</f>
        <v>none</v>
      </c>
      <c r="V787" s="5"/>
      <c r="X787" s="5"/>
      <c r="Y787" s="5"/>
      <c r="AA787" s="5"/>
      <c r="AB787" s="5"/>
      <c r="AC787" s="5"/>
      <c r="AG787" s="9"/>
      <c r="AH787" s="9"/>
    </row>
    <row r="788" spans="2:34" hidden="1">
      <c r="B788" s="4">
        <v>2017</v>
      </c>
      <c r="C788" s="4" t="s">
        <v>44</v>
      </c>
      <c r="D788" s="3">
        <f t="shared" si="12"/>
        <v>154</v>
      </c>
      <c r="E788" s="3" t="s">
        <v>1126</v>
      </c>
      <c r="G788" s="5" t="s">
        <v>1227</v>
      </c>
      <c r="H788" s="5"/>
      <c r="I788" s="5" t="s">
        <v>136</v>
      </c>
      <c r="J788" s="7">
        <v>0</v>
      </c>
      <c r="M788" s="8">
        <v>0</v>
      </c>
      <c r="N788" s="7">
        <v>0</v>
      </c>
      <c r="P788" s="7">
        <v>1440968</v>
      </c>
      <c r="Q788" s="7">
        <v>1440968</v>
      </c>
      <c r="R788" s="5" t="str">
        <f>VLOOKUP($G788,Others!$E$641:$I$931,2,FALSE)</f>
        <v>Original Screenplay</v>
      </c>
      <c r="S788" s="5" t="str">
        <f>VLOOKUP($G788,Others!$E$641:$I$931,3,FALSE)</f>
        <v>Live Action</v>
      </c>
      <c r="T788" s="5" t="str">
        <f>VLOOKUP($G788,Others!$E$641:$I$931,4,FALSE)</f>
        <v>Fantasy</v>
      </c>
      <c r="U788" s="5" t="str">
        <f>IFERROR(VLOOKUP($G788,Ratings!$E$125:$I$172,5,FALSE),"none")</f>
        <v>none</v>
      </c>
      <c r="V788" s="5"/>
      <c r="X788" s="5"/>
      <c r="Y788" s="5"/>
      <c r="AA788" s="5"/>
      <c r="AB788" s="5"/>
      <c r="AC788" s="5"/>
      <c r="AG788" s="9"/>
      <c r="AH788" s="9"/>
    </row>
    <row r="789" spans="2:34" hidden="1">
      <c r="B789" s="4">
        <v>2017</v>
      </c>
      <c r="C789" s="4" t="s">
        <v>44</v>
      </c>
      <c r="D789" s="3">
        <f t="shared" si="12"/>
        <v>155</v>
      </c>
      <c r="E789" s="3" t="s">
        <v>1126</v>
      </c>
      <c r="G789" s="5" t="s">
        <v>1228</v>
      </c>
      <c r="H789" s="5"/>
      <c r="J789" s="7">
        <v>0</v>
      </c>
      <c r="M789" s="8">
        <v>0</v>
      </c>
      <c r="N789" s="7">
        <v>0</v>
      </c>
      <c r="P789" s="7">
        <v>7876</v>
      </c>
      <c r="Q789" s="7">
        <v>7876</v>
      </c>
      <c r="R789" s="5">
        <f>VLOOKUP($G789,Others!$E$641:$I$931,2,FALSE)</f>
        <v>0</v>
      </c>
      <c r="S789" s="5">
        <f>VLOOKUP($G789,Others!$E$641:$I$931,3,FALSE)</f>
        <v>0</v>
      </c>
      <c r="T789" s="5">
        <f>VLOOKUP($G789,Others!$E$641:$I$931,4,FALSE)</f>
        <v>0</v>
      </c>
      <c r="U789" s="5" t="str">
        <f>IFERROR(VLOOKUP($G789,Ratings!$E$125:$I$172,5,FALSE),"none")</f>
        <v>none</v>
      </c>
      <c r="V789" s="5"/>
      <c r="X789" s="5"/>
      <c r="Y789" s="5"/>
      <c r="AA789" s="5"/>
      <c r="AB789" s="5"/>
      <c r="AC789" s="5"/>
      <c r="AG789" s="9"/>
      <c r="AH789" s="9"/>
    </row>
    <row r="790" spans="2:34" hidden="1">
      <c r="B790" s="4">
        <v>2017</v>
      </c>
      <c r="C790" s="4" t="s">
        <v>44</v>
      </c>
      <c r="D790" s="3">
        <f t="shared" si="12"/>
        <v>156</v>
      </c>
      <c r="E790" s="3" t="s">
        <v>1126</v>
      </c>
      <c r="G790" s="5" t="s">
        <v>1229</v>
      </c>
      <c r="H790" s="5"/>
      <c r="I790" s="5" t="s">
        <v>148</v>
      </c>
      <c r="J790" s="7">
        <v>0</v>
      </c>
      <c r="M790" s="8">
        <v>0</v>
      </c>
      <c r="N790" s="7">
        <v>0</v>
      </c>
      <c r="P790" s="7">
        <v>5101</v>
      </c>
      <c r="Q790" s="7">
        <v>5101</v>
      </c>
      <c r="R790" s="5" t="str">
        <f>VLOOKUP($G790,Others!$E$641:$I$931,2,FALSE)</f>
        <v>Original Screenplay</v>
      </c>
      <c r="S790" s="5" t="str">
        <f>VLOOKUP($G790,Others!$E$641:$I$931,3,FALSE)</f>
        <v>Live Action</v>
      </c>
      <c r="T790" s="5" t="str">
        <f>VLOOKUP($G790,Others!$E$641:$I$931,4,FALSE)</f>
        <v>Contemporary Fiction</v>
      </c>
      <c r="U790" s="5" t="str">
        <f>IFERROR(VLOOKUP($G790,Ratings!$E$125:$I$172,5,FALSE),"none")</f>
        <v>none</v>
      </c>
      <c r="V790" s="5"/>
      <c r="X790" s="5"/>
      <c r="Y790" s="5"/>
      <c r="AA790" s="5"/>
      <c r="AB790" s="5"/>
      <c r="AC790" s="5"/>
      <c r="AG790" s="9"/>
      <c r="AH790" s="9"/>
    </row>
    <row r="791" spans="2:34" hidden="1">
      <c r="B791" s="4">
        <v>2017</v>
      </c>
      <c r="C791" s="4" t="s">
        <v>44</v>
      </c>
      <c r="D791" s="3">
        <f t="shared" si="12"/>
        <v>157</v>
      </c>
      <c r="E791" s="3" t="s">
        <v>1126</v>
      </c>
      <c r="G791" s="5" t="s">
        <v>1230</v>
      </c>
      <c r="H791" s="5"/>
      <c r="I791" s="5" t="s">
        <v>136</v>
      </c>
      <c r="J791" s="7">
        <v>0</v>
      </c>
      <c r="M791" s="8">
        <v>0</v>
      </c>
      <c r="N791" s="7">
        <v>0</v>
      </c>
      <c r="P791" s="7">
        <v>63312</v>
      </c>
      <c r="Q791" s="7">
        <v>63312</v>
      </c>
      <c r="R791" s="5">
        <f>VLOOKUP($G791,Others!$E$641:$I$931,2,FALSE)</f>
        <v>0</v>
      </c>
      <c r="S791" s="5">
        <f>VLOOKUP($G791,Others!$E$641:$I$931,3,FALSE)</f>
        <v>0</v>
      </c>
      <c r="T791" s="5">
        <f>VLOOKUP($G791,Others!$E$641:$I$931,4,FALSE)</f>
        <v>0</v>
      </c>
      <c r="U791" s="5" t="str">
        <f>IFERROR(VLOOKUP($G791,Ratings!$E$125:$I$172,5,FALSE),"none")</f>
        <v>none</v>
      </c>
      <c r="V791" s="5"/>
      <c r="X791" s="5"/>
      <c r="Y791" s="5"/>
      <c r="AA791" s="5"/>
      <c r="AB791" s="5"/>
      <c r="AC791" s="5"/>
      <c r="AG791" s="9"/>
      <c r="AH791" s="9"/>
    </row>
    <row r="792" spans="2:34" hidden="1">
      <c r="B792" s="4">
        <v>2017</v>
      </c>
      <c r="C792" s="4" t="s">
        <v>44</v>
      </c>
      <c r="D792" s="3">
        <f t="shared" si="12"/>
        <v>158</v>
      </c>
      <c r="E792" s="3" t="s">
        <v>1126</v>
      </c>
      <c r="G792" s="5" t="s">
        <v>1231</v>
      </c>
      <c r="H792" s="5"/>
      <c r="I792" s="5" t="s">
        <v>131</v>
      </c>
      <c r="J792" s="7">
        <v>0</v>
      </c>
      <c r="M792" s="8">
        <v>0</v>
      </c>
      <c r="N792" s="7">
        <v>0</v>
      </c>
      <c r="P792" s="7">
        <v>3670</v>
      </c>
      <c r="Q792" s="7">
        <v>3670</v>
      </c>
      <c r="R792" s="5">
        <f>VLOOKUP($G792,Others!$E$641:$I$931,2,FALSE)</f>
        <v>0</v>
      </c>
      <c r="S792" s="5" t="str">
        <f>VLOOKUP($G792,Others!$E$641:$I$931,3,FALSE)</f>
        <v>Live Action</v>
      </c>
      <c r="T792" s="5">
        <f>VLOOKUP($G792,Others!$E$641:$I$931,4,FALSE)</f>
        <v>0</v>
      </c>
      <c r="U792" s="5" t="str">
        <f>IFERROR(VLOOKUP($G792,Ratings!$E$125:$I$172,5,FALSE),"none")</f>
        <v>none</v>
      </c>
      <c r="V792" s="5"/>
      <c r="X792" s="5"/>
      <c r="Y792" s="5"/>
      <c r="AA792" s="5"/>
      <c r="AB792" s="5"/>
      <c r="AC792" s="5"/>
      <c r="AG792" s="9"/>
      <c r="AH792" s="9"/>
    </row>
    <row r="793" spans="2:34">
      <c r="B793" s="4">
        <v>2017</v>
      </c>
      <c r="C793" s="4" t="s">
        <v>44</v>
      </c>
      <c r="D793" s="3">
        <f t="shared" si="12"/>
        <v>159</v>
      </c>
      <c r="E793" s="55" t="s">
        <v>1126</v>
      </c>
      <c r="F793" s="56" t="s">
        <v>2488</v>
      </c>
      <c r="G793" s="5" t="s">
        <v>1232</v>
      </c>
      <c r="H793" s="5" t="s">
        <v>2489</v>
      </c>
      <c r="I793" s="5" t="s">
        <v>148</v>
      </c>
      <c r="J793" s="7">
        <v>4477611</v>
      </c>
      <c r="K793" s="7">
        <v>1492537</v>
      </c>
      <c r="L793" s="7">
        <v>1355223</v>
      </c>
      <c r="M793" s="8">
        <v>10215</v>
      </c>
      <c r="N793" s="7">
        <v>1420000</v>
      </c>
      <c r="O793" s="7">
        <v>3697014</v>
      </c>
      <c r="P793" s="7">
        <v>3957193</v>
      </c>
      <c r="Q793" s="7">
        <v>3957193</v>
      </c>
      <c r="R793" s="5" t="str">
        <f>VLOOKUP($G793,Others!$E$641:$I$931,2,FALSE)</f>
        <v>Original Screenplay</v>
      </c>
      <c r="S793" s="5" t="str">
        <f>VLOOKUP($G793,Others!$E$641:$I$931,3,FALSE)</f>
        <v>Live Action</v>
      </c>
      <c r="T793" s="5" t="str">
        <f>VLOOKUP($G793,Others!$E$641:$I$931,4,FALSE)</f>
        <v>Fantasy</v>
      </c>
      <c r="U793" s="5" t="str">
        <f>IFERROR(VLOOKUP($G793,Ratings!$E$125:$I$172,5,FALSE),"none")</f>
        <v>none</v>
      </c>
      <c r="V793" s="5" t="s">
        <v>2490</v>
      </c>
      <c r="W793" s="5" t="s">
        <v>2491</v>
      </c>
      <c r="X793" s="5" t="s">
        <v>2492</v>
      </c>
      <c r="Y793" s="5" t="s">
        <v>2493</v>
      </c>
      <c r="AA793" s="5" t="s">
        <v>2494</v>
      </c>
      <c r="AB793" s="5"/>
      <c r="AC793" s="5" t="s">
        <v>2495</v>
      </c>
      <c r="AD793" s="9">
        <v>8.4</v>
      </c>
      <c r="AE793" s="1" t="s">
        <v>1489</v>
      </c>
      <c r="AG793" s="9"/>
      <c r="AH793" s="9"/>
    </row>
    <row r="794" spans="2:34" hidden="1">
      <c r="B794" s="4">
        <v>2017</v>
      </c>
      <c r="C794" s="4" t="s">
        <v>44</v>
      </c>
      <c r="D794" s="3">
        <f t="shared" si="12"/>
        <v>160</v>
      </c>
      <c r="E794" s="3" t="s">
        <v>1126</v>
      </c>
      <c r="G794" s="5" t="s">
        <v>1233</v>
      </c>
      <c r="H794" s="5"/>
      <c r="I794" s="5" t="s">
        <v>127</v>
      </c>
      <c r="J794" s="7">
        <v>0</v>
      </c>
      <c r="M794" s="8">
        <v>0</v>
      </c>
      <c r="N794" s="7">
        <v>0</v>
      </c>
      <c r="P794" s="7">
        <v>7330000</v>
      </c>
      <c r="Q794" s="7">
        <v>7330000</v>
      </c>
      <c r="R794" s="5" t="str">
        <f>VLOOKUP($G794,Others!$E$641:$I$931,2,FALSE)</f>
        <v>Original Screenplay</v>
      </c>
      <c r="S794" s="5" t="str">
        <f>VLOOKUP($G794,Others!$E$641:$I$931,3,FALSE)</f>
        <v>Digital Animation</v>
      </c>
      <c r="T794" s="5" t="str">
        <f>VLOOKUP($G794,Others!$E$641:$I$931,4,FALSE)</f>
        <v>Contemporary Fiction</v>
      </c>
      <c r="U794" s="5" t="str">
        <f>IFERROR(VLOOKUP($G794,Ratings!$E$125:$I$172,5,FALSE),"none")</f>
        <v>none</v>
      </c>
      <c r="V794" s="5"/>
      <c r="X794" s="5"/>
      <c r="Y794" s="5"/>
      <c r="AA794" s="5"/>
      <c r="AB794" s="5"/>
      <c r="AC794" s="5"/>
      <c r="AG794" s="9"/>
      <c r="AH794" s="9"/>
    </row>
    <row r="795" spans="2:34" hidden="1">
      <c r="B795" s="4">
        <v>2017</v>
      </c>
      <c r="C795" s="4" t="s">
        <v>44</v>
      </c>
      <c r="D795" s="3">
        <f t="shared" si="12"/>
        <v>161</v>
      </c>
      <c r="E795" s="3" t="s">
        <v>1126</v>
      </c>
      <c r="G795" s="5" t="s">
        <v>1234</v>
      </c>
      <c r="H795" s="5"/>
      <c r="I795" s="5" t="s">
        <v>193</v>
      </c>
      <c r="J795" s="7">
        <v>0</v>
      </c>
      <c r="M795" s="8">
        <v>0</v>
      </c>
      <c r="N795" s="7">
        <v>0</v>
      </c>
      <c r="P795" s="7">
        <v>234423</v>
      </c>
      <c r="Q795" s="7">
        <v>234423</v>
      </c>
      <c r="R795" s="5">
        <f>VLOOKUP($G795,Others!$E$641:$I$931,2,FALSE)</f>
        <v>0</v>
      </c>
      <c r="S795" s="5" t="str">
        <f>VLOOKUP($G795,Others!$E$641:$I$931,3,FALSE)</f>
        <v>Live Action</v>
      </c>
      <c r="T795" s="5">
        <f>VLOOKUP($G795,Others!$E$641:$I$931,4,FALSE)</f>
        <v>0</v>
      </c>
      <c r="U795" s="5" t="str">
        <f>IFERROR(VLOOKUP($G795,Ratings!$E$125:$I$172,5,FALSE),"none")</f>
        <v>none</v>
      </c>
      <c r="V795" s="5"/>
      <c r="X795" s="5"/>
      <c r="Y795" s="5"/>
      <c r="AA795" s="5"/>
      <c r="AB795" s="5"/>
      <c r="AC795" s="5"/>
      <c r="AG795" s="9"/>
      <c r="AH795" s="9"/>
    </row>
    <row r="796" spans="2:34" hidden="1">
      <c r="B796" s="4">
        <v>2017</v>
      </c>
      <c r="C796" s="4" t="s">
        <v>44</v>
      </c>
      <c r="D796" s="3">
        <f t="shared" si="12"/>
        <v>162</v>
      </c>
      <c r="E796" s="3" t="s">
        <v>1126</v>
      </c>
      <c r="G796" s="5" t="s">
        <v>1235</v>
      </c>
      <c r="H796" s="5"/>
      <c r="I796" s="5" t="s">
        <v>191</v>
      </c>
      <c r="J796" s="7">
        <v>0</v>
      </c>
      <c r="M796" s="8">
        <v>0</v>
      </c>
      <c r="N796" s="7">
        <v>0</v>
      </c>
      <c r="P796" s="7">
        <v>63802</v>
      </c>
      <c r="Q796" s="7">
        <v>63802</v>
      </c>
      <c r="R796" s="5" t="str">
        <f>VLOOKUP($G796,Others!$E$641:$I$931,2,FALSE)</f>
        <v>Based on Real Life Events</v>
      </c>
      <c r="S796" s="5" t="str">
        <f>VLOOKUP($G796,Others!$E$641:$I$931,3,FALSE)</f>
        <v>Live Action</v>
      </c>
      <c r="T796" s="5" t="str">
        <f>VLOOKUP($G796,Others!$E$641:$I$931,4,FALSE)</f>
        <v>Factual</v>
      </c>
      <c r="U796" s="5" t="str">
        <f>IFERROR(VLOOKUP($G796,Ratings!$E$125:$I$172,5,FALSE),"none")</f>
        <v>none</v>
      </c>
      <c r="V796" s="5"/>
      <c r="X796" s="5"/>
      <c r="Y796" s="5"/>
      <c r="AA796" s="5"/>
      <c r="AB796" s="5"/>
      <c r="AC796" s="5"/>
      <c r="AG796" s="9"/>
      <c r="AH796" s="9"/>
    </row>
    <row r="797" spans="2:34" hidden="1">
      <c r="B797" s="4">
        <v>2017</v>
      </c>
      <c r="C797" s="4" t="s">
        <v>44</v>
      </c>
      <c r="D797" s="3">
        <f t="shared" si="12"/>
        <v>163</v>
      </c>
      <c r="E797" s="3" t="s">
        <v>1126</v>
      </c>
      <c r="G797" s="5" t="s">
        <v>1236</v>
      </c>
      <c r="H797" s="5"/>
      <c r="I797" s="5" t="s">
        <v>131</v>
      </c>
      <c r="J797" s="7">
        <v>0</v>
      </c>
      <c r="M797" s="8">
        <v>0</v>
      </c>
      <c r="N797" s="7">
        <v>0</v>
      </c>
      <c r="P797" s="7">
        <v>16610</v>
      </c>
      <c r="Q797" s="7">
        <v>16610</v>
      </c>
      <c r="R797" s="5">
        <f>VLOOKUP($G797,Others!$E$641:$I$931,2,FALSE)</f>
        <v>0</v>
      </c>
      <c r="S797" s="5" t="str">
        <f>VLOOKUP($G797,Others!$E$641:$I$931,3,FALSE)</f>
        <v>Live Action</v>
      </c>
      <c r="T797" s="5">
        <f>VLOOKUP($G797,Others!$E$641:$I$931,4,FALSE)</f>
        <v>0</v>
      </c>
      <c r="U797" s="5" t="str">
        <f>IFERROR(VLOOKUP($G797,Ratings!$E$125:$I$172,5,FALSE),"none")</f>
        <v>none</v>
      </c>
      <c r="V797" s="5"/>
      <c r="X797" s="5"/>
      <c r="Y797" s="5"/>
      <c r="AA797" s="5"/>
      <c r="AB797" s="5"/>
      <c r="AC797" s="5"/>
      <c r="AG797" s="9"/>
      <c r="AH797" s="9"/>
    </row>
    <row r="798" spans="2:34" hidden="1">
      <c r="B798" s="4">
        <v>2017</v>
      </c>
      <c r="C798" s="4" t="s">
        <v>44</v>
      </c>
      <c r="D798" s="3">
        <f t="shared" si="12"/>
        <v>164</v>
      </c>
      <c r="E798" s="3" t="s">
        <v>1126</v>
      </c>
      <c r="G798" s="5" t="s">
        <v>1237</v>
      </c>
      <c r="H798" s="5"/>
      <c r="I798" s="5" t="s">
        <v>193</v>
      </c>
      <c r="J798" s="7">
        <v>0</v>
      </c>
      <c r="M798" s="8">
        <v>0</v>
      </c>
      <c r="N798" s="7">
        <v>0</v>
      </c>
      <c r="P798" s="7">
        <v>41914</v>
      </c>
      <c r="Q798" s="7">
        <v>41914</v>
      </c>
      <c r="R798" s="5">
        <f>VLOOKUP($G798,Others!$E$641:$I$931,2,FALSE)</f>
        <v>0</v>
      </c>
      <c r="S798" s="5">
        <f>VLOOKUP($G798,Others!$E$641:$I$931,3,FALSE)</f>
        <v>0</v>
      </c>
      <c r="T798" s="5">
        <f>VLOOKUP($G798,Others!$E$641:$I$931,4,FALSE)</f>
        <v>0</v>
      </c>
      <c r="U798" s="5" t="str">
        <f>IFERROR(VLOOKUP($G798,Ratings!$E$125:$I$172,5,FALSE),"none")</f>
        <v>none</v>
      </c>
      <c r="V798" s="5"/>
      <c r="X798" s="5"/>
      <c r="Y798" s="5"/>
      <c r="AA798" s="5"/>
      <c r="AB798" s="5"/>
      <c r="AC798" s="5"/>
      <c r="AG798" s="9"/>
      <c r="AH798" s="9"/>
    </row>
    <row r="799" spans="2:34" hidden="1">
      <c r="B799" s="4">
        <v>2017</v>
      </c>
      <c r="C799" s="4" t="s">
        <v>44</v>
      </c>
      <c r="D799" s="3">
        <f t="shared" si="12"/>
        <v>165</v>
      </c>
      <c r="E799" s="3" t="s">
        <v>1126</v>
      </c>
      <c r="G799" s="5" t="s">
        <v>1238</v>
      </c>
      <c r="H799" s="5"/>
      <c r="I799" s="5" t="s">
        <v>148</v>
      </c>
      <c r="J799" s="7">
        <v>0</v>
      </c>
      <c r="M799" s="8">
        <v>0</v>
      </c>
      <c r="N799" s="7">
        <v>0</v>
      </c>
      <c r="P799" s="7">
        <v>2749490</v>
      </c>
      <c r="Q799" s="7">
        <v>2749490</v>
      </c>
      <c r="R799" s="5" t="str">
        <f>VLOOKUP($G799,Others!$E$641:$I$931,2,FALSE)</f>
        <v>Original Screenplay</v>
      </c>
      <c r="S799" s="5" t="str">
        <f>VLOOKUP($G799,Others!$E$641:$I$931,3,FALSE)</f>
        <v>Live Action</v>
      </c>
      <c r="T799" s="5" t="str">
        <f>VLOOKUP($G799,Others!$E$641:$I$931,4,FALSE)</f>
        <v>Contemporary Fiction</v>
      </c>
      <c r="U799" s="5" t="str">
        <f>IFERROR(VLOOKUP($G799,Ratings!$E$125:$I$172,5,FALSE),"none")</f>
        <v>none</v>
      </c>
      <c r="V799" s="5"/>
      <c r="X799" s="5"/>
      <c r="Y799" s="5"/>
      <c r="AA799" s="5"/>
      <c r="AB799" s="5"/>
      <c r="AC799" s="5"/>
      <c r="AG799" s="9"/>
      <c r="AH799" s="9"/>
    </row>
    <row r="800" spans="2:34" hidden="1">
      <c r="B800" s="4">
        <v>2017</v>
      </c>
      <c r="C800" s="4" t="s">
        <v>44</v>
      </c>
      <c r="D800" s="3">
        <f t="shared" si="12"/>
        <v>166</v>
      </c>
      <c r="E800" s="3" t="s">
        <v>1126</v>
      </c>
      <c r="G800" s="5" t="s">
        <v>1239</v>
      </c>
      <c r="H800" s="5"/>
      <c r="I800" s="5" t="s">
        <v>131</v>
      </c>
      <c r="J800" s="7">
        <v>0</v>
      </c>
      <c r="M800" s="8">
        <v>0</v>
      </c>
      <c r="N800" s="7">
        <v>0</v>
      </c>
      <c r="P800" s="7">
        <v>17934</v>
      </c>
      <c r="Q800" s="7">
        <v>17934</v>
      </c>
      <c r="R800" s="5" t="str">
        <f>VLOOKUP($G800,Others!$E$641:$I$931,2,FALSE)</f>
        <v>Original Screenplay</v>
      </c>
      <c r="S800" s="5" t="str">
        <f>VLOOKUP($G800,Others!$E$641:$I$931,3,FALSE)</f>
        <v>Live Action</v>
      </c>
      <c r="T800" s="5" t="str">
        <f>VLOOKUP($G800,Others!$E$641:$I$931,4,FALSE)</f>
        <v>Contemporary Fiction</v>
      </c>
      <c r="U800" s="5" t="str">
        <f>IFERROR(VLOOKUP($G800,Ratings!$E$125:$I$172,5,FALSE),"none")</f>
        <v>none</v>
      </c>
      <c r="V800" s="5"/>
      <c r="X800" s="5"/>
      <c r="Y800" s="5"/>
      <c r="AA800" s="5"/>
      <c r="AB800" s="5"/>
      <c r="AC800" s="5"/>
      <c r="AG800" s="9"/>
      <c r="AH800" s="9"/>
    </row>
    <row r="801" spans="2:34" hidden="1">
      <c r="B801" s="4">
        <v>2017</v>
      </c>
      <c r="C801" s="4" t="s">
        <v>44</v>
      </c>
      <c r="D801" s="3">
        <f t="shared" si="12"/>
        <v>167</v>
      </c>
      <c r="E801" s="3" t="s">
        <v>1126</v>
      </c>
      <c r="G801" s="5" t="s">
        <v>1240</v>
      </c>
      <c r="H801" s="5"/>
      <c r="I801" s="5" t="s">
        <v>136</v>
      </c>
      <c r="J801" s="7">
        <v>0</v>
      </c>
      <c r="M801" s="8">
        <v>0</v>
      </c>
      <c r="N801" s="7">
        <v>0</v>
      </c>
      <c r="P801" s="7">
        <v>13867066</v>
      </c>
      <c r="Q801" s="7">
        <v>13867066</v>
      </c>
      <c r="R801" s="5" t="str">
        <f>VLOOKUP($G801,Others!$E$641:$I$931,2,FALSE)</f>
        <v>Original Screenplay</v>
      </c>
      <c r="S801" s="5" t="str">
        <f>VLOOKUP($G801,Others!$E$641:$I$931,3,FALSE)</f>
        <v>Live Action</v>
      </c>
      <c r="T801" s="5" t="str">
        <f>VLOOKUP($G801,Others!$E$641:$I$931,4,FALSE)</f>
        <v>Fantasy</v>
      </c>
      <c r="U801" s="5" t="str">
        <f>IFERROR(VLOOKUP($G801,Ratings!$E$125:$I$172,5,FALSE),"none")</f>
        <v>none</v>
      </c>
      <c r="V801" s="5"/>
      <c r="X801" s="5"/>
      <c r="Y801" s="5"/>
      <c r="AA801" s="5"/>
      <c r="AB801" s="5"/>
      <c r="AC801" s="5"/>
      <c r="AG801" s="9"/>
      <c r="AH801" s="9"/>
    </row>
    <row r="802" spans="2:34" hidden="1">
      <c r="B802" s="4">
        <v>2017</v>
      </c>
      <c r="C802" s="4" t="s">
        <v>44</v>
      </c>
      <c r="D802" s="3">
        <f t="shared" si="12"/>
        <v>168</v>
      </c>
      <c r="E802" s="3" t="s">
        <v>1126</v>
      </c>
      <c r="G802" s="5" t="s">
        <v>1241</v>
      </c>
      <c r="H802" s="5"/>
      <c r="J802" s="7">
        <v>0</v>
      </c>
      <c r="M802" s="8">
        <v>0</v>
      </c>
      <c r="N802" s="7">
        <v>0</v>
      </c>
      <c r="P802" s="7">
        <v>1706807</v>
      </c>
      <c r="Q802" s="7">
        <v>1706807</v>
      </c>
      <c r="R802" s="5">
        <f>VLOOKUP($G802,Others!$E$641:$I$931,2,FALSE)</f>
        <v>0</v>
      </c>
      <c r="S802" s="5">
        <f>VLOOKUP($G802,Others!$E$641:$I$931,3,FALSE)</f>
        <v>0</v>
      </c>
      <c r="T802" s="5">
        <f>VLOOKUP($G802,Others!$E$641:$I$931,4,FALSE)</f>
        <v>0</v>
      </c>
      <c r="U802" s="5" t="str">
        <f>IFERROR(VLOOKUP($G802,Ratings!$E$125:$I$172,5,FALSE),"none")</f>
        <v>none</v>
      </c>
      <c r="V802" s="5"/>
      <c r="X802" s="5"/>
      <c r="Y802" s="5"/>
      <c r="AA802" s="5"/>
      <c r="AB802" s="5"/>
      <c r="AC802" s="5"/>
      <c r="AG802" s="9"/>
      <c r="AH802" s="9"/>
    </row>
    <row r="803" spans="2:34" hidden="1">
      <c r="B803" s="4">
        <v>2017</v>
      </c>
      <c r="C803" s="4" t="s">
        <v>44</v>
      </c>
      <c r="D803" s="3">
        <f t="shared" si="12"/>
        <v>169</v>
      </c>
      <c r="E803" s="3" t="s">
        <v>1126</v>
      </c>
      <c r="G803" s="5" t="s">
        <v>1242</v>
      </c>
      <c r="H803" s="5"/>
      <c r="I803" s="5" t="s">
        <v>131</v>
      </c>
      <c r="J803" s="7">
        <v>0</v>
      </c>
      <c r="M803" s="8">
        <v>0</v>
      </c>
      <c r="N803" s="7">
        <v>0</v>
      </c>
      <c r="P803" s="7">
        <v>129045</v>
      </c>
      <c r="Q803" s="7">
        <v>129045</v>
      </c>
      <c r="R803" s="5">
        <f>VLOOKUP($G803,Others!$E$641:$I$931,2,FALSE)</f>
        <v>0</v>
      </c>
      <c r="S803" s="5">
        <f>VLOOKUP($G803,Others!$E$641:$I$931,3,FALSE)</f>
        <v>0</v>
      </c>
      <c r="T803" s="5">
        <f>VLOOKUP($G803,Others!$E$641:$I$931,4,FALSE)</f>
        <v>0</v>
      </c>
      <c r="U803" s="5" t="str">
        <f>IFERROR(VLOOKUP($G803,Ratings!$E$125:$I$172,5,FALSE),"none")</f>
        <v>none</v>
      </c>
      <c r="V803" s="5"/>
      <c r="X803" s="5"/>
      <c r="Y803" s="5"/>
      <c r="AA803" s="5"/>
      <c r="AB803" s="5"/>
      <c r="AC803" s="5"/>
      <c r="AG803" s="9"/>
      <c r="AH803" s="9"/>
    </row>
    <row r="804" spans="2:34" hidden="1">
      <c r="B804" s="4">
        <v>2017</v>
      </c>
      <c r="C804" s="4" t="s">
        <v>44</v>
      </c>
      <c r="D804" s="3">
        <f t="shared" si="12"/>
        <v>170</v>
      </c>
      <c r="E804" s="3" t="s">
        <v>1126</v>
      </c>
      <c r="G804" s="5" t="s">
        <v>1243</v>
      </c>
      <c r="H804" s="5"/>
      <c r="I804" s="5" t="s">
        <v>129</v>
      </c>
      <c r="J804" s="7">
        <v>0</v>
      </c>
      <c r="M804" s="8">
        <v>0</v>
      </c>
      <c r="N804" s="7">
        <v>0</v>
      </c>
      <c r="P804" s="7">
        <v>30994</v>
      </c>
      <c r="Q804" s="7">
        <v>30994</v>
      </c>
      <c r="R804" s="5">
        <f>VLOOKUP($G804,Others!$E$641:$I$931,2,FALSE)</f>
        <v>0</v>
      </c>
      <c r="S804" s="5">
        <f>VLOOKUP($G804,Others!$E$641:$I$931,3,FALSE)</f>
        <v>0</v>
      </c>
      <c r="T804" s="5">
        <f>VLOOKUP($G804,Others!$E$641:$I$931,4,FALSE)</f>
        <v>0</v>
      </c>
      <c r="U804" s="5" t="str">
        <f>IFERROR(VLOOKUP($G804,Ratings!$E$125:$I$172,5,FALSE),"none")</f>
        <v>none</v>
      </c>
      <c r="V804" s="5"/>
      <c r="X804" s="5"/>
      <c r="Y804" s="5"/>
      <c r="AA804" s="5"/>
      <c r="AB804" s="5"/>
      <c r="AC804" s="5"/>
      <c r="AG804" s="9"/>
      <c r="AH804" s="9"/>
    </row>
    <row r="805" spans="2:34">
      <c r="B805" s="4">
        <v>2018</v>
      </c>
      <c r="C805" s="4" t="s">
        <v>44</v>
      </c>
      <c r="D805" s="3">
        <f t="shared" si="12"/>
        <v>171</v>
      </c>
      <c r="E805" s="55" t="s">
        <v>1126</v>
      </c>
      <c r="F805" s="3" t="s">
        <v>2496</v>
      </c>
      <c r="G805" s="5" t="s">
        <v>1244</v>
      </c>
      <c r="H805" s="5" t="s">
        <v>1442</v>
      </c>
      <c r="I805" s="5" t="s">
        <v>129</v>
      </c>
      <c r="J805" s="7">
        <v>8955223</v>
      </c>
      <c r="K805" s="7">
        <v>1666666</v>
      </c>
      <c r="L805" s="7">
        <v>2026865</v>
      </c>
      <c r="M805" s="8">
        <v>46863</v>
      </c>
      <c r="N805" s="7">
        <v>42352</v>
      </c>
      <c r="O805" s="7">
        <v>5525373</v>
      </c>
      <c r="P805" s="7">
        <v>6168544</v>
      </c>
      <c r="Q805" s="7">
        <v>6168544</v>
      </c>
      <c r="R805" s="5" t="str">
        <f>VLOOKUP($G805,Others!$E$641:$I$931,2,FALSE)</f>
        <v>Original Screenplay</v>
      </c>
      <c r="S805" s="5" t="str">
        <f>VLOOKUP($G805,Others!$E$641:$I$931,3,FALSE)</f>
        <v>Live Action</v>
      </c>
      <c r="T805" s="5" t="str">
        <f>VLOOKUP($G805,Others!$E$641:$I$931,4,FALSE)</f>
        <v>Contemporary Fiction</v>
      </c>
      <c r="U805" s="5" t="str">
        <f>IFERROR(VLOOKUP($G805,Ratings!$E$125:$I$172,5,FALSE),"none")</f>
        <v>none</v>
      </c>
      <c r="V805" s="5" t="s">
        <v>2497</v>
      </c>
      <c r="W805" s="5" t="s">
        <v>2498</v>
      </c>
      <c r="X805" s="5" t="s">
        <v>2499</v>
      </c>
      <c r="Y805" s="5" t="s">
        <v>2500</v>
      </c>
      <c r="AA805" s="5" t="s">
        <v>2501</v>
      </c>
      <c r="AB805" s="5"/>
      <c r="AC805" s="5" t="s">
        <v>2502</v>
      </c>
      <c r="AD805" s="9">
        <v>6.7</v>
      </c>
      <c r="AE805" s="1" t="s">
        <v>1489</v>
      </c>
      <c r="AG805" s="9"/>
      <c r="AH805" s="9"/>
    </row>
    <row r="806" spans="2:34" hidden="1">
      <c r="B806" s="4">
        <v>2017</v>
      </c>
      <c r="C806" s="4" t="s">
        <v>44</v>
      </c>
      <c r="D806" s="3">
        <f t="shared" si="12"/>
        <v>172</v>
      </c>
      <c r="E806" s="3" t="s">
        <v>1126</v>
      </c>
      <c r="G806" s="5" t="s">
        <v>1245</v>
      </c>
      <c r="H806" s="5"/>
      <c r="I806" s="5" t="s">
        <v>136</v>
      </c>
      <c r="J806" s="7">
        <v>0</v>
      </c>
      <c r="M806" s="8">
        <v>0</v>
      </c>
      <c r="N806" s="7">
        <v>0</v>
      </c>
      <c r="P806" s="7">
        <v>3713</v>
      </c>
      <c r="Q806" s="7">
        <v>3713</v>
      </c>
      <c r="R806" s="5">
        <f>VLOOKUP($G806,Others!$E$641:$I$931,2,FALSE)</f>
        <v>0</v>
      </c>
      <c r="S806" s="5">
        <f>VLOOKUP($G806,Others!$E$641:$I$931,3,FALSE)</f>
        <v>0</v>
      </c>
      <c r="T806" s="5">
        <f>VLOOKUP($G806,Others!$E$641:$I$931,4,FALSE)</f>
        <v>0</v>
      </c>
      <c r="U806" s="5" t="str">
        <f>IFERROR(VLOOKUP($G806,Ratings!$E$125:$I$172,5,FALSE),"none")</f>
        <v>none</v>
      </c>
      <c r="V806" s="5"/>
      <c r="X806" s="5"/>
      <c r="Y806" s="5"/>
      <c r="AA806" s="5"/>
      <c r="AB806" s="5"/>
      <c r="AC806" s="5"/>
      <c r="AG806" s="9"/>
      <c r="AH806" s="9"/>
    </row>
    <row r="807" spans="2:34">
      <c r="B807" s="4">
        <v>2017</v>
      </c>
      <c r="C807" s="4" t="s">
        <v>44</v>
      </c>
      <c r="D807" s="3">
        <f t="shared" si="12"/>
        <v>173</v>
      </c>
      <c r="E807" s="55" t="s">
        <v>1126</v>
      </c>
      <c r="F807" s="3" t="s">
        <v>2503</v>
      </c>
      <c r="G807" s="5" t="s">
        <v>450</v>
      </c>
      <c r="H807" s="5" t="s">
        <v>2504</v>
      </c>
      <c r="I807" s="5" t="s">
        <v>127</v>
      </c>
      <c r="J807" s="7">
        <f>50000000/6.7</f>
        <v>7462686.5671641789</v>
      </c>
      <c r="K807" s="7">
        <f>8000000/6.7</f>
        <v>1194029.8507462686</v>
      </c>
      <c r="L807" s="7">
        <f>2120000/6.7</f>
        <v>316417.91044776118</v>
      </c>
      <c r="M807" s="41" t="s">
        <v>1501</v>
      </c>
      <c r="N807" s="7">
        <v>423431</v>
      </c>
      <c r="O807" s="7">
        <f>5780000/6.7</f>
        <v>862686.56716417905</v>
      </c>
      <c r="P807" s="7">
        <v>933589</v>
      </c>
      <c r="Q807" s="7">
        <v>933589</v>
      </c>
      <c r="R807" s="5" t="str">
        <f>VLOOKUP($G807,Others!$E$641:$I$931,2,FALSE)</f>
        <v>Original Screenplay</v>
      </c>
      <c r="S807" s="5" t="str">
        <f>VLOOKUP($G807,Others!$E$641:$I$931,3,FALSE)</f>
        <v>Digital Animation</v>
      </c>
      <c r="T807" s="5" t="str">
        <f>VLOOKUP($G807,Others!$E$641:$I$931,4,FALSE)</f>
        <v>Kids Fiction</v>
      </c>
      <c r="U807" s="5" t="str">
        <f>IFERROR(VLOOKUP($G807,Ratings!$E$125:$I$172,5,FALSE),"none")</f>
        <v>none</v>
      </c>
      <c r="V807" s="5" t="s">
        <v>2505</v>
      </c>
      <c r="W807" s="5" t="s">
        <v>2506</v>
      </c>
      <c r="X807" s="5" t="s">
        <v>2507</v>
      </c>
      <c r="Y807" s="5" t="s">
        <v>2508</v>
      </c>
      <c r="Z807" s="26"/>
      <c r="AA807" s="5" t="s">
        <v>2509</v>
      </c>
      <c r="AB807" s="5"/>
      <c r="AC807" s="5" t="s">
        <v>2510</v>
      </c>
      <c r="AD807" s="9">
        <v>7.4</v>
      </c>
      <c r="AE807" s="1" t="s">
        <v>1489</v>
      </c>
      <c r="AG807" s="9"/>
      <c r="AH807" s="9"/>
    </row>
    <row r="808" spans="2:34" hidden="1">
      <c r="B808" s="4">
        <v>2017</v>
      </c>
      <c r="C808" s="4" t="s">
        <v>44</v>
      </c>
      <c r="D808" s="3">
        <f t="shared" si="12"/>
        <v>174</v>
      </c>
      <c r="E808" s="3" t="s">
        <v>1126</v>
      </c>
      <c r="G808" s="5" t="s">
        <v>1246</v>
      </c>
      <c r="H808" s="5"/>
      <c r="I808" s="5" t="s">
        <v>136</v>
      </c>
      <c r="J808" s="7">
        <v>0</v>
      </c>
      <c r="M808" s="8">
        <v>0</v>
      </c>
      <c r="N808" s="7">
        <v>0</v>
      </c>
      <c r="P808" s="7">
        <v>35929</v>
      </c>
      <c r="Q808" s="7">
        <v>35929</v>
      </c>
      <c r="R808" s="5">
        <f>VLOOKUP($G808,Others!$E$641:$I$931,2,FALSE)</f>
        <v>0</v>
      </c>
      <c r="S808" s="5" t="str">
        <f>VLOOKUP($G808,Others!$E$641:$I$931,3,FALSE)</f>
        <v>Live Action</v>
      </c>
      <c r="T808" s="5" t="str">
        <f>VLOOKUP($G808,Others!$E$641:$I$931,4,FALSE)</f>
        <v>Contemporary Fiction</v>
      </c>
      <c r="U808" s="5" t="str">
        <f>IFERROR(VLOOKUP($G808,Ratings!$E$125:$I$172,5,FALSE),"none")</f>
        <v>none</v>
      </c>
      <c r="V808" s="5"/>
      <c r="X808" s="5"/>
      <c r="Y808" s="5"/>
      <c r="AA808" s="5"/>
      <c r="AB808" s="5"/>
      <c r="AC808" s="5"/>
      <c r="AG808" s="9"/>
      <c r="AH808" s="9"/>
    </row>
    <row r="809" spans="2:34" hidden="1">
      <c r="B809" s="4">
        <v>2017</v>
      </c>
      <c r="C809" s="4" t="s">
        <v>44</v>
      </c>
      <c r="D809" s="3">
        <f t="shared" si="12"/>
        <v>175</v>
      </c>
      <c r="E809" s="3" t="s">
        <v>1126</v>
      </c>
      <c r="G809" s="5" t="s">
        <v>1247</v>
      </c>
      <c r="H809" s="5"/>
      <c r="I809" s="5" t="s">
        <v>136</v>
      </c>
      <c r="J809" s="7">
        <v>0</v>
      </c>
      <c r="M809" s="8">
        <v>0</v>
      </c>
      <c r="N809" s="7">
        <v>0</v>
      </c>
      <c r="P809" s="7">
        <v>127225</v>
      </c>
      <c r="Q809" s="7">
        <v>127225</v>
      </c>
      <c r="R809" s="5">
        <f>VLOOKUP($G809,Others!$E$641:$I$931,2,FALSE)</f>
        <v>0</v>
      </c>
      <c r="S809" s="5" t="str">
        <f>VLOOKUP($G809,Others!$E$641:$I$931,3,FALSE)</f>
        <v>Live Action</v>
      </c>
      <c r="T809" s="5">
        <f>VLOOKUP($G809,Others!$E$641:$I$931,4,FALSE)</f>
        <v>0</v>
      </c>
      <c r="U809" s="5" t="str">
        <f>IFERROR(VLOOKUP($G809,Ratings!$E$125:$I$172,5,FALSE),"none")</f>
        <v>none</v>
      </c>
      <c r="V809" s="5"/>
      <c r="X809" s="5"/>
      <c r="Y809" s="5"/>
      <c r="AA809" s="5"/>
      <c r="AB809" s="5"/>
      <c r="AC809" s="5"/>
      <c r="AG809" s="9"/>
      <c r="AH809" s="9"/>
    </row>
    <row r="810" spans="2:34" hidden="1">
      <c r="B810" s="4">
        <v>2017</v>
      </c>
      <c r="C810" s="4" t="s">
        <v>44</v>
      </c>
      <c r="D810" s="3">
        <f t="shared" si="12"/>
        <v>176</v>
      </c>
      <c r="E810" s="3" t="s">
        <v>1126</v>
      </c>
      <c r="G810" s="5" t="s">
        <v>1248</v>
      </c>
      <c r="H810" s="5"/>
      <c r="I810" s="5" t="s">
        <v>131</v>
      </c>
      <c r="J810" s="7">
        <v>0</v>
      </c>
      <c r="M810" s="8">
        <v>0</v>
      </c>
      <c r="N810" s="7">
        <v>0</v>
      </c>
      <c r="P810" s="7">
        <v>5178</v>
      </c>
      <c r="Q810" s="7">
        <v>5178</v>
      </c>
      <c r="R810" s="5">
        <f>VLOOKUP($G810,Others!$E$641:$I$931,2,FALSE)</f>
        <v>0</v>
      </c>
      <c r="S810" s="5">
        <f>VLOOKUP($G810,Others!$E$641:$I$931,3,FALSE)</f>
        <v>0</v>
      </c>
      <c r="T810" s="5">
        <f>VLOOKUP($G810,Others!$E$641:$I$931,4,FALSE)</f>
        <v>0</v>
      </c>
      <c r="U810" s="5" t="str">
        <f>IFERROR(VLOOKUP($G810,Ratings!$E$125:$I$172,5,FALSE),"none")</f>
        <v>none</v>
      </c>
      <c r="V810" s="5"/>
      <c r="X810" s="5"/>
      <c r="Y810" s="5"/>
      <c r="AA810" s="5"/>
      <c r="AB810" s="5"/>
      <c r="AC810" s="5"/>
      <c r="AG810" s="9"/>
      <c r="AH810" s="9"/>
    </row>
    <row r="811" spans="2:34">
      <c r="B811" s="4">
        <v>2017</v>
      </c>
      <c r="C811" s="4" t="s">
        <v>44</v>
      </c>
      <c r="D811" s="3">
        <f t="shared" si="12"/>
        <v>177</v>
      </c>
      <c r="E811" s="55" t="s">
        <v>1126</v>
      </c>
      <c r="F811" s="3" t="s">
        <v>865</v>
      </c>
      <c r="G811" s="5" t="s">
        <v>427</v>
      </c>
      <c r="H811" s="39" t="s">
        <v>1501</v>
      </c>
      <c r="I811" s="5" t="s">
        <v>148</v>
      </c>
      <c r="J811" s="7">
        <f>30000000/6.7</f>
        <v>4477611.940298507</v>
      </c>
      <c r="K811" s="7">
        <f>8000000/6.7</f>
        <v>1194029.8507462686</v>
      </c>
      <c r="L811" s="7">
        <f>6610000/6.7</f>
        <v>986567.1641791045</v>
      </c>
      <c r="M811" s="8">
        <v>50095</v>
      </c>
      <c r="N811" s="7">
        <v>2080000</v>
      </c>
      <c r="O811" s="7">
        <f>18020000/6.7</f>
        <v>2689552.2388059702</v>
      </c>
      <c r="P811" s="7">
        <v>3026917</v>
      </c>
      <c r="Q811" s="7">
        <v>3026917</v>
      </c>
      <c r="R811" s="5" t="str">
        <f>VLOOKUP($G811,Others!$E$641:$I$931,2,FALSE)</f>
        <v>Original Screenplay</v>
      </c>
      <c r="S811" s="5" t="str">
        <f>VLOOKUP($G811,Others!$E$641:$I$931,3,FALSE)</f>
        <v>Live Action</v>
      </c>
      <c r="T811" s="5" t="str">
        <f>VLOOKUP($G811,Others!$E$641:$I$931,4,FALSE)</f>
        <v>Contemporary Fiction</v>
      </c>
      <c r="U811" s="5" t="str">
        <f>IFERROR(VLOOKUP($G811,Ratings!$E$125:$I$172,5,FALSE),"none")</f>
        <v>none</v>
      </c>
      <c r="V811" s="5" t="s">
        <v>2511</v>
      </c>
      <c r="W811" s="5" t="s">
        <v>2512</v>
      </c>
      <c r="X811" s="5" t="s">
        <v>2513</v>
      </c>
      <c r="Y811" s="5"/>
      <c r="Z811" s="26"/>
      <c r="AA811" s="5" t="s">
        <v>2513</v>
      </c>
      <c r="AB811" s="5"/>
      <c r="AC811" s="5" t="s">
        <v>2514</v>
      </c>
      <c r="AD811" s="9">
        <v>7.4</v>
      </c>
      <c r="AE811" s="1" t="s">
        <v>1489</v>
      </c>
      <c r="AG811" s="9"/>
      <c r="AH811" s="9"/>
    </row>
    <row r="812" spans="2:34" hidden="1">
      <c r="B812" s="4">
        <v>2017</v>
      </c>
      <c r="C812" s="4" t="s">
        <v>44</v>
      </c>
      <c r="D812" s="3">
        <f t="shared" si="12"/>
        <v>178</v>
      </c>
      <c r="E812" s="3" t="s">
        <v>1126</v>
      </c>
      <c r="G812" s="5" t="s">
        <v>1249</v>
      </c>
      <c r="H812" s="5"/>
      <c r="I812" s="5" t="s">
        <v>148</v>
      </c>
      <c r="J812" s="7">
        <v>0</v>
      </c>
      <c r="M812" s="8">
        <v>0</v>
      </c>
      <c r="N812" s="7">
        <v>0</v>
      </c>
      <c r="P812" s="7">
        <v>8878</v>
      </c>
      <c r="Q812" s="7">
        <v>8878</v>
      </c>
      <c r="R812" s="5">
        <f>VLOOKUP($G812,Others!$E$641:$I$931,2,FALSE)</f>
        <v>0</v>
      </c>
      <c r="S812" s="5" t="str">
        <f>VLOOKUP($G812,Others!$E$641:$I$931,3,FALSE)</f>
        <v>Live Action</v>
      </c>
      <c r="T812" s="5">
        <f>VLOOKUP($G812,Others!$E$641:$I$931,4,FALSE)</f>
        <v>0</v>
      </c>
      <c r="U812" s="5" t="str">
        <f>IFERROR(VLOOKUP($G812,Ratings!$E$125:$I$172,5,FALSE),"none")</f>
        <v>none</v>
      </c>
      <c r="V812" s="5"/>
      <c r="X812" s="5"/>
      <c r="Y812" s="5"/>
      <c r="AA812" s="5"/>
      <c r="AB812" s="5"/>
      <c r="AC812" s="5"/>
      <c r="AG812" s="9"/>
      <c r="AH812" s="9"/>
    </row>
    <row r="813" spans="2:34">
      <c r="B813" s="4">
        <v>2017</v>
      </c>
      <c r="C813" s="4" t="s">
        <v>44</v>
      </c>
      <c r="D813" s="3">
        <f t="shared" si="12"/>
        <v>179</v>
      </c>
      <c r="E813" s="55" t="s">
        <v>1126</v>
      </c>
      <c r="F813" s="3" t="s">
        <v>2515</v>
      </c>
      <c r="G813" s="5" t="s">
        <v>430</v>
      </c>
      <c r="H813" s="5" t="s">
        <v>2516</v>
      </c>
      <c r="I813" s="5" t="s">
        <v>136</v>
      </c>
      <c r="J813" s="7">
        <f>30000000/6.7</f>
        <v>4477611.940298507</v>
      </c>
      <c r="K813" s="7">
        <f>8000000/6.7</f>
        <v>1194029.8507462686</v>
      </c>
      <c r="L813" s="7">
        <f>6140000/6.7</f>
        <v>916417.91044776118</v>
      </c>
      <c r="M813" s="8">
        <v>25545</v>
      </c>
      <c r="N813" s="7">
        <v>1790000</v>
      </c>
      <c r="O813" s="7">
        <f>16740000/6.7</f>
        <v>2498507.4626865671</v>
      </c>
      <c r="P813" s="7">
        <v>2814977</v>
      </c>
      <c r="Q813" s="7">
        <v>2814977</v>
      </c>
      <c r="R813" s="5" t="str">
        <f>VLOOKUP($G813,Others!$E$641:$I$931,2,FALSE)</f>
        <v>Original Screenplay</v>
      </c>
      <c r="S813" s="5" t="str">
        <f>VLOOKUP($G813,Others!$E$641:$I$931,3,FALSE)</f>
        <v>Live Action</v>
      </c>
      <c r="T813" s="5" t="str">
        <f>VLOOKUP($G813,Others!$E$641:$I$931,4,FALSE)</f>
        <v>Contemporary Fiction</v>
      </c>
      <c r="U813" s="5" t="str">
        <f>IFERROR(VLOOKUP($G813,Ratings!$E$125:$I$172,5,FALSE),"none")</f>
        <v>none</v>
      </c>
      <c r="V813" s="5" t="s">
        <v>2517</v>
      </c>
      <c r="W813" s="5" t="s">
        <v>2518</v>
      </c>
      <c r="X813" s="5" t="s">
        <v>2253</v>
      </c>
      <c r="Y813" s="5" t="s">
        <v>1921</v>
      </c>
      <c r="Z813" s="5" t="s">
        <v>2519</v>
      </c>
      <c r="AA813" s="5" t="s">
        <v>2520</v>
      </c>
      <c r="AB813" s="5"/>
      <c r="AC813" s="5" t="s">
        <v>2521</v>
      </c>
      <c r="AD813" s="9">
        <v>7.9</v>
      </c>
      <c r="AE813" s="1" t="s">
        <v>1489</v>
      </c>
      <c r="AG813" s="9"/>
      <c r="AH813" s="9"/>
    </row>
    <row r="814" spans="2:34" hidden="1">
      <c r="B814" s="4">
        <v>2017</v>
      </c>
      <c r="C814" s="4" t="s">
        <v>44</v>
      </c>
      <c r="D814" s="3">
        <f t="shared" si="12"/>
        <v>180</v>
      </c>
      <c r="E814" s="3" t="s">
        <v>1126</v>
      </c>
      <c r="G814" s="5" t="s">
        <v>1250</v>
      </c>
      <c r="H814" s="5"/>
      <c r="I814" s="5" t="s">
        <v>154</v>
      </c>
      <c r="J814" s="7">
        <v>0</v>
      </c>
      <c r="M814" s="8">
        <v>0</v>
      </c>
      <c r="N814" s="7">
        <v>0</v>
      </c>
      <c r="P814" s="7">
        <v>637626</v>
      </c>
      <c r="Q814" s="7">
        <v>637626</v>
      </c>
      <c r="R814" s="5" t="str">
        <f>VLOOKUP($G814,Others!$E$641:$I$931,2,FALSE)</f>
        <v>Original Screenplay</v>
      </c>
      <c r="S814" s="5" t="str">
        <f>VLOOKUP($G814,Others!$E$641:$I$931,3,FALSE)</f>
        <v>Live Action</v>
      </c>
      <c r="T814" s="5" t="str">
        <f>VLOOKUP($G814,Others!$E$641:$I$931,4,FALSE)</f>
        <v>Contemporary Fiction</v>
      </c>
      <c r="U814" s="5" t="str">
        <f>IFERROR(VLOOKUP($G814,Ratings!$E$125:$I$172,5,FALSE),"none")</f>
        <v>none</v>
      </c>
      <c r="V814" s="5"/>
      <c r="X814" s="5"/>
      <c r="Y814" s="5"/>
      <c r="Z814" s="5"/>
      <c r="AA814" s="5"/>
      <c r="AB814" s="5"/>
      <c r="AC814" s="5"/>
      <c r="AG814" s="9"/>
      <c r="AH814" s="9"/>
    </row>
    <row r="815" spans="2:34" hidden="1">
      <c r="B815" s="4">
        <v>2017</v>
      </c>
      <c r="C815" s="4" t="s">
        <v>44</v>
      </c>
      <c r="D815" s="3">
        <f t="shared" si="12"/>
        <v>181</v>
      </c>
      <c r="E815" s="3" t="s">
        <v>1126</v>
      </c>
      <c r="G815" s="5" t="s">
        <v>526</v>
      </c>
      <c r="H815" s="5"/>
      <c r="J815" s="7">
        <v>0</v>
      </c>
      <c r="M815" s="8">
        <v>0</v>
      </c>
      <c r="N815" s="7">
        <v>0</v>
      </c>
      <c r="P815" s="7">
        <v>32405</v>
      </c>
      <c r="Q815" s="7">
        <v>32405</v>
      </c>
      <c r="R815" s="5" t="str">
        <f>VLOOKUP($G815,Others!$E$641:$I$931,2,FALSE)</f>
        <v>Original Screenplay</v>
      </c>
      <c r="S815" s="5" t="str">
        <f>VLOOKUP($G815,Others!$E$641:$I$931,3,FALSE)</f>
        <v>Live Action</v>
      </c>
      <c r="T815" s="5">
        <f>VLOOKUP($G815,Others!$E$641:$I$931,4,FALSE)</f>
        <v>0</v>
      </c>
      <c r="U815" s="5" t="str">
        <f>IFERROR(VLOOKUP($G815,Ratings!$E$125:$I$172,5,FALSE),"none")</f>
        <v>none</v>
      </c>
      <c r="V815" s="5"/>
      <c r="X815" s="5"/>
      <c r="Y815" s="5"/>
      <c r="Z815" s="5"/>
      <c r="AA815" s="5"/>
      <c r="AB815" s="5"/>
      <c r="AC815" s="5"/>
      <c r="AG815" s="9"/>
      <c r="AH815" s="9"/>
    </row>
    <row r="816" spans="2:34" hidden="1">
      <c r="B816" s="4">
        <v>2017</v>
      </c>
      <c r="C816" s="4" t="s">
        <v>44</v>
      </c>
      <c r="D816" s="3">
        <f t="shared" si="12"/>
        <v>182</v>
      </c>
      <c r="E816" s="3" t="s">
        <v>1126</v>
      </c>
      <c r="G816" s="5" t="s">
        <v>417</v>
      </c>
      <c r="H816" s="5"/>
      <c r="I816" s="5" t="s">
        <v>253</v>
      </c>
      <c r="J816" s="7">
        <v>0</v>
      </c>
      <c r="M816" s="8">
        <v>0</v>
      </c>
      <c r="N816" s="7">
        <v>0</v>
      </c>
      <c r="P816" s="7">
        <v>5957524</v>
      </c>
      <c r="Q816" s="7">
        <v>5957524</v>
      </c>
      <c r="R816" s="5" t="str">
        <f>VLOOKUP($G816,Others!$E$641:$I$931,2,FALSE)</f>
        <v>Based on Real Life Events</v>
      </c>
      <c r="S816" s="5" t="str">
        <f>VLOOKUP($G816,Others!$E$641:$I$931,3,FALSE)</f>
        <v>Multiple Production Methods</v>
      </c>
      <c r="T816" s="5" t="str">
        <f>VLOOKUP($G816,Others!$E$641:$I$931,4,FALSE)</f>
        <v>Dramatization</v>
      </c>
      <c r="U816" s="5" t="str">
        <f>IFERROR(VLOOKUP($G816,Ratings!$E$125:$I$172,5,FALSE),"none")</f>
        <v>none</v>
      </c>
      <c r="V816" s="5"/>
      <c r="X816" s="5"/>
      <c r="Y816" s="5"/>
      <c r="Z816" s="5"/>
      <c r="AA816" s="5"/>
      <c r="AB816" s="5"/>
      <c r="AC816" s="5"/>
      <c r="AG816" s="9"/>
      <c r="AH816" s="9"/>
    </row>
    <row r="817" spans="1:34" hidden="1">
      <c r="B817" s="4">
        <v>2017</v>
      </c>
      <c r="C817" s="4" t="s">
        <v>44</v>
      </c>
      <c r="D817" s="3">
        <f t="shared" si="12"/>
        <v>183</v>
      </c>
      <c r="E817" s="3" t="s">
        <v>1126</v>
      </c>
      <c r="G817" s="5" t="s">
        <v>1251</v>
      </c>
      <c r="H817" s="5"/>
      <c r="I817" s="5" t="s">
        <v>148</v>
      </c>
      <c r="J817" s="7">
        <v>0</v>
      </c>
      <c r="M817" s="8">
        <v>0</v>
      </c>
      <c r="N817" s="7">
        <v>0</v>
      </c>
      <c r="P817" s="7">
        <v>1039439</v>
      </c>
      <c r="Q817" s="7">
        <v>1039439</v>
      </c>
      <c r="R817" s="5" t="str">
        <f>VLOOKUP($G817,Others!$E$641:$I$931,2,FALSE)</f>
        <v>Original Screenplay</v>
      </c>
      <c r="S817" s="5" t="str">
        <f>VLOOKUP($G817,Others!$E$641:$I$931,3,FALSE)</f>
        <v>Live Action</v>
      </c>
      <c r="T817" s="5" t="str">
        <f>VLOOKUP($G817,Others!$E$641:$I$931,4,FALSE)</f>
        <v>Contemporary Fiction</v>
      </c>
      <c r="U817" s="5" t="str">
        <f>IFERROR(VLOOKUP($G817,Ratings!$E$125:$I$172,5,FALSE),"none")</f>
        <v>none</v>
      </c>
      <c r="V817" s="5"/>
      <c r="X817" s="5"/>
      <c r="Y817" s="5"/>
      <c r="Z817" s="5"/>
      <c r="AA817" s="5"/>
      <c r="AB817" s="5"/>
      <c r="AC817" s="5"/>
      <c r="AG817" s="9"/>
      <c r="AH817" s="9"/>
    </row>
    <row r="818" spans="1:34" hidden="1">
      <c r="B818" s="4">
        <v>2017</v>
      </c>
      <c r="C818" s="4" t="s">
        <v>44</v>
      </c>
      <c r="D818" s="3">
        <f t="shared" si="12"/>
        <v>184</v>
      </c>
      <c r="E818" s="3" t="s">
        <v>1126</v>
      </c>
      <c r="G818" s="5" t="s">
        <v>1252</v>
      </c>
      <c r="H818" s="5"/>
      <c r="I818" s="5" t="s">
        <v>131</v>
      </c>
      <c r="J818" s="7">
        <v>0</v>
      </c>
      <c r="M818" s="8">
        <v>0</v>
      </c>
      <c r="N818" s="7">
        <v>0</v>
      </c>
      <c r="P818" s="7">
        <v>14335</v>
      </c>
      <c r="Q818" s="7">
        <v>14335</v>
      </c>
      <c r="R818" s="5">
        <f>VLOOKUP($G818,Others!$E$641:$I$931,2,FALSE)</f>
        <v>0</v>
      </c>
      <c r="S818" s="5">
        <f>VLOOKUP($G818,Others!$E$641:$I$931,3,FALSE)</f>
        <v>0</v>
      </c>
      <c r="T818" s="5">
        <f>VLOOKUP($G818,Others!$E$641:$I$931,4,FALSE)</f>
        <v>0</v>
      </c>
      <c r="U818" s="5" t="str">
        <f>IFERROR(VLOOKUP($G818,Ratings!$E$125:$I$172,5,FALSE),"none")</f>
        <v>none</v>
      </c>
      <c r="V818" s="5"/>
      <c r="X818" s="5"/>
      <c r="Y818" s="5"/>
      <c r="Z818" s="5"/>
      <c r="AA818" s="5"/>
      <c r="AB818" s="5"/>
      <c r="AC818" s="5"/>
      <c r="AG818" s="9"/>
      <c r="AH818" s="9"/>
    </row>
    <row r="819" spans="1:34" hidden="1">
      <c r="B819" s="4">
        <v>2017</v>
      </c>
      <c r="C819" s="4" t="s">
        <v>44</v>
      </c>
      <c r="D819" s="3">
        <f t="shared" si="12"/>
        <v>185</v>
      </c>
      <c r="E819" s="3" t="s">
        <v>1126</v>
      </c>
      <c r="G819" s="5" t="s">
        <v>1253</v>
      </c>
      <c r="H819" s="5"/>
      <c r="I819" s="5" t="s">
        <v>131</v>
      </c>
      <c r="J819" s="7">
        <v>0</v>
      </c>
      <c r="M819" s="8">
        <v>0</v>
      </c>
      <c r="N819" s="7">
        <v>0</v>
      </c>
      <c r="P819" s="7">
        <v>141578</v>
      </c>
      <c r="Q819" s="7">
        <v>141578</v>
      </c>
      <c r="R819" s="5">
        <f>VLOOKUP($G819,Others!$E$641:$I$931,2,FALSE)</f>
        <v>0</v>
      </c>
      <c r="S819" s="5">
        <f>VLOOKUP($G819,Others!$E$641:$I$931,3,FALSE)</f>
        <v>0</v>
      </c>
      <c r="T819" s="5">
        <f>VLOOKUP($G819,Others!$E$641:$I$931,4,FALSE)</f>
        <v>0</v>
      </c>
      <c r="U819" s="5" t="str">
        <f>IFERROR(VLOOKUP($G819,Ratings!$E$125:$I$172,5,FALSE),"none")</f>
        <v>none</v>
      </c>
      <c r="V819" s="5"/>
      <c r="X819" s="5"/>
      <c r="Y819" s="5"/>
      <c r="Z819" s="5"/>
      <c r="AA819" s="5"/>
      <c r="AB819" s="5"/>
      <c r="AC819" s="5"/>
      <c r="AG819" s="9"/>
      <c r="AH819" s="9"/>
    </row>
    <row r="820" spans="1:34" hidden="1">
      <c r="B820" s="4">
        <v>2017</v>
      </c>
      <c r="C820" s="4" t="s">
        <v>44</v>
      </c>
      <c r="D820" s="3">
        <f t="shared" si="12"/>
        <v>186</v>
      </c>
      <c r="E820" s="3" t="s">
        <v>1126</v>
      </c>
      <c r="G820" s="5" t="s">
        <v>1254</v>
      </c>
      <c r="H820" s="5"/>
      <c r="I820" s="5" t="s">
        <v>127</v>
      </c>
      <c r="J820" s="7">
        <v>0</v>
      </c>
      <c r="M820" s="8">
        <v>0</v>
      </c>
      <c r="N820" s="7">
        <v>0</v>
      </c>
      <c r="P820" s="7">
        <v>1653264</v>
      </c>
      <c r="Q820" s="7">
        <v>1653264</v>
      </c>
      <c r="R820" s="5" t="str">
        <f>VLOOKUP($G820,Others!$E$641:$I$931,2,FALSE)</f>
        <v>Original Screenplay</v>
      </c>
      <c r="S820" s="5" t="str">
        <f>VLOOKUP($G820,Others!$E$641:$I$931,3,FALSE)</f>
        <v>Digital Animation</v>
      </c>
      <c r="T820" s="5" t="str">
        <f>VLOOKUP($G820,Others!$E$641:$I$931,4,FALSE)</f>
        <v>Kids Fiction</v>
      </c>
      <c r="U820" s="5" t="str">
        <f>IFERROR(VLOOKUP($G820,Ratings!$E$125:$I$172,5,FALSE),"none")</f>
        <v>none</v>
      </c>
      <c r="V820" s="5"/>
      <c r="X820" s="5"/>
      <c r="Y820" s="5"/>
      <c r="Z820" s="5"/>
      <c r="AA820" s="5"/>
      <c r="AB820" s="5"/>
      <c r="AC820" s="5"/>
      <c r="AG820" s="9"/>
      <c r="AH820" s="9"/>
    </row>
    <row r="821" spans="1:34">
      <c r="B821" s="4">
        <v>2017</v>
      </c>
      <c r="C821" s="4" t="s">
        <v>44</v>
      </c>
      <c r="D821" s="3">
        <f t="shared" si="12"/>
        <v>187</v>
      </c>
      <c r="E821" s="55" t="s">
        <v>1126</v>
      </c>
      <c r="F821" s="56" t="s">
        <v>1099</v>
      </c>
      <c r="G821" s="5" t="s">
        <v>1255</v>
      </c>
      <c r="H821" s="5" t="s">
        <v>2522</v>
      </c>
      <c r="I821" s="5" t="s">
        <v>131</v>
      </c>
      <c r="J821" s="7">
        <f>30000000/6.7</f>
        <v>4477611.940298507</v>
      </c>
      <c r="K821" s="7">
        <f>15000000/6.7</f>
        <v>2238805.9701492535</v>
      </c>
      <c r="L821" s="7">
        <f>14358000/6.7</f>
        <v>2142985.0746268658</v>
      </c>
      <c r="M821" s="8">
        <v>37431</v>
      </c>
      <c r="N821" s="7">
        <v>4550000</v>
      </c>
      <c r="O821" s="7">
        <f>39145000/6.7</f>
        <v>5842537.313432836</v>
      </c>
      <c r="P821" s="7">
        <v>5921481</v>
      </c>
      <c r="Q821" s="7">
        <v>5921481</v>
      </c>
      <c r="R821" s="5" t="str">
        <f>VLOOKUP($G821,Others!$E$641:$I$931,2,FALSE)</f>
        <v>Original Screenplay</v>
      </c>
      <c r="S821" s="5" t="str">
        <f>VLOOKUP($G821,Others!$E$641:$I$931,3,FALSE)</f>
        <v>Live Action</v>
      </c>
      <c r="T821" s="5" t="str">
        <f>VLOOKUP($G821,Others!$E$641:$I$931,4,FALSE)</f>
        <v>Kids Fiction</v>
      </c>
      <c r="U821" s="5" t="str">
        <f>IFERROR(VLOOKUP($G821,Ratings!$E$125:$I$172,5,FALSE),"none")</f>
        <v>none</v>
      </c>
      <c r="V821" s="5" t="s">
        <v>2523</v>
      </c>
      <c r="W821" s="5" t="s">
        <v>1255</v>
      </c>
      <c r="X821" s="5" t="s">
        <v>2164</v>
      </c>
      <c r="Y821" s="5"/>
      <c r="Z821" s="5"/>
      <c r="AA821" s="5" t="s">
        <v>2524</v>
      </c>
      <c r="AB821" s="5"/>
      <c r="AC821" s="5" t="s">
        <v>2525</v>
      </c>
      <c r="AD821" s="9">
        <v>7.7</v>
      </c>
      <c r="AE821" s="1" t="s">
        <v>1489</v>
      </c>
      <c r="AG821" s="9"/>
      <c r="AH821" s="9"/>
    </row>
    <row r="822" spans="1:34" hidden="1">
      <c r="B822" s="4">
        <v>2017</v>
      </c>
      <c r="C822" s="4" t="s">
        <v>44</v>
      </c>
      <c r="D822" s="3">
        <f t="shared" si="12"/>
        <v>188</v>
      </c>
      <c r="E822" s="3" t="s">
        <v>1126</v>
      </c>
      <c r="G822" s="5" t="s">
        <v>515</v>
      </c>
      <c r="H822" s="5"/>
      <c r="I822" s="5" t="s">
        <v>154</v>
      </c>
      <c r="J822" s="7">
        <v>0</v>
      </c>
      <c r="M822" s="8">
        <v>0</v>
      </c>
      <c r="N822" s="7">
        <v>0</v>
      </c>
      <c r="P822" s="7">
        <v>65915</v>
      </c>
      <c r="Q822" s="7">
        <v>65915</v>
      </c>
      <c r="R822" s="5">
        <f>VLOOKUP($G822,Others!$E$641:$I$931,2,FALSE)</f>
        <v>0</v>
      </c>
      <c r="S822" s="5" t="str">
        <f>VLOOKUP($G822,Others!$E$641:$I$931,3,FALSE)</f>
        <v>Live Action</v>
      </c>
      <c r="T822" s="5" t="str">
        <f>VLOOKUP($G822,Others!$E$641:$I$931,4,FALSE)</f>
        <v>Fantasy</v>
      </c>
      <c r="U822" s="5" t="str">
        <f>IFERROR(VLOOKUP($G822,Ratings!$E$125:$I$172,5,FALSE),"none")</f>
        <v>none</v>
      </c>
      <c r="V822" s="5"/>
      <c r="X822" s="5"/>
      <c r="Y822" s="5"/>
      <c r="Z822" s="5"/>
      <c r="AA822" s="5"/>
      <c r="AB822" s="5"/>
      <c r="AC822" s="5"/>
      <c r="AG822" s="9"/>
      <c r="AH822" s="9"/>
    </row>
    <row r="823" spans="1:34" s="2" customFormat="1">
      <c r="A823" s="16"/>
      <c r="B823" s="17">
        <v>2017</v>
      </c>
      <c r="C823" s="4" t="s">
        <v>44</v>
      </c>
      <c r="D823" s="3">
        <f t="shared" si="12"/>
        <v>189</v>
      </c>
      <c r="E823" s="55" t="s">
        <v>1126</v>
      </c>
      <c r="F823" s="16" t="s">
        <v>1066</v>
      </c>
      <c r="G823" s="18" t="s">
        <v>1256</v>
      </c>
      <c r="H823" s="5" t="s">
        <v>2526</v>
      </c>
      <c r="I823" s="18" t="s">
        <v>127</v>
      </c>
      <c r="J823" s="19">
        <f>10000000/6.7</f>
        <v>1492537.3134328357</v>
      </c>
      <c r="K823" s="19">
        <f>5000000/6.7</f>
        <v>746268.65671641787</v>
      </c>
      <c r="L823" s="19">
        <f>14905000/6.7</f>
        <v>2224626.8656716417</v>
      </c>
      <c r="M823" s="8">
        <v>6811</v>
      </c>
      <c r="N823" s="7">
        <v>590000</v>
      </c>
      <c r="O823" s="19">
        <f>40636000/6.7</f>
        <v>6065074.626865671</v>
      </c>
      <c r="P823" s="19">
        <v>6000000</v>
      </c>
      <c r="Q823" s="19">
        <v>6000000</v>
      </c>
      <c r="R823" s="5" t="str">
        <f>VLOOKUP($G823,Others!$E$641:$I$931,2,FALSE)</f>
        <v>Original Screenplay</v>
      </c>
      <c r="S823" s="5" t="str">
        <f>VLOOKUP($G823,Others!$E$641:$I$931,3,FALSE)</f>
        <v>Digital Animation</v>
      </c>
      <c r="T823" s="5" t="str">
        <f>VLOOKUP($G823,Others!$E$641:$I$931,4,FALSE)</f>
        <v>Kids Fiction</v>
      </c>
      <c r="U823" s="5" t="str">
        <f>IFERROR(VLOOKUP($G823,Ratings!$E$125:$I$172,5,FALSE),"none")</f>
        <v>none</v>
      </c>
      <c r="V823" s="5" t="s">
        <v>2527</v>
      </c>
      <c r="W823" s="39" t="s">
        <v>1411</v>
      </c>
      <c r="X823" s="5" t="s">
        <v>2528</v>
      </c>
      <c r="Y823" s="5" t="s">
        <v>2408</v>
      </c>
      <c r="Z823" s="5" t="s">
        <v>2529</v>
      </c>
      <c r="AA823" s="5" t="s">
        <v>2530</v>
      </c>
      <c r="AB823" s="5"/>
      <c r="AC823" s="5" t="s">
        <v>2531</v>
      </c>
      <c r="AD823" s="2">
        <v>8.8000000000000007</v>
      </c>
      <c r="AE823" s="21" t="s">
        <v>1489</v>
      </c>
    </row>
    <row r="824" spans="1:34" hidden="1">
      <c r="B824" s="4">
        <v>2017</v>
      </c>
      <c r="C824" s="4" t="s">
        <v>44</v>
      </c>
      <c r="D824" s="3">
        <f t="shared" si="12"/>
        <v>190</v>
      </c>
      <c r="E824" s="3" t="s">
        <v>1126</v>
      </c>
      <c r="G824" s="5" t="s">
        <v>1257</v>
      </c>
      <c r="H824" s="5"/>
      <c r="I824" s="5" t="s">
        <v>193</v>
      </c>
      <c r="J824" s="7">
        <v>0</v>
      </c>
      <c r="M824" s="8">
        <v>0</v>
      </c>
      <c r="N824" s="7">
        <v>0</v>
      </c>
      <c r="P824" s="7">
        <v>337323</v>
      </c>
      <c r="Q824" s="7">
        <v>337323</v>
      </c>
      <c r="R824" s="5">
        <f>VLOOKUP($G824,Others!$E$641:$I$931,2,FALSE)</f>
        <v>0</v>
      </c>
      <c r="S824" s="5">
        <f>VLOOKUP($G824,Others!$E$641:$I$931,3,FALSE)</f>
        <v>0</v>
      </c>
      <c r="T824" s="5">
        <f>VLOOKUP($G824,Others!$E$641:$I$931,4,FALSE)</f>
        <v>0</v>
      </c>
      <c r="U824" s="5" t="str">
        <f>IFERROR(VLOOKUP($G824,Ratings!$E$125:$I$172,5,FALSE),"none")</f>
        <v>none</v>
      </c>
      <c r="V824" s="5"/>
      <c r="X824" s="5"/>
      <c r="Y824" s="5"/>
      <c r="Z824" s="5"/>
      <c r="AA824" s="5"/>
      <c r="AB824" s="5"/>
      <c r="AC824" s="5"/>
      <c r="AG824" s="9"/>
      <c r="AH824" s="9"/>
    </row>
    <row r="825" spans="1:34" hidden="1">
      <c r="B825" s="4">
        <v>2017</v>
      </c>
      <c r="C825" s="4" t="s">
        <v>44</v>
      </c>
      <c r="D825" s="3">
        <f t="shared" si="12"/>
        <v>191</v>
      </c>
      <c r="E825" s="3" t="s">
        <v>1126</v>
      </c>
      <c r="G825" s="5" t="s">
        <v>1258</v>
      </c>
      <c r="H825" s="5"/>
      <c r="I825" s="5" t="s">
        <v>148</v>
      </c>
      <c r="J825" s="7">
        <v>0</v>
      </c>
      <c r="M825" s="8">
        <v>0</v>
      </c>
      <c r="N825" s="7">
        <v>0</v>
      </c>
      <c r="P825" s="7">
        <v>83595</v>
      </c>
      <c r="Q825" s="7">
        <v>83595</v>
      </c>
      <c r="R825" s="5">
        <f>VLOOKUP($G825,Others!$E$641:$I$931,2,FALSE)</f>
        <v>0</v>
      </c>
      <c r="S825" s="5">
        <f>VLOOKUP($G825,Others!$E$641:$I$931,3,FALSE)</f>
        <v>0</v>
      </c>
      <c r="T825" s="5">
        <f>VLOOKUP($G825,Others!$E$641:$I$931,4,FALSE)</f>
        <v>0</v>
      </c>
      <c r="U825" s="5" t="str">
        <f>IFERROR(VLOOKUP($G825,Ratings!$E$125:$I$172,5,FALSE),"none")</f>
        <v>none</v>
      </c>
      <c r="V825" s="5"/>
      <c r="X825" s="5"/>
      <c r="Y825" s="5"/>
      <c r="Z825" s="5"/>
      <c r="AA825" s="5"/>
      <c r="AB825" s="5"/>
      <c r="AC825" s="5"/>
      <c r="AG825" s="9"/>
      <c r="AH825" s="9"/>
    </row>
    <row r="826" spans="1:34">
      <c r="B826" s="4">
        <v>2017</v>
      </c>
      <c r="C826" s="4" t="s">
        <v>44</v>
      </c>
      <c r="D826" s="3">
        <f t="shared" si="12"/>
        <v>192</v>
      </c>
      <c r="E826" s="55" t="s">
        <v>1126</v>
      </c>
      <c r="F826" s="3" t="s">
        <v>826</v>
      </c>
      <c r="G826" s="5" t="s">
        <v>466</v>
      </c>
      <c r="H826" s="5" t="s">
        <v>2532</v>
      </c>
      <c r="I826" s="5" t="s">
        <v>136</v>
      </c>
      <c r="J826" s="7">
        <f>10000000/6.7</f>
        <v>1492537.3134328357</v>
      </c>
      <c r="K826" s="7">
        <f>5000000/6.7</f>
        <v>746268.65671641787</v>
      </c>
      <c r="L826" s="7">
        <f>1260000/6.7</f>
        <v>188059.70149253731</v>
      </c>
      <c r="M826" s="41" t="s">
        <v>1501</v>
      </c>
      <c r="N826" s="7">
        <v>268002</v>
      </c>
      <c r="O826" s="7">
        <f>3450000/6.7</f>
        <v>514925.37313432834</v>
      </c>
      <c r="P826" s="7">
        <v>544914</v>
      </c>
      <c r="Q826" s="7">
        <v>544914</v>
      </c>
      <c r="R826" s="5" t="str">
        <f>VLOOKUP($G826,Others!$E$641:$I$931,2,FALSE)</f>
        <v>Original Screenplay</v>
      </c>
      <c r="S826" s="5" t="str">
        <f>VLOOKUP($G826,Others!$E$641:$I$931,3,FALSE)</f>
        <v>Live Action</v>
      </c>
      <c r="T826" s="5" t="str">
        <f>VLOOKUP($G826,Others!$E$641:$I$931,4,FALSE)</f>
        <v>Contemporary Fiction</v>
      </c>
      <c r="U826" s="5" t="str">
        <f>IFERROR(VLOOKUP($G826,Ratings!$E$125:$I$172,5,FALSE),"none")</f>
        <v>none</v>
      </c>
      <c r="V826" s="5" t="s">
        <v>2533</v>
      </c>
      <c r="W826" s="39" t="s">
        <v>2534</v>
      </c>
      <c r="X826" s="5" t="s">
        <v>2535</v>
      </c>
      <c r="Y826" s="5" t="s">
        <v>2245</v>
      </c>
      <c r="Z826" s="5"/>
      <c r="AA826" s="5" t="s">
        <v>2536</v>
      </c>
      <c r="AB826" s="5"/>
      <c r="AC826" s="5" t="s">
        <v>2537</v>
      </c>
      <c r="AD826" s="9">
        <v>7.9</v>
      </c>
      <c r="AE826" s="1" t="s">
        <v>1489</v>
      </c>
      <c r="AG826" s="9"/>
      <c r="AH826" s="9"/>
    </row>
    <row r="827" spans="1:34" hidden="1">
      <c r="B827" s="4">
        <v>2017</v>
      </c>
      <c r="C827" s="4" t="s">
        <v>44</v>
      </c>
      <c r="D827" s="3">
        <f t="shared" si="12"/>
        <v>193</v>
      </c>
      <c r="E827" s="3" t="s">
        <v>1126</v>
      </c>
      <c r="G827" s="5" t="s">
        <v>1259</v>
      </c>
      <c r="H827" s="5"/>
      <c r="I827" s="5" t="s">
        <v>131</v>
      </c>
      <c r="J827" s="7">
        <v>0</v>
      </c>
      <c r="M827" s="8">
        <v>0</v>
      </c>
      <c r="N827" s="7">
        <v>0</v>
      </c>
      <c r="P827" s="7">
        <v>1145984</v>
      </c>
      <c r="Q827" s="7">
        <v>1145984</v>
      </c>
      <c r="R827" s="5" t="str">
        <f>VLOOKUP($G827,Others!$E$641:$I$931,2,FALSE)</f>
        <v>Original Screenplay</v>
      </c>
      <c r="S827" s="5" t="str">
        <f>VLOOKUP($G827,Others!$E$641:$I$931,3,FALSE)</f>
        <v>Live Action</v>
      </c>
      <c r="T827" s="5" t="str">
        <f>VLOOKUP($G827,Others!$E$641:$I$931,4,FALSE)</f>
        <v>Contemporary Fiction</v>
      </c>
      <c r="U827" s="5" t="str">
        <f>IFERROR(VLOOKUP($G827,Ratings!$E$125:$I$172,5,FALSE),"none")</f>
        <v>none</v>
      </c>
      <c r="V827" s="5"/>
      <c r="X827" s="5"/>
      <c r="Y827" s="5"/>
      <c r="Z827" s="5"/>
      <c r="AA827" s="5"/>
      <c r="AB827" s="5"/>
      <c r="AC827" s="5"/>
      <c r="AG827" s="9"/>
      <c r="AH827" s="9"/>
    </row>
    <row r="828" spans="1:34" hidden="1">
      <c r="B828" s="4">
        <v>2017</v>
      </c>
      <c r="C828" s="4" t="s">
        <v>44</v>
      </c>
      <c r="D828" s="3">
        <f t="shared" si="12"/>
        <v>194</v>
      </c>
      <c r="E828" s="3" t="s">
        <v>1126</v>
      </c>
      <c r="G828" s="5" t="s">
        <v>1260</v>
      </c>
      <c r="H828" s="5"/>
      <c r="I828" s="5" t="s">
        <v>131</v>
      </c>
      <c r="J828" s="7">
        <v>0</v>
      </c>
      <c r="M828" s="8">
        <v>0</v>
      </c>
      <c r="N828" s="7">
        <v>0</v>
      </c>
      <c r="P828" s="7">
        <v>213749</v>
      </c>
      <c r="Q828" s="7">
        <v>213749</v>
      </c>
      <c r="R828" s="5">
        <f>VLOOKUP($G828,Others!$E$641:$I$931,2,FALSE)</f>
        <v>0</v>
      </c>
      <c r="S828" s="5">
        <f>VLOOKUP($G828,Others!$E$641:$I$931,3,FALSE)</f>
        <v>0</v>
      </c>
      <c r="T828" s="5">
        <f>VLOOKUP($G828,Others!$E$641:$I$931,4,FALSE)</f>
        <v>0</v>
      </c>
      <c r="U828" s="5" t="str">
        <f>IFERROR(VLOOKUP($G828,Ratings!$E$125:$I$172,5,FALSE),"none")</f>
        <v>none</v>
      </c>
      <c r="V828" s="5"/>
      <c r="X828" s="5"/>
      <c r="Y828" s="5"/>
      <c r="Z828" s="5"/>
      <c r="AA828" s="5"/>
      <c r="AB828" s="5"/>
      <c r="AC828" s="5"/>
      <c r="AG828" s="9"/>
      <c r="AH828" s="9"/>
    </row>
    <row r="829" spans="1:34" hidden="1">
      <c r="B829" s="4">
        <v>2017</v>
      </c>
      <c r="C829" s="4" t="s">
        <v>44</v>
      </c>
      <c r="D829" s="3">
        <f t="shared" ref="D829:D892" si="13">D828+1</f>
        <v>195</v>
      </c>
      <c r="E829" s="3" t="s">
        <v>1126</v>
      </c>
      <c r="G829" s="5" t="s">
        <v>1261</v>
      </c>
      <c r="H829" s="5"/>
      <c r="I829" s="5" t="s">
        <v>148</v>
      </c>
      <c r="J829" s="7">
        <v>0</v>
      </c>
      <c r="M829" s="8">
        <v>0</v>
      </c>
      <c r="N829" s="7">
        <v>0</v>
      </c>
      <c r="P829" s="7">
        <v>2022609</v>
      </c>
      <c r="Q829" s="7">
        <v>2022609</v>
      </c>
      <c r="R829" s="5" t="str">
        <f>VLOOKUP($G829,Others!$E$641:$I$931,2,FALSE)</f>
        <v>Original Screenplay</v>
      </c>
      <c r="S829" s="5" t="str">
        <f>VLOOKUP($G829,Others!$E$641:$I$931,3,FALSE)</f>
        <v>Live Action</v>
      </c>
      <c r="T829" s="5" t="str">
        <f>VLOOKUP($G829,Others!$E$641:$I$931,4,FALSE)</f>
        <v>Contemporary Fiction</v>
      </c>
      <c r="U829" s="5" t="str">
        <f>IFERROR(VLOOKUP($G829,Ratings!$E$125:$I$172,5,FALSE),"none")</f>
        <v>none</v>
      </c>
      <c r="V829" s="5"/>
      <c r="X829" s="5"/>
      <c r="Y829" s="5"/>
      <c r="Z829" s="5"/>
      <c r="AA829" s="5"/>
      <c r="AB829" s="5"/>
      <c r="AC829" s="5"/>
      <c r="AG829" s="9"/>
      <c r="AH829" s="9"/>
    </row>
    <row r="830" spans="1:34" hidden="1">
      <c r="B830" s="4">
        <v>2017</v>
      </c>
      <c r="C830" s="4" t="s">
        <v>44</v>
      </c>
      <c r="D830" s="3">
        <f t="shared" si="13"/>
        <v>196</v>
      </c>
      <c r="E830" s="3" t="s">
        <v>1126</v>
      </c>
      <c r="G830" s="5" t="s">
        <v>1262</v>
      </c>
      <c r="H830" s="5"/>
      <c r="J830" s="7">
        <v>0</v>
      </c>
      <c r="M830" s="8">
        <v>0</v>
      </c>
      <c r="N830" s="7">
        <v>0</v>
      </c>
      <c r="P830" s="7">
        <v>18801</v>
      </c>
      <c r="Q830" s="7">
        <v>18801</v>
      </c>
      <c r="R830" s="5">
        <f>VLOOKUP($G830,Others!$E$641:$I$931,2,FALSE)</f>
        <v>0</v>
      </c>
      <c r="S830" s="5">
        <f>VLOOKUP($G830,Others!$E$641:$I$931,3,FALSE)</f>
        <v>0</v>
      </c>
      <c r="T830" s="5">
        <f>VLOOKUP($G830,Others!$E$641:$I$931,4,FALSE)</f>
        <v>0</v>
      </c>
      <c r="U830" s="5" t="str">
        <f>IFERROR(VLOOKUP($G830,Ratings!$E$125:$I$172,5,FALSE),"none")</f>
        <v>none</v>
      </c>
      <c r="V830" s="5"/>
      <c r="X830" s="5"/>
      <c r="Y830" s="5"/>
      <c r="Z830" s="5"/>
      <c r="AA830" s="5"/>
      <c r="AB830" s="5"/>
      <c r="AC830" s="5"/>
      <c r="AG830" s="9"/>
      <c r="AH830" s="9"/>
    </row>
    <row r="831" spans="1:34" hidden="1">
      <c r="B831" s="4">
        <v>2017</v>
      </c>
      <c r="C831" s="4" t="s">
        <v>44</v>
      </c>
      <c r="D831" s="3">
        <f t="shared" si="13"/>
        <v>197</v>
      </c>
      <c r="E831" s="3" t="s">
        <v>1126</v>
      </c>
      <c r="G831" s="5" t="s">
        <v>1263</v>
      </c>
      <c r="H831" s="5"/>
      <c r="I831" s="5" t="s">
        <v>131</v>
      </c>
      <c r="J831" s="7">
        <v>0</v>
      </c>
      <c r="M831" s="8">
        <v>0</v>
      </c>
      <c r="N831" s="7">
        <v>0</v>
      </c>
      <c r="P831" s="7">
        <v>14955</v>
      </c>
      <c r="Q831" s="7">
        <v>14955</v>
      </c>
      <c r="R831" s="5" t="str">
        <f>VLOOKUP($G831,Others!$E$641:$I$931,2,FALSE)</f>
        <v>Original Screenplay</v>
      </c>
      <c r="S831" s="5" t="str">
        <f>VLOOKUP($G831,Others!$E$641:$I$931,3,FALSE)</f>
        <v>Live Action</v>
      </c>
      <c r="T831" s="5" t="str">
        <f>VLOOKUP($G831,Others!$E$641:$I$931,4,FALSE)</f>
        <v>Science Fiction</v>
      </c>
      <c r="U831" s="5" t="str">
        <f>IFERROR(VLOOKUP($G831,Ratings!$E$125:$I$172,5,FALSE),"none")</f>
        <v>none</v>
      </c>
      <c r="V831" s="5"/>
      <c r="X831" s="5"/>
      <c r="Y831" s="5"/>
      <c r="Z831" s="5"/>
      <c r="AA831" s="5"/>
      <c r="AB831" s="5"/>
      <c r="AC831" s="5"/>
      <c r="AG831" s="9"/>
      <c r="AH831" s="9"/>
    </row>
    <row r="832" spans="1:34" hidden="1">
      <c r="B832" s="4">
        <v>2017</v>
      </c>
      <c r="C832" s="4" t="s">
        <v>44</v>
      </c>
      <c r="D832" s="3">
        <f t="shared" si="13"/>
        <v>198</v>
      </c>
      <c r="E832" s="3" t="s">
        <v>1126</v>
      </c>
      <c r="G832" s="5" t="s">
        <v>1264</v>
      </c>
      <c r="H832" s="5"/>
      <c r="I832" s="5" t="s">
        <v>148</v>
      </c>
      <c r="J832" s="7">
        <v>0</v>
      </c>
      <c r="M832" s="8">
        <v>0</v>
      </c>
      <c r="N832" s="7">
        <v>0</v>
      </c>
      <c r="P832" s="7">
        <v>17134</v>
      </c>
      <c r="Q832" s="7">
        <v>17134</v>
      </c>
      <c r="R832" s="5">
        <f>VLOOKUP($G832,Others!$E$641:$I$931,2,FALSE)</f>
        <v>0</v>
      </c>
      <c r="S832" s="5">
        <f>VLOOKUP($G832,Others!$E$641:$I$931,3,FALSE)</f>
        <v>0</v>
      </c>
      <c r="T832" s="5">
        <f>VLOOKUP($G832,Others!$E$641:$I$931,4,FALSE)</f>
        <v>0</v>
      </c>
      <c r="U832" s="5" t="str">
        <f>IFERROR(VLOOKUP($G832,Ratings!$E$125:$I$172,5,FALSE),"none")</f>
        <v>none</v>
      </c>
      <c r="V832" s="5"/>
      <c r="X832" s="5"/>
      <c r="Y832" s="5"/>
      <c r="Z832" s="5"/>
      <c r="AA832" s="5"/>
      <c r="AB832" s="5"/>
      <c r="AC832" s="5"/>
      <c r="AG832" s="9"/>
      <c r="AH832" s="9"/>
    </row>
    <row r="833" spans="2:34">
      <c r="B833" s="4">
        <v>2017</v>
      </c>
      <c r="C833" s="4" t="s">
        <v>44</v>
      </c>
      <c r="D833" s="3">
        <f t="shared" si="13"/>
        <v>199</v>
      </c>
      <c r="E833" s="55" t="s">
        <v>1126</v>
      </c>
      <c r="F833" s="56" t="s">
        <v>1896</v>
      </c>
      <c r="G833" s="5" t="s">
        <v>1265</v>
      </c>
      <c r="H833" s="5" t="s">
        <v>2504</v>
      </c>
      <c r="I833" s="5" t="s">
        <v>148</v>
      </c>
      <c r="J833" s="7">
        <v>4477611</v>
      </c>
      <c r="K833" s="7">
        <v>1492537</v>
      </c>
      <c r="L833" s="7">
        <v>1240298</v>
      </c>
      <c r="M833" s="8">
        <v>22756</v>
      </c>
      <c r="N833" s="7">
        <v>2210000</v>
      </c>
      <c r="O833" s="7">
        <v>3383582</v>
      </c>
      <c r="P833" s="7">
        <v>3667477</v>
      </c>
      <c r="Q833" s="7">
        <v>3667477</v>
      </c>
      <c r="R833" s="5" t="str">
        <f>VLOOKUP($G833,Others!$E$641:$I$931,2,FALSE)</f>
        <v>Original Screenplay</v>
      </c>
      <c r="S833" s="5" t="str">
        <f>VLOOKUP($G833,Others!$E$641:$I$931,3,FALSE)</f>
        <v>Live Action</v>
      </c>
      <c r="T833" s="5" t="str">
        <f>VLOOKUP($G833,Others!$E$641:$I$931,4,FALSE)</f>
        <v>Contemporary Fiction</v>
      </c>
      <c r="U833" s="5" t="str">
        <f>IFERROR(VLOOKUP($G833,Ratings!$E$125:$I$172,5,FALSE),"none")</f>
        <v>none</v>
      </c>
      <c r="V833" s="5" t="s">
        <v>2538</v>
      </c>
      <c r="W833" s="39" t="s">
        <v>2539</v>
      </c>
      <c r="X833" s="5" t="s">
        <v>2540</v>
      </c>
      <c r="Y833" s="5" t="s">
        <v>2541</v>
      </c>
      <c r="Z833" s="5"/>
      <c r="AA833" s="5" t="s">
        <v>2501</v>
      </c>
      <c r="AB833" s="5"/>
      <c r="AC833" s="5" t="s">
        <v>2504</v>
      </c>
      <c r="AD833" s="9">
        <v>8</v>
      </c>
      <c r="AE833" s="1" t="s">
        <v>1489</v>
      </c>
      <c r="AG833" s="9"/>
      <c r="AH833" s="9"/>
    </row>
    <row r="834" spans="2:34">
      <c r="B834" s="4">
        <v>2017</v>
      </c>
      <c r="C834" s="4" t="s">
        <v>44</v>
      </c>
      <c r="D834" s="3">
        <f t="shared" si="13"/>
        <v>200</v>
      </c>
      <c r="E834" s="3" t="s">
        <v>1267</v>
      </c>
      <c r="F834" s="3" t="s">
        <v>1267</v>
      </c>
      <c r="G834" s="5" t="s">
        <v>1268</v>
      </c>
      <c r="H834" s="5" t="s">
        <v>626</v>
      </c>
      <c r="I834" s="5" t="s">
        <v>131</v>
      </c>
      <c r="J834" s="7">
        <v>14925373</v>
      </c>
      <c r="K834" s="7">
        <v>11940298</v>
      </c>
      <c r="L834" s="7">
        <v>76865671</v>
      </c>
      <c r="M834" s="8">
        <v>35</v>
      </c>
      <c r="N834" s="7">
        <v>338604</v>
      </c>
      <c r="O834" s="7">
        <v>198507462</v>
      </c>
      <c r="P834" s="7">
        <v>225197313</v>
      </c>
      <c r="Q834" s="7">
        <v>227089269</v>
      </c>
      <c r="R834" s="5" t="str">
        <f>VLOOKUP($G834,Others!$E$641:$I$931,2,FALSE)</f>
        <v>Original Screenplay</v>
      </c>
      <c r="S834" s="5" t="str">
        <f>VLOOKUP($G834,Others!$E$641:$I$931,3,FALSE)</f>
        <v>Live Action</v>
      </c>
      <c r="T834" s="5" t="str">
        <f>VLOOKUP($G834,Others!$E$641:$I$931,4,FALSE)</f>
        <v>Historical Fiction</v>
      </c>
      <c r="U834" s="5" t="str">
        <f>IFERROR(VLOOKUP($G834,Ratings!$E$125:$I$172,5,FALSE),"none")</f>
        <v>Not Rated</v>
      </c>
      <c r="V834" s="5" t="s">
        <v>2542</v>
      </c>
      <c r="W834" s="5" t="s">
        <v>2543</v>
      </c>
      <c r="X834" s="5" t="s">
        <v>1656</v>
      </c>
      <c r="Y834" s="5" t="s">
        <v>2544</v>
      </c>
      <c r="Z834" s="5"/>
      <c r="AA834" s="5" t="s">
        <v>1695</v>
      </c>
      <c r="AB834" s="5"/>
      <c r="AC834" s="5" t="s">
        <v>2545</v>
      </c>
      <c r="AD834" s="9">
        <v>9</v>
      </c>
      <c r="AE834" s="1" t="s">
        <v>1489</v>
      </c>
      <c r="AG834" s="9"/>
      <c r="AH834" s="9"/>
    </row>
    <row r="835" spans="2:34">
      <c r="B835" s="4">
        <v>2017</v>
      </c>
      <c r="C835" s="4" t="s">
        <v>44</v>
      </c>
      <c r="D835" s="3">
        <f t="shared" si="13"/>
        <v>201</v>
      </c>
      <c r="E835" s="3" t="s">
        <v>1269</v>
      </c>
      <c r="F835" s="3" t="s">
        <v>1269</v>
      </c>
      <c r="G835" s="5" t="s">
        <v>1270</v>
      </c>
      <c r="H835" s="5" t="s">
        <v>626</v>
      </c>
      <c r="I835" s="5" t="s">
        <v>136</v>
      </c>
      <c r="J835" s="7">
        <v>4477611</v>
      </c>
      <c r="K835" s="7">
        <v>7462686</v>
      </c>
      <c r="L835" s="7">
        <v>104029850</v>
      </c>
      <c r="M835" s="8">
        <v>24</v>
      </c>
      <c r="N835" s="7">
        <v>180920</v>
      </c>
      <c r="O835" s="7">
        <v>267611940</v>
      </c>
      <c r="P835" s="7">
        <v>306710033</v>
      </c>
      <c r="Q835" s="7">
        <v>307547824</v>
      </c>
      <c r="R835" s="5" t="str">
        <f>VLOOKUP($G835,Others!$E$641:$I$931,2,FALSE)</f>
        <v>Original Screenplay</v>
      </c>
      <c r="S835" s="5" t="str">
        <f>VLOOKUP($G835,Others!$E$641:$I$931,3,FALSE)</f>
        <v>Live Action</v>
      </c>
      <c r="T835" s="5" t="str">
        <f>VLOOKUP($G835,Others!$E$641:$I$931,4,FALSE)</f>
        <v>Contemporary Fiction</v>
      </c>
      <c r="U835" s="5" t="str">
        <f>IFERROR(VLOOKUP($G835,Ratings!$E$125:$I$172,5,FALSE),"none")</f>
        <v>Not Rated</v>
      </c>
      <c r="V835" s="5" t="s">
        <v>2546</v>
      </c>
      <c r="W835" s="5" t="s">
        <v>2547</v>
      </c>
      <c r="X835" s="5" t="s">
        <v>2095</v>
      </c>
      <c r="Y835" s="5" t="s">
        <v>2548</v>
      </c>
      <c r="Z835" s="5"/>
      <c r="AA835" s="5" t="s">
        <v>2549</v>
      </c>
      <c r="AB835" s="5"/>
      <c r="AC835" s="5" t="s">
        <v>2369</v>
      </c>
      <c r="AD835" s="9">
        <v>9.1</v>
      </c>
      <c r="AE835" s="1" t="s">
        <v>1489</v>
      </c>
      <c r="AG835" s="9"/>
      <c r="AH835" s="9"/>
    </row>
    <row r="836" spans="2:34" hidden="1">
      <c r="B836" s="4">
        <v>2017</v>
      </c>
      <c r="C836" s="4" t="s">
        <v>44</v>
      </c>
      <c r="D836" s="3">
        <f t="shared" si="13"/>
        <v>202</v>
      </c>
      <c r="E836" s="3" t="s">
        <v>1267</v>
      </c>
      <c r="G836" s="5" t="s">
        <v>1271</v>
      </c>
      <c r="H836" s="5" t="s">
        <v>601</v>
      </c>
      <c r="I836" s="5" t="s">
        <v>129</v>
      </c>
      <c r="J836" s="7">
        <v>0</v>
      </c>
      <c r="M836" s="8">
        <v>27</v>
      </c>
      <c r="N836" s="7">
        <v>57837</v>
      </c>
      <c r="P836" s="7">
        <v>46139046</v>
      </c>
      <c r="Q836" s="7">
        <v>46263233</v>
      </c>
      <c r="R836" s="5" t="str">
        <f>VLOOKUP($G836,Others!$E$641:$I$931,2,FALSE)</f>
        <v>Remake</v>
      </c>
      <c r="S836" s="5" t="str">
        <f>VLOOKUP($G836,Others!$E$641:$I$931,3,FALSE)</f>
        <v>Live Action</v>
      </c>
      <c r="T836" s="5" t="str">
        <f>VLOOKUP($G836,Others!$E$641:$I$931,4,FALSE)</f>
        <v>Fantasy</v>
      </c>
      <c r="U836" s="5" t="str">
        <f>IFERROR(VLOOKUP($G836,Ratings!$E$125:$I$172,5,FALSE),"none")</f>
        <v>Not Rated</v>
      </c>
      <c r="V836" s="5"/>
      <c r="X836" s="5"/>
      <c r="Y836" s="5"/>
      <c r="Z836" s="5"/>
      <c r="AA836" s="5"/>
      <c r="AB836" s="5"/>
      <c r="AC836" s="5"/>
      <c r="AG836" s="9"/>
      <c r="AH836" s="9"/>
    </row>
    <row r="837" spans="2:34">
      <c r="B837" s="4">
        <v>2017</v>
      </c>
      <c r="C837" s="4" t="s">
        <v>44</v>
      </c>
      <c r="D837" s="3">
        <f t="shared" si="13"/>
        <v>203</v>
      </c>
      <c r="E837" s="3" t="s">
        <v>1272</v>
      </c>
      <c r="F837" s="3" t="s">
        <v>1272</v>
      </c>
      <c r="G837" s="5" t="s">
        <v>1273</v>
      </c>
      <c r="H837" s="5" t="s">
        <v>601</v>
      </c>
      <c r="I837" s="5" t="s">
        <v>129</v>
      </c>
      <c r="J837" s="7">
        <v>14925373</v>
      </c>
      <c r="K837" s="7">
        <v>4477611</v>
      </c>
      <c r="L837" s="7">
        <v>13728358</v>
      </c>
      <c r="M837" s="8">
        <v>2</v>
      </c>
      <c r="N837" s="7">
        <v>5296</v>
      </c>
      <c r="O837" s="7">
        <v>36716417</v>
      </c>
      <c r="P837" s="7">
        <v>39951588</v>
      </c>
      <c r="Q837" s="7">
        <v>39965792</v>
      </c>
      <c r="R837" s="5" t="str">
        <f>VLOOKUP($G837,Others!$E$641:$I$931,2,FALSE)</f>
        <v>Original Screenplay</v>
      </c>
      <c r="S837" s="5" t="str">
        <f>VLOOKUP($G837,Others!$E$641:$I$931,3,FALSE)</f>
        <v>Live Action</v>
      </c>
      <c r="T837" s="5" t="str">
        <f>VLOOKUP($G837,Others!$E$641:$I$931,4,FALSE)</f>
        <v>Historical Fiction</v>
      </c>
      <c r="U837" s="5" t="str">
        <f>IFERROR(VLOOKUP($G837,Ratings!$E$125:$I$172,5,FALSE),"none")</f>
        <v>Not Rated</v>
      </c>
      <c r="V837" s="5" t="s">
        <v>2550</v>
      </c>
      <c r="W837" s="5" t="s">
        <v>2551</v>
      </c>
      <c r="X837" s="5" t="s">
        <v>2507</v>
      </c>
      <c r="Y837" s="5" t="s">
        <v>2372</v>
      </c>
      <c r="Z837" s="5"/>
      <c r="AA837" s="5" t="s">
        <v>2552</v>
      </c>
      <c r="AB837" s="5"/>
      <c r="AC837" s="5" t="s">
        <v>2553</v>
      </c>
      <c r="AD837" s="9">
        <v>8.5</v>
      </c>
      <c r="AE837" s="1" t="s">
        <v>1489</v>
      </c>
      <c r="AG837" s="9"/>
      <c r="AH837" s="9"/>
    </row>
    <row r="838" spans="2:34" hidden="1">
      <c r="B838" s="4">
        <v>2017</v>
      </c>
      <c r="C838" s="4" t="s">
        <v>44</v>
      </c>
      <c r="D838" s="3">
        <f t="shared" si="13"/>
        <v>204</v>
      </c>
      <c r="E838" s="3" t="s">
        <v>1126</v>
      </c>
      <c r="G838" s="5" t="s">
        <v>547</v>
      </c>
      <c r="H838" s="5"/>
      <c r="I838" s="5" t="s">
        <v>131</v>
      </c>
      <c r="J838" s="7">
        <v>0</v>
      </c>
      <c r="M838" s="8">
        <v>0</v>
      </c>
      <c r="N838" s="7">
        <v>0</v>
      </c>
      <c r="P838" s="7">
        <v>5992</v>
      </c>
      <c r="Q838" s="7">
        <v>5992</v>
      </c>
      <c r="R838" s="5">
        <f>VLOOKUP($G838,Others!$E$641:$I$931,2,FALSE)</f>
        <v>0</v>
      </c>
      <c r="S838" s="5" t="str">
        <f>VLOOKUP($G838,Others!$E$641:$I$931,3,FALSE)</f>
        <v>Live Action</v>
      </c>
      <c r="T838" s="5" t="str">
        <f>VLOOKUP($G838,Others!$E$641:$I$931,4,FALSE)</f>
        <v>Contemporary Fiction</v>
      </c>
      <c r="U838" s="5" t="str">
        <f>IFERROR(VLOOKUP($G838,Ratings!$E$125:$I$172,5,FALSE),"none")</f>
        <v>none</v>
      </c>
      <c r="V838" s="5"/>
      <c r="X838" s="5"/>
      <c r="Y838" s="5"/>
      <c r="Z838" s="5"/>
      <c r="AA838" s="5"/>
      <c r="AB838" s="5"/>
      <c r="AC838" s="5"/>
      <c r="AG838" s="9"/>
      <c r="AH838" s="9"/>
    </row>
    <row r="839" spans="2:34" ht="15">
      <c r="B839" s="4">
        <v>2017</v>
      </c>
      <c r="C839" s="4" t="s">
        <v>44</v>
      </c>
      <c r="D839" s="3">
        <f t="shared" si="13"/>
        <v>205</v>
      </c>
      <c r="E839" s="55" t="s">
        <v>1126</v>
      </c>
      <c r="F839" s="3" t="s">
        <v>1089</v>
      </c>
      <c r="G839" s="5" t="s">
        <v>1274</v>
      </c>
      <c r="H839" s="5" t="s">
        <v>2554</v>
      </c>
      <c r="I839" s="5" t="s">
        <v>127</v>
      </c>
      <c r="J839" s="7">
        <f>30000000/6.7</f>
        <v>4477611.940298507</v>
      </c>
      <c r="K839" s="7">
        <f>10000000/6.7</f>
        <v>1492537.3134328357</v>
      </c>
      <c r="L839" s="7">
        <f>35890000/6.7</f>
        <v>5356716.4179104473</v>
      </c>
      <c r="M839" s="41">
        <v>26748</v>
      </c>
      <c r="N839" s="42">
        <v>760000</v>
      </c>
      <c r="O839" s="7">
        <f>96810000/6.7</f>
        <v>14449253.731343282</v>
      </c>
      <c r="P839" s="7">
        <v>15874097</v>
      </c>
      <c r="Q839" s="7">
        <v>15874097</v>
      </c>
      <c r="R839" s="5" t="str">
        <f>VLOOKUP($G839,Others!$E$641:$I$931,2,FALSE)</f>
        <v>Original Screenplay</v>
      </c>
      <c r="S839" s="5" t="str">
        <f>VLOOKUP($G839,Others!$E$641:$I$931,3,FALSE)</f>
        <v>Digital Animation</v>
      </c>
      <c r="T839" s="5" t="str">
        <f>VLOOKUP($G839,Others!$E$641:$I$931,4,FALSE)</f>
        <v>Kids Fiction</v>
      </c>
      <c r="U839" s="5" t="str">
        <f>IFERROR(VLOOKUP($G839,Ratings!$E$125:$I$172,5,FALSE),"none")</f>
        <v>none</v>
      </c>
      <c r="V839" s="5" t="s">
        <v>2555</v>
      </c>
      <c r="W839" s="5" t="s">
        <v>2556</v>
      </c>
      <c r="X839" s="5" t="s">
        <v>2557</v>
      </c>
      <c r="Y839" s="5"/>
      <c r="Z839" s="5"/>
      <c r="AA839" s="5" t="s">
        <v>2558</v>
      </c>
      <c r="AB839" s="5"/>
      <c r="AC839" s="5" t="s">
        <v>2559</v>
      </c>
      <c r="AD839" s="9">
        <v>8.9</v>
      </c>
      <c r="AE839" s="9" t="s">
        <v>1489</v>
      </c>
      <c r="AG839" s="9"/>
      <c r="AH839" s="9"/>
    </row>
    <row r="840" spans="2:34" hidden="1">
      <c r="B840" s="4">
        <v>2017</v>
      </c>
      <c r="C840" s="4" t="s">
        <v>44</v>
      </c>
      <c r="D840" s="3">
        <f t="shared" si="13"/>
        <v>206</v>
      </c>
      <c r="E840" s="3" t="s">
        <v>1126</v>
      </c>
      <c r="G840" s="5" t="s">
        <v>1275</v>
      </c>
      <c r="H840" s="5"/>
      <c r="I840" s="5" t="s">
        <v>131</v>
      </c>
      <c r="J840" s="7">
        <v>0</v>
      </c>
      <c r="M840" s="8">
        <v>0</v>
      </c>
      <c r="N840" s="7">
        <v>0</v>
      </c>
      <c r="P840" s="7">
        <v>282320</v>
      </c>
      <c r="Q840" s="7">
        <v>282320</v>
      </c>
      <c r="R840" s="5" t="str">
        <f>VLOOKUP($G840,Others!$E$641:$I$931,2,FALSE)</f>
        <v>Based on Real Life Events</v>
      </c>
      <c r="S840" s="5" t="str">
        <f>VLOOKUP($G840,Others!$E$641:$I$931,3,FALSE)</f>
        <v>Live Action</v>
      </c>
      <c r="T840" s="5" t="str">
        <f>VLOOKUP($G840,Others!$E$641:$I$931,4,FALSE)</f>
        <v>Dramatization</v>
      </c>
      <c r="U840" s="5" t="str">
        <f>IFERROR(VLOOKUP($G840,Ratings!$E$125:$I$172,5,FALSE),"none")</f>
        <v>none</v>
      </c>
      <c r="V840" s="5"/>
      <c r="X840" s="5"/>
      <c r="Y840" s="5"/>
      <c r="Z840" s="5"/>
      <c r="AA840" s="5"/>
      <c r="AB840" s="5"/>
      <c r="AG840" s="9"/>
      <c r="AH840" s="9"/>
    </row>
    <row r="841" spans="2:34" hidden="1">
      <c r="B841" s="4">
        <v>2017</v>
      </c>
      <c r="C841" s="4" t="s">
        <v>44</v>
      </c>
      <c r="D841" s="3">
        <f t="shared" si="13"/>
        <v>207</v>
      </c>
      <c r="E841" s="3" t="s">
        <v>1126</v>
      </c>
      <c r="G841" s="5" t="s">
        <v>1276</v>
      </c>
      <c r="H841" s="5"/>
      <c r="I841" s="5" t="s">
        <v>193</v>
      </c>
      <c r="J841" s="7">
        <v>0</v>
      </c>
      <c r="M841" s="8">
        <v>0</v>
      </c>
      <c r="N841" s="7">
        <v>0</v>
      </c>
      <c r="P841" s="7">
        <v>23369</v>
      </c>
      <c r="Q841" s="7">
        <v>23369</v>
      </c>
      <c r="R841" s="5" t="str">
        <f>VLOOKUP($G841,Others!$E$641:$I$931,2,FALSE)</f>
        <v>Original Screenplay</v>
      </c>
      <c r="S841" s="5" t="str">
        <f>VLOOKUP($G841,Others!$E$641:$I$931,3,FALSE)</f>
        <v>Live Action</v>
      </c>
      <c r="T841" s="5" t="str">
        <f>VLOOKUP($G841,Others!$E$641:$I$931,4,FALSE)</f>
        <v>Contemporary Fiction</v>
      </c>
      <c r="U841" s="5" t="str">
        <f>IFERROR(VLOOKUP($G841,Ratings!$E$125:$I$172,5,FALSE),"none")</f>
        <v>none</v>
      </c>
      <c r="V841" s="5"/>
      <c r="X841" s="5"/>
      <c r="Y841" s="5"/>
      <c r="Z841" s="5"/>
      <c r="AA841" s="5"/>
      <c r="AB841" s="5"/>
      <c r="AG841" s="9"/>
      <c r="AH841" s="9"/>
    </row>
    <row r="842" spans="2:34" hidden="1">
      <c r="B842" s="4">
        <v>2017</v>
      </c>
      <c r="C842" s="4" t="s">
        <v>44</v>
      </c>
      <c r="D842" s="3">
        <f t="shared" si="13"/>
        <v>208</v>
      </c>
      <c r="E842" s="3" t="s">
        <v>1126</v>
      </c>
      <c r="G842" s="5" t="s">
        <v>1277</v>
      </c>
      <c r="H842" s="5"/>
      <c r="I842" s="5" t="s">
        <v>136</v>
      </c>
      <c r="J842" s="7">
        <v>0</v>
      </c>
      <c r="M842" s="8">
        <v>0</v>
      </c>
      <c r="N842" s="7">
        <v>0</v>
      </c>
      <c r="P842" s="7">
        <v>40900</v>
      </c>
      <c r="Q842" s="7">
        <v>40900</v>
      </c>
      <c r="R842" s="5">
        <f>VLOOKUP($G842,Others!$E$641:$I$931,2,FALSE)</f>
        <v>0</v>
      </c>
      <c r="S842" s="5" t="str">
        <f>VLOOKUP($G842,Others!$E$641:$I$931,3,FALSE)</f>
        <v>Live Action</v>
      </c>
      <c r="T842" s="5">
        <f>VLOOKUP($G842,Others!$E$641:$I$931,4,FALSE)</f>
        <v>0</v>
      </c>
      <c r="U842" s="5" t="str">
        <f>IFERROR(VLOOKUP($G842,Ratings!$E$125:$I$172,5,FALSE),"none")</f>
        <v>none</v>
      </c>
      <c r="V842" s="5"/>
      <c r="X842" s="5"/>
      <c r="Y842" s="5"/>
      <c r="Z842" s="5"/>
      <c r="AA842" s="5"/>
      <c r="AB842" s="5"/>
      <c r="AG842" s="9"/>
      <c r="AH842" s="9"/>
    </row>
    <row r="843" spans="2:34" hidden="1">
      <c r="B843" s="4">
        <v>2017</v>
      </c>
      <c r="C843" s="4" t="s">
        <v>44</v>
      </c>
      <c r="D843" s="3">
        <f t="shared" si="13"/>
        <v>209</v>
      </c>
      <c r="E843" s="3" t="s">
        <v>1126</v>
      </c>
      <c r="G843" s="5" t="s">
        <v>1278</v>
      </c>
      <c r="H843" s="5"/>
      <c r="J843" s="7">
        <v>0</v>
      </c>
      <c r="M843" s="8">
        <v>0</v>
      </c>
      <c r="N843" s="7">
        <v>0</v>
      </c>
      <c r="P843" s="7">
        <v>29445</v>
      </c>
      <c r="Q843" s="7">
        <v>29445</v>
      </c>
      <c r="R843" s="5">
        <f>VLOOKUP($G843,Others!$E$641:$I$931,2,FALSE)</f>
        <v>0</v>
      </c>
      <c r="S843" s="5">
        <f>VLOOKUP($G843,Others!$E$641:$I$931,3,FALSE)</f>
        <v>0</v>
      </c>
      <c r="T843" s="5">
        <f>VLOOKUP($G843,Others!$E$641:$I$931,4,FALSE)</f>
        <v>0</v>
      </c>
      <c r="U843" s="5" t="str">
        <f>IFERROR(VLOOKUP($G843,Ratings!$E$125:$I$172,5,FALSE),"none")</f>
        <v>none</v>
      </c>
      <c r="V843" s="5"/>
      <c r="X843" s="5"/>
      <c r="Y843" s="5"/>
      <c r="Z843" s="5"/>
      <c r="AA843" s="5"/>
      <c r="AB843" s="5"/>
      <c r="AG843" s="9"/>
      <c r="AH843" s="9"/>
    </row>
    <row r="844" spans="2:34">
      <c r="B844" s="4">
        <v>2017</v>
      </c>
      <c r="C844" s="4" t="s">
        <v>44</v>
      </c>
      <c r="D844" s="3">
        <f t="shared" si="13"/>
        <v>210</v>
      </c>
      <c r="E844" s="55" t="s">
        <v>1126</v>
      </c>
      <c r="F844" s="3" t="s">
        <v>2309</v>
      </c>
      <c r="G844" s="5" t="s">
        <v>1279</v>
      </c>
      <c r="H844" s="5" t="s">
        <v>2560</v>
      </c>
      <c r="I844" s="5" t="s">
        <v>136</v>
      </c>
      <c r="J844" s="7">
        <v>11940298</v>
      </c>
      <c r="K844" s="7">
        <v>8955223</v>
      </c>
      <c r="L844" s="7">
        <v>12029850</v>
      </c>
      <c r="M844" s="8">
        <v>110319</v>
      </c>
      <c r="N844" s="7">
        <v>46732917</v>
      </c>
      <c r="O844" s="7">
        <v>308507462</v>
      </c>
      <c r="P844" s="7">
        <v>334536622</v>
      </c>
      <c r="Q844" s="7">
        <v>334536622</v>
      </c>
      <c r="R844" s="5" t="str">
        <f>VLOOKUP($G844,Others!$E$641:$I$931,2,FALSE)</f>
        <v>Original Screenplay</v>
      </c>
      <c r="S844" s="5" t="str">
        <f>VLOOKUP($G844,Others!$E$641:$I$931,3,FALSE)</f>
        <v>Live Action</v>
      </c>
      <c r="T844" s="5" t="str">
        <f>VLOOKUP($G844,Others!$E$641:$I$931,4,FALSE)</f>
        <v>Contemporary Fiction</v>
      </c>
      <c r="U844" s="5" t="str">
        <f>IFERROR(VLOOKUP($G844,Ratings!$E$125:$I$172,5,FALSE),"none")</f>
        <v>none</v>
      </c>
      <c r="V844" s="5" t="s">
        <v>2561</v>
      </c>
      <c r="W844" s="5" t="s">
        <v>1279</v>
      </c>
      <c r="X844" s="5" t="s">
        <v>2562</v>
      </c>
      <c r="Y844" s="5" t="s">
        <v>2563</v>
      </c>
      <c r="Z844" s="5" t="s">
        <v>1974</v>
      </c>
      <c r="AA844" s="5" t="s">
        <v>2564</v>
      </c>
      <c r="AB844" s="5" t="s">
        <v>2565</v>
      </c>
      <c r="AC844" s="27" t="s">
        <v>2560</v>
      </c>
      <c r="AD844" s="9">
        <v>9.1</v>
      </c>
      <c r="AE844" s="1" t="s">
        <v>1489</v>
      </c>
      <c r="AG844" s="9"/>
      <c r="AH844" s="9"/>
    </row>
    <row r="845" spans="2:34" hidden="1">
      <c r="B845" s="4">
        <v>2017</v>
      </c>
      <c r="C845" s="4" t="s">
        <v>44</v>
      </c>
      <c r="D845" s="3">
        <f t="shared" si="13"/>
        <v>211</v>
      </c>
      <c r="E845" s="3" t="s">
        <v>1126</v>
      </c>
      <c r="G845" s="5" t="s">
        <v>1280</v>
      </c>
      <c r="H845" s="5"/>
      <c r="I845" s="5" t="s">
        <v>148</v>
      </c>
      <c r="J845" s="7">
        <v>0</v>
      </c>
      <c r="M845" s="8">
        <v>0</v>
      </c>
      <c r="N845" s="7">
        <v>0</v>
      </c>
      <c r="P845" s="7">
        <v>686594</v>
      </c>
      <c r="Q845" s="7">
        <v>686594</v>
      </c>
      <c r="R845" s="5" t="str">
        <f>VLOOKUP($G845,Others!$E$641:$I$931,2,FALSE)</f>
        <v>Original Screenplay</v>
      </c>
      <c r="S845" s="5" t="str">
        <f>VLOOKUP($G845,Others!$E$641:$I$931,3,FALSE)</f>
        <v>Live Action</v>
      </c>
      <c r="T845" s="5" t="str">
        <f>VLOOKUP($G845,Others!$E$641:$I$931,4,FALSE)</f>
        <v>Contemporary Fiction</v>
      </c>
      <c r="U845" s="5" t="str">
        <f>IFERROR(VLOOKUP($G845,Ratings!$E$125:$I$172,5,FALSE),"none")</f>
        <v>none</v>
      </c>
      <c r="V845" s="5"/>
      <c r="X845" s="5"/>
      <c r="Y845" s="5"/>
      <c r="Z845" s="5"/>
      <c r="AA845" s="5"/>
      <c r="AB845" s="5"/>
      <c r="AG845" s="9"/>
      <c r="AH845" s="9"/>
    </row>
    <row r="846" spans="2:34" hidden="1">
      <c r="B846" s="4">
        <v>2017</v>
      </c>
      <c r="C846" s="4" t="s">
        <v>44</v>
      </c>
      <c r="D846" s="3">
        <f t="shared" si="13"/>
        <v>212</v>
      </c>
      <c r="E846" s="3" t="s">
        <v>1126</v>
      </c>
      <c r="G846" s="5" t="s">
        <v>534</v>
      </c>
      <c r="H846" s="5"/>
      <c r="I846" s="5" t="s">
        <v>131</v>
      </c>
      <c r="J846" s="7">
        <v>0</v>
      </c>
      <c r="M846" s="8">
        <v>0</v>
      </c>
      <c r="N846" s="7">
        <v>0</v>
      </c>
      <c r="P846" s="7">
        <v>23688</v>
      </c>
      <c r="Q846" s="7">
        <v>23688</v>
      </c>
      <c r="R846" s="5">
        <f>VLOOKUP($G846,Others!$E$641:$I$931,2,FALSE)</f>
        <v>0</v>
      </c>
      <c r="S846" s="5" t="str">
        <f>VLOOKUP($G846,Others!$E$641:$I$931,3,FALSE)</f>
        <v>Live Action</v>
      </c>
      <c r="T846" s="5">
        <f>VLOOKUP($G846,Others!$E$641:$I$931,4,FALSE)</f>
        <v>0</v>
      </c>
      <c r="U846" s="5" t="str">
        <f>IFERROR(VLOOKUP($G846,Ratings!$E$125:$I$172,5,FALSE),"none")</f>
        <v>none</v>
      </c>
      <c r="V846" s="5"/>
      <c r="X846" s="5"/>
      <c r="Y846" s="5"/>
      <c r="Z846" s="5"/>
      <c r="AA846" s="5"/>
      <c r="AB846" s="5"/>
      <c r="AG846" s="9"/>
      <c r="AH846" s="9"/>
    </row>
    <row r="847" spans="2:34" hidden="1">
      <c r="B847" s="4">
        <v>2017</v>
      </c>
      <c r="C847" s="4" t="s">
        <v>44</v>
      </c>
      <c r="D847" s="3">
        <f t="shared" si="13"/>
        <v>213</v>
      </c>
      <c r="E847" s="3" t="s">
        <v>1126</v>
      </c>
      <c r="G847" s="5" t="s">
        <v>1281</v>
      </c>
      <c r="H847" s="5"/>
      <c r="I847" s="5" t="s">
        <v>161</v>
      </c>
      <c r="J847" s="7">
        <v>0</v>
      </c>
      <c r="M847" s="8">
        <v>0</v>
      </c>
      <c r="N847" s="7">
        <v>0</v>
      </c>
      <c r="P847" s="7">
        <v>50995</v>
      </c>
      <c r="Q847" s="7">
        <v>50995</v>
      </c>
      <c r="R847" s="5" t="str">
        <f>VLOOKUP($G847,Others!$E$641:$I$931,2,FALSE)</f>
        <v>Original Screenplay</v>
      </c>
      <c r="S847" s="5" t="str">
        <f>VLOOKUP($G847,Others!$E$641:$I$931,3,FALSE)</f>
        <v>Live Action</v>
      </c>
      <c r="T847" s="5" t="str">
        <f>VLOOKUP($G847,Others!$E$641:$I$931,4,FALSE)</f>
        <v>Contemporary Fiction</v>
      </c>
      <c r="U847" s="5" t="str">
        <f>IFERROR(VLOOKUP($G847,Ratings!$E$125:$I$172,5,FALSE),"none")</f>
        <v>none</v>
      </c>
      <c r="V847" s="5"/>
      <c r="X847" s="5"/>
      <c r="Y847" s="5"/>
      <c r="Z847" s="5"/>
      <c r="AA847" s="5"/>
      <c r="AB847" s="5"/>
      <c r="AG847" s="9"/>
      <c r="AH847" s="9"/>
    </row>
    <row r="848" spans="2:34">
      <c r="B848" s="4">
        <v>2017</v>
      </c>
      <c r="C848" s="4" t="s">
        <v>44</v>
      </c>
      <c r="D848" s="3">
        <f t="shared" si="13"/>
        <v>214</v>
      </c>
      <c r="E848" s="55" t="s">
        <v>1126</v>
      </c>
      <c r="F848" s="56" t="s">
        <v>874</v>
      </c>
      <c r="G848" s="5" t="s">
        <v>1282</v>
      </c>
      <c r="H848" s="5" t="s">
        <v>2566</v>
      </c>
      <c r="I848" s="5" t="s">
        <v>129</v>
      </c>
      <c r="J848" s="7">
        <v>29850746</v>
      </c>
      <c r="K848" s="7">
        <v>7462686</v>
      </c>
      <c r="L848" s="7">
        <v>5535820</v>
      </c>
      <c r="M848" s="8">
        <v>87906</v>
      </c>
      <c r="N848" s="7">
        <v>11150837</v>
      </c>
      <c r="O848" s="7">
        <v>14925373</v>
      </c>
      <c r="P848" s="7">
        <v>18339343</v>
      </c>
      <c r="Q848" s="7">
        <v>18339343</v>
      </c>
      <c r="R848" s="5" t="str">
        <f>VLOOKUP($G848,Others!$E$641:$I$931,2,FALSE)</f>
        <v>Based on Fiction Book/Short Story</v>
      </c>
      <c r="S848" s="5" t="str">
        <f>VLOOKUP($G848,Others!$E$641:$I$931,3,FALSE)</f>
        <v>Live Action</v>
      </c>
      <c r="T848" s="5" t="str">
        <f>VLOOKUP($G848,Others!$E$641:$I$931,4,FALSE)</f>
        <v>Contemporary Fiction</v>
      </c>
      <c r="U848" s="5" t="str">
        <f>IFERROR(VLOOKUP($G848,Ratings!$E$125:$I$172,5,FALSE),"none")</f>
        <v>none</v>
      </c>
      <c r="V848" s="5" t="s">
        <v>2567</v>
      </c>
      <c r="W848" s="5" t="s">
        <v>2568</v>
      </c>
      <c r="X848" s="5" t="s">
        <v>2569</v>
      </c>
      <c r="Y848" s="5" t="s">
        <v>2570</v>
      </c>
      <c r="Z848" s="5"/>
      <c r="AA848" s="5" t="s">
        <v>2571</v>
      </c>
      <c r="AB848" s="5"/>
      <c r="AC848" s="5" t="s">
        <v>2572</v>
      </c>
      <c r="AD848" s="9">
        <v>7.7</v>
      </c>
      <c r="AE848" s="1" t="s">
        <v>1489</v>
      </c>
      <c r="AG848" s="9"/>
      <c r="AH848" s="9"/>
    </row>
    <row r="849" spans="2:34">
      <c r="B849" s="4">
        <v>2017</v>
      </c>
      <c r="C849" s="4" t="s">
        <v>44</v>
      </c>
      <c r="D849" s="3">
        <f t="shared" si="13"/>
        <v>215</v>
      </c>
      <c r="E849" s="55" t="s">
        <v>1126</v>
      </c>
      <c r="F849" s="56" t="s">
        <v>2573</v>
      </c>
      <c r="G849" s="5" t="s">
        <v>1283</v>
      </c>
      <c r="H849" s="5" t="s">
        <v>1428</v>
      </c>
      <c r="I849" s="5" t="s">
        <v>136</v>
      </c>
      <c r="J849" s="7">
        <f>40000000/6.7</f>
        <v>5970149.253731343</v>
      </c>
      <c r="K849" s="7">
        <f>10000000/6.7</f>
        <v>1492537.3134328357</v>
      </c>
      <c r="L849" s="7">
        <f>11251000/6.7</f>
        <v>1679253.7313432836</v>
      </c>
      <c r="M849" s="8">
        <v>27254</v>
      </c>
      <c r="N849" s="7">
        <v>2741992</v>
      </c>
      <c r="O849" s="7">
        <f>30673000/6.7</f>
        <v>4578059.7014925368</v>
      </c>
      <c r="P849" s="7">
        <v>4681992</v>
      </c>
      <c r="Q849" s="7">
        <v>4681992</v>
      </c>
      <c r="R849" s="5" t="str">
        <f>VLOOKUP($G849,Others!$E$641:$I$931,2,FALSE)</f>
        <v>Remake</v>
      </c>
      <c r="S849" s="5" t="str">
        <f>VLOOKUP($G849,Others!$E$641:$I$931,3,FALSE)</f>
        <v>Live Action</v>
      </c>
      <c r="T849" s="5" t="str">
        <f>VLOOKUP($G849,Others!$E$641:$I$931,4,FALSE)</f>
        <v>Contemporary Fiction</v>
      </c>
      <c r="U849" s="5" t="str">
        <f>IFERROR(VLOOKUP($G849,Ratings!$E$125:$I$172,5,FALSE),"none")</f>
        <v>none</v>
      </c>
      <c r="V849" s="5" t="s">
        <v>2574</v>
      </c>
      <c r="W849" s="5" t="s">
        <v>1283</v>
      </c>
      <c r="X849" s="5" t="s">
        <v>2169</v>
      </c>
      <c r="Y849" s="5"/>
      <c r="Z849" s="5"/>
      <c r="AA849" s="5" t="s">
        <v>2169</v>
      </c>
      <c r="AB849" s="5"/>
      <c r="AC849" s="5" t="s">
        <v>2575</v>
      </c>
      <c r="AD849" s="9">
        <v>7.6</v>
      </c>
      <c r="AE849" s="1" t="s">
        <v>1489</v>
      </c>
      <c r="AG849" s="9"/>
      <c r="AH849" s="9"/>
    </row>
    <row r="850" spans="2:34" hidden="1">
      <c r="B850" s="4">
        <v>2017</v>
      </c>
      <c r="C850" s="4" t="s">
        <v>44</v>
      </c>
      <c r="D850" s="3">
        <f t="shared" si="13"/>
        <v>216</v>
      </c>
      <c r="E850" s="3" t="s">
        <v>1126</v>
      </c>
      <c r="G850" s="5" t="s">
        <v>1284</v>
      </c>
      <c r="H850" s="5"/>
      <c r="I850" s="5" t="s">
        <v>131</v>
      </c>
      <c r="J850" s="7">
        <v>0</v>
      </c>
      <c r="M850" s="8">
        <v>0</v>
      </c>
      <c r="N850" s="7">
        <v>0</v>
      </c>
      <c r="P850" s="7">
        <v>1369687</v>
      </c>
      <c r="Q850" s="7">
        <v>1369687</v>
      </c>
      <c r="R850" s="5" t="str">
        <f>VLOOKUP($G850,Others!$E$641:$I$931,2,FALSE)</f>
        <v>Original Screenplay</v>
      </c>
      <c r="S850" s="5" t="str">
        <f>VLOOKUP($G850,Others!$E$641:$I$931,3,FALSE)</f>
        <v>Live Action</v>
      </c>
      <c r="T850" s="5" t="str">
        <f>VLOOKUP($G850,Others!$E$641:$I$931,4,FALSE)</f>
        <v>Contemporary Fiction</v>
      </c>
      <c r="U850" s="5" t="str">
        <f>IFERROR(VLOOKUP($G850,Ratings!$E$125:$I$172,5,FALSE),"none")</f>
        <v>none</v>
      </c>
      <c r="V850" s="5"/>
      <c r="X850" s="5"/>
      <c r="Y850" s="5"/>
      <c r="Z850" s="5"/>
      <c r="AA850" s="5"/>
      <c r="AB850" s="5"/>
      <c r="AC850" s="5"/>
      <c r="AG850" s="9"/>
      <c r="AH850" s="9"/>
    </row>
    <row r="851" spans="2:34" hidden="1">
      <c r="B851" s="4">
        <v>2017</v>
      </c>
      <c r="C851" s="4" t="s">
        <v>44</v>
      </c>
      <c r="D851" s="3">
        <f t="shared" si="13"/>
        <v>217</v>
      </c>
      <c r="E851" s="3" t="s">
        <v>1126</v>
      </c>
      <c r="G851" s="5" t="s">
        <v>1285</v>
      </c>
      <c r="H851" s="5"/>
      <c r="I851" s="5" t="s">
        <v>131</v>
      </c>
      <c r="J851" s="7">
        <v>0</v>
      </c>
      <c r="M851" s="8">
        <v>0</v>
      </c>
      <c r="N851" s="7">
        <v>0</v>
      </c>
      <c r="P851" s="7">
        <v>195419</v>
      </c>
      <c r="Q851" s="7">
        <v>195419</v>
      </c>
      <c r="R851" s="5">
        <f>VLOOKUP($G851,Others!$E$641:$I$931,2,FALSE)</f>
        <v>0</v>
      </c>
      <c r="S851" s="5">
        <f>VLOOKUP($G851,Others!$E$641:$I$931,3,FALSE)</f>
        <v>0</v>
      </c>
      <c r="T851" s="5">
        <f>VLOOKUP($G851,Others!$E$641:$I$931,4,FALSE)</f>
        <v>0</v>
      </c>
      <c r="U851" s="5" t="str">
        <f>IFERROR(VLOOKUP($G851,Ratings!$E$125:$I$172,5,FALSE),"none")</f>
        <v>none</v>
      </c>
      <c r="V851" s="5"/>
      <c r="X851" s="5"/>
      <c r="Y851" s="5"/>
      <c r="Z851" s="5"/>
      <c r="AA851" s="5"/>
      <c r="AB851" s="5"/>
      <c r="AC851" s="5"/>
      <c r="AG851" s="9"/>
      <c r="AH851" s="9"/>
    </row>
    <row r="852" spans="2:34" hidden="1">
      <c r="B852" s="4">
        <v>2017</v>
      </c>
      <c r="C852" s="4" t="s">
        <v>44</v>
      </c>
      <c r="D852" s="3">
        <f t="shared" si="13"/>
        <v>218</v>
      </c>
      <c r="E852" s="3" t="s">
        <v>1126</v>
      </c>
      <c r="G852" s="5" t="s">
        <v>1286</v>
      </c>
      <c r="H852" s="5"/>
      <c r="I852" s="5" t="s">
        <v>148</v>
      </c>
      <c r="J852" s="7">
        <v>0</v>
      </c>
      <c r="M852" s="8">
        <v>0</v>
      </c>
      <c r="N852" s="7">
        <v>0</v>
      </c>
      <c r="P852" s="7">
        <v>760000</v>
      </c>
      <c r="Q852" s="7">
        <v>760000</v>
      </c>
      <c r="R852" s="5" t="str">
        <f>VLOOKUP($G852,Others!$E$641:$I$931,2,FALSE)</f>
        <v>Original Screenplay</v>
      </c>
      <c r="S852" s="5" t="str">
        <f>VLOOKUP($G852,Others!$E$641:$I$931,3,FALSE)</f>
        <v>Live Action</v>
      </c>
      <c r="T852" s="5" t="str">
        <f>VLOOKUP($G852,Others!$E$641:$I$931,4,FALSE)</f>
        <v>Contemporary Fiction</v>
      </c>
      <c r="U852" s="5" t="str">
        <f>IFERROR(VLOOKUP($G852,Ratings!$E$125:$I$172,5,FALSE),"none")</f>
        <v>none</v>
      </c>
      <c r="V852" s="5"/>
      <c r="X852" s="5"/>
      <c r="Y852" s="5"/>
      <c r="Z852" s="5"/>
      <c r="AA852" s="5"/>
      <c r="AB852" s="5"/>
      <c r="AC852" s="5"/>
      <c r="AG852" s="9"/>
      <c r="AH852" s="9"/>
    </row>
    <row r="853" spans="2:34" hidden="1">
      <c r="B853" s="4">
        <v>2017</v>
      </c>
      <c r="C853" s="4" t="s">
        <v>44</v>
      </c>
      <c r="D853" s="3">
        <f t="shared" si="13"/>
        <v>219</v>
      </c>
      <c r="E853" s="3" t="s">
        <v>1126</v>
      </c>
      <c r="G853" s="5" t="s">
        <v>1287</v>
      </c>
      <c r="H853" s="5"/>
      <c r="J853" s="7">
        <v>0</v>
      </c>
      <c r="M853" s="8">
        <v>0</v>
      </c>
      <c r="N853" s="7">
        <v>0</v>
      </c>
      <c r="P853" s="7">
        <v>63297</v>
      </c>
      <c r="Q853" s="7">
        <v>63297</v>
      </c>
      <c r="R853" s="5">
        <f>VLOOKUP($G853,Others!$E$641:$I$931,2,FALSE)</f>
        <v>0</v>
      </c>
      <c r="S853" s="5">
        <f>VLOOKUP($G853,Others!$E$641:$I$931,3,FALSE)</f>
        <v>0</v>
      </c>
      <c r="T853" s="5">
        <f>VLOOKUP($G853,Others!$E$641:$I$931,4,FALSE)</f>
        <v>0</v>
      </c>
      <c r="U853" s="5" t="str">
        <f>IFERROR(VLOOKUP($G853,Ratings!$E$125:$I$172,5,FALSE),"none")</f>
        <v>none</v>
      </c>
      <c r="V853" s="5"/>
      <c r="X853" s="5"/>
      <c r="Y853" s="5"/>
      <c r="Z853" s="5"/>
      <c r="AA853" s="5"/>
      <c r="AB853" s="5"/>
      <c r="AC853" s="5"/>
      <c r="AG853" s="9"/>
      <c r="AH853" s="9"/>
    </row>
    <row r="854" spans="2:34">
      <c r="B854" s="4">
        <v>2018</v>
      </c>
      <c r="C854" s="4" t="s">
        <v>44</v>
      </c>
      <c r="D854" s="3">
        <f t="shared" si="13"/>
        <v>220</v>
      </c>
      <c r="E854" s="55" t="s">
        <v>1126</v>
      </c>
      <c r="F854" s="3" t="s">
        <v>2496</v>
      </c>
      <c r="G854" s="5" t="s">
        <v>366</v>
      </c>
      <c r="H854" s="5" t="s">
        <v>1916</v>
      </c>
      <c r="I854" s="5" t="s">
        <v>131</v>
      </c>
      <c r="J854" s="7">
        <v>14925373</v>
      </c>
      <c r="K854" s="7">
        <v>4477611</v>
      </c>
      <c r="L854" s="7">
        <v>39552238</v>
      </c>
      <c r="M854" s="8">
        <v>57349</v>
      </c>
      <c r="N854" s="7">
        <v>37050000</v>
      </c>
      <c r="O854" s="7">
        <v>104029850</v>
      </c>
      <c r="P854" s="7">
        <v>119035160</v>
      </c>
      <c r="Q854" s="7">
        <v>119035160</v>
      </c>
      <c r="R854" s="5" t="str">
        <f>VLOOKUP($G854,Others!$E$641:$I$931,2,FALSE)</f>
        <v>Based on Fiction Book/Short Story</v>
      </c>
      <c r="S854" s="5" t="str">
        <f>VLOOKUP($G854,Others!$E$641:$I$931,3,FALSE)</f>
        <v>Live Action</v>
      </c>
      <c r="T854" s="5" t="str">
        <f>VLOOKUP($G854,Others!$E$641:$I$931,4,FALSE)</f>
        <v>Historical Fiction</v>
      </c>
      <c r="U854" s="5" t="str">
        <f>IFERROR(VLOOKUP($G854,Ratings!$E$125:$I$172,5,FALSE),"none")</f>
        <v>none</v>
      </c>
      <c r="V854" s="5" t="s">
        <v>2576</v>
      </c>
      <c r="W854" s="5" t="s">
        <v>2577</v>
      </c>
      <c r="X854" s="5" t="s">
        <v>1633</v>
      </c>
      <c r="Y854" s="5" t="s">
        <v>1573</v>
      </c>
      <c r="Z854" s="5"/>
      <c r="AA854" s="5" t="s">
        <v>2578</v>
      </c>
      <c r="AB854" s="5"/>
      <c r="AC854" s="5" t="s">
        <v>2579</v>
      </c>
      <c r="AD854" s="9">
        <v>8.6</v>
      </c>
      <c r="AE854" s="1" t="s">
        <v>1489</v>
      </c>
      <c r="AG854" s="9"/>
      <c r="AH854" s="9"/>
    </row>
    <row r="855" spans="2:34">
      <c r="B855" s="4">
        <v>2017</v>
      </c>
      <c r="C855" s="4" t="s">
        <v>44</v>
      </c>
      <c r="D855" s="3">
        <f t="shared" si="13"/>
        <v>221</v>
      </c>
      <c r="E855" s="55" t="s">
        <v>1126</v>
      </c>
      <c r="F855" s="3" t="s">
        <v>2515</v>
      </c>
      <c r="G855" s="5" t="s">
        <v>1288</v>
      </c>
      <c r="H855" s="39" t="s">
        <v>1501</v>
      </c>
      <c r="I855" s="5" t="s">
        <v>131</v>
      </c>
      <c r="J855" s="7">
        <f>8000000/6.7</f>
        <v>1194029.8507462686</v>
      </c>
      <c r="K855" s="7">
        <f>5000000/6.7</f>
        <v>746268.65671641787</v>
      </c>
      <c r="L855" s="7">
        <f>1200000/6.7</f>
        <v>179104.4776119403</v>
      </c>
      <c r="M855" s="41" t="s">
        <v>1501</v>
      </c>
      <c r="N855" s="42" t="s">
        <v>1501</v>
      </c>
      <c r="O855" s="7">
        <f>3280000/6.7</f>
        <v>489552.23880597012</v>
      </c>
      <c r="P855" s="7">
        <v>512000</v>
      </c>
      <c r="Q855" s="7">
        <v>512000</v>
      </c>
      <c r="R855" s="5" t="str">
        <f>VLOOKUP($G855,Others!$E$641:$I$931,2,FALSE)</f>
        <v>Original Screenplay</v>
      </c>
      <c r="S855" s="5" t="str">
        <f>VLOOKUP($G855,Others!$E$641:$I$931,3,FALSE)</f>
        <v>Live Action</v>
      </c>
      <c r="T855" s="5" t="str">
        <f>VLOOKUP($G855,Others!$E$641:$I$931,4,FALSE)</f>
        <v>Contemporary Fiction</v>
      </c>
      <c r="U855" s="5" t="str">
        <f>IFERROR(VLOOKUP($G855,Ratings!$E$125:$I$172,5,FALSE),"none")</f>
        <v>none</v>
      </c>
      <c r="V855" s="5" t="s">
        <v>2580</v>
      </c>
      <c r="W855" s="5" t="s">
        <v>2581</v>
      </c>
      <c r="X855" s="5" t="s">
        <v>2582</v>
      </c>
      <c r="Y855" s="5" t="s">
        <v>2583</v>
      </c>
      <c r="Z855" s="5" t="s">
        <v>2584</v>
      </c>
      <c r="AA855" s="5" t="s">
        <v>2585</v>
      </c>
      <c r="AB855" s="5"/>
      <c r="AC855" s="5" t="s">
        <v>2586</v>
      </c>
      <c r="AD855" s="60" t="s">
        <v>1665</v>
      </c>
      <c r="AE855" s="1" t="s">
        <v>1489</v>
      </c>
      <c r="AG855" s="9"/>
      <c r="AH855" s="9"/>
    </row>
    <row r="856" spans="2:34">
      <c r="B856" s="4">
        <v>2017</v>
      </c>
      <c r="C856" s="4" t="s">
        <v>44</v>
      </c>
      <c r="D856" s="3">
        <f t="shared" si="13"/>
        <v>222</v>
      </c>
      <c r="E856" s="55" t="s">
        <v>1126</v>
      </c>
      <c r="F856" s="56" t="s">
        <v>1093</v>
      </c>
      <c r="G856" s="5" t="s">
        <v>1289</v>
      </c>
      <c r="H856" s="5" t="s">
        <v>1428</v>
      </c>
      <c r="I856" s="5" t="s">
        <v>136</v>
      </c>
      <c r="J856" s="7">
        <v>13333333</v>
      </c>
      <c r="K856" s="7">
        <v>7462686</v>
      </c>
      <c r="L856" s="7">
        <v>5270149</v>
      </c>
      <c r="M856" s="41">
        <v>46411</v>
      </c>
      <c r="N856" s="42">
        <v>772788</v>
      </c>
      <c r="O856" s="7">
        <v>14217910</v>
      </c>
      <c r="P856" s="7">
        <v>14897163</v>
      </c>
      <c r="Q856" s="7">
        <v>14897163</v>
      </c>
      <c r="R856" s="5" t="str">
        <f>VLOOKUP($G856,Others!$E$641:$I$931,2,FALSE)</f>
        <v>Original Screenplay</v>
      </c>
      <c r="S856" s="5" t="str">
        <f>VLOOKUP($G856,Others!$E$641:$I$931,3,FALSE)</f>
        <v>Live Action</v>
      </c>
      <c r="T856" s="5" t="str">
        <f>VLOOKUP($G856,Others!$E$641:$I$931,4,FALSE)</f>
        <v>Contemporary Fiction</v>
      </c>
      <c r="U856" s="5" t="str">
        <f>IFERROR(VLOOKUP($G856,Ratings!$E$125:$I$172,5,FALSE),"none")</f>
        <v>none</v>
      </c>
      <c r="V856" s="5" t="s">
        <v>2587</v>
      </c>
      <c r="W856" s="5" t="s">
        <v>2588</v>
      </c>
      <c r="X856" s="5" t="s">
        <v>2589</v>
      </c>
      <c r="Y856" s="5" t="s">
        <v>1541</v>
      </c>
      <c r="Z856" s="5"/>
      <c r="AA856" s="5" t="s">
        <v>2589</v>
      </c>
      <c r="AB856" s="5"/>
      <c r="AC856" s="5" t="s">
        <v>2590</v>
      </c>
      <c r="AD856" s="9">
        <v>7.5</v>
      </c>
      <c r="AE856" s="1" t="s">
        <v>1489</v>
      </c>
      <c r="AG856" s="9"/>
      <c r="AH856" s="9"/>
    </row>
    <row r="857" spans="2:34" hidden="1">
      <c r="B857" s="4">
        <v>2017</v>
      </c>
      <c r="C857" s="4" t="s">
        <v>44</v>
      </c>
      <c r="D857" s="3">
        <f t="shared" si="13"/>
        <v>223</v>
      </c>
      <c r="E857" s="3" t="s">
        <v>1126</v>
      </c>
      <c r="G857" s="5" t="s">
        <v>1290</v>
      </c>
      <c r="H857" s="5"/>
      <c r="J857" s="7">
        <v>0</v>
      </c>
      <c r="M857" s="8" t="s">
        <v>1411</v>
      </c>
      <c r="N857" s="7">
        <v>194774</v>
      </c>
      <c r="P857" s="7">
        <v>263745</v>
      </c>
      <c r="Q857" s="7">
        <v>263745</v>
      </c>
      <c r="R857" s="5">
        <f>VLOOKUP($G857,Others!$E$641:$I$931,2,FALSE)</f>
        <v>0</v>
      </c>
      <c r="S857" s="5">
        <f>VLOOKUP($G857,Others!$E$641:$I$931,3,FALSE)</f>
        <v>0</v>
      </c>
      <c r="T857" s="5">
        <f>VLOOKUP($G857,Others!$E$641:$I$931,4,FALSE)</f>
        <v>0</v>
      </c>
      <c r="U857" s="5" t="str">
        <f>IFERROR(VLOOKUP($G857,Ratings!$E$125:$I$172,5,FALSE),"none")</f>
        <v>none</v>
      </c>
      <c r="V857" s="5"/>
      <c r="X857" s="5"/>
      <c r="Y857" s="5"/>
      <c r="Z857" s="5"/>
      <c r="AA857" s="5"/>
      <c r="AB857" s="5"/>
      <c r="AC857" s="5"/>
      <c r="AG857" s="9"/>
      <c r="AH857" s="9"/>
    </row>
    <row r="858" spans="2:34">
      <c r="B858" s="4">
        <v>2017</v>
      </c>
      <c r="C858" s="4" t="s">
        <v>44</v>
      </c>
      <c r="D858" s="3">
        <f t="shared" si="13"/>
        <v>224</v>
      </c>
      <c r="E858" s="55" t="s">
        <v>1126</v>
      </c>
      <c r="F858" s="56" t="s">
        <v>2022</v>
      </c>
      <c r="G858" s="5" t="s">
        <v>1291</v>
      </c>
      <c r="H858" s="5" t="s">
        <v>1428</v>
      </c>
      <c r="I858" s="5" t="s">
        <v>127</v>
      </c>
      <c r="J858" s="7">
        <v>2238805.9700000002</v>
      </c>
      <c r="K858" s="7">
        <v>1492537.31</v>
      </c>
      <c r="L858" s="7">
        <v>4552388.0599999996</v>
      </c>
      <c r="M858" s="8">
        <v>24230</v>
      </c>
      <c r="N858" s="7">
        <v>3780000</v>
      </c>
      <c r="O858" s="7">
        <v>12307164.199999999</v>
      </c>
      <c r="P858" s="7">
        <v>13006233</v>
      </c>
      <c r="Q858" s="7">
        <v>13006233</v>
      </c>
      <c r="R858" s="5" t="str">
        <f>VLOOKUP($G858,Others!$E$641:$I$931,2,FALSE)</f>
        <v>Original Screenplay</v>
      </c>
      <c r="S858" s="5" t="str">
        <f>VLOOKUP($G858,Others!$E$641:$I$931,3,FALSE)</f>
        <v>Digital Animation</v>
      </c>
      <c r="T858" s="5" t="str">
        <f>VLOOKUP($G858,Others!$E$641:$I$931,4,FALSE)</f>
        <v>Kids Fiction</v>
      </c>
      <c r="U858" s="5" t="str">
        <f>IFERROR(VLOOKUP($G858,Ratings!$E$125:$I$172,5,FALSE),"none")</f>
        <v>none</v>
      </c>
      <c r="V858" s="5" t="s">
        <v>2591</v>
      </c>
      <c r="W858" s="39" t="s">
        <v>2592</v>
      </c>
      <c r="X858" s="5" t="s">
        <v>2593</v>
      </c>
      <c r="Y858" s="5" t="s">
        <v>2594</v>
      </c>
      <c r="Z858" s="5" t="s">
        <v>2595</v>
      </c>
      <c r="AA858" s="5" t="s">
        <v>2596</v>
      </c>
      <c r="AB858" s="5"/>
      <c r="AC858" s="5" t="s">
        <v>1449</v>
      </c>
      <c r="AD858" s="9">
        <v>8.3000000000000007</v>
      </c>
      <c r="AE858" s="1" t="s">
        <v>1489</v>
      </c>
      <c r="AG858" s="9"/>
      <c r="AH858" s="9"/>
    </row>
    <row r="859" spans="2:34" hidden="1">
      <c r="B859" s="4">
        <v>2017</v>
      </c>
      <c r="C859" s="4" t="s">
        <v>44</v>
      </c>
      <c r="D859" s="3">
        <f t="shared" si="13"/>
        <v>225</v>
      </c>
      <c r="E859" s="3" t="s">
        <v>1126</v>
      </c>
      <c r="G859" s="5" t="s">
        <v>1292</v>
      </c>
      <c r="H859" s="5"/>
      <c r="I859" s="5" t="s">
        <v>131</v>
      </c>
      <c r="J859" s="7">
        <v>0</v>
      </c>
      <c r="M859" s="8">
        <v>0</v>
      </c>
      <c r="N859" s="7">
        <v>0</v>
      </c>
      <c r="P859" s="7">
        <v>10526</v>
      </c>
      <c r="Q859" s="7">
        <v>10526</v>
      </c>
      <c r="R859" s="5">
        <f>VLOOKUP($G859,Others!$E$641:$I$931,2,FALSE)</f>
        <v>0</v>
      </c>
      <c r="S859" s="5" t="str">
        <f>VLOOKUP($G859,Others!$E$641:$I$931,3,FALSE)</f>
        <v>Live Action</v>
      </c>
      <c r="T859" s="5">
        <f>VLOOKUP($G859,Others!$E$641:$I$931,4,FALSE)</f>
        <v>0</v>
      </c>
      <c r="U859" s="5" t="str">
        <f>IFERROR(VLOOKUP($G859,Ratings!$E$125:$I$172,5,FALSE),"none")</f>
        <v>none</v>
      </c>
      <c r="V859" s="5"/>
      <c r="X859" s="5"/>
      <c r="Y859" s="5"/>
      <c r="Z859" s="5"/>
      <c r="AA859" s="5"/>
      <c r="AB859" s="5"/>
      <c r="AC859" s="5"/>
      <c r="AG859" s="9"/>
      <c r="AH859" s="9"/>
    </row>
    <row r="860" spans="2:34" hidden="1">
      <c r="B860" s="4">
        <v>2017</v>
      </c>
      <c r="C860" s="4" t="s">
        <v>44</v>
      </c>
      <c r="D860" s="3">
        <f t="shared" si="13"/>
        <v>226</v>
      </c>
      <c r="E860" s="3" t="s">
        <v>1126</v>
      </c>
      <c r="F860" s="3" t="s">
        <v>2597</v>
      </c>
      <c r="G860" s="5" t="s">
        <v>1293</v>
      </c>
      <c r="H860" s="5" t="s">
        <v>2598</v>
      </c>
      <c r="I860" s="5" t="s">
        <v>191</v>
      </c>
      <c r="J860" s="7" t="s">
        <v>1411</v>
      </c>
      <c r="K860" s="7" t="s">
        <v>1411</v>
      </c>
      <c r="L860" s="7">
        <f>2130000/6.7</f>
        <v>317910.44776119402</v>
      </c>
      <c r="M860" s="41" t="s">
        <v>1501</v>
      </c>
      <c r="N860" s="7" t="s">
        <v>1411</v>
      </c>
      <c r="O860" s="7">
        <f>5080000/6.7</f>
        <v>758208.95522388059</v>
      </c>
      <c r="P860" s="7">
        <v>889012</v>
      </c>
      <c r="Q860" s="7">
        <v>889012</v>
      </c>
      <c r="R860" s="5" t="str">
        <f>VLOOKUP($G860,Others!$E$641:$I$931,2,FALSE)</f>
        <v>Original Screenplay</v>
      </c>
      <c r="S860" s="5" t="str">
        <f>VLOOKUP($G860,Others!$E$641:$I$931,3,FALSE)</f>
        <v>Live Action</v>
      </c>
      <c r="T860" s="5" t="str">
        <f>VLOOKUP($G860,Others!$E$641:$I$931,4,FALSE)</f>
        <v>Factual</v>
      </c>
      <c r="U860" s="5" t="str">
        <f>IFERROR(VLOOKUP($G860,Ratings!$E$125:$I$172,5,FALSE),"none")</f>
        <v>none</v>
      </c>
      <c r="V860" s="5" t="s">
        <v>2599</v>
      </c>
      <c r="W860" s="5" t="s">
        <v>2600</v>
      </c>
      <c r="X860" s="5"/>
      <c r="Y860" s="5"/>
      <c r="Z860" s="5"/>
      <c r="AA860" s="5" t="s">
        <v>2601</v>
      </c>
      <c r="AB860" s="5"/>
      <c r="AC860" s="5" t="s">
        <v>2602</v>
      </c>
      <c r="AD860" s="28" t="s">
        <v>1411</v>
      </c>
      <c r="AE860" s="1" t="s">
        <v>1489</v>
      </c>
      <c r="AG860" s="9"/>
      <c r="AH860" s="9"/>
    </row>
    <row r="861" spans="2:34" hidden="1">
      <c r="B861" s="4">
        <v>2017</v>
      </c>
      <c r="C861" s="4" t="s">
        <v>44</v>
      </c>
      <c r="D861" s="3">
        <f t="shared" si="13"/>
        <v>227</v>
      </c>
      <c r="E861" s="3" t="s">
        <v>1126</v>
      </c>
      <c r="G861" s="5" t="s">
        <v>477</v>
      </c>
      <c r="H861" s="5"/>
      <c r="I861" s="5" t="s">
        <v>131</v>
      </c>
      <c r="J861" s="7">
        <v>0</v>
      </c>
      <c r="M861" s="8">
        <v>0</v>
      </c>
      <c r="N861" s="7">
        <v>0</v>
      </c>
      <c r="P861" s="7">
        <v>387766</v>
      </c>
      <c r="Q861" s="7">
        <v>387766</v>
      </c>
      <c r="R861" s="5" t="str">
        <f>VLOOKUP($G861,Others!$E$641:$I$931,2,FALSE)</f>
        <v>Original Screenplay</v>
      </c>
      <c r="S861" s="5" t="str">
        <f>VLOOKUP($G861,Others!$E$641:$I$931,3,FALSE)</f>
        <v>Live Action</v>
      </c>
      <c r="T861" s="5" t="str">
        <f>VLOOKUP($G861,Others!$E$641:$I$931,4,FALSE)</f>
        <v>Contemporary Fiction</v>
      </c>
      <c r="U861" s="5" t="str">
        <f>IFERROR(VLOOKUP($G861,Ratings!$E$125:$I$172,5,FALSE),"none")</f>
        <v>none</v>
      </c>
      <c r="V861" s="5"/>
      <c r="X861" s="5"/>
      <c r="Y861" s="5"/>
      <c r="Z861" s="5"/>
      <c r="AA861" s="5"/>
      <c r="AB861" s="5"/>
      <c r="AC861" s="5"/>
      <c r="AG861" s="9"/>
      <c r="AH861" s="9"/>
    </row>
    <row r="862" spans="2:34">
      <c r="B862" s="4">
        <v>2017</v>
      </c>
      <c r="C862" s="4" t="s">
        <v>44</v>
      </c>
      <c r="D862" s="3">
        <f t="shared" si="13"/>
        <v>228</v>
      </c>
      <c r="E862" s="55" t="s">
        <v>1126</v>
      </c>
      <c r="F862" s="56" t="s">
        <v>2603</v>
      </c>
      <c r="G862" s="5" t="s">
        <v>1294</v>
      </c>
      <c r="H862" s="5" t="s">
        <v>1410</v>
      </c>
      <c r="I862" s="5" t="s">
        <v>148</v>
      </c>
      <c r="J862" s="7">
        <v>11940298</v>
      </c>
      <c r="K862" s="7">
        <v>2985074</v>
      </c>
      <c r="L862" s="7">
        <v>6546268</v>
      </c>
      <c r="M862" s="8">
        <v>64062</v>
      </c>
      <c r="N862" s="7">
        <v>790000</v>
      </c>
      <c r="O862" s="7">
        <v>26865671</v>
      </c>
      <c r="P862" s="7">
        <v>18764048</v>
      </c>
      <c r="Q862" s="7">
        <v>18764048</v>
      </c>
      <c r="R862" s="5" t="str">
        <f>VLOOKUP($G862,Others!$E$641:$I$931,2,FALSE)</f>
        <v>Original Screenplay</v>
      </c>
      <c r="S862" s="5" t="str">
        <f>VLOOKUP($G862,Others!$E$641:$I$931,3,FALSE)</f>
        <v>Live Action</v>
      </c>
      <c r="T862" s="5" t="str">
        <f>VLOOKUP($G862,Others!$E$641:$I$931,4,FALSE)</f>
        <v>Contemporary Fiction</v>
      </c>
      <c r="U862" s="5" t="str">
        <f>IFERROR(VLOOKUP($G862,Ratings!$E$125:$I$172,5,FALSE),"none")</f>
        <v>none</v>
      </c>
      <c r="V862" s="5" t="s">
        <v>2604</v>
      </c>
      <c r="W862" s="5" t="s">
        <v>2605</v>
      </c>
      <c r="X862" s="5" t="s">
        <v>2357</v>
      </c>
      <c r="Y862" s="5" t="s">
        <v>2606</v>
      </c>
      <c r="Z862" s="5"/>
      <c r="AA862" s="5" t="s">
        <v>2607</v>
      </c>
      <c r="AB862" s="5"/>
      <c r="AC862" s="5" t="s">
        <v>1948</v>
      </c>
      <c r="AD862" s="9">
        <v>8</v>
      </c>
      <c r="AE862" s="1" t="s">
        <v>1489</v>
      </c>
      <c r="AG862" s="9"/>
      <c r="AH862" s="9"/>
    </row>
    <row r="863" spans="2:34" hidden="1">
      <c r="B863" s="4">
        <v>2017</v>
      </c>
      <c r="C863" s="4" t="s">
        <v>44</v>
      </c>
      <c r="D863" s="3">
        <f t="shared" si="13"/>
        <v>229</v>
      </c>
      <c r="E863" s="3" t="s">
        <v>1126</v>
      </c>
      <c r="G863" s="5" t="s">
        <v>1295</v>
      </c>
      <c r="H863" s="5"/>
      <c r="I863" s="5" t="s">
        <v>131</v>
      </c>
      <c r="J863" s="7">
        <v>0</v>
      </c>
      <c r="M863" s="8">
        <v>0</v>
      </c>
      <c r="N863" s="7">
        <v>0</v>
      </c>
      <c r="P863" s="7">
        <v>289527</v>
      </c>
      <c r="Q863" s="7">
        <v>289527</v>
      </c>
      <c r="R863" s="5" t="str">
        <f>VLOOKUP($G863,Others!$E$641:$I$931,2,FALSE)</f>
        <v>Original Screenplay</v>
      </c>
      <c r="S863" s="5" t="str">
        <f>VLOOKUP($G863,Others!$E$641:$I$931,3,FALSE)</f>
        <v>Live Action</v>
      </c>
      <c r="T863" s="5">
        <f>VLOOKUP($G863,Others!$E$641:$I$931,4,FALSE)</f>
        <v>0</v>
      </c>
      <c r="U863" s="5" t="str">
        <f>IFERROR(VLOOKUP($G863,Ratings!$E$125:$I$172,5,FALSE),"none")</f>
        <v>none</v>
      </c>
      <c r="V863" s="5"/>
      <c r="X863" s="5"/>
      <c r="Y863" s="5"/>
      <c r="Z863" s="5"/>
      <c r="AA863" s="5"/>
      <c r="AB863" s="5"/>
      <c r="AC863" s="5"/>
      <c r="AG863" s="9"/>
      <c r="AH863" s="9"/>
    </row>
    <row r="864" spans="2:34">
      <c r="B864" s="4">
        <v>2017</v>
      </c>
      <c r="C864" s="4" t="s">
        <v>44</v>
      </c>
      <c r="D864" s="3">
        <f t="shared" si="13"/>
        <v>230</v>
      </c>
      <c r="E864" s="55" t="s">
        <v>1126</v>
      </c>
      <c r="F864" s="56" t="s">
        <v>2608</v>
      </c>
      <c r="G864" s="5" t="s">
        <v>1296</v>
      </c>
      <c r="H864" s="5" t="s">
        <v>2609</v>
      </c>
      <c r="I864" s="5" t="s">
        <v>129</v>
      </c>
      <c r="J864" s="7">
        <v>7462686.5700000003</v>
      </c>
      <c r="K864" s="7">
        <v>14992537.310000001</v>
      </c>
      <c r="L864" s="7">
        <v>3583134.33</v>
      </c>
      <c r="M864" s="8">
        <v>4316</v>
      </c>
      <c r="N864" s="7">
        <v>1580000</v>
      </c>
      <c r="O864" s="7">
        <v>9729104.4800000004</v>
      </c>
      <c r="P864" s="7">
        <v>9782949</v>
      </c>
      <c r="Q864" s="7">
        <v>9782949</v>
      </c>
      <c r="R864" s="5" t="str">
        <f>VLOOKUP($G864,Others!$E$641:$I$931,2,FALSE)</f>
        <v>Based on Real Life Events</v>
      </c>
      <c r="S864" s="5" t="str">
        <f>VLOOKUP($G864,Others!$E$641:$I$931,3,FALSE)</f>
        <v>Live Action</v>
      </c>
      <c r="T864" s="5" t="str">
        <f>VLOOKUP($G864,Others!$E$641:$I$931,4,FALSE)</f>
        <v>Factual</v>
      </c>
      <c r="U864" s="5" t="str">
        <f>IFERROR(VLOOKUP($G864,Ratings!$E$125:$I$172,5,FALSE),"none")</f>
        <v>none</v>
      </c>
      <c r="V864" s="5" t="s">
        <v>2610</v>
      </c>
      <c r="W864" s="5" t="s">
        <v>1296</v>
      </c>
      <c r="X864" s="5" t="s">
        <v>2611</v>
      </c>
      <c r="Y864" s="5" t="s">
        <v>2612</v>
      </c>
      <c r="Z864" s="5" t="s">
        <v>2613</v>
      </c>
      <c r="AA864" s="5" t="s">
        <v>2614</v>
      </c>
      <c r="AB864" s="5"/>
      <c r="AC864" s="5" t="s">
        <v>2465</v>
      </c>
      <c r="AD864" s="9">
        <v>8.6</v>
      </c>
      <c r="AE864" s="1" t="s">
        <v>1489</v>
      </c>
      <c r="AG864" s="9"/>
      <c r="AH864" s="9"/>
    </row>
    <row r="865" spans="2:34" hidden="1">
      <c r="B865" s="4">
        <v>2017</v>
      </c>
      <c r="C865" s="4" t="s">
        <v>44</v>
      </c>
      <c r="D865" s="3">
        <f t="shared" si="13"/>
        <v>231</v>
      </c>
      <c r="E865" s="3" t="s">
        <v>1126</v>
      </c>
      <c r="G865" s="5" t="s">
        <v>1297</v>
      </c>
      <c r="H865" s="5"/>
      <c r="I865" s="5" t="s">
        <v>131</v>
      </c>
      <c r="J865" s="7">
        <v>0</v>
      </c>
      <c r="M865" s="8">
        <v>0</v>
      </c>
      <c r="N865" s="7">
        <v>0</v>
      </c>
      <c r="P865" s="7">
        <v>13739</v>
      </c>
      <c r="Q865" s="7">
        <v>13739</v>
      </c>
      <c r="R865" s="5">
        <f>VLOOKUP($G865,Others!$E$641:$I$931,2,FALSE)</f>
        <v>0</v>
      </c>
      <c r="S865" s="5" t="str">
        <f>VLOOKUP($G865,Others!$E$641:$I$931,3,FALSE)</f>
        <v>Live Action</v>
      </c>
      <c r="T865" s="5">
        <f>VLOOKUP($G865,Others!$E$641:$I$931,4,FALSE)</f>
        <v>0</v>
      </c>
      <c r="U865" s="5" t="str">
        <f>IFERROR(VLOOKUP($G865,Ratings!$E$125:$I$172,5,FALSE),"none")</f>
        <v>none</v>
      </c>
      <c r="V865" s="5"/>
      <c r="X865" s="5"/>
      <c r="Y865" s="5"/>
      <c r="Z865" s="5"/>
      <c r="AA865" s="5"/>
      <c r="AB865" s="5"/>
      <c r="AC865" s="5"/>
      <c r="AG865" s="9"/>
      <c r="AH865" s="9"/>
    </row>
    <row r="866" spans="2:34" hidden="1">
      <c r="B866" s="4">
        <v>2017</v>
      </c>
      <c r="C866" s="4" t="s">
        <v>44</v>
      </c>
      <c r="D866" s="3">
        <f t="shared" si="13"/>
        <v>232</v>
      </c>
      <c r="E866" s="3" t="s">
        <v>1126</v>
      </c>
      <c r="G866" s="5" t="s">
        <v>1298</v>
      </c>
      <c r="H866" s="5"/>
      <c r="I866" s="5" t="s">
        <v>131</v>
      </c>
      <c r="J866" s="7">
        <v>0</v>
      </c>
      <c r="M866" s="8">
        <v>0</v>
      </c>
      <c r="N866" s="7">
        <v>0</v>
      </c>
      <c r="P866" s="7">
        <v>917277</v>
      </c>
      <c r="Q866" s="7">
        <v>917277</v>
      </c>
      <c r="R866" s="5">
        <f>VLOOKUP($G866,Others!$E$641:$I$931,2,FALSE)</f>
        <v>0</v>
      </c>
      <c r="S866" s="5" t="str">
        <f>VLOOKUP($G866,Others!$E$641:$I$931,3,FALSE)</f>
        <v>Live Action</v>
      </c>
      <c r="T866" s="5" t="str">
        <f>VLOOKUP($G866,Others!$E$641:$I$931,4,FALSE)</f>
        <v>Historical Fiction</v>
      </c>
      <c r="U866" s="5" t="str">
        <f>IFERROR(VLOOKUP($G866,Ratings!$E$125:$I$172,5,FALSE),"none")</f>
        <v>none</v>
      </c>
      <c r="V866" s="5"/>
      <c r="X866" s="5"/>
      <c r="Y866" s="5"/>
      <c r="Z866" s="5"/>
      <c r="AA866" s="5"/>
      <c r="AB866" s="5"/>
      <c r="AC866" s="5"/>
      <c r="AG866" s="9"/>
      <c r="AH866" s="9"/>
    </row>
    <row r="867" spans="2:34" hidden="1">
      <c r="B867" s="4">
        <v>2017</v>
      </c>
      <c r="C867" s="4" t="s">
        <v>44</v>
      </c>
      <c r="D867" s="3">
        <f t="shared" si="13"/>
        <v>233</v>
      </c>
      <c r="E867" s="3" t="s">
        <v>1126</v>
      </c>
      <c r="G867" s="5" t="s">
        <v>509</v>
      </c>
      <c r="H867" s="5"/>
      <c r="I867" s="5" t="s">
        <v>129</v>
      </c>
      <c r="J867" s="7">
        <v>0</v>
      </c>
      <c r="M867" s="8">
        <v>0</v>
      </c>
      <c r="N867" s="7">
        <v>0</v>
      </c>
      <c r="P867" s="7">
        <v>98143</v>
      </c>
      <c r="Q867" s="7">
        <v>98143</v>
      </c>
      <c r="R867" s="5" t="str">
        <f>VLOOKUP($G867,Others!$E$641:$I$931,2,FALSE)</f>
        <v>Original Screenplay</v>
      </c>
      <c r="S867" s="5" t="str">
        <f>VLOOKUP($G867,Others!$E$641:$I$931,3,FALSE)</f>
        <v>Live Action</v>
      </c>
      <c r="T867" s="5" t="str">
        <f>VLOOKUP($G867,Others!$E$641:$I$931,4,FALSE)</f>
        <v>Science Fiction</v>
      </c>
      <c r="U867" s="5" t="str">
        <f>IFERROR(VLOOKUP($G867,Ratings!$E$125:$I$172,5,FALSE),"none")</f>
        <v>none</v>
      </c>
      <c r="V867" s="5"/>
      <c r="X867" s="5"/>
      <c r="Y867" s="5"/>
      <c r="Z867" s="5"/>
      <c r="AA867" s="5"/>
      <c r="AB867" s="5"/>
      <c r="AC867" s="5"/>
      <c r="AG867" s="9"/>
      <c r="AH867" s="9"/>
    </row>
    <row r="868" spans="2:34" hidden="1">
      <c r="B868" s="4">
        <v>2017</v>
      </c>
      <c r="C868" s="4" t="s">
        <v>44</v>
      </c>
      <c r="D868" s="3">
        <f t="shared" si="13"/>
        <v>234</v>
      </c>
      <c r="E868" s="3" t="s">
        <v>1126</v>
      </c>
      <c r="G868" s="5" t="s">
        <v>315</v>
      </c>
      <c r="H868" s="5"/>
      <c r="I868" s="5" t="s">
        <v>131</v>
      </c>
      <c r="J868" s="7">
        <v>0</v>
      </c>
      <c r="M868" s="8">
        <v>0</v>
      </c>
      <c r="N868" s="7">
        <v>0</v>
      </c>
      <c r="P868" s="7">
        <v>67678</v>
      </c>
      <c r="Q868" s="7">
        <v>67678</v>
      </c>
      <c r="R868" s="5" t="str">
        <f>VLOOKUP($G868,Others!$E$641:$I$931,2,FALSE)</f>
        <v>Original Screenplay</v>
      </c>
      <c r="S868" s="5" t="str">
        <f>VLOOKUP($G868,Others!$E$641:$I$931,3,FALSE)</f>
        <v>Live Action</v>
      </c>
      <c r="T868" s="5" t="str">
        <f>VLOOKUP($G868,Others!$E$641:$I$931,4,FALSE)</f>
        <v>Contemporary Fiction</v>
      </c>
      <c r="U868" s="5" t="str">
        <f>IFERROR(VLOOKUP($G868,Ratings!$E$125:$I$172,5,FALSE),"none")</f>
        <v>none</v>
      </c>
      <c r="V868" s="5"/>
      <c r="X868" s="5"/>
      <c r="Y868" s="5"/>
      <c r="Z868" s="5"/>
      <c r="AA868" s="5"/>
      <c r="AB868" s="5"/>
      <c r="AC868" s="5"/>
      <c r="AG868" s="9"/>
      <c r="AH868" s="9"/>
    </row>
    <row r="869" spans="2:34" hidden="1">
      <c r="B869" s="4">
        <v>2017</v>
      </c>
      <c r="C869" s="4" t="s">
        <v>44</v>
      </c>
      <c r="D869" s="3">
        <f t="shared" si="13"/>
        <v>235</v>
      </c>
      <c r="E869" s="3" t="s">
        <v>1126</v>
      </c>
      <c r="G869" s="5" t="s">
        <v>1299</v>
      </c>
      <c r="H869" s="5"/>
      <c r="I869" s="5" t="s">
        <v>136</v>
      </c>
      <c r="J869" s="7">
        <v>0</v>
      </c>
      <c r="M869" s="8">
        <v>0</v>
      </c>
      <c r="N869" s="7">
        <v>0</v>
      </c>
      <c r="P869" s="7">
        <v>20460352</v>
      </c>
      <c r="Q869" s="7">
        <v>20460352</v>
      </c>
      <c r="R869" s="5" t="str">
        <f>VLOOKUP($G869,Others!$E$641:$I$931,2,FALSE)</f>
        <v>Based on TV</v>
      </c>
      <c r="S869" s="5" t="str">
        <f>VLOOKUP($G869,Others!$E$641:$I$931,3,FALSE)</f>
        <v>Digital Animation</v>
      </c>
      <c r="T869" s="5" t="str">
        <f>VLOOKUP($G869,Others!$E$641:$I$931,4,FALSE)</f>
        <v>Contemporary Fiction</v>
      </c>
      <c r="U869" s="5" t="str">
        <f>IFERROR(VLOOKUP($G869,Ratings!$E$125:$I$172,5,FALSE),"none")</f>
        <v>none</v>
      </c>
      <c r="V869" s="5"/>
      <c r="X869" s="5"/>
      <c r="Y869" s="5"/>
      <c r="Z869" s="5"/>
      <c r="AA869" s="5"/>
      <c r="AB869" s="5"/>
      <c r="AC869" s="5"/>
      <c r="AG869" s="9"/>
      <c r="AH869" s="9"/>
    </row>
    <row r="870" spans="2:34" hidden="1">
      <c r="B870" s="4">
        <v>2017</v>
      </c>
      <c r="C870" s="4" t="s">
        <v>44</v>
      </c>
      <c r="D870" s="3">
        <f t="shared" si="13"/>
        <v>236</v>
      </c>
      <c r="E870" s="3" t="s">
        <v>1126</v>
      </c>
      <c r="G870" s="5" t="s">
        <v>1300</v>
      </c>
      <c r="H870" s="5"/>
      <c r="I870" s="5" t="s">
        <v>129</v>
      </c>
      <c r="J870" s="7">
        <v>0</v>
      </c>
      <c r="M870" s="8">
        <v>0</v>
      </c>
      <c r="N870" s="7">
        <v>0</v>
      </c>
      <c r="P870" s="7">
        <v>1549782</v>
      </c>
      <c r="Q870" s="7">
        <v>1549782</v>
      </c>
      <c r="R870" s="5" t="str">
        <f>VLOOKUP($G870,Others!$E$641:$I$931,2,FALSE)</f>
        <v>Based on Real Life Events</v>
      </c>
      <c r="S870" s="5" t="str">
        <f>VLOOKUP($G870,Others!$E$641:$I$931,3,FALSE)</f>
        <v>Live Action</v>
      </c>
      <c r="T870" s="5" t="str">
        <f>VLOOKUP($G870,Others!$E$641:$I$931,4,FALSE)</f>
        <v>Factual</v>
      </c>
      <c r="U870" s="5" t="str">
        <f>IFERROR(VLOOKUP($G870,Ratings!$E$125:$I$172,5,FALSE),"none")</f>
        <v>none</v>
      </c>
      <c r="V870" s="5"/>
      <c r="X870" s="5"/>
      <c r="Y870" s="5"/>
      <c r="Z870" s="5"/>
      <c r="AA870" s="5"/>
      <c r="AB870" s="5"/>
      <c r="AC870" s="5"/>
      <c r="AG870" s="9"/>
      <c r="AH870" s="9"/>
    </row>
    <row r="871" spans="2:34" hidden="1">
      <c r="B871" s="4">
        <v>2017</v>
      </c>
      <c r="C871" s="4" t="s">
        <v>44</v>
      </c>
      <c r="D871" s="3">
        <f t="shared" si="13"/>
        <v>237</v>
      </c>
      <c r="E871" s="3" t="s">
        <v>1126</v>
      </c>
      <c r="G871" s="5" t="s">
        <v>310</v>
      </c>
      <c r="H871" s="5"/>
      <c r="I871" s="5" t="s">
        <v>131</v>
      </c>
      <c r="J871" s="7">
        <v>0</v>
      </c>
      <c r="M871" s="8">
        <v>0</v>
      </c>
      <c r="N871" s="7">
        <v>0</v>
      </c>
      <c r="P871" s="7">
        <v>93338</v>
      </c>
      <c r="Q871" s="7">
        <v>93338</v>
      </c>
      <c r="R871" s="5" t="str">
        <f>VLOOKUP($G871,Others!$E$641:$I$931,2,FALSE)</f>
        <v>Original Screenplay</v>
      </c>
      <c r="S871" s="5" t="str">
        <f>VLOOKUP($G871,Others!$E$641:$I$931,3,FALSE)</f>
        <v>Live Action</v>
      </c>
      <c r="T871" s="5" t="str">
        <f>VLOOKUP($G871,Others!$E$641:$I$931,4,FALSE)</f>
        <v>Contemporary Fiction</v>
      </c>
      <c r="U871" s="5" t="str">
        <f>IFERROR(VLOOKUP($G871,Ratings!$E$125:$I$172,5,FALSE),"none")</f>
        <v>none</v>
      </c>
      <c r="V871" s="5"/>
      <c r="X871" s="5"/>
      <c r="Y871" s="5"/>
      <c r="Z871" s="5"/>
      <c r="AA871" s="5"/>
      <c r="AB871" s="5"/>
      <c r="AC871" s="5"/>
      <c r="AG871" s="9"/>
      <c r="AH871" s="9"/>
    </row>
    <row r="872" spans="2:34" hidden="1">
      <c r="B872" s="4">
        <v>2017</v>
      </c>
      <c r="C872" s="4" t="s">
        <v>44</v>
      </c>
      <c r="D872" s="3">
        <f t="shared" si="13"/>
        <v>238</v>
      </c>
      <c r="E872" s="3" t="s">
        <v>1126</v>
      </c>
      <c r="G872" s="5" t="s">
        <v>533</v>
      </c>
      <c r="H872" s="5"/>
      <c r="I872" s="5" t="s">
        <v>148</v>
      </c>
      <c r="J872" s="7">
        <v>0</v>
      </c>
      <c r="M872" s="8">
        <v>0</v>
      </c>
      <c r="N872" s="7">
        <v>0</v>
      </c>
      <c r="P872" s="7">
        <v>27171</v>
      </c>
      <c r="Q872" s="7">
        <v>27171</v>
      </c>
      <c r="R872" s="5">
        <f>VLOOKUP($G872,Others!$E$641:$I$931,2,FALSE)</f>
        <v>0</v>
      </c>
      <c r="S872" s="5" t="str">
        <f>VLOOKUP($G872,Others!$E$641:$I$931,3,FALSE)</f>
        <v>Live Action</v>
      </c>
      <c r="T872" s="5">
        <f>VLOOKUP($G872,Others!$E$641:$I$931,4,FALSE)</f>
        <v>0</v>
      </c>
      <c r="U872" s="5" t="str">
        <f>IFERROR(VLOOKUP($G872,Ratings!$E$125:$I$172,5,FALSE),"none")</f>
        <v>none</v>
      </c>
      <c r="V872" s="5"/>
      <c r="X872" s="5"/>
      <c r="Y872" s="5"/>
      <c r="Z872" s="5"/>
      <c r="AA872" s="5"/>
      <c r="AB872" s="5"/>
      <c r="AC872" s="5"/>
      <c r="AG872" s="9"/>
      <c r="AH872" s="9"/>
    </row>
    <row r="873" spans="2:34" hidden="1">
      <c r="B873" s="4">
        <v>2017</v>
      </c>
      <c r="C873" s="4" t="s">
        <v>44</v>
      </c>
      <c r="D873" s="3">
        <f t="shared" si="13"/>
        <v>239</v>
      </c>
      <c r="E873" s="3" t="s">
        <v>1126</v>
      </c>
      <c r="G873" s="5" t="s">
        <v>1301</v>
      </c>
      <c r="H873" s="5"/>
      <c r="I873" s="5" t="s">
        <v>193</v>
      </c>
      <c r="J873" s="7">
        <v>0</v>
      </c>
      <c r="M873" s="8">
        <v>0</v>
      </c>
      <c r="N873" s="7">
        <v>0</v>
      </c>
      <c r="P873" s="7">
        <v>72044</v>
      </c>
      <c r="Q873" s="7">
        <v>72044</v>
      </c>
      <c r="R873" s="5">
        <f>VLOOKUP($G873,Others!$E$641:$I$931,2,FALSE)</f>
        <v>0</v>
      </c>
      <c r="S873" s="5">
        <f>VLOOKUP($G873,Others!$E$641:$I$931,3,FALSE)</f>
        <v>0</v>
      </c>
      <c r="T873" s="5">
        <f>VLOOKUP($G873,Others!$E$641:$I$931,4,FALSE)</f>
        <v>0</v>
      </c>
      <c r="U873" s="5" t="str">
        <f>IFERROR(VLOOKUP($G873,Ratings!$E$125:$I$172,5,FALSE),"none")</f>
        <v>none</v>
      </c>
      <c r="V873" s="5"/>
      <c r="X873" s="5"/>
      <c r="Y873" s="5"/>
      <c r="Z873" s="5"/>
      <c r="AA873" s="5"/>
      <c r="AB873" s="5"/>
      <c r="AC873" s="5"/>
      <c r="AG873" s="9"/>
      <c r="AH873" s="9"/>
    </row>
    <row r="874" spans="2:34">
      <c r="B874" s="4">
        <v>2017</v>
      </c>
      <c r="C874" s="4" t="s">
        <v>44</v>
      </c>
      <c r="D874" s="3">
        <f t="shared" si="13"/>
        <v>240</v>
      </c>
      <c r="E874" s="55" t="s">
        <v>1126</v>
      </c>
      <c r="F874" s="56" t="s">
        <v>2615</v>
      </c>
      <c r="G874" s="5" t="s">
        <v>1302</v>
      </c>
      <c r="H874" s="5" t="s">
        <v>1658</v>
      </c>
      <c r="I874" s="5" t="s">
        <v>131</v>
      </c>
      <c r="J874" s="7">
        <v>1492537</v>
      </c>
      <c r="K874" s="7">
        <v>746268</v>
      </c>
      <c r="L874" s="7">
        <v>5928358</v>
      </c>
      <c r="M874" s="8">
        <v>19177</v>
      </c>
      <c r="N874" s="7">
        <v>5090000</v>
      </c>
      <c r="O874" s="7">
        <v>15970149</v>
      </c>
      <c r="P874" s="7">
        <v>16444489</v>
      </c>
      <c r="Q874" s="7">
        <v>16444489</v>
      </c>
      <c r="R874" s="5" t="str">
        <f>VLOOKUP($G874,Others!$E$641:$I$931,2,FALSE)</f>
        <v>Original Screenplay</v>
      </c>
      <c r="S874" s="5" t="str">
        <f>VLOOKUP($G874,Others!$E$641:$I$931,3,FALSE)</f>
        <v>Live Action</v>
      </c>
      <c r="T874" s="5" t="str">
        <f>VLOOKUP($G874,Others!$E$641:$I$931,4,FALSE)</f>
        <v>Contemporary Fiction</v>
      </c>
      <c r="U874" s="5" t="str">
        <f>IFERROR(VLOOKUP($G874,Ratings!$E$125:$I$172,5,FALSE),"none")</f>
        <v>none</v>
      </c>
      <c r="V874" s="5" t="s">
        <v>2616</v>
      </c>
      <c r="W874" s="5" t="s">
        <v>2617</v>
      </c>
      <c r="X874" s="5" t="s">
        <v>2618</v>
      </c>
      <c r="Y874" s="5" t="s">
        <v>2619</v>
      </c>
      <c r="Z874" s="5"/>
      <c r="AA874" s="5" t="s">
        <v>2620</v>
      </c>
      <c r="AB874" s="5"/>
      <c r="AC874" s="5" t="s">
        <v>1658</v>
      </c>
      <c r="AD874" s="9">
        <v>8.4</v>
      </c>
      <c r="AE874" s="1" t="s">
        <v>1489</v>
      </c>
      <c r="AG874" s="9"/>
      <c r="AH874" s="9"/>
    </row>
    <row r="875" spans="2:34">
      <c r="B875" s="4">
        <v>2017</v>
      </c>
      <c r="C875" s="4" t="s">
        <v>44</v>
      </c>
      <c r="D875" s="3">
        <f t="shared" si="13"/>
        <v>241</v>
      </c>
      <c r="E875" s="55" t="s">
        <v>1126</v>
      </c>
      <c r="F875" s="46" t="s">
        <v>2621</v>
      </c>
      <c r="G875" s="5" t="s">
        <v>1303</v>
      </c>
      <c r="H875" s="39" t="s">
        <v>2622</v>
      </c>
      <c r="I875" s="5" t="s">
        <v>131</v>
      </c>
      <c r="J875" s="7">
        <v>11940298.5</v>
      </c>
      <c r="K875" s="7">
        <v>295074.63</v>
      </c>
      <c r="L875" s="7">
        <v>4094029.85</v>
      </c>
      <c r="M875" s="41">
        <v>51459</v>
      </c>
      <c r="N875" s="42">
        <v>7450000</v>
      </c>
      <c r="O875" s="7">
        <v>11088059.699999999</v>
      </c>
      <c r="P875" s="7">
        <v>11170000</v>
      </c>
      <c r="Q875" s="7">
        <v>11170000</v>
      </c>
      <c r="R875" s="5" t="str">
        <f>VLOOKUP($G875,Others!$E$641:$I$931,2,FALSE)</f>
        <v>Original Screenplay</v>
      </c>
      <c r="S875" s="5" t="str">
        <f>VLOOKUP($G875,Others!$E$641:$I$931,3,FALSE)</f>
        <v>Live Action</v>
      </c>
      <c r="T875" s="5" t="str">
        <f>VLOOKUP($G875,Others!$E$641:$I$931,4,FALSE)</f>
        <v>Historical Fiction</v>
      </c>
      <c r="U875" s="5" t="str">
        <f>IFERROR(VLOOKUP($G875,Ratings!$E$125:$I$172,5,FALSE),"none")</f>
        <v>none</v>
      </c>
      <c r="V875" s="5" t="s">
        <v>2623</v>
      </c>
      <c r="W875" s="5" t="s">
        <v>2624</v>
      </c>
      <c r="X875" s="5" t="s">
        <v>1905</v>
      </c>
      <c r="Y875" s="5" t="s">
        <v>2625</v>
      </c>
      <c r="Z875" s="5" t="s">
        <v>1861</v>
      </c>
      <c r="AA875" s="5" t="s">
        <v>2626</v>
      </c>
      <c r="AB875" s="5"/>
      <c r="AC875" s="39" t="s">
        <v>2627</v>
      </c>
      <c r="AD875" s="9">
        <v>8.1999999999999993</v>
      </c>
      <c r="AE875" s="1" t="s">
        <v>1489</v>
      </c>
      <c r="AG875" s="9"/>
      <c r="AH875" s="9"/>
    </row>
    <row r="876" spans="2:34" hidden="1">
      <c r="B876" s="4">
        <v>2017</v>
      </c>
      <c r="C876" s="4" t="s">
        <v>44</v>
      </c>
      <c r="D876" s="3">
        <f t="shared" si="13"/>
        <v>242</v>
      </c>
      <c r="E876" s="3" t="s">
        <v>1126</v>
      </c>
      <c r="G876" s="5" t="s">
        <v>1304</v>
      </c>
      <c r="H876" s="5"/>
      <c r="I876" s="5" t="s">
        <v>131</v>
      </c>
      <c r="J876" s="7">
        <v>0</v>
      </c>
      <c r="M876" s="8">
        <v>0</v>
      </c>
      <c r="N876" s="7">
        <v>0</v>
      </c>
      <c r="P876" s="7">
        <v>663773</v>
      </c>
      <c r="Q876" s="7">
        <v>663773</v>
      </c>
      <c r="R876" s="5" t="str">
        <f>VLOOKUP($G876,Others!$E$641:$I$931,2,FALSE)</f>
        <v>Original Screenplay</v>
      </c>
      <c r="S876" s="5" t="str">
        <f>VLOOKUP($G876,Others!$E$641:$I$931,3,FALSE)</f>
        <v>Live Action</v>
      </c>
      <c r="T876" s="5" t="str">
        <f>VLOOKUP($G876,Others!$E$641:$I$931,4,FALSE)</f>
        <v>Fantasy</v>
      </c>
      <c r="U876" s="5" t="str">
        <f>IFERROR(VLOOKUP($G876,Ratings!$E$125:$I$172,5,FALSE),"none")</f>
        <v>none</v>
      </c>
      <c r="V876" s="5"/>
      <c r="X876" s="5"/>
      <c r="Y876" s="5"/>
      <c r="AA876" s="5"/>
      <c r="AB876" s="5"/>
      <c r="AC876" s="5"/>
      <c r="AG876" s="9"/>
      <c r="AH876" s="9"/>
    </row>
    <row r="877" spans="2:34" hidden="1">
      <c r="B877" s="4">
        <v>2017</v>
      </c>
      <c r="C877" s="4" t="s">
        <v>44</v>
      </c>
      <c r="D877" s="3">
        <f t="shared" si="13"/>
        <v>243</v>
      </c>
      <c r="E877" s="3" t="s">
        <v>1126</v>
      </c>
      <c r="G877" s="5" t="s">
        <v>1305</v>
      </c>
      <c r="H877" s="5"/>
      <c r="I877" s="5" t="s">
        <v>131</v>
      </c>
      <c r="J877" s="7">
        <v>0</v>
      </c>
      <c r="M877" s="8">
        <v>0</v>
      </c>
      <c r="N877" s="7">
        <v>0</v>
      </c>
      <c r="P877" s="7">
        <v>16664</v>
      </c>
      <c r="Q877" s="7">
        <v>16664</v>
      </c>
      <c r="R877" s="5">
        <f>VLOOKUP($G877,Others!$E$641:$I$931,2,FALSE)</f>
        <v>0</v>
      </c>
      <c r="S877" s="5" t="str">
        <f>VLOOKUP($G877,Others!$E$641:$I$931,3,FALSE)</f>
        <v>Live Action</v>
      </c>
      <c r="T877" s="5" t="str">
        <f>VLOOKUP($G877,Others!$E$641:$I$931,4,FALSE)</f>
        <v>Science Fiction</v>
      </c>
      <c r="U877" s="5" t="str">
        <f>IFERROR(VLOOKUP($G877,Ratings!$E$125:$I$172,5,FALSE),"none")</f>
        <v>none</v>
      </c>
      <c r="V877" s="5"/>
      <c r="X877" s="5"/>
      <c r="Y877" s="5"/>
      <c r="AA877" s="5"/>
      <c r="AB877" s="5"/>
      <c r="AC877" s="5"/>
      <c r="AG877" s="9"/>
      <c r="AH877" s="9"/>
    </row>
    <row r="878" spans="2:34" hidden="1">
      <c r="B878" s="4">
        <v>2017</v>
      </c>
      <c r="C878" s="4" t="s">
        <v>44</v>
      </c>
      <c r="D878" s="3">
        <f t="shared" si="13"/>
        <v>244</v>
      </c>
      <c r="E878" s="3" t="s">
        <v>1126</v>
      </c>
      <c r="G878" s="5" t="s">
        <v>1306</v>
      </c>
      <c r="H878" s="5"/>
      <c r="I878" s="5" t="s">
        <v>253</v>
      </c>
      <c r="J878" s="7">
        <v>0</v>
      </c>
      <c r="M878" s="8">
        <v>0</v>
      </c>
      <c r="N878" s="7">
        <v>0</v>
      </c>
      <c r="P878" s="7">
        <v>1905999</v>
      </c>
      <c r="Q878" s="7">
        <v>1905999</v>
      </c>
      <c r="R878" s="5" t="str">
        <f>VLOOKUP($G878,Others!$E$641:$I$931,2,FALSE)</f>
        <v>Original Screenplay</v>
      </c>
      <c r="S878" s="5" t="str">
        <f>VLOOKUP($G878,Others!$E$641:$I$931,3,FALSE)</f>
        <v>Live Action</v>
      </c>
      <c r="T878" s="5" t="str">
        <f>VLOOKUP($G878,Others!$E$641:$I$931,4,FALSE)</f>
        <v>Contemporary Fiction</v>
      </c>
      <c r="U878" s="5" t="str">
        <f>IFERROR(VLOOKUP($G878,Ratings!$E$125:$I$172,5,FALSE),"none")</f>
        <v>none</v>
      </c>
      <c r="V878" s="5"/>
      <c r="X878" s="5"/>
      <c r="Y878" s="5"/>
      <c r="AA878" s="5"/>
      <c r="AB878" s="5"/>
      <c r="AC878" s="5"/>
      <c r="AG878" s="9"/>
      <c r="AH878" s="9"/>
    </row>
    <row r="879" spans="2:34" hidden="1">
      <c r="B879" s="4">
        <v>2017</v>
      </c>
      <c r="C879" s="4" t="s">
        <v>44</v>
      </c>
      <c r="D879" s="3">
        <f t="shared" si="13"/>
        <v>245</v>
      </c>
      <c r="E879" s="3" t="s">
        <v>1126</v>
      </c>
      <c r="G879" s="5" t="s">
        <v>1307</v>
      </c>
      <c r="H879" s="5"/>
      <c r="I879" s="5" t="s">
        <v>131</v>
      </c>
      <c r="J879" s="7">
        <v>0</v>
      </c>
      <c r="M879" s="8">
        <v>0</v>
      </c>
      <c r="N879" s="7">
        <v>0</v>
      </c>
      <c r="P879" s="7">
        <v>285714</v>
      </c>
      <c r="Q879" s="7">
        <v>285714</v>
      </c>
      <c r="R879" s="5" t="str">
        <f>VLOOKUP($G879,Others!$E$641:$I$931,2,FALSE)</f>
        <v>Based on Real Life Events</v>
      </c>
      <c r="S879" s="5" t="str">
        <f>VLOOKUP($G879,Others!$E$641:$I$931,3,FALSE)</f>
        <v>Live Action</v>
      </c>
      <c r="T879" s="5" t="str">
        <f>VLOOKUP($G879,Others!$E$641:$I$931,4,FALSE)</f>
        <v>Dramatization</v>
      </c>
      <c r="U879" s="5" t="str">
        <f>IFERROR(VLOOKUP($G879,Ratings!$E$125:$I$172,5,FALSE),"none")</f>
        <v>none</v>
      </c>
      <c r="V879" s="5"/>
      <c r="X879" s="5"/>
      <c r="Y879" s="5"/>
      <c r="AA879" s="5"/>
      <c r="AB879" s="5"/>
      <c r="AC879" s="5"/>
      <c r="AG879" s="9"/>
      <c r="AH879" s="9"/>
    </row>
    <row r="880" spans="2:34">
      <c r="B880" s="4">
        <v>2017</v>
      </c>
      <c r="C880" s="4" t="s">
        <v>44</v>
      </c>
      <c r="D880" s="3">
        <f t="shared" si="13"/>
        <v>246</v>
      </c>
      <c r="E880" s="55" t="s">
        <v>1126</v>
      </c>
      <c r="F880" s="46" t="s">
        <v>1272</v>
      </c>
      <c r="G880" s="5" t="s">
        <v>1308</v>
      </c>
      <c r="H880" s="52" t="s">
        <v>2628</v>
      </c>
      <c r="I880" s="5" t="s">
        <v>136</v>
      </c>
      <c r="J880" s="7">
        <f>40000000/6.7</f>
        <v>5970149.253731343</v>
      </c>
      <c r="K880" s="7">
        <f>10000000/6.7</f>
        <v>1492537.3134328357</v>
      </c>
      <c r="L880" s="7">
        <f>18851000/6.7</f>
        <v>2813582.0895522386</v>
      </c>
      <c r="M880" s="8">
        <v>23540</v>
      </c>
      <c r="N880" s="7">
        <v>4380000</v>
      </c>
      <c r="O880" s="7">
        <f>51394000/6.7</f>
        <v>7670746.2686567158</v>
      </c>
      <c r="P880" s="7">
        <v>8242805</v>
      </c>
      <c r="Q880" s="7">
        <v>8242805</v>
      </c>
      <c r="R880" s="5" t="str">
        <f>VLOOKUP($G880,Others!$E$641:$I$931,2,FALSE)</f>
        <v>Original Screenplay</v>
      </c>
      <c r="S880" s="5" t="str">
        <f>VLOOKUP($G880,Others!$E$641:$I$931,3,FALSE)</f>
        <v>Live Action</v>
      </c>
      <c r="T880" s="5" t="str">
        <f>VLOOKUP($G880,Others!$E$641:$I$931,4,FALSE)</f>
        <v>Contemporary Fiction</v>
      </c>
      <c r="U880" s="5" t="str">
        <f>IFERROR(VLOOKUP($G880,Ratings!$E$125:$I$172,5,FALSE),"none")</f>
        <v>none</v>
      </c>
      <c r="V880" s="5" t="s">
        <v>2629</v>
      </c>
      <c r="W880" s="5" t="s">
        <v>1308</v>
      </c>
      <c r="X880" s="5" t="s">
        <v>2630</v>
      </c>
      <c r="Y880" s="5" t="s">
        <v>2631</v>
      </c>
      <c r="Z880" s="5" t="s">
        <v>2632</v>
      </c>
      <c r="AA880" s="5" t="s">
        <v>2633</v>
      </c>
      <c r="AB880" s="5"/>
      <c r="AC880" s="5" t="s">
        <v>2634</v>
      </c>
      <c r="AD880" s="9">
        <v>8.1</v>
      </c>
      <c r="AE880" s="1" t="s">
        <v>1489</v>
      </c>
      <c r="AG880" s="9"/>
      <c r="AH880" s="9"/>
    </row>
    <row r="881" spans="2:34" hidden="1">
      <c r="B881" s="4">
        <v>2017</v>
      </c>
      <c r="C881" s="4" t="s">
        <v>44</v>
      </c>
      <c r="D881" s="3">
        <f t="shared" si="13"/>
        <v>247</v>
      </c>
      <c r="E881" s="3" t="s">
        <v>1126</v>
      </c>
      <c r="G881" s="5" t="s">
        <v>1309</v>
      </c>
      <c r="H881" s="5"/>
      <c r="I881" s="5" t="s">
        <v>136</v>
      </c>
      <c r="J881" s="7">
        <v>0</v>
      </c>
      <c r="M881" s="8">
        <v>0</v>
      </c>
      <c r="N881" s="7">
        <v>0</v>
      </c>
      <c r="P881" s="7">
        <v>12488</v>
      </c>
      <c r="Q881" s="7">
        <v>12488</v>
      </c>
      <c r="R881" s="5">
        <f>VLOOKUP($G881,Others!$E$641:$I$931,2,FALSE)</f>
        <v>0</v>
      </c>
      <c r="S881" s="5" t="str">
        <f>VLOOKUP($G881,Others!$E$641:$I$931,3,FALSE)</f>
        <v>Live Action</v>
      </c>
      <c r="T881" s="5">
        <f>VLOOKUP($G881,Others!$E$641:$I$931,4,FALSE)</f>
        <v>0</v>
      </c>
      <c r="U881" s="5" t="str">
        <f>IFERROR(VLOOKUP($G881,Ratings!$E$125:$I$172,5,FALSE),"none")</f>
        <v>none</v>
      </c>
      <c r="V881" s="5"/>
      <c r="X881" s="5"/>
      <c r="Y881" s="5"/>
      <c r="Z881" s="5"/>
      <c r="AA881" s="5"/>
      <c r="AB881" s="5"/>
      <c r="AC881" s="5"/>
      <c r="AG881" s="9"/>
      <c r="AH881" s="9"/>
    </row>
    <row r="882" spans="2:34" hidden="1">
      <c r="B882" s="4">
        <v>2017</v>
      </c>
      <c r="C882" s="4" t="s">
        <v>44</v>
      </c>
      <c r="D882" s="3">
        <f t="shared" si="13"/>
        <v>248</v>
      </c>
      <c r="E882" s="3" t="s">
        <v>1126</v>
      </c>
      <c r="G882" s="5" t="s">
        <v>1310</v>
      </c>
      <c r="H882" s="5"/>
      <c r="I882" s="5" t="s">
        <v>148</v>
      </c>
      <c r="J882" s="7">
        <v>0</v>
      </c>
      <c r="M882" s="8">
        <v>0</v>
      </c>
      <c r="N882" s="7">
        <v>0</v>
      </c>
      <c r="P882" s="7">
        <v>828455</v>
      </c>
      <c r="Q882" s="7">
        <v>828455</v>
      </c>
      <c r="R882" s="5" t="str">
        <f>VLOOKUP($G882,Others!$E$641:$I$931,2,FALSE)</f>
        <v>Original Screenplay</v>
      </c>
      <c r="S882" s="5" t="str">
        <f>VLOOKUP($G882,Others!$E$641:$I$931,3,FALSE)</f>
        <v>Live Action</v>
      </c>
      <c r="T882" s="5" t="str">
        <f>VLOOKUP($G882,Others!$E$641:$I$931,4,FALSE)</f>
        <v>Contemporary Fiction</v>
      </c>
      <c r="U882" s="5" t="str">
        <f>IFERROR(VLOOKUP($G882,Ratings!$E$125:$I$172,5,FALSE),"none")</f>
        <v>none</v>
      </c>
      <c r="V882" s="5"/>
      <c r="X882" s="5"/>
      <c r="Y882" s="5"/>
      <c r="Z882" s="5"/>
      <c r="AA882" s="5"/>
      <c r="AB882" s="5"/>
      <c r="AC882" s="5"/>
      <c r="AG882" s="9"/>
      <c r="AH882" s="9"/>
    </row>
    <row r="883" spans="2:34">
      <c r="B883" s="4">
        <v>2017</v>
      </c>
      <c r="C883" s="4" t="s">
        <v>44</v>
      </c>
      <c r="D883" s="3">
        <f t="shared" si="13"/>
        <v>249</v>
      </c>
      <c r="E883" s="3" t="s">
        <v>1126</v>
      </c>
      <c r="F883" s="56" t="s">
        <v>2635</v>
      </c>
      <c r="G883" s="5" t="s">
        <v>1311</v>
      </c>
      <c r="H883" s="5" t="s">
        <v>1428</v>
      </c>
      <c r="I883" s="5" t="s">
        <v>191</v>
      </c>
      <c r="J883" s="7">
        <f>10000000/6.7</f>
        <v>1492537.3134328357</v>
      </c>
      <c r="K883" s="7">
        <f>10000000/6.7</f>
        <v>1492537.3134328357</v>
      </c>
      <c r="L883" s="7">
        <f>11283000/6.7</f>
        <v>1684029.8507462686</v>
      </c>
      <c r="M883" s="8">
        <v>14710</v>
      </c>
      <c r="N883" s="7">
        <v>62577</v>
      </c>
      <c r="O883" s="7">
        <f>30761000/6.7</f>
        <v>4591194.0298507465</v>
      </c>
      <c r="P883" s="7">
        <v>4886088</v>
      </c>
      <c r="Q883" s="7">
        <v>4886088</v>
      </c>
      <c r="R883" s="5" t="str">
        <f>VLOOKUP($G883,Others!$E$641:$I$931,2,FALSE)</f>
        <v>Based on Real Life Events</v>
      </c>
      <c r="S883" s="5" t="str">
        <f>VLOOKUP($G883,Others!$E$641:$I$931,3,FALSE)</f>
        <v>Live Action</v>
      </c>
      <c r="T883" s="5" t="str">
        <f>VLOOKUP($G883,Others!$E$641:$I$931,4,FALSE)</f>
        <v>Factual</v>
      </c>
      <c r="U883" s="5" t="str">
        <f>IFERROR(VLOOKUP($G883,Ratings!$E$125:$I$172,5,FALSE),"none")</f>
        <v>none</v>
      </c>
      <c r="V883" s="5" t="s">
        <v>2636</v>
      </c>
      <c r="W883" s="5" t="s">
        <v>2637</v>
      </c>
      <c r="X883" s="5" t="s">
        <v>2638</v>
      </c>
      <c r="Y883" s="5" t="s">
        <v>2639</v>
      </c>
      <c r="Z883" s="5"/>
      <c r="AA883" s="5" t="s">
        <v>2639</v>
      </c>
      <c r="AB883" s="5"/>
      <c r="AC883" s="5" t="s">
        <v>2640</v>
      </c>
      <c r="AD883" s="9">
        <v>9.1999999999999993</v>
      </c>
      <c r="AE883" s="1" t="s">
        <v>1489</v>
      </c>
      <c r="AG883" s="9"/>
      <c r="AH883" s="9"/>
    </row>
    <row r="884" spans="2:34" hidden="1">
      <c r="B884" s="4">
        <v>2017</v>
      </c>
      <c r="C884" s="4" t="s">
        <v>44</v>
      </c>
      <c r="D884" s="3">
        <f t="shared" si="13"/>
        <v>250</v>
      </c>
      <c r="E884" s="3" t="s">
        <v>1126</v>
      </c>
      <c r="G884" s="5" t="s">
        <v>1312</v>
      </c>
      <c r="H884" s="5"/>
      <c r="I884" s="5" t="s">
        <v>129</v>
      </c>
      <c r="J884" s="7">
        <v>0</v>
      </c>
      <c r="M884" s="8">
        <v>0</v>
      </c>
      <c r="N884" s="7">
        <v>0</v>
      </c>
      <c r="P884" s="7">
        <v>2430165</v>
      </c>
      <c r="Q884" s="7">
        <v>2430165</v>
      </c>
      <c r="R884" s="5" t="str">
        <f>VLOOKUP($G884,Others!$E$641:$I$931,2,FALSE)</f>
        <v>Original Screenplay</v>
      </c>
      <c r="S884" s="5" t="str">
        <f>VLOOKUP($G884,Others!$E$641:$I$931,3,FALSE)</f>
        <v>Live Action</v>
      </c>
      <c r="T884" s="5" t="str">
        <f>VLOOKUP($G884,Others!$E$641:$I$931,4,FALSE)</f>
        <v>Contemporary Fiction</v>
      </c>
      <c r="U884" s="5" t="str">
        <f>IFERROR(VLOOKUP($G884,Ratings!$E$125:$I$172,5,FALSE),"none")</f>
        <v>none</v>
      </c>
      <c r="V884" s="5"/>
      <c r="X884" s="5"/>
      <c r="Y884" s="5"/>
      <c r="Z884" s="5"/>
      <c r="AA884" s="5"/>
      <c r="AB884" s="5"/>
      <c r="AC884" s="5"/>
      <c r="AG884" s="9"/>
      <c r="AH884" s="9"/>
    </row>
    <row r="885" spans="2:34" hidden="1">
      <c r="B885" s="4">
        <v>2017</v>
      </c>
      <c r="C885" s="4" t="s">
        <v>44</v>
      </c>
      <c r="D885" s="3">
        <f t="shared" si="13"/>
        <v>251</v>
      </c>
      <c r="E885" s="3" t="s">
        <v>1126</v>
      </c>
      <c r="G885" s="5" t="s">
        <v>1313</v>
      </c>
      <c r="H885" s="5"/>
      <c r="I885" s="5" t="s">
        <v>131</v>
      </c>
      <c r="J885" s="7">
        <v>0</v>
      </c>
      <c r="M885" s="8">
        <v>0</v>
      </c>
      <c r="N885" s="7">
        <v>0</v>
      </c>
      <c r="P885" s="7">
        <v>18126</v>
      </c>
      <c r="Q885" s="7">
        <v>18126</v>
      </c>
      <c r="R885" s="5">
        <f>VLOOKUP($G885,Others!$E$641:$I$931,2,FALSE)</f>
        <v>0</v>
      </c>
      <c r="S885" s="5">
        <f>VLOOKUP($G885,Others!$E$641:$I$931,3,FALSE)</f>
        <v>0</v>
      </c>
      <c r="T885" s="5">
        <f>VLOOKUP($G885,Others!$E$641:$I$931,4,FALSE)</f>
        <v>0</v>
      </c>
      <c r="U885" s="5" t="str">
        <f>IFERROR(VLOOKUP($G885,Ratings!$E$125:$I$172,5,FALSE),"none")</f>
        <v>none</v>
      </c>
      <c r="V885" s="5"/>
      <c r="X885" s="5"/>
      <c r="Y885" s="5"/>
      <c r="Z885" s="5"/>
      <c r="AA885" s="5"/>
      <c r="AB885" s="5"/>
      <c r="AC885" s="5"/>
      <c r="AG885" s="9"/>
      <c r="AH885" s="9"/>
    </row>
    <row r="886" spans="2:34">
      <c r="B886" s="4">
        <v>2018</v>
      </c>
      <c r="C886" s="4" t="s">
        <v>44</v>
      </c>
      <c r="D886" s="3">
        <f t="shared" si="13"/>
        <v>252</v>
      </c>
      <c r="E886" s="55" t="s">
        <v>1126</v>
      </c>
      <c r="F886" s="3" t="s">
        <v>2641</v>
      </c>
      <c r="G886" s="5" t="s">
        <v>411</v>
      </c>
      <c r="H886" s="5" t="s">
        <v>2642</v>
      </c>
      <c r="I886" s="5" t="s">
        <v>131</v>
      </c>
      <c r="J886" s="7">
        <v>11940298</v>
      </c>
      <c r="K886" s="7">
        <v>2985074</v>
      </c>
      <c r="L886" s="7">
        <v>2616417</v>
      </c>
      <c r="M886" s="8">
        <v>25357</v>
      </c>
      <c r="N886" s="7">
        <v>7372</v>
      </c>
      <c r="O886" s="7">
        <v>7134328</v>
      </c>
      <c r="P886" s="7">
        <v>8051388</v>
      </c>
      <c r="Q886" s="7">
        <v>8051388</v>
      </c>
      <c r="R886" s="5" t="str">
        <f>VLOOKUP($G886,Others!$E$641:$I$931,2,FALSE)</f>
        <v>Original Screenplay</v>
      </c>
      <c r="S886" s="5" t="str">
        <f>VLOOKUP($G886,Others!$E$641:$I$931,3,FALSE)</f>
        <v>Live Action</v>
      </c>
      <c r="T886" s="5" t="str">
        <f>VLOOKUP($G886,Others!$E$641:$I$931,4,FALSE)</f>
        <v>Contemporary Fiction</v>
      </c>
      <c r="U886" s="5" t="str">
        <f>IFERROR(VLOOKUP($G886,Ratings!$E$125:$I$172,5,FALSE),"none")</f>
        <v>none</v>
      </c>
      <c r="V886" s="5" t="s">
        <v>2643</v>
      </c>
      <c r="W886" s="5" t="s">
        <v>2644</v>
      </c>
      <c r="X886" s="5" t="s">
        <v>2645</v>
      </c>
      <c r="Y886" s="5" t="s">
        <v>2646</v>
      </c>
      <c r="Z886" s="5"/>
      <c r="AA886" s="5" t="s">
        <v>2647</v>
      </c>
      <c r="AB886" s="5"/>
      <c r="AC886" s="5" t="s">
        <v>2369</v>
      </c>
      <c r="AD886" s="9">
        <v>8.1</v>
      </c>
      <c r="AE886" s="1" t="s">
        <v>1489</v>
      </c>
      <c r="AG886" s="9"/>
      <c r="AH886" s="9"/>
    </row>
    <row r="887" spans="2:34" hidden="1">
      <c r="B887" s="4">
        <v>2017</v>
      </c>
      <c r="C887" s="4" t="s">
        <v>44</v>
      </c>
      <c r="D887" s="3">
        <f t="shared" si="13"/>
        <v>253</v>
      </c>
      <c r="E887" s="3" t="s">
        <v>1126</v>
      </c>
      <c r="G887" s="5" t="s">
        <v>1314</v>
      </c>
      <c r="H887" s="5"/>
      <c r="I887" s="5" t="s">
        <v>131</v>
      </c>
      <c r="J887" s="7">
        <v>0</v>
      </c>
      <c r="M887" s="8">
        <v>0</v>
      </c>
      <c r="N887" s="7">
        <v>0</v>
      </c>
      <c r="P887" s="7">
        <v>1785824</v>
      </c>
      <c r="Q887" s="7">
        <v>1785824</v>
      </c>
      <c r="R887" s="5">
        <f>VLOOKUP($G887,Others!$E$641:$I$931,2,FALSE)</f>
        <v>0</v>
      </c>
      <c r="S887" s="5">
        <f>VLOOKUP($G887,Others!$E$641:$I$931,3,FALSE)</f>
        <v>0</v>
      </c>
      <c r="T887" s="5">
        <f>VLOOKUP($G887,Others!$E$641:$I$931,4,FALSE)</f>
        <v>0</v>
      </c>
      <c r="U887" s="5" t="str">
        <f>IFERROR(VLOOKUP($G887,Ratings!$E$125:$I$172,5,FALSE),"none")</f>
        <v>none</v>
      </c>
      <c r="V887" s="5"/>
      <c r="X887" s="5"/>
      <c r="Y887" s="5"/>
      <c r="Z887" s="5"/>
      <c r="AA887" s="5"/>
      <c r="AB887" s="5"/>
      <c r="AC887" s="5"/>
      <c r="AG887" s="9"/>
      <c r="AH887" s="9"/>
    </row>
    <row r="888" spans="2:34" hidden="1">
      <c r="B888" s="4">
        <v>2017</v>
      </c>
      <c r="C888" s="4" t="s">
        <v>44</v>
      </c>
      <c r="D888" s="3">
        <f t="shared" si="13"/>
        <v>254</v>
      </c>
      <c r="E888" s="3" t="s">
        <v>1126</v>
      </c>
      <c r="G888" s="5" t="s">
        <v>1315</v>
      </c>
      <c r="H888" s="5"/>
      <c r="I888" s="5" t="s">
        <v>131</v>
      </c>
      <c r="J888" s="7">
        <v>0</v>
      </c>
      <c r="M888" s="8">
        <v>0</v>
      </c>
      <c r="N888" s="7">
        <v>0</v>
      </c>
      <c r="P888" s="7">
        <v>346069</v>
      </c>
      <c r="Q888" s="7">
        <v>346069</v>
      </c>
      <c r="R888" s="5">
        <f>VLOOKUP($G888,Others!$E$641:$I$931,2,FALSE)</f>
        <v>0</v>
      </c>
      <c r="S888" s="5" t="str">
        <f>VLOOKUP($G888,Others!$E$641:$I$931,3,FALSE)</f>
        <v>Live Action</v>
      </c>
      <c r="T888" s="5" t="str">
        <f>VLOOKUP($G888,Others!$E$641:$I$931,4,FALSE)</f>
        <v>Contemporary Fiction</v>
      </c>
      <c r="U888" s="5" t="str">
        <f>IFERROR(VLOOKUP($G888,Ratings!$E$125:$I$172,5,FALSE),"none")</f>
        <v>none</v>
      </c>
      <c r="V888" s="5"/>
      <c r="X888" s="5"/>
      <c r="Y888" s="5"/>
      <c r="Z888" s="5"/>
      <c r="AA888" s="5"/>
      <c r="AB888" s="5"/>
      <c r="AC888" s="5"/>
      <c r="AG888" s="9"/>
      <c r="AH888" s="9"/>
    </row>
    <row r="889" spans="2:34" hidden="1">
      <c r="B889" s="4">
        <v>2017</v>
      </c>
      <c r="C889" s="4" t="s">
        <v>44</v>
      </c>
      <c r="D889" s="3">
        <f t="shared" si="13"/>
        <v>255</v>
      </c>
      <c r="E889" s="3" t="s">
        <v>1126</v>
      </c>
      <c r="G889" s="5" t="s">
        <v>1316</v>
      </c>
      <c r="H889" s="5"/>
      <c r="I889" s="5" t="s">
        <v>131</v>
      </c>
      <c r="J889" s="7">
        <v>0</v>
      </c>
      <c r="M889" s="8">
        <v>0</v>
      </c>
      <c r="N889" s="7">
        <v>0</v>
      </c>
      <c r="P889" s="7">
        <v>1159373</v>
      </c>
      <c r="Q889" s="7">
        <v>1159373</v>
      </c>
      <c r="R889" s="5" t="str">
        <f>VLOOKUP($G889,Others!$E$641:$I$931,2,FALSE)</f>
        <v>Based on Fiction Book/Short Story</v>
      </c>
      <c r="S889" s="5" t="str">
        <f>VLOOKUP($G889,Others!$E$641:$I$931,3,FALSE)</f>
        <v>Live Action</v>
      </c>
      <c r="T889" s="5" t="str">
        <f>VLOOKUP($G889,Others!$E$641:$I$931,4,FALSE)</f>
        <v>Contemporary Fiction</v>
      </c>
      <c r="U889" s="5" t="str">
        <f>IFERROR(VLOOKUP($G889,Ratings!$E$125:$I$172,5,FALSE),"none")</f>
        <v>none</v>
      </c>
      <c r="V889" s="5"/>
      <c r="X889" s="5"/>
      <c r="Y889" s="5"/>
      <c r="Z889" s="5"/>
      <c r="AA889" s="5"/>
      <c r="AB889" s="5"/>
      <c r="AC889" s="5"/>
      <c r="AG889" s="9"/>
      <c r="AH889" s="9"/>
    </row>
    <row r="890" spans="2:34">
      <c r="B890" s="4">
        <v>2017</v>
      </c>
      <c r="C890" s="4" t="s">
        <v>44</v>
      </c>
      <c r="D890" s="3">
        <f t="shared" si="13"/>
        <v>256</v>
      </c>
      <c r="E890" s="3" t="s">
        <v>1126</v>
      </c>
      <c r="F890" s="56" t="s">
        <v>2648</v>
      </c>
      <c r="G890" s="5" t="s">
        <v>1317</v>
      </c>
      <c r="H890" s="5" t="s">
        <v>2575</v>
      </c>
      <c r="I890" s="5" t="s">
        <v>131</v>
      </c>
      <c r="J890" s="7">
        <v>4477611.9400000004</v>
      </c>
      <c r="K890" s="7">
        <v>1492537.31</v>
      </c>
      <c r="L890" s="7">
        <v>3301791.04</v>
      </c>
      <c r="M890" s="8">
        <v>24815</v>
      </c>
      <c r="N890" s="7">
        <v>980000</v>
      </c>
      <c r="O890" s="7">
        <v>8980895.5199999996</v>
      </c>
      <c r="P890" s="7">
        <v>9949926</v>
      </c>
      <c r="Q890" s="7">
        <v>9949926</v>
      </c>
      <c r="R890" s="5" t="str">
        <f>VLOOKUP($G890,Others!$E$641:$I$931,2,FALSE)</f>
        <v>Original Screenplay</v>
      </c>
      <c r="S890" s="5" t="str">
        <f>VLOOKUP($G890,Others!$E$641:$I$931,3,FALSE)</f>
        <v>Live Action</v>
      </c>
      <c r="T890" s="5" t="str">
        <f>VLOOKUP($G890,Others!$E$641:$I$931,4,FALSE)</f>
        <v>Contemporary Fiction</v>
      </c>
      <c r="U890" s="5" t="str">
        <f>IFERROR(VLOOKUP($G890,Ratings!$E$125:$I$172,5,FALSE),"none")</f>
        <v>none</v>
      </c>
      <c r="V890" s="5" t="s">
        <v>2649</v>
      </c>
      <c r="W890" s="5" t="s">
        <v>2650</v>
      </c>
      <c r="X890" s="5" t="s">
        <v>2651</v>
      </c>
      <c r="Y890" s="5" t="s">
        <v>2652</v>
      </c>
      <c r="Z890" s="5" t="s">
        <v>2653</v>
      </c>
      <c r="AA890" s="5" t="s">
        <v>2654</v>
      </c>
      <c r="AB890" s="5"/>
      <c r="AC890" s="5" t="s">
        <v>2655</v>
      </c>
      <c r="AD890" s="9">
        <v>9.1999999999999993</v>
      </c>
      <c r="AE890" s="1" t="s">
        <v>1489</v>
      </c>
      <c r="AG890" s="9"/>
      <c r="AH890" s="9"/>
    </row>
    <row r="891" spans="2:34" hidden="1">
      <c r="B891" s="4">
        <v>2017</v>
      </c>
      <c r="C891" s="4" t="s">
        <v>44</v>
      </c>
      <c r="D891" s="3">
        <f t="shared" si="13"/>
        <v>257</v>
      </c>
      <c r="E891" s="3" t="s">
        <v>1126</v>
      </c>
      <c r="G891" s="5" t="s">
        <v>1318</v>
      </c>
      <c r="H891" s="5"/>
      <c r="J891" s="7">
        <v>0</v>
      </c>
      <c r="M891" s="8">
        <v>0</v>
      </c>
      <c r="N891" s="7">
        <v>0</v>
      </c>
      <c r="P891" s="7">
        <v>53487</v>
      </c>
      <c r="Q891" s="7">
        <v>53487</v>
      </c>
      <c r="R891" s="5">
        <f>VLOOKUP($G891,Others!$E$641:$I$931,2,FALSE)</f>
        <v>0</v>
      </c>
      <c r="S891" s="5">
        <f>VLOOKUP($G891,Others!$E$641:$I$931,3,FALSE)</f>
        <v>0</v>
      </c>
      <c r="T891" s="5">
        <f>VLOOKUP($G891,Others!$E$641:$I$931,4,FALSE)</f>
        <v>0</v>
      </c>
      <c r="U891" s="5" t="str">
        <f>IFERROR(VLOOKUP($G891,Ratings!$E$125:$I$172,5,FALSE),"none")</f>
        <v>none</v>
      </c>
      <c r="V891" s="5"/>
      <c r="X891" s="5"/>
      <c r="Y891" s="5"/>
      <c r="Z891" s="5"/>
      <c r="AA891" s="5"/>
      <c r="AB891" s="5"/>
      <c r="AC891" s="5"/>
      <c r="AG891" s="9"/>
      <c r="AH891" s="9"/>
    </row>
    <row r="892" spans="2:34" hidden="1">
      <c r="B892" s="4">
        <v>2017</v>
      </c>
      <c r="C892" s="4" t="s">
        <v>44</v>
      </c>
      <c r="D892" s="3">
        <f t="shared" si="13"/>
        <v>258</v>
      </c>
      <c r="E892" s="3" t="s">
        <v>1126</v>
      </c>
      <c r="G892" s="5" t="s">
        <v>490</v>
      </c>
      <c r="H892" s="5"/>
      <c r="I892" s="5" t="s">
        <v>131</v>
      </c>
      <c r="J892" s="7">
        <v>0</v>
      </c>
      <c r="M892" s="8">
        <v>0</v>
      </c>
      <c r="N892" s="7">
        <v>0</v>
      </c>
      <c r="P892" s="7">
        <v>212590</v>
      </c>
      <c r="Q892" s="7">
        <v>212590</v>
      </c>
      <c r="R892" s="5" t="str">
        <f>VLOOKUP($G892,Others!$E$641:$I$931,2,FALSE)</f>
        <v>Original Screenplay</v>
      </c>
      <c r="S892" s="5" t="str">
        <f>VLOOKUP($G892,Others!$E$641:$I$931,3,FALSE)</f>
        <v>Live Action</v>
      </c>
      <c r="T892" s="5" t="str">
        <f>VLOOKUP($G892,Others!$E$641:$I$931,4,FALSE)</f>
        <v>Historical Fiction</v>
      </c>
      <c r="U892" s="5" t="str">
        <f>IFERROR(VLOOKUP($G892,Ratings!$E$125:$I$172,5,FALSE),"none")</f>
        <v>none</v>
      </c>
      <c r="V892" s="5"/>
      <c r="X892" s="5"/>
      <c r="Y892" s="5"/>
      <c r="Z892" s="5"/>
      <c r="AA892" s="5"/>
      <c r="AB892" s="5"/>
      <c r="AC892" s="5"/>
      <c r="AG892" s="9"/>
      <c r="AH892" s="9"/>
    </row>
    <row r="893" spans="2:34" hidden="1">
      <c r="B893" s="4">
        <v>2017</v>
      </c>
      <c r="C893" s="4" t="s">
        <v>44</v>
      </c>
      <c r="D893" s="3">
        <f t="shared" ref="D893:D925" si="14">D892+1</f>
        <v>259</v>
      </c>
      <c r="E893" s="3" t="s">
        <v>1126</v>
      </c>
      <c r="G893" s="5" t="s">
        <v>1319</v>
      </c>
      <c r="H893" s="5"/>
      <c r="I893" s="5" t="s">
        <v>127</v>
      </c>
      <c r="J893" s="7">
        <v>0</v>
      </c>
      <c r="M893" s="8">
        <v>0</v>
      </c>
      <c r="N893" s="7">
        <v>0</v>
      </c>
      <c r="P893" s="7">
        <v>44028</v>
      </c>
      <c r="Q893" s="7">
        <v>44028</v>
      </c>
      <c r="R893" s="5">
        <f>VLOOKUP($G893,Others!$E$641:$I$931,2,FALSE)</f>
        <v>0</v>
      </c>
      <c r="S893" s="5" t="str">
        <f>VLOOKUP($G893,Others!$E$641:$I$931,3,FALSE)</f>
        <v>Animation/Live Action</v>
      </c>
      <c r="T893" s="5">
        <f>VLOOKUP($G893,Others!$E$641:$I$931,4,FALSE)</f>
        <v>0</v>
      </c>
      <c r="U893" s="5" t="str">
        <f>IFERROR(VLOOKUP($G893,Ratings!$E$125:$I$172,5,FALSE),"none")</f>
        <v>none</v>
      </c>
      <c r="V893" s="5"/>
      <c r="X893" s="5"/>
      <c r="Y893" s="5"/>
      <c r="Z893" s="5"/>
      <c r="AA893" s="5"/>
      <c r="AB893" s="5"/>
      <c r="AC893" s="5"/>
      <c r="AG893" s="9"/>
      <c r="AH893" s="9"/>
    </row>
    <row r="894" spans="2:34" hidden="1">
      <c r="B894" s="4">
        <v>2017</v>
      </c>
      <c r="C894" s="4" t="s">
        <v>44</v>
      </c>
      <c r="D894" s="3">
        <f t="shared" si="14"/>
        <v>260</v>
      </c>
      <c r="E894" s="3" t="s">
        <v>1126</v>
      </c>
      <c r="G894" s="5" t="s">
        <v>503</v>
      </c>
      <c r="H894" s="5"/>
      <c r="I894" s="5" t="s">
        <v>148</v>
      </c>
      <c r="J894" s="7">
        <v>0</v>
      </c>
      <c r="M894" s="8">
        <v>0</v>
      </c>
      <c r="N894" s="7">
        <v>0</v>
      </c>
      <c r="P894" s="7">
        <v>140923</v>
      </c>
      <c r="Q894" s="7">
        <v>140923</v>
      </c>
      <c r="R894" s="5" t="str">
        <f>VLOOKUP($G894,Others!$E$641:$I$931,2,FALSE)</f>
        <v>Original Screenplay</v>
      </c>
      <c r="S894" s="5" t="str">
        <f>VLOOKUP($G894,Others!$E$641:$I$931,3,FALSE)</f>
        <v>Live Action</v>
      </c>
      <c r="T894" s="5" t="str">
        <f>VLOOKUP($G894,Others!$E$641:$I$931,4,FALSE)</f>
        <v>Contemporary Fiction</v>
      </c>
      <c r="U894" s="5" t="str">
        <f>IFERROR(VLOOKUP($G894,Ratings!$E$125:$I$172,5,FALSE),"none")</f>
        <v>none</v>
      </c>
      <c r="V894" s="5"/>
      <c r="X894" s="5"/>
      <c r="Y894" s="5"/>
      <c r="Z894" s="5"/>
      <c r="AA894" s="5"/>
      <c r="AB894" s="5"/>
      <c r="AC894" s="5"/>
      <c r="AG894" s="9"/>
      <c r="AH894" s="9"/>
    </row>
    <row r="895" spans="2:34">
      <c r="B895" s="4">
        <v>2017</v>
      </c>
      <c r="C895" s="4" t="s">
        <v>44</v>
      </c>
      <c r="D895" s="3">
        <f t="shared" si="14"/>
        <v>261</v>
      </c>
      <c r="E895" s="55" t="s">
        <v>1126</v>
      </c>
      <c r="F895" s="3" t="s">
        <v>2656</v>
      </c>
      <c r="G895" s="5" t="s">
        <v>1320</v>
      </c>
      <c r="H895" s="39" t="s">
        <v>2657</v>
      </c>
      <c r="I895" s="5" t="s">
        <v>129</v>
      </c>
      <c r="J895" s="7">
        <f>100000000/6.7</f>
        <v>14925373.134328358</v>
      </c>
      <c r="K895" s="7">
        <f>50000000/6.7</f>
        <v>7462686.5671641789</v>
      </c>
      <c r="L895" s="7">
        <f>1.44*100000000/6.7</f>
        <v>21492537.313432835</v>
      </c>
      <c r="M895" s="41">
        <v>95005</v>
      </c>
      <c r="N895" s="42">
        <v>24520000</v>
      </c>
      <c r="O895" s="7">
        <f>3.83*100000000/6.7</f>
        <v>57164179.104477607</v>
      </c>
      <c r="P895" s="7">
        <v>60600360</v>
      </c>
      <c r="Q895" s="7">
        <v>60600360</v>
      </c>
      <c r="R895" s="5" t="str">
        <f>VLOOKUP($G895,Others!$E$641:$I$931,2,FALSE)</f>
        <v>Original Screenplay</v>
      </c>
      <c r="S895" s="5" t="str">
        <f>VLOOKUP($G895,Others!$E$641:$I$931,3,FALSE)</f>
        <v>Live Action</v>
      </c>
      <c r="T895" s="5" t="str">
        <f>VLOOKUP($G895,Others!$E$641:$I$931,4,FALSE)</f>
        <v>Historical Fiction</v>
      </c>
      <c r="U895" s="5" t="str">
        <f>IFERROR(VLOOKUP($G895,Ratings!$E$125:$I$172,5,FALSE),"none")</f>
        <v>none</v>
      </c>
      <c r="V895" s="5" t="s">
        <v>2658</v>
      </c>
      <c r="W895" s="5" t="s">
        <v>2659</v>
      </c>
      <c r="X895" s="5" t="s">
        <v>2660</v>
      </c>
      <c r="Y895" s="5" t="s">
        <v>2661</v>
      </c>
      <c r="Z895" s="5"/>
      <c r="AA895" s="5" t="s">
        <v>1649</v>
      </c>
      <c r="AB895" s="5"/>
      <c r="AC895" s="39" t="s">
        <v>2662</v>
      </c>
      <c r="AD895" s="9">
        <v>9.1</v>
      </c>
      <c r="AE895" s="9" t="s">
        <v>1489</v>
      </c>
      <c r="AG895" s="9"/>
      <c r="AH895" s="9"/>
    </row>
    <row r="896" spans="2:34" hidden="1">
      <c r="B896" s="4">
        <v>2017</v>
      </c>
      <c r="C896" s="4" t="s">
        <v>44</v>
      </c>
      <c r="D896" s="3">
        <f t="shared" si="14"/>
        <v>262</v>
      </c>
      <c r="E896" s="3" t="s">
        <v>1126</v>
      </c>
      <c r="G896" s="5" t="s">
        <v>492</v>
      </c>
      <c r="H896" s="5"/>
      <c r="I896" s="5" t="s">
        <v>131</v>
      </c>
      <c r="J896" s="7">
        <v>0</v>
      </c>
      <c r="M896" s="8">
        <v>0</v>
      </c>
      <c r="N896" s="7">
        <v>0</v>
      </c>
      <c r="P896" s="7">
        <v>194504</v>
      </c>
      <c r="Q896" s="7">
        <v>194504</v>
      </c>
      <c r="R896" s="5">
        <f>VLOOKUP($G896,Others!$E$641:$I$931,2,FALSE)</f>
        <v>0</v>
      </c>
      <c r="S896" s="5" t="str">
        <f>VLOOKUP($G896,Others!$E$641:$I$931,3,FALSE)</f>
        <v>Live Action</v>
      </c>
      <c r="T896" s="5" t="str">
        <f>VLOOKUP($G896,Others!$E$641:$I$931,4,FALSE)</f>
        <v>Contemporary Fiction</v>
      </c>
      <c r="U896" s="5" t="str">
        <f>IFERROR(VLOOKUP($G896,Ratings!$E$125:$I$172,5,FALSE),"none")</f>
        <v>none</v>
      </c>
      <c r="V896" s="5"/>
      <c r="X896" s="5"/>
      <c r="Y896" s="5"/>
      <c r="Z896" s="5"/>
      <c r="AA896" s="5"/>
      <c r="AB896" s="5"/>
      <c r="AC896" s="5"/>
      <c r="AG896" s="9"/>
      <c r="AH896" s="9"/>
    </row>
    <row r="897" spans="2:34" hidden="1">
      <c r="B897" s="4">
        <v>2017</v>
      </c>
      <c r="C897" s="4" t="s">
        <v>44</v>
      </c>
      <c r="D897" s="3">
        <f t="shared" si="14"/>
        <v>263</v>
      </c>
      <c r="E897" s="3" t="s">
        <v>1126</v>
      </c>
      <c r="G897" s="5" t="s">
        <v>1321</v>
      </c>
      <c r="H897" s="5"/>
      <c r="I897" s="5" t="s">
        <v>131</v>
      </c>
      <c r="J897" s="7">
        <v>0</v>
      </c>
      <c r="M897" s="8">
        <v>0</v>
      </c>
      <c r="N897" s="7">
        <v>0</v>
      </c>
      <c r="P897" s="7">
        <v>1321360</v>
      </c>
      <c r="Q897" s="7">
        <v>1321360</v>
      </c>
      <c r="R897" s="5" t="str">
        <f>VLOOKUP($G897,Others!$E$641:$I$931,2,FALSE)</f>
        <v>Original Screenplay</v>
      </c>
      <c r="S897" s="5" t="str">
        <f>VLOOKUP($G897,Others!$E$641:$I$931,3,FALSE)</f>
        <v>Live Action</v>
      </c>
      <c r="T897" s="5" t="str">
        <f>VLOOKUP($G897,Others!$E$641:$I$931,4,FALSE)</f>
        <v>Contemporary Fiction</v>
      </c>
      <c r="U897" s="5" t="str">
        <f>IFERROR(VLOOKUP($G897,Ratings!$E$125:$I$172,5,FALSE),"none")</f>
        <v>none</v>
      </c>
      <c r="V897" s="5"/>
      <c r="X897" s="5"/>
      <c r="Y897" s="5"/>
      <c r="Z897" s="5"/>
      <c r="AA897" s="5"/>
      <c r="AB897" s="5"/>
      <c r="AC897" s="5"/>
      <c r="AG897" s="9"/>
      <c r="AH897" s="9"/>
    </row>
    <row r="898" spans="2:34" hidden="1">
      <c r="B898" s="4">
        <v>2017</v>
      </c>
      <c r="C898" s="4" t="s">
        <v>44</v>
      </c>
      <c r="D898" s="3">
        <f t="shared" si="14"/>
        <v>264</v>
      </c>
      <c r="E898" s="3" t="s">
        <v>1126</v>
      </c>
      <c r="G898" s="5" t="s">
        <v>1322</v>
      </c>
      <c r="H898" s="5"/>
      <c r="I898" s="5" t="s">
        <v>131</v>
      </c>
      <c r="J898" s="7">
        <v>0</v>
      </c>
      <c r="M898" s="8">
        <v>0</v>
      </c>
      <c r="N898" s="7">
        <v>0</v>
      </c>
      <c r="P898" s="7">
        <v>311678</v>
      </c>
      <c r="Q898" s="7">
        <v>311678</v>
      </c>
      <c r="R898" s="5">
        <f>VLOOKUP($G898,Others!$E$641:$I$931,2,FALSE)</f>
        <v>0</v>
      </c>
      <c r="S898" s="5">
        <f>VLOOKUP($G898,Others!$E$641:$I$931,3,FALSE)</f>
        <v>0</v>
      </c>
      <c r="T898" s="5">
        <f>VLOOKUP($G898,Others!$E$641:$I$931,4,FALSE)</f>
        <v>0</v>
      </c>
      <c r="U898" s="5" t="str">
        <f>IFERROR(VLOOKUP($G898,Ratings!$E$125:$I$172,5,FALSE),"none")</f>
        <v>none</v>
      </c>
      <c r="V898" s="5"/>
      <c r="X898" s="5"/>
      <c r="Y898" s="5"/>
      <c r="Z898" s="5"/>
      <c r="AA898" s="5"/>
      <c r="AB898" s="5"/>
      <c r="AC898" s="5"/>
      <c r="AG898" s="9"/>
      <c r="AH898" s="9"/>
    </row>
    <row r="899" spans="2:34" hidden="1">
      <c r="B899" s="4">
        <v>2017</v>
      </c>
      <c r="C899" s="4" t="s">
        <v>44</v>
      </c>
      <c r="D899" s="3">
        <f t="shared" si="14"/>
        <v>265</v>
      </c>
      <c r="E899" s="3" t="s">
        <v>1126</v>
      </c>
      <c r="G899" s="5" t="s">
        <v>1323</v>
      </c>
      <c r="H899" s="5"/>
      <c r="I899" s="5" t="s">
        <v>131</v>
      </c>
      <c r="J899" s="7">
        <v>0</v>
      </c>
      <c r="M899" s="8">
        <v>0</v>
      </c>
      <c r="N899" s="7">
        <v>0</v>
      </c>
      <c r="P899" s="7">
        <v>83081</v>
      </c>
      <c r="Q899" s="7">
        <v>83081</v>
      </c>
      <c r="R899" s="5" t="str">
        <f>VLOOKUP($G899,Others!$E$641:$I$931,2,FALSE)</f>
        <v>Original Screenplay</v>
      </c>
      <c r="S899" s="5" t="str">
        <f>VLOOKUP($G899,Others!$E$641:$I$931,3,FALSE)</f>
        <v>Live Action</v>
      </c>
      <c r="T899" s="5" t="str">
        <f>VLOOKUP($G899,Others!$E$641:$I$931,4,FALSE)</f>
        <v>Contemporary Fiction</v>
      </c>
      <c r="U899" s="5" t="str">
        <f>IFERROR(VLOOKUP($G899,Ratings!$E$125:$I$172,5,FALSE),"none")</f>
        <v>none</v>
      </c>
      <c r="V899" s="5"/>
      <c r="X899" s="5"/>
      <c r="Y899" s="5"/>
      <c r="Z899" s="5"/>
      <c r="AA899" s="5"/>
      <c r="AB899" s="5"/>
      <c r="AC899" s="5"/>
      <c r="AG899" s="9"/>
      <c r="AH899" s="9"/>
    </row>
    <row r="900" spans="2:34" hidden="1">
      <c r="B900" s="4">
        <v>2017</v>
      </c>
      <c r="C900" s="4" t="s">
        <v>44</v>
      </c>
      <c r="D900" s="3">
        <f t="shared" si="14"/>
        <v>266</v>
      </c>
      <c r="E900" s="3" t="s">
        <v>1126</v>
      </c>
      <c r="G900" s="5" t="s">
        <v>1324</v>
      </c>
      <c r="H900" s="5"/>
      <c r="I900" s="5" t="s">
        <v>131</v>
      </c>
      <c r="J900" s="7">
        <v>0</v>
      </c>
      <c r="M900" s="8">
        <v>0</v>
      </c>
      <c r="N900" s="7">
        <v>0</v>
      </c>
      <c r="P900" s="7">
        <v>100318</v>
      </c>
      <c r="Q900" s="7">
        <v>100318</v>
      </c>
      <c r="R900" s="5" t="str">
        <f>VLOOKUP($G900,Others!$E$641:$I$931,2,FALSE)</f>
        <v>Original Screenplay</v>
      </c>
      <c r="S900" s="5" t="str">
        <f>VLOOKUP($G900,Others!$E$641:$I$931,3,FALSE)</f>
        <v>Live Action</v>
      </c>
      <c r="T900" s="5" t="str">
        <f>VLOOKUP($G900,Others!$E$641:$I$931,4,FALSE)</f>
        <v>Contemporary Fiction</v>
      </c>
      <c r="U900" s="5" t="str">
        <f>IFERROR(VLOOKUP($G900,Ratings!$E$125:$I$172,5,FALSE),"none")</f>
        <v>none</v>
      </c>
      <c r="V900" s="5"/>
      <c r="X900" s="5"/>
      <c r="Y900" s="5"/>
      <c r="Z900" s="5"/>
      <c r="AA900" s="5"/>
      <c r="AB900" s="5"/>
      <c r="AC900" s="5"/>
      <c r="AG900" s="9"/>
      <c r="AH900" s="9"/>
    </row>
    <row r="901" spans="2:34">
      <c r="B901" s="4">
        <v>2017</v>
      </c>
      <c r="C901" s="4" t="s">
        <v>44</v>
      </c>
      <c r="D901" s="3">
        <f t="shared" si="14"/>
        <v>267</v>
      </c>
      <c r="E901" s="55" t="s">
        <v>1126</v>
      </c>
      <c r="F901" s="56" t="s">
        <v>2663</v>
      </c>
      <c r="G901" s="5" t="s">
        <v>1325</v>
      </c>
      <c r="H901" s="5" t="s">
        <v>2664</v>
      </c>
      <c r="I901" s="5" t="s">
        <v>129</v>
      </c>
      <c r="J901" s="7">
        <f>30000000/6.7</f>
        <v>4477611.940298507</v>
      </c>
      <c r="K901" s="7">
        <f>10000000/6.7</f>
        <v>1492537.3134328357</v>
      </c>
      <c r="L901" s="7">
        <f>11336000/6.7</f>
        <v>1691940.2985074627</v>
      </c>
      <c r="M901" s="8">
        <v>33691</v>
      </c>
      <c r="N901" s="7">
        <v>2820000</v>
      </c>
      <c r="O901" s="7">
        <f>30906000/6.7</f>
        <v>4612835.8208955219</v>
      </c>
      <c r="P901" s="7">
        <v>5029820</v>
      </c>
      <c r="Q901" s="7">
        <v>5029820</v>
      </c>
      <c r="R901" s="5" t="str">
        <f>VLOOKUP($G901,Others!$E$641:$I$931,2,FALSE)</f>
        <v>Original Screenplay</v>
      </c>
      <c r="S901" s="5" t="str">
        <f>VLOOKUP($G901,Others!$E$641:$I$931,3,FALSE)</f>
        <v>Live Action</v>
      </c>
      <c r="T901" s="5" t="str">
        <f>VLOOKUP($G901,Others!$E$641:$I$931,4,FALSE)</f>
        <v>Contemporary Fiction</v>
      </c>
      <c r="U901" s="5" t="str">
        <f>IFERROR(VLOOKUP($G901,Ratings!$E$125:$I$172,5,FALSE),"none")</f>
        <v>none</v>
      </c>
      <c r="V901" s="5" t="s">
        <v>2665</v>
      </c>
      <c r="W901" s="5" t="s">
        <v>2666</v>
      </c>
      <c r="X901" s="5" t="s">
        <v>1891</v>
      </c>
      <c r="Y901" s="5" t="s">
        <v>2667</v>
      </c>
      <c r="Z901" s="5" t="s">
        <v>2668</v>
      </c>
      <c r="AA901" s="5" t="s">
        <v>2669</v>
      </c>
      <c r="AB901" s="5"/>
      <c r="AC901" s="5" t="s">
        <v>2670</v>
      </c>
      <c r="AD901" s="9">
        <v>7.9</v>
      </c>
      <c r="AE901" s="1" t="s">
        <v>1489</v>
      </c>
      <c r="AG901" s="9"/>
      <c r="AH901" s="9"/>
    </row>
    <row r="902" spans="2:34">
      <c r="B902" s="4">
        <v>2017</v>
      </c>
      <c r="C902" s="4" t="s">
        <v>44</v>
      </c>
      <c r="D902" s="3">
        <f t="shared" si="14"/>
        <v>268</v>
      </c>
      <c r="E902" s="55" t="s">
        <v>1126</v>
      </c>
      <c r="F902" s="3" t="s">
        <v>2671</v>
      </c>
      <c r="G902" s="5" t="s">
        <v>1326</v>
      </c>
      <c r="H902" s="5" t="s">
        <v>2525</v>
      </c>
      <c r="I902" s="5" t="s">
        <v>136</v>
      </c>
      <c r="J902" s="7">
        <f>20000000/6.7</f>
        <v>2985074.6268656715</v>
      </c>
      <c r="K902" s="7">
        <f>8000000/6.7</f>
        <v>1194029.8507462686</v>
      </c>
      <c r="L902" s="7">
        <f>3050000/6.7</f>
        <v>455223.88059701491</v>
      </c>
      <c r="M902" s="41" t="s">
        <v>1501</v>
      </c>
      <c r="N902" s="7">
        <v>195282</v>
      </c>
      <c r="O902" s="7">
        <f>8320000/6.7</f>
        <v>1241791.0447761193</v>
      </c>
      <c r="P902" s="7">
        <v>1327225</v>
      </c>
      <c r="Q902" s="7">
        <v>1327225</v>
      </c>
      <c r="R902" s="39" t="s">
        <v>606</v>
      </c>
      <c r="S902" s="5" t="str">
        <f>VLOOKUP($G902,Others!$E$641:$I$931,3,FALSE)</f>
        <v>Live Action</v>
      </c>
      <c r="T902" s="5">
        <f>VLOOKUP($G902,Others!$E$641:$I$931,4,FALSE)</f>
        <v>0</v>
      </c>
      <c r="U902" s="5" t="str">
        <f>IFERROR(VLOOKUP($G902,Ratings!$E$125:$I$172,5,FALSE),"none")</f>
        <v>none</v>
      </c>
      <c r="V902" s="5" t="s">
        <v>2672</v>
      </c>
      <c r="W902" s="5" t="s">
        <v>2673</v>
      </c>
      <c r="X902" s="5" t="s">
        <v>2674</v>
      </c>
      <c r="Y902" s="5" t="s">
        <v>2675</v>
      </c>
      <c r="Z902" s="5" t="s">
        <v>2676</v>
      </c>
      <c r="AA902" s="5" t="s">
        <v>2677</v>
      </c>
      <c r="AB902" s="5"/>
      <c r="AC902" s="5" t="s">
        <v>2678</v>
      </c>
      <c r="AD902" s="9">
        <v>8</v>
      </c>
      <c r="AE902" s="1" t="s">
        <v>1489</v>
      </c>
      <c r="AG902" s="9"/>
      <c r="AH902" s="9"/>
    </row>
    <row r="903" spans="2:34">
      <c r="B903" s="4">
        <v>2017</v>
      </c>
      <c r="C903" s="4" t="s">
        <v>44</v>
      </c>
      <c r="D903" s="3">
        <f t="shared" si="14"/>
        <v>269</v>
      </c>
      <c r="E903" s="55" t="s">
        <v>1126</v>
      </c>
      <c r="F903" s="56" t="s">
        <v>1084</v>
      </c>
      <c r="G903" s="5" t="s">
        <v>1327</v>
      </c>
      <c r="H903" s="5" t="s">
        <v>1658</v>
      </c>
      <c r="I903" s="5" t="s">
        <v>129</v>
      </c>
      <c r="J903" s="7">
        <v>29850746</v>
      </c>
      <c r="K903" s="7">
        <v>8955223</v>
      </c>
      <c r="L903" s="7">
        <v>17164179</v>
      </c>
      <c r="M903" s="8">
        <v>45552</v>
      </c>
      <c r="N903" s="7">
        <v>12995928</v>
      </c>
      <c r="O903" s="7">
        <v>45970149</v>
      </c>
      <c r="P903" s="7">
        <v>48069252</v>
      </c>
      <c r="Q903" s="7">
        <v>48069252</v>
      </c>
      <c r="R903" s="5" t="str">
        <f>VLOOKUP($G903,Others!$E$641:$I$931,2,FALSE)</f>
        <v>Original Screenplay</v>
      </c>
      <c r="S903" s="5" t="str">
        <f>VLOOKUP($G903,Others!$E$641:$I$931,3,FALSE)</f>
        <v>Live Action</v>
      </c>
      <c r="T903" s="5" t="str">
        <f>VLOOKUP($G903,Others!$E$641:$I$931,4,FALSE)</f>
        <v>Contemporary Fiction</v>
      </c>
      <c r="U903" s="5" t="str">
        <f>IFERROR(VLOOKUP($G903,Ratings!$E$125:$I$172,5,FALSE),"none")</f>
        <v>none</v>
      </c>
      <c r="V903" s="5" t="s">
        <v>2679</v>
      </c>
      <c r="W903" s="5" t="s">
        <v>2680</v>
      </c>
      <c r="X903" s="39" t="s">
        <v>2681</v>
      </c>
      <c r="Y903" s="5" t="s">
        <v>2682</v>
      </c>
      <c r="Z903" s="39" t="s">
        <v>1984</v>
      </c>
      <c r="AA903" s="5" t="s">
        <v>2683</v>
      </c>
      <c r="AB903" s="5"/>
      <c r="AC903" s="5" t="s">
        <v>2684</v>
      </c>
      <c r="AD903" s="9">
        <v>8.6</v>
      </c>
      <c r="AE903" s="1" t="s">
        <v>1489</v>
      </c>
      <c r="AG903" s="9"/>
      <c r="AH903" s="9"/>
    </row>
    <row r="904" spans="2:34" hidden="1">
      <c r="B904" s="4">
        <v>2017</v>
      </c>
      <c r="C904" s="4" t="s">
        <v>44</v>
      </c>
      <c r="D904" s="3">
        <f t="shared" si="14"/>
        <v>270</v>
      </c>
      <c r="E904" s="3" t="s">
        <v>1126</v>
      </c>
      <c r="G904" s="5" t="s">
        <v>1328</v>
      </c>
      <c r="H904" s="5"/>
      <c r="I904" s="5" t="s">
        <v>131</v>
      </c>
      <c r="J904" s="7">
        <v>0</v>
      </c>
      <c r="M904" s="8">
        <v>0</v>
      </c>
      <c r="N904" s="7">
        <v>0</v>
      </c>
      <c r="P904" s="7">
        <v>20671</v>
      </c>
      <c r="Q904" s="7">
        <v>20671</v>
      </c>
      <c r="R904" s="5">
        <f>VLOOKUP($G904,Others!$E$641:$I$931,2,FALSE)</f>
        <v>0</v>
      </c>
      <c r="S904" s="5" t="str">
        <f>VLOOKUP($G904,Others!$E$641:$I$931,3,FALSE)</f>
        <v>Live Action</v>
      </c>
      <c r="T904" s="5">
        <f>VLOOKUP($G904,Others!$E$641:$I$931,4,FALSE)</f>
        <v>0</v>
      </c>
      <c r="U904" s="5" t="str">
        <f>IFERROR(VLOOKUP($G904,Ratings!$E$125:$I$172,5,FALSE),"none")</f>
        <v>none</v>
      </c>
      <c r="V904" s="5"/>
      <c r="X904" s="5"/>
      <c r="Y904" s="5"/>
      <c r="Z904" s="5"/>
      <c r="AA904" s="5"/>
      <c r="AB904" s="5"/>
      <c r="AC904" s="5"/>
      <c r="AG904" s="9"/>
      <c r="AH904" s="9"/>
    </row>
    <row r="905" spans="2:34" hidden="1">
      <c r="B905" s="4">
        <v>2017</v>
      </c>
      <c r="C905" s="4" t="s">
        <v>44</v>
      </c>
      <c r="D905" s="3">
        <f t="shared" si="14"/>
        <v>271</v>
      </c>
      <c r="E905" s="3" t="s">
        <v>1126</v>
      </c>
      <c r="G905" s="5" t="s">
        <v>1329</v>
      </c>
      <c r="H905" s="5"/>
      <c r="I905" s="5" t="s">
        <v>148</v>
      </c>
      <c r="J905" s="7">
        <v>0</v>
      </c>
      <c r="M905" s="8">
        <v>0</v>
      </c>
      <c r="N905" s="7">
        <v>0</v>
      </c>
      <c r="P905" s="7">
        <v>27031</v>
      </c>
      <c r="Q905" s="7">
        <v>27031</v>
      </c>
      <c r="R905" s="5">
        <f>VLOOKUP($G905,Others!$E$641:$I$931,2,FALSE)</f>
        <v>0</v>
      </c>
      <c r="S905" s="5">
        <f>VLOOKUP($G905,Others!$E$641:$I$931,3,FALSE)</f>
        <v>0</v>
      </c>
      <c r="T905" s="5">
        <f>VLOOKUP($G905,Others!$E$641:$I$931,4,FALSE)</f>
        <v>0</v>
      </c>
      <c r="U905" s="5" t="str">
        <f>IFERROR(VLOOKUP($G905,Ratings!$E$125:$I$172,5,FALSE),"none")</f>
        <v>none</v>
      </c>
      <c r="V905" s="5"/>
      <c r="X905" s="5"/>
      <c r="Y905" s="5"/>
      <c r="Z905" s="5"/>
      <c r="AA905" s="5"/>
      <c r="AB905" s="5"/>
      <c r="AC905" s="5"/>
      <c r="AG905" s="9"/>
      <c r="AH905" s="9"/>
    </row>
    <row r="906" spans="2:34" hidden="1">
      <c r="B906" s="4">
        <v>2017</v>
      </c>
      <c r="C906" s="4" t="s">
        <v>44</v>
      </c>
      <c r="D906" s="3">
        <f t="shared" si="14"/>
        <v>272</v>
      </c>
      <c r="E906" s="3" t="s">
        <v>1126</v>
      </c>
      <c r="G906" s="5" t="s">
        <v>1330</v>
      </c>
      <c r="H906" s="5"/>
      <c r="I906" s="5" t="s">
        <v>131</v>
      </c>
      <c r="J906" s="7">
        <v>0</v>
      </c>
      <c r="M906" s="8">
        <v>0</v>
      </c>
      <c r="N906" s="7">
        <v>0</v>
      </c>
      <c r="P906" s="7">
        <v>1170000</v>
      </c>
      <c r="Q906" s="7">
        <v>1170000</v>
      </c>
      <c r="R906" s="5" t="str">
        <f>VLOOKUP($G906,Others!$E$641:$I$931,2,FALSE)</f>
        <v>Original Screenplay</v>
      </c>
      <c r="S906" s="5" t="str">
        <f>VLOOKUP($G906,Others!$E$641:$I$931,3,FALSE)</f>
        <v>Live Action</v>
      </c>
      <c r="T906" s="5" t="str">
        <f>VLOOKUP($G906,Others!$E$641:$I$931,4,FALSE)</f>
        <v>Contemporary Fiction</v>
      </c>
      <c r="U906" s="5" t="str">
        <f>IFERROR(VLOOKUP($G906,Ratings!$E$125:$I$172,5,FALSE),"none")</f>
        <v>none</v>
      </c>
      <c r="V906" s="5"/>
      <c r="X906" s="5"/>
      <c r="Y906" s="5"/>
      <c r="Z906" s="5"/>
      <c r="AA906" s="5"/>
      <c r="AB906" s="5"/>
      <c r="AC906" s="5"/>
      <c r="AG906" s="9"/>
      <c r="AH906" s="9"/>
    </row>
    <row r="907" spans="2:34" hidden="1">
      <c r="B907" s="4">
        <v>2017</v>
      </c>
      <c r="C907" s="4" t="s">
        <v>44</v>
      </c>
      <c r="D907" s="3">
        <f t="shared" si="14"/>
        <v>273</v>
      </c>
      <c r="E907" s="3" t="s">
        <v>1126</v>
      </c>
      <c r="G907" s="5" t="s">
        <v>1331</v>
      </c>
      <c r="H907" s="5"/>
      <c r="I907" s="5" t="s">
        <v>148</v>
      </c>
      <c r="J907" s="7">
        <v>0</v>
      </c>
      <c r="M907" s="8">
        <v>0</v>
      </c>
      <c r="N907" s="7">
        <v>0</v>
      </c>
      <c r="P907" s="7">
        <v>533102</v>
      </c>
      <c r="Q907" s="7">
        <v>533102</v>
      </c>
      <c r="R907" s="5">
        <f>VLOOKUP($G907,Others!$E$641:$I$931,2,FALSE)</f>
        <v>0</v>
      </c>
      <c r="S907" s="5" t="str">
        <f>VLOOKUP($G907,Others!$E$641:$I$931,3,FALSE)</f>
        <v>Live Action</v>
      </c>
      <c r="T907" s="5">
        <f>VLOOKUP($G907,Others!$E$641:$I$931,4,FALSE)</f>
        <v>0</v>
      </c>
      <c r="U907" s="5" t="str">
        <f>IFERROR(VLOOKUP($G907,Ratings!$E$125:$I$172,5,FALSE),"none")</f>
        <v>none</v>
      </c>
      <c r="V907" s="5"/>
      <c r="X907" s="5"/>
      <c r="Y907" s="5"/>
      <c r="Z907" s="5"/>
      <c r="AA907" s="5"/>
      <c r="AB907" s="5"/>
      <c r="AC907" s="5"/>
      <c r="AG907" s="9"/>
      <c r="AH907" s="9"/>
    </row>
    <row r="908" spans="2:34">
      <c r="B908" s="4">
        <v>2017</v>
      </c>
      <c r="C908" s="4" t="s">
        <v>44</v>
      </c>
      <c r="D908" s="3">
        <f t="shared" si="14"/>
        <v>274</v>
      </c>
      <c r="E908" s="55" t="s">
        <v>1126</v>
      </c>
      <c r="F908" s="56" t="s">
        <v>2685</v>
      </c>
      <c r="G908" s="5" t="s">
        <v>1332</v>
      </c>
      <c r="H908" s="5" t="s">
        <v>2686</v>
      </c>
      <c r="I908" s="5" t="s">
        <v>131</v>
      </c>
      <c r="J908" s="7">
        <f>50000000/6.7</f>
        <v>7462686.5671641789</v>
      </c>
      <c r="K908" s="7">
        <f>10000000/6.7</f>
        <v>1492537.3134328357</v>
      </c>
      <c r="L908" s="7">
        <f>9322000/6.7</f>
        <v>1391343.2835820895</v>
      </c>
      <c r="M908" s="8">
        <v>32654</v>
      </c>
      <c r="N908" s="7">
        <v>3308567</v>
      </c>
      <c r="O908" s="7">
        <f>25415000/6.7</f>
        <v>3793283.5820895522</v>
      </c>
      <c r="P908" s="7">
        <v>4964366</v>
      </c>
      <c r="Q908" s="7">
        <v>4964366</v>
      </c>
      <c r="R908" s="5" t="str">
        <f>VLOOKUP($G908,Others!$E$641:$I$931,2,FALSE)</f>
        <v>Original Screenplay</v>
      </c>
      <c r="S908" s="5" t="str">
        <f>VLOOKUP($G908,Others!$E$641:$I$931,3,FALSE)</f>
        <v>Live Action</v>
      </c>
      <c r="T908" s="5" t="str">
        <f>VLOOKUP($G908,Others!$E$641:$I$931,4,FALSE)</f>
        <v>Contemporary Fiction</v>
      </c>
      <c r="U908" s="5" t="str">
        <f>IFERROR(VLOOKUP($G908,Ratings!$E$125:$I$172,5,FALSE),"none")</f>
        <v>none</v>
      </c>
      <c r="V908" s="5" t="s">
        <v>2687</v>
      </c>
      <c r="W908" s="5" t="s">
        <v>2688</v>
      </c>
      <c r="X908" s="5" t="s">
        <v>2019</v>
      </c>
      <c r="Y908" s="5" t="s">
        <v>2459</v>
      </c>
      <c r="Z908" s="5" t="s">
        <v>2689</v>
      </c>
      <c r="AA908" s="5" t="s">
        <v>2690</v>
      </c>
      <c r="AB908" s="5"/>
      <c r="AC908" s="5" t="s">
        <v>2691</v>
      </c>
      <c r="AD908" s="9">
        <v>7.2</v>
      </c>
      <c r="AE908" s="1" t="s">
        <v>1489</v>
      </c>
      <c r="AG908" s="9"/>
      <c r="AH908" s="9"/>
    </row>
    <row r="909" spans="2:34">
      <c r="B909" s="4">
        <v>2017</v>
      </c>
      <c r="C909" s="4" t="s">
        <v>44</v>
      </c>
      <c r="D909" s="3">
        <f t="shared" si="14"/>
        <v>275</v>
      </c>
      <c r="E909" s="55" t="s">
        <v>1126</v>
      </c>
      <c r="F909" s="56" t="s">
        <v>2692</v>
      </c>
      <c r="G909" s="5" t="s">
        <v>1333</v>
      </c>
      <c r="H909" s="5" t="s">
        <v>1494</v>
      </c>
      <c r="I909" s="5" t="s">
        <v>148</v>
      </c>
      <c r="J909" s="7">
        <f>50000000/6.7</f>
        <v>7462686.5671641789</v>
      </c>
      <c r="K909" s="7">
        <f>50000000/6.7</f>
        <v>7462686.5671641789</v>
      </c>
      <c r="L909" s="7">
        <f>42359000/6.7</f>
        <v>6322238.8059701491</v>
      </c>
      <c r="M909" s="41">
        <v>35687</v>
      </c>
      <c r="N909" s="42">
        <v>219973</v>
      </c>
      <c r="O909" s="7">
        <f>1.14*100000000/6.7</f>
        <v>17014925.373134326</v>
      </c>
      <c r="P909" s="7">
        <v>18019652</v>
      </c>
      <c r="Q909" s="7">
        <v>18019652</v>
      </c>
      <c r="R909" s="5" t="str">
        <f>VLOOKUP($G909,Others!$E$641:$I$931,2,FALSE)</f>
        <v>Based on Fiction Book/Short Story</v>
      </c>
      <c r="S909" s="5" t="str">
        <f>VLOOKUP($G909,Others!$E$641:$I$931,3,FALSE)</f>
        <v>Live Action</v>
      </c>
      <c r="T909" s="5" t="str">
        <f>VLOOKUP($G909,Others!$E$641:$I$931,4,FALSE)</f>
        <v>Contemporary Fiction</v>
      </c>
      <c r="U909" s="5" t="str">
        <f>IFERROR(VLOOKUP($G909,Ratings!$E$125:$I$172,5,FALSE),"none")</f>
        <v>none</v>
      </c>
      <c r="V909" s="5" t="s">
        <v>2693</v>
      </c>
      <c r="W909" s="39" t="s">
        <v>2694</v>
      </c>
      <c r="X909" s="5" t="s">
        <v>2431</v>
      </c>
      <c r="Y909" s="5" t="s">
        <v>2695</v>
      </c>
      <c r="Z909" s="5"/>
      <c r="AA909" s="5" t="s">
        <v>1806</v>
      </c>
      <c r="AB909" s="5" t="s">
        <v>1807</v>
      </c>
      <c r="AC909" s="5" t="s">
        <v>2344</v>
      </c>
      <c r="AD909" s="9">
        <v>9</v>
      </c>
      <c r="AE909" s="9" t="s">
        <v>1489</v>
      </c>
      <c r="AG909" s="9"/>
      <c r="AH909" s="9"/>
    </row>
    <row r="910" spans="2:34" hidden="1">
      <c r="B910" s="4">
        <v>2017</v>
      </c>
      <c r="C910" s="4" t="s">
        <v>44</v>
      </c>
      <c r="D910" s="3">
        <f t="shared" si="14"/>
        <v>276</v>
      </c>
      <c r="E910" s="3" t="s">
        <v>1126</v>
      </c>
      <c r="G910" s="5" t="s">
        <v>1334</v>
      </c>
      <c r="H910" s="5"/>
      <c r="I910" s="5" t="s">
        <v>193</v>
      </c>
      <c r="J910" s="7">
        <v>0</v>
      </c>
      <c r="M910" s="8">
        <v>0</v>
      </c>
      <c r="N910" s="7">
        <v>0</v>
      </c>
      <c r="P910" s="7">
        <v>886183</v>
      </c>
      <c r="Q910" s="7">
        <v>886183</v>
      </c>
      <c r="R910" s="5" t="str">
        <f>VLOOKUP($G910,Others!$E$641:$I$931,2,FALSE)</f>
        <v>Original Screenplay</v>
      </c>
      <c r="S910" s="5" t="str">
        <f>VLOOKUP($G910,Others!$E$641:$I$931,3,FALSE)</f>
        <v>Live Action</v>
      </c>
      <c r="T910" s="5" t="str">
        <f>VLOOKUP($G910,Others!$E$641:$I$931,4,FALSE)</f>
        <v>Contemporary Fiction</v>
      </c>
      <c r="U910" s="5" t="str">
        <f>IFERROR(VLOOKUP($G910,Ratings!$E$125:$I$172,5,FALSE),"none")</f>
        <v>none</v>
      </c>
      <c r="V910" s="5"/>
      <c r="X910" s="5"/>
      <c r="Y910" s="5"/>
      <c r="Z910" s="5"/>
      <c r="AA910" s="5"/>
      <c r="AB910" s="5"/>
      <c r="AC910" s="5"/>
      <c r="AG910" s="9"/>
      <c r="AH910" s="9"/>
    </row>
    <row r="911" spans="2:34" hidden="1">
      <c r="B911" s="4">
        <v>2017</v>
      </c>
      <c r="C911" s="4" t="s">
        <v>44</v>
      </c>
      <c r="D911" s="3">
        <f t="shared" si="14"/>
        <v>277</v>
      </c>
      <c r="E911" s="3" t="s">
        <v>1126</v>
      </c>
      <c r="G911" s="49" t="s">
        <v>1335</v>
      </c>
      <c r="H911" s="5" t="s">
        <v>2657</v>
      </c>
      <c r="I911" s="5" t="s">
        <v>131</v>
      </c>
      <c r="J911" s="7">
        <v>0</v>
      </c>
      <c r="M911" s="8">
        <v>0</v>
      </c>
      <c r="N911" s="7">
        <v>0</v>
      </c>
      <c r="P911" s="7">
        <v>2955320</v>
      </c>
      <c r="Q911" s="7">
        <v>2955320</v>
      </c>
      <c r="R911" s="5" t="str">
        <f>VLOOKUP($G911,Others!$E$641:$I$931,2,FALSE)</f>
        <v>Based on Real Life Events</v>
      </c>
      <c r="S911" s="5" t="str">
        <f>VLOOKUP($G911,Others!$E$641:$I$931,3,FALSE)</f>
        <v>Live Action</v>
      </c>
      <c r="T911" s="5" t="str">
        <f>VLOOKUP($G911,Others!$E$641:$I$931,4,FALSE)</f>
        <v>Dramatization</v>
      </c>
      <c r="U911" s="5" t="str">
        <f>IFERROR(VLOOKUP($G911,Ratings!$E$125:$I$172,5,FALSE),"none")</f>
        <v>none</v>
      </c>
      <c r="V911" s="5"/>
      <c r="X911" s="39" t="s">
        <v>2696</v>
      </c>
      <c r="Y911" s="50" t="s">
        <v>2697</v>
      </c>
      <c r="Z911" s="5"/>
      <c r="AA911" s="5" t="s">
        <v>2698</v>
      </c>
      <c r="AB911" s="5"/>
      <c r="AC911" s="5" t="s">
        <v>2699</v>
      </c>
      <c r="AG911" s="9"/>
      <c r="AH911" s="9"/>
    </row>
    <row r="912" spans="2:34" hidden="1">
      <c r="B912" s="4">
        <v>2017</v>
      </c>
      <c r="C912" s="4" t="s">
        <v>44</v>
      </c>
      <c r="D912" s="3">
        <f t="shared" si="14"/>
        <v>278</v>
      </c>
      <c r="E912" s="3" t="s">
        <v>1126</v>
      </c>
      <c r="G912" s="5" t="s">
        <v>1336</v>
      </c>
      <c r="H912" s="5"/>
      <c r="I912" s="5" t="s">
        <v>131</v>
      </c>
      <c r="J912" s="7">
        <v>0</v>
      </c>
      <c r="M912" s="8">
        <v>0</v>
      </c>
      <c r="N912" s="7">
        <v>0</v>
      </c>
      <c r="P912" s="7">
        <v>4915</v>
      </c>
      <c r="Q912" s="7">
        <v>4915</v>
      </c>
      <c r="R912" s="5">
        <f>VLOOKUP($G912,Others!$E$641:$I$931,2,FALSE)</f>
        <v>0</v>
      </c>
      <c r="S912" s="5" t="str">
        <f>VLOOKUP($G912,Others!$E$641:$I$931,3,FALSE)</f>
        <v>Live Action</v>
      </c>
      <c r="T912" s="5">
        <f>VLOOKUP($G912,Others!$E$641:$I$931,4,FALSE)</f>
        <v>0</v>
      </c>
      <c r="U912" s="5" t="str">
        <f>IFERROR(VLOOKUP($G912,Ratings!$E$125:$I$172,5,FALSE),"none")</f>
        <v>none</v>
      </c>
      <c r="V912" s="5"/>
      <c r="X912" s="5" t="s">
        <v>2696</v>
      </c>
      <c r="Y912" s="5" t="s">
        <v>2697</v>
      </c>
      <c r="Z912" s="5"/>
      <c r="AA912" s="5"/>
      <c r="AB912" s="5"/>
      <c r="AC912" s="5"/>
      <c r="AG912" s="9"/>
      <c r="AH912" s="9"/>
    </row>
    <row r="913" spans="2:34" hidden="1">
      <c r="B913" s="4">
        <v>2017</v>
      </c>
      <c r="C913" s="4" t="s">
        <v>44</v>
      </c>
      <c r="D913" s="3">
        <f t="shared" si="14"/>
        <v>279</v>
      </c>
      <c r="E913" s="3" t="s">
        <v>1126</v>
      </c>
      <c r="G913" s="5" t="s">
        <v>1337</v>
      </c>
      <c r="H913" s="5"/>
      <c r="J913" s="7">
        <v>0</v>
      </c>
      <c r="M913" s="8">
        <v>0</v>
      </c>
      <c r="N913" s="7">
        <v>0</v>
      </c>
      <c r="P913" s="7">
        <v>1302670</v>
      </c>
      <c r="Q913" s="7">
        <v>1302670</v>
      </c>
      <c r="R913" s="5">
        <f>VLOOKUP($G913,Others!$E$641:$I$931,2,FALSE)</f>
        <v>0</v>
      </c>
      <c r="S913" s="5">
        <f>VLOOKUP($G913,Others!$E$641:$I$931,3,FALSE)</f>
        <v>0</v>
      </c>
      <c r="T913" s="5">
        <f>VLOOKUP($G913,Others!$E$641:$I$931,4,FALSE)</f>
        <v>0</v>
      </c>
      <c r="U913" s="5" t="str">
        <f>IFERROR(VLOOKUP($G913,Ratings!$E$125:$I$172,5,FALSE),"none")</f>
        <v>none</v>
      </c>
      <c r="V913" s="5"/>
      <c r="X913" s="5"/>
      <c r="Y913" s="5"/>
      <c r="Z913" s="5"/>
      <c r="AA913" s="5"/>
      <c r="AB913" s="5"/>
      <c r="AC913" s="5"/>
      <c r="AG913" s="9"/>
      <c r="AH913" s="9"/>
    </row>
    <row r="914" spans="2:34" hidden="1">
      <c r="B914" s="4">
        <v>2017</v>
      </c>
      <c r="C914" s="4" t="s">
        <v>44</v>
      </c>
      <c r="D914" s="3">
        <f t="shared" si="14"/>
        <v>280</v>
      </c>
      <c r="E914" s="3" t="s">
        <v>1126</v>
      </c>
      <c r="G914" s="5" t="s">
        <v>1338</v>
      </c>
      <c r="H914" s="5"/>
      <c r="I914" s="5" t="s">
        <v>154</v>
      </c>
      <c r="J914" s="7">
        <v>0</v>
      </c>
      <c r="M914" s="8">
        <v>0</v>
      </c>
      <c r="N914" s="7">
        <v>0</v>
      </c>
      <c r="P914" s="7">
        <v>190000</v>
      </c>
      <c r="Q914" s="7">
        <v>190000</v>
      </c>
      <c r="R914" s="5" t="str">
        <f>VLOOKUP($G914,Others!$E$641:$I$931,2,FALSE)</f>
        <v>Original Screenplay</v>
      </c>
      <c r="S914" s="5" t="str">
        <f>VLOOKUP($G914,Others!$E$641:$I$931,3,FALSE)</f>
        <v>Live Action</v>
      </c>
      <c r="T914" s="5" t="str">
        <f>VLOOKUP($G914,Others!$E$641:$I$931,4,FALSE)</f>
        <v>Contemporary Fiction</v>
      </c>
      <c r="U914" s="5" t="str">
        <f>IFERROR(VLOOKUP($G914,Ratings!$E$125:$I$172,5,FALSE),"none")</f>
        <v>none</v>
      </c>
      <c r="V914" s="5"/>
      <c r="X914" s="5"/>
      <c r="Y914" s="5"/>
      <c r="Z914" s="5"/>
      <c r="AA914" s="5"/>
      <c r="AB914" s="5"/>
      <c r="AC914" s="5"/>
      <c r="AG914" s="9"/>
      <c r="AH914" s="9"/>
    </row>
    <row r="915" spans="2:34">
      <c r="B915" s="4">
        <v>2018</v>
      </c>
      <c r="C915" s="4" t="s">
        <v>44</v>
      </c>
      <c r="D915" s="3">
        <f t="shared" si="14"/>
        <v>281</v>
      </c>
      <c r="E915" s="55" t="s">
        <v>1126</v>
      </c>
      <c r="F915" s="3" t="s">
        <v>2275</v>
      </c>
      <c r="G915" s="5" t="s">
        <v>410</v>
      </c>
      <c r="H915" s="5" t="s">
        <v>1916</v>
      </c>
      <c r="I915" s="5" t="s">
        <v>1403</v>
      </c>
      <c r="J915" s="7">
        <v>2985074</v>
      </c>
      <c r="K915" s="7">
        <v>2238805</v>
      </c>
      <c r="L915" s="7">
        <v>3063333</v>
      </c>
      <c r="M915" s="8">
        <v>24773</v>
      </c>
      <c r="N915" s="7">
        <v>1610</v>
      </c>
      <c r="O915" s="7">
        <v>7479104</v>
      </c>
      <c r="P915" s="7">
        <v>8512220</v>
      </c>
      <c r="Q915" s="7">
        <v>8512220</v>
      </c>
      <c r="R915" s="5" t="str">
        <f>VLOOKUP($G915,Others!$E$641:$I$931,2,FALSE)</f>
        <v>Original Screenplay</v>
      </c>
      <c r="S915" s="5" t="str">
        <f>VLOOKUP($G915,Others!$E$641:$I$931,3,FALSE)</f>
        <v>Live Action</v>
      </c>
      <c r="T915" s="5" t="str">
        <f>VLOOKUP($G915,Others!$E$641:$I$931,4,FALSE)</f>
        <v>Contemporary Fiction</v>
      </c>
      <c r="U915" s="5" t="str">
        <f>IFERROR(VLOOKUP($G915,Ratings!$E$125:$I$172,5,FALSE),"none")</f>
        <v>none</v>
      </c>
      <c r="V915" s="5" t="s">
        <v>2700</v>
      </c>
      <c r="W915" s="5" t="s">
        <v>2701</v>
      </c>
      <c r="X915" s="5" t="s">
        <v>2564</v>
      </c>
      <c r="Y915" s="5" t="s">
        <v>2702</v>
      </c>
      <c r="Z915" s="5"/>
      <c r="AA915" s="5" t="s">
        <v>2703</v>
      </c>
      <c r="AB915" s="5"/>
      <c r="AC915" s="5" t="s">
        <v>2704</v>
      </c>
      <c r="AD915" s="9">
        <v>8.1999999999999993</v>
      </c>
      <c r="AE915" s="1" t="s">
        <v>1489</v>
      </c>
      <c r="AG915" s="9"/>
      <c r="AH915" s="9"/>
    </row>
    <row r="916" spans="2:34">
      <c r="B916" s="4">
        <v>2017</v>
      </c>
      <c r="C916" s="4" t="s">
        <v>44</v>
      </c>
      <c r="D916" s="3">
        <f t="shared" si="14"/>
        <v>282</v>
      </c>
      <c r="E916" s="55" t="s">
        <v>1126</v>
      </c>
      <c r="F916" s="56" t="s">
        <v>1095</v>
      </c>
      <c r="G916" s="5" t="s">
        <v>1339</v>
      </c>
      <c r="H916" s="5" t="s">
        <v>2575</v>
      </c>
      <c r="I916" s="5" t="s">
        <v>136</v>
      </c>
      <c r="J916" s="7">
        <v>7462686.5700000003</v>
      </c>
      <c r="K916" s="7">
        <v>2238805.9700000002</v>
      </c>
      <c r="L916" s="7">
        <v>3528507.46</v>
      </c>
      <c r="M916" s="8">
        <v>36935</v>
      </c>
      <c r="N916" s="7">
        <v>5430000</v>
      </c>
      <c r="O916" s="7">
        <v>9583880.5999999996</v>
      </c>
      <c r="P916" s="7">
        <v>10238078</v>
      </c>
      <c r="Q916" s="7">
        <v>10238078</v>
      </c>
      <c r="R916" s="5" t="str">
        <f>VLOOKUP($G916,Others!$E$641:$I$931,2,FALSE)</f>
        <v>Original Screenplay</v>
      </c>
      <c r="S916" s="5" t="str">
        <f>VLOOKUP($G916,Others!$E$641:$I$931,3,FALSE)</f>
        <v>Multiple Production Methods</v>
      </c>
      <c r="T916" s="5" t="str">
        <f>VLOOKUP($G916,Others!$E$641:$I$931,4,FALSE)</f>
        <v>Fantasy</v>
      </c>
      <c r="U916" s="5" t="str">
        <f>IFERROR(VLOOKUP($G916,Ratings!$E$125:$I$172,5,FALSE),"none")</f>
        <v>none</v>
      </c>
      <c r="V916" s="5" t="s">
        <v>2705</v>
      </c>
      <c r="W916" s="5" t="s">
        <v>2706</v>
      </c>
      <c r="X916" s="5" t="s">
        <v>2707</v>
      </c>
      <c r="Y916" s="5" t="s">
        <v>2170</v>
      </c>
      <c r="Z916" s="5" t="s">
        <v>2254</v>
      </c>
      <c r="AA916" s="5" t="s">
        <v>2708</v>
      </c>
      <c r="AB916" s="5"/>
      <c r="AC916" s="5" t="s">
        <v>2709</v>
      </c>
      <c r="AD916" s="9">
        <v>8.1</v>
      </c>
      <c r="AE916" s="1" t="s">
        <v>1489</v>
      </c>
      <c r="AG916" s="9"/>
      <c r="AH916" s="9"/>
    </row>
    <row r="917" spans="2:34" hidden="1">
      <c r="B917" s="4">
        <v>2017</v>
      </c>
      <c r="C917" s="4" t="s">
        <v>44</v>
      </c>
      <c r="D917" s="3">
        <f t="shared" si="14"/>
        <v>283</v>
      </c>
      <c r="E917" s="3" t="s">
        <v>1126</v>
      </c>
      <c r="G917" s="5" t="s">
        <v>1340</v>
      </c>
      <c r="H917" s="5"/>
      <c r="J917" s="7">
        <v>0</v>
      </c>
      <c r="M917" s="8">
        <v>0</v>
      </c>
      <c r="N917" s="7">
        <v>0</v>
      </c>
      <c r="P917" s="7">
        <v>9772</v>
      </c>
      <c r="Q917" s="7">
        <v>9772</v>
      </c>
      <c r="R917" s="5">
        <f>VLOOKUP($G917,Others!$E$641:$I$931,2,FALSE)</f>
        <v>0</v>
      </c>
      <c r="S917" s="5">
        <f>VLOOKUP($G917,Others!$E$641:$I$931,3,FALSE)</f>
        <v>0</v>
      </c>
      <c r="T917" s="5">
        <f>VLOOKUP($G917,Others!$E$641:$I$931,4,FALSE)</f>
        <v>0</v>
      </c>
      <c r="U917" s="5" t="str">
        <f>IFERROR(VLOOKUP($G917,Ratings!$E$125:$I$172,5,FALSE),"none")</f>
        <v>none</v>
      </c>
      <c r="V917" s="5"/>
      <c r="X917" s="5"/>
      <c r="Y917" s="5"/>
      <c r="Z917" s="5"/>
      <c r="AA917" s="5"/>
      <c r="AB917" s="5"/>
      <c r="AC917" s="5"/>
      <c r="AG917" s="9"/>
      <c r="AH917" s="9"/>
    </row>
    <row r="918" spans="2:34" hidden="1">
      <c r="B918" s="4">
        <v>2017</v>
      </c>
      <c r="C918" s="4" t="s">
        <v>44</v>
      </c>
      <c r="D918" s="3">
        <f t="shared" si="14"/>
        <v>284</v>
      </c>
      <c r="E918" s="3" t="s">
        <v>1126</v>
      </c>
      <c r="G918" s="5" t="s">
        <v>1341</v>
      </c>
      <c r="H918" s="5"/>
      <c r="I918" s="5" t="s">
        <v>131</v>
      </c>
      <c r="J918" s="7">
        <v>0</v>
      </c>
      <c r="M918" s="8">
        <v>0</v>
      </c>
      <c r="N918" s="7">
        <v>0</v>
      </c>
      <c r="P918" s="7">
        <v>492189</v>
      </c>
      <c r="Q918" s="7">
        <v>492189</v>
      </c>
      <c r="R918" s="5">
        <f>VLOOKUP($G918,Others!$E$641:$I$931,2,FALSE)</f>
        <v>0</v>
      </c>
      <c r="S918" s="5">
        <f>VLOOKUP($G918,Others!$E$641:$I$931,3,FALSE)</f>
        <v>0</v>
      </c>
      <c r="T918" s="5" t="str">
        <f>VLOOKUP($G918,Others!$E$641:$I$931,4,FALSE)</f>
        <v>Fantasy</v>
      </c>
      <c r="U918" s="5" t="str">
        <f>IFERROR(VLOOKUP($G918,Ratings!$E$125:$I$172,5,FALSE),"none")</f>
        <v>none</v>
      </c>
      <c r="V918" s="5"/>
      <c r="X918" s="5"/>
      <c r="Y918" s="5"/>
      <c r="Z918" s="5"/>
      <c r="AA918" s="5"/>
      <c r="AB918" s="5"/>
      <c r="AC918" s="5"/>
      <c r="AG918" s="9"/>
      <c r="AH918" s="9"/>
    </row>
    <row r="919" spans="2:34">
      <c r="B919" s="4">
        <v>2018</v>
      </c>
      <c r="C919" s="4" t="s">
        <v>44</v>
      </c>
      <c r="D919" s="3">
        <f t="shared" si="14"/>
        <v>285</v>
      </c>
      <c r="E919" s="55" t="s">
        <v>1126</v>
      </c>
      <c r="F919" s="3" t="s">
        <v>2710</v>
      </c>
      <c r="G919" s="5" t="s">
        <v>418</v>
      </c>
      <c r="H919" s="5" t="s">
        <v>2664</v>
      </c>
      <c r="I919" s="5" t="s">
        <v>136</v>
      </c>
      <c r="J919" s="7">
        <v>7462686</v>
      </c>
      <c r="K919" s="7">
        <v>1492537</v>
      </c>
      <c r="L919" s="7">
        <v>1880597</v>
      </c>
      <c r="M919" s="8">
        <v>30895</v>
      </c>
      <c r="N919" s="7">
        <v>82699</v>
      </c>
      <c r="O919" s="7">
        <v>5125373</v>
      </c>
      <c r="P919" s="7">
        <v>5748970</v>
      </c>
      <c r="Q919" s="7">
        <v>5748970</v>
      </c>
      <c r="R919" s="5" t="str">
        <f>VLOOKUP($G919,Others!$E$641:$I$931,2,FALSE)</f>
        <v>Original Screenplay</v>
      </c>
      <c r="S919" s="5" t="str">
        <f>VLOOKUP($G919,Others!$E$641:$I$931,3,FALSE)</f>
        <v>Live Action</v>
      </c>
      <c r="T919" s="5" t="str">
        <f>VLOOKUP($G919,Others!$E$641:$I$931,4,FALSE)</f>
        <v>Contemporary Fiction</v>
      </c>
      <c r="U919" s="5" t="str">
        <f>IFERROR(VLOOKUP($G919,Ratings!$E$125:$I$172,5,FALSE),"none")</f>
        <v>none</v>
      </c>
      <c r="V919" s="5" t="s">
        <v>2711</v>
      </c>
      <c r="W919" s="5" t="s">
        <v>2712</v>
      </c>
      <c r="X919" s="5" t="s">
        <v>2170</v>
      </c>
      <c r="Y919" s="5" t="s">
        <v>2713</v>
      </c>
      <c r="Z919" s="5"/>
      <c r="AA919" s="5" t="s">
        <v>2714</v>
      </c>
      <c r="AB919" s="5"/>
      <c r="AC919" s="5" t="s">
        <v>2670</v>
      </c>
      <c r="AD919" s="9">
        <v>8.3000000000000007</v>
      </c>
      <c r="AE919" s="1" t="s">
        <v>1489</v>
      </c>
      <c r="AG919" s="9"/>
      <c r="AH919" s="9"/>
    </row>
    <row r="920" spans="2:34">
      <c r="B920" s="4">
        <v>2017</v>
      </c>
      <c r="C920" s="4" t="s">
        <v>44</v>
      </c>
      <c r="D920" s="3">
        <f t="shared" si="14"/>
        <v>286</v>
      </c>
      <c r="E920" s="55" t="s">
        <v>1126</v>
      </c>
      <c r="F920" s="56" t="s">
        <v>2022</v>
      </c>
      <c r="G920" s="5" t="s">
        <v>1342</v>
      </c>
      <c r="H920" s="5" t="s">
        <v>2715</v>
      </c>
      <c r="I920" s="5" t="s">
        <v>129</v>
      </c>
      <c r="J920" s="7">
        <f>50000000/6.7</f>
        <v>7462686.5671641789</v>
      </c>
      <c r="K920" s="7">
        <f>15000000/6.7</f>
        <v>2238805.9701492535</v>
      </c>
      <c r="L920" s="7">
        <f>10306000/6.7</f>
        <v>1538208.9552238805</v>
      </c>
      <c r="M920" s="8">
        <v>26127</v>
      </c>
      <c r="N920" s="7">
        <v>1530000</v>
      </c>
      <c r="O920" s="7">
        <f>28098000/6.7</f>
        <v>4193731.343283582</v>
      </c>
      <c r="P920" s="7">
        <v>4433919</v>
      </c>
      <c r="Q920" s="7">
        <v>4433919</v>
      </c>
      <c r="R920" s="5" t="str">
        <f>VLOOKUP($G920,Others!$E$641:$I$931,2,FALSE)</f>
        <v>Original Screenplay</v>
      </c>
      <c r="S920" s="5" t="str">
        <f>VLOOKUP($G920,Others!$E$641:$I$931,3,FALSE)</f>
        <v>Live Action</v>
      </c>
      <c r="T920" s="5" t="str">
        <f>VLOOKUP($G920,Others!$E$641:$I$931,4,FALSE)</f>
        <v>Historical Fiction</v>
      </c>
      <c r="U920" s="5" t="str">
        <f>IFERROR(VLOOKUP($G920,Ratings!$E$125:$I$172,5,FALSE),"none")</f>
        <v>none</v>
      </c>
      <c r="V920" s="5" t="s">
        <v>2716</v>
      </c>
      <c r="W920" s="5" t="s">
        <v>1342</v>
      </c>
      <c r="X920" s="5" t="s">
        <v>2717</v>
      </c>
      <c r="Y920" s="5" t="s">
        <v>2718</v>
      </c>
      <c r="Z920" s="5"/>
      <c r="AA920" s="5" t="s">
        <v>2719</v>
      </c>
      <c r="AB920" s="5"/>
      <c r="AC920" s="5" t="s">
        <v>2720</v>
      </c>
      <c r="AD920" s="47">
        <v>7.8</v>
      </c>
      <c r="AE920" s="1" t="s">
        <v>1489</v>
      </c>
      <c r="AG920" s="9"/>
      <c r="AH920" s="9"/>
    </row>
    <row r="921" spans="2:34" hidden="1">
      <c r="B921" s="4">
        <v>2017</v>
      </c>
      <c r="C921" s="4" t="s">
        <v>44</v>
      </c>
      <c r="D921" s="3">
        <f t="shared" si="14"/>
        <v>287</v>
      </c>
      <c r="E921" s="3" t="s">
        <v>1126</v>
      </c>
      <c r="G921" s="5" t="s">
        <v>1343</v>
      </c>
      <c r="H921" s="5"/>
      <c r="I921" s="5" t="s">
        <v>131</v>
      </c>
      <c r="J921" s="7">
        <v>0</v>
      </c>
      <c r="M921" s="8">
        <v>0</v>
      </c>
      <c r="N921" s="7">
        <v>0</v>
      </c>
      <c r="P921" s="7">
        <v>286549</v>
      </c>
      <c r="Q921" s="7">
        <v>286549</v>
      </c>
      <c r="R921" s="5" t="str">
        <f>VLOOKUP($G921,Others!$E$641:$I$931,2,FALSE)</f>
        <v>Based on Fiction Book/Short Story</v>
      </c>
      <c r="S921" s="5" t="str">
        <f>VLOOKUP($G921,Others!$E$641:$I$931,3,FALSE)</f>
        <v>Live Action</v>
      </c>
      <c r="T921" s="5" t="str">
        <f>VLOOKUP($G921,Others!$E$641:$I$931,4,FALSE)</f>
        <v>Historical Fiction</v>
      </c>
      <c r="U921" s="5" t="str">
        <f>IFERROR(VLOOKUP($G921,Ratings!$E$125:$I$172,5,FALSE),"none")</f>
        <v>none</v>
      </c>
      <c r="V921" s="5"/>
      <c r="X921" s="5"/>
      <c r="Y921" s="5"/>
      <c r="Z921" s="5"/>
      <c r="AA921" s="5"/>
      <c r="AB921" s="5"/>
      <c r="AC921" s="5"/>
      <c r="AG921" s="9"/>
      <c r="AH921" s="9"/>
    </row>
    <row r="922" spans="2:34" hidden="1">
      <c r="B922" s="4">
        <v>2017</v>
      </c>
      <c r="C922" s="4" t="s">
        <v>44</v>
      </c>
      <c r="D922" s="3">
        <f t="shared" si="14"/>
        <v>288</v>
      </c>
      <c r="E922" s="3" t="s">
        <v>1126</v>
      </c>
      <c r="G922" s="5" t="s">
        <v>1344</v>
      </c>
      <c r="H922" s="5"/>
      <c r="I922" s="5" t="s">
        <v>148</v>
      </c>
      <c r="J922" s="7">
        <v>0</v>
      </c>
      <c r="M922" s="8">
        <v>0</v>
      </c>
      <c r="N922" s="7">
        <v>0</v>
      </c>
      <c r="P922" s="7">
        <v>8224</v>
      </c>
      <c r="Q922" s="7">
        <v>8224</v>
      </c>
      <c r="R922" s="5">
        <f>VLOOKUP($G922,Others!$E$641:$I$931,2,FALSE)</f>
        <v>0</v>
      </c>
      <c r="S922" s="5" t="str">
        <f>VLOOKUP($G922,Others!$E$641:$I$931,3,FALSE)</f>
        <v>Live Action</v>
      </c>
      <c r="T922" s="5">
        <f>VLOOKUP($G922,Others!$E$641:$I$931,4,FALSE)</f>
        <v>0</v>
      </c>
      <c r="U922" s="5" t="str">
        <f>IFERROR(VLOOKUP($G922,Ratings!$E$125:$I$172,5,FALSE),"none")</f>
        <v>none</v>
      </c>
      <c r="V922" s="5"/>
      <c r="X922" s="5"/>
      <c r="Y922" s="5"/>
      <c r="Z922" s="5"/>
      <c r="AA922" s="5"/>
      <c r="AB922" s="5"/>
      <c r="AC922" s="5"/>
      <c r="AG922" s="9"/>
      <c r="AH922" s="9"/>
    </row>
    <row r="923" spans="2:34" hidden="1">
      <c r="B923" s="4">
        <v>2017</v>
      </c>
      <c r="C923" s="4" t="s">
        <v>44</v>
      </c>
      <c r="D923" s="3">
        <f t="shared" si="14"/>
        <v>289</v>
      </c>
      <c r="E923" s="3" t="s">
        <v>1126</v>
      </c>
      <c r="G923" s="5" t="s">
        <v>1345</v>
      </c>
      <c r="H923" s="5"/>
      <c r="J923" s="7">
        <v>0</v>
      </c>
      <c r="M923" s="8">
        <v>0</v>
      </c>
      <c r="N923" s="7">
        <v>0</v>
      </c>
      <c r="P923" s="7">
        <v>638695</v>
      </c>
      <c r="Q923" s="7">
        <v>638695</v>
      </c>
      <c r="R923" s="5">
        <f>VLOOKUP($G923,Others!$E$641:$I$931,2,FALSE)</f>
        <v>0</v>
      </c>
      <c r="S923" s="5">
        <f>VLOOKUP($G923,Others!$E$641:$I$931,3,FALSE)</f>
        <v>0</v>
      </c>
      <c r="T923" s="5">
        <f>VLOOKUP($G923,Others!$E$641:$I$931,4,FALSE)</f>
        <v>0</v>
      </c>
      <c r="U923" s="5" t="str">
        <f>IFERROR(VLOOKUP($G923,Ratings!$E$125:$I$172,5,FALSE),"none")</f>
        <v>none</v>
      </c>
      <c r="V923" s="5"/>
      <c r="X923" s="5"/>
      <c r="Y923" s="5"/>
      <c r="Z923" s="5"/>
      <c r="AA923" s="5"/>
      <c r="AB923" s="5"/>
      <c r="AC923" s="5"/>
      <c r="AG923" s="9"/>
      <c r="AH923" s="9"/>
    </row>
    <row r="924" spans="2:34" hidden="1">
      <c r="B924" s="4">
        <v>2017</v>
      </c>
      <c r="C924" s="4" t="s">
        <v>44</v>
      </c>
      <c r="D924" s="3">
        <f t="shared" si="14"/>
        <v>290</v>
      </c>
      <c r="E924" s="3" t="s">
        <v>1126</v>
      </c>
      <c r="G924" s="5" t="s">
        <v>1346</v>
      </c>
      <c r="H924" s="5"/>
      <c r="I924" s="5" t="s">
        <v>191</v>
      </c>
      <c r="J924" s="7">
        <v>0</v>
      </c>
      <c r="M924" s="8">
        <v>0</v>
      </c>
      <c r="N924" s="7">
        <v>0</v>
      </c>
      <c r="P924" s="7">
        <v>143865</v>
      </c>
      <c r="Q924" s="7">
        <v>143865</v>
      </c>
      <c r="R924" s="5" t="str">
        <f>VLOOKUP($G924,Others!$E$641:$I$931,2,FALSE)</f>
        <v>Original Screenplay</v>
      </c>
      <c r="S924" s="5" t="str">
        <f>VLOOKUP($G924,Others!$E$641:$I$931,3,FALSE)</f>
        <v>Live Action</v>
      </c>
      <c r="T924" s="5" t="str">
        <f>VLOOKUP($G924,Others!$E$641:$I$931,4,FALSE)</f>
        <v>Factual</v>
      </c>
      <c r="U924" s="5" t="str">
        <f>IFERROR(VLOOKUP($G924,Ratings!$E$125:$I$172,5,FALSE),"none")</f>
        <v>none</v>
      </c>
      <c r="V924" s="5"/>
      <c r="X924" s="5"/>
      <c r="Y924" s="5"/>
      <c r="Z924" s="5"/>
      <c r="AA924" s="5"/>
      <c r="AB924" s="5"/>
      <c r="AC924" s="5"/>
      <c r="AG924" s="9"/>
      <c r="AH924" s="9"/>
    </row>
    <row r="925" spans="2:34">
      <c r="B925" s="4">
        <v>2017</v>
      </c>
      <c r="C925" s="4" t="s">
        <v>44</v>
      </c>
      <c r="D925" s="3">
        <f t="shared" si="14"/>
        <v>291</v>
      </c>
      <c r="E925" s="55" t="s">
        <v>1126</v>
      </c>
      <c r="F925" s="56" t="s">
        <v>2721</v>
      </c>
      <c r="G925" s="5" t="s">
        <v>1347</v>
      </c>
      <c r="H925" s="5" t="s">
        <v>2722</v>
      </c>
      <c r="I925" s="5" t="s">
        <v>129</v>
      </c>
      <c r="J925" s="7">
        <v>14925373</v>
      </c>
      <c r="K925" s="7">
        <v>4477611</v>
      </c>
      <c r="L925" s="7">
        <v>16119402</v>
      </c>
      <c r="M925" s="8">
        <v>63028</v>
      </c>
      <c r="N925" s="7">
        <v>24270000</v>
      </c>
      <c r="O925" s="7">
        <v>43134328</v>
      </c>
      <c r="P925" s="7">
        <v>45698504</v>
      </c>
      <c r="Q925" s="7">
        <v>45698504</v>
      </c>
      <c r="R925" s="5" t="str">
        <f>VLOOKUP($G925,Others!$E$641:$I$931,2,FALSE)</f>
        <v>Original Screenplay</v>
      </c>
      <c r="S925" s="5" t="str">
        <f>VLOOKUP($G925,Others!$E$641:$I$931,3,FALSE)</f>
        <v>Live Action</v>
      </c>
      <c r="T925" s="5" t="str">
        <f>VLOOKUP($G925,Others!$E$641:$I$931,4,FALSE)</f>
        <v>Contemporary Fiction</v>
      </c>
      <c r="U925" s="5" t="str">
        <f>IFERROR(VLOOKUP($G925,Ratings!$E$125:$I$172,5,FALSE),"none")</f>
        <v>none</v>
      </c>
      <c r="V925" s="5" t="s">
        <v>2723</v>
      </c>
      <c r="W925" s="5" t="s">
        <v>2724</v>
      </c>
      <c r="X925" s="5" t="s">
        <v>2283</v>
      </c>
      <c r="Y925" s="5" t="s">
        <v>2725</v>
      </c>
      <c r="Z925" s="5"/>
      <c r="AA925" s="5" t="s">
        <v>2726</v>
      </c>
      <c r="AB925" s="5"/>
      <c r="AC925" s="5" t="s">
        <v>2722</v>
      </c>
      <c r="AD925" s="9">
        <v>8.1999999999999993</v>
      </c>
      <c r="AE925" s="1" t="s">
        <v>1489</v>
      </c>
      <c r="AG925" s="9"/>
      <c r="AH925" s="9"/>
    </row>
    <row r="926" spans="2:34" hidden="1">
      <c r="B926" s="4">
        <v>2017</v>
      </c>
      <c r="C926" s="4" t="s">
        <v>45</v>
      </c>
      <c r="D926" s="3">
        <v>1</v>
      </c>
      <c r="E926" s="3" t="s">
        <v>1064</v>
      </c>
      <c r="G926" s="5" t="s">
        <v>1065</v>
      </c>
      <c r="H926" s="5" t="s">
        <v>764</v>
      </c>
      <c r="I926" s="5" t="s">
        <v>127</v>
      </c>
      <c r="J926" s="7">
        <v>60000000</v>
      </c>
      <c r="M926" s="8">
        <v>2077</v>
      </c>
      <c r="N926" s="7">
        <v>3704749</v>
      </c>
      <c r="P926" s="7">
        <v>14727942</v>
      </c>
      <c r="Q926" s="7">
        <v>24148488</v>
      </c>
      <c r="R926" s="5" t="str">
        <f>VLOOKUP($G926,Others!$E$932:$I$960,2,FALSE)</f>
        <v>Original Screenplay</v>
      </c>
      <c r="S926" s="5" t="str">
        <f>VLOOKUP($G926,Others!$E$932:$I$960,3,FALSE)</f>
        <v>Digital Animation</v>
      </c>
      <c r="T926" s="5" t="str">
        <f>VLOOKUP($G926,Others!$E$932:$I$960,4,FALSE)</f>
        <v>Kids Fiction</v>
      </c>
      <c r="U926" s="5" t="str">
        <f>IFERROR(VLOOKUP($G926,Ratings!$E$125:$I$172,5,FALSE),"none")</f>
        <v>PG</v>
      </c>
      <c r="V926" s="5"/>
      <c r="X926" s="5"/>
      <c r="Y926" s="5"/>
      <c r="Z926" s="5"/>
      <c r="AA926" s="5"/>
      <c r="AB926" s="5"/>
      <c r="AC926" s="5"/>
      <c r="AF926" s="79" t="s">
        <v>1883</v>
      </c>
      <c r="AG926" s="9"/>
      <c r="AH926" s="9"/>
    </row>
    <row r="927" spans="2:34" hidden="1">
      <c r="B927" s="4">
        <v>2017</v>
      </c>
      <c r="C927" s="4" t="s">
        <v>45</v>
      </c>
      <c r="D927" s="3">
        <v>2</v>
      </c>
      <c r="E927" s="3" t="s">
        <v>1078</v>
      </c>
      <c r="G927" s="5" t="s">
        <v>1079</v>
      </c>
      <c r="H927" s="5" t="s">
        <v>601</v>
      </c>
      <c r="I927" s="5" t="s">
        <v>129</v>
      </c>
      <c r="J927" s="7">
        <v>0</v>
      </c>
      <c r="M927" s="8">
        <v>52</v>
      </c>
      <c r="N927" s="7">
        <v>138346</v>
      </c>
      <c r="P927" s="7">
        <v>87512183</v>
      </c>
      <c r="Q927" s="7">
        <v>87969037</v>
      </c>
      <c r="R927" s="5" t="str">
        <f>VLOOKUP($G927,Others!$E$932:$I$960,2,FALSE)</f>
        <v>Remake</v>
      </c>
      <c r="S927" s="5" t="str">
        <f>VLOOKUP($G927,Others!$E$932:$I$960,3,FALSE)</f>
        <v>Live Action</v>
      </c>
      <c r="T927" s="5" t="str">
        <f>VLOOKUP($G927,Others!$E$932:$I$960,4,FALSE)</f>
        <v>Contemporary Fiction</v>
      </c>
      <c r="U927" s="5" t="str">
        <f>IFERROR(VLOOKUP($G927,Ratings!$E$125:$I$172,5,FALSE),"none")</f>
        <v>Not Rated</v>
      </c>
      <c r="V927" s="5"/>
      <c r="X927" s="5"/>
      <c r="Y927" s="5"/>
      <c r="Z927" s="5"/>
      <c r="AA927" s="5"/>
      <c r="AB927" s="5"/>
      <c r="AC927" s="5"/>
      <c r="AF927" s="79" t="s">
        <v>1883</v>
      </c>
      <c r="AG927" s="9"/>
      <c r="AH927" s="9"/>
    </row>
    <row r="928" spans="2:34" hidden="1">
      <c r="B928" s="4">
        <v>2017</v>
      </c>
      <c r="C928" s="4" t="s">
        <v>45</v>
      </c>
      <c r="D928" s="3">
        <v>3</v>
      </c>
      <c r="E928" s="3" t="s">
        <v>1089</v>
      </c>
      <c r="G928" s="5" t="s">
        <v>1090</v>
      </c>
      <c r="H928" s="5" t="s">
        <v>601</v>
      </c>
      <c r="I928" s="5" t="s">
        <v>154</v>
      </c>
      <c r="J928" s="7">
        <v>11940298.507462701</v>
      </c>
      <c r="K928" s="7">
        <v>2985074.6268656701</v>
      </c>
      <c r="L928" s="7">
        <v>122141791.04477599</v>
      </c>
      <c r="M928" s="41">
        <v>60692</v>
      </c>
      <c r="N928" s="42">
        <v>22180000</v>
      </c>
      <c r="O928" s="7">
        <f>2.19*100000000/6.7</f>
        <v>32686567.164179105</v>
      </c>
      <c r="P928" s="7">
        <v>36585148</v>
      </c>
      <c r="Q928" s="7">
        <v>36801704</v>
      </c>
      <c r="R928" s="5" t="str">
        <f>VLOOKUP($G928,Others!$E$932:$I$960,2,FALSE)</f>
        <v>Original Screenplay</v>
      </c>
      <c r="S928" s="5" t="str">
        <f>VLOOKUP($G928,Others!$E$932:$I$960,3,FALSE)</f>
        <v>Live Action</v>
      </c>
      <c r="T928" s="5" t="str">
        <f>VLOOKUP($G928,Others!$E$932:$I$960,4,FALSE)</f>
        <v>Contemporary Fiction</v>
      </c>
      <c r="U928" s="5" t="str">
        <f>IFERROR(VLOOKUP($G928,Ratings!$E$125:$I$172,5,FALSE),"none")</f>
        <v>Not Rated</v>
      </c>
      <c r="V928" s="5" t="s">
        <v>2361</v>
      </c>
      <c r="W928" s="5" t="s">
        <v>1090</v>
      </c>
      <c r="X928" s="5" t="s">
        <v>2727</v>
      </c>
      <c r="Y928" s="5" t="s">
        <v>2363</v>
      </c>
      <c r="Z928" s="5"/>
      <c r="AA928" s="5" t="s">
        <v>2364</v>
      </c>
      <c r="AB928" s="5"/>
      <c r="AC928" s="5" t="s">
        <v>2365</v>
      </c>
      <c r="AD928" s="9">
        <v>8.1</v>
      </c>
      <c r="AE928" s="9" t="s">
        <v>1489</v>
      </c>
      <c r="AF928" s="79" t="s">
        <v>1883</v>
      </c>
      <c r="AG928" s="9"/>
      <c r="AH928" s="9"/>
    </row>
    <row r="929" spans="2:34" hidden="1">
      <c r="B929" s="4">
        <v>2017</v>
      </c>
      <c r="C929" s="4" t="s">
        <v>45</v>
      </c>
      <c r="D929" s="3">
        <v>4</v>
      </c>
      <c r="E929" s="3" t="s">
        <v>1267</v>
      </c>
      <c r="G929" s="5" t="s">
        <v>1271</v>
      </c>
      <c r="H929" s="5" t="s">
        <v>601</v>
      </c>
      <c r="I929" s="5" t="s">
        <v>129</v>
      </c>
      <c r="J929" s="7">
        <v>0</v>
      </c>
      <c r="M929" s="8">
        <v>27</v>
      </c>
      <c r="N929" s="7">
        <v>57837</v>
      </c>
      <c r="P929" s="7">
        <v>46139046</v>
      </c>
      <c r="Q929" s="7">
        <v>46263233</v>
      </c>
      <c r="R929" s="5" t="str">
        <f>VLOOKUP($G929,Others!$E$932:$I$960,2,FALSE)</f>
        <v>Remake</v>
      </c>
      <c r="S929" s="5" t="str">
        <f>VLOOKUP($G929,Others!$E$932:$I$960,3,FALSE)</f>
        <v>Live Action</v>
      </c>
      <c r="T929" s="5" t="str">
        <f>VLOOKUP($G929,Others!$E$932:$I$960,4,FALSE)</f>
        <v>Fantasy</v>
      </c>
      <c r="U929" s="5" t="str">
        <f>IFERROR(VLOOKUP($G929,Ratings!$E$125:$I$172,5,FALSE),"none")</f>
        <v>Not Rated</v>
      </c>
      <c r="V929" s="5"/>
      <c r="X929" s="5"/>
      <c r="Y929" s="5"/>
      <c r="Z929" s="5"/>
      <c r="AA929" s="5"/>
      <c r="AB929" s="5"/>
      <c r="AC929" s="5"/>
      <c r="AF929" s="79" t="s">
        <v>1883</v>
      </c>
      <c r="AG929" s="9"/>
      <c r="AH929" s="9"/>
    </row>
    <row r="930" spans="2:34" hidden="1">
      <c r="B930" s="4">
        <v>2017</v>
      </c>
      <c r="C930" s="4" t="s">
        <v>45</v>
      </c>
      <c r="D930" s="3">
        <v>5</v>
      </c>
      <c r="E930" s="3" t="s">
        <v>1093</v>
      </c>
      <c r="G930" s="5" t="s">
        <v>1094</v>
      </c>
      <c r="H930" s="5" t="s">
        <v>626</v>
      </c>
      <c r="I930" s="5" t="s">
        <v>131</v>
      </c>
      <c r="J930" s="7">
        <v>0</v>
      </c>
      <c r="M930" s="8">
        <v>18</v>
      </c>
      <c r="N930" s="7">
        <v>50619</v>
      </c>
      <c r="P930" s="7">
        <v>9387872</v>
      </c>
      <c r="Q930" s="7">
        <v>9499456</v>
      </c>
      <c r="R930" s="5" t="str">
        <f>VLOOKUP($G930,Others!$E$932:$I$960,2,FALSE)</f>
        <v>Original Screenplay</v>
      </c>
      <c r="S930" s="5" t="str">
        <f>VLOOKUP($G930,Others!$E$932:$I$960,3,FALSE)</f>
        <v>Live Action</v>
      </c>
      <c r="T930" s="5" t="str">
        <f>VLOOKUP($G930,Others!$E$932:$I$960,4,FALSE)</f>
        <v>Contemporary Fiction</v>
      </c>
      <c r="U930" s="5" t="str">
        <f>IFERROR(VLOOKUP($G930,Ratings!$E$125:$I$172,5,FALSE),"none")</f>
        <v>Not Rated</v>
      </c>
      <c r="V930" s="5"/>
      <c r="X930" s="5"/>
      <c r="Y930" s="5"/>
      <c r="Z930" s="5"/>
      <c r="AA930" s="5"/>
      <c r="AB930" s="5"/>
      <c r="AC930" s="5"/>
      <c r="AF930" s="79" t="s">
        <v>1883</v>
      </c>
      <c r="AG930" s="9"/>
      <c r="AH930" s="9"/>
    </row>
    <row r="931" spans="2:34" hidden="1">
      <c r="B931" s="4">
        <v>2017</v>
      </c>
      <c r="C931" s="4" t="s">
        <v>45</v>
      </c>
      <c r="D931" s="3">
        <v>6</v>
      </c>
      <c r="E931" s="3" t="s">
        <v>1103</v>
      </c>
      <c r="G931" s="5" t="s">
        <v>1104</v>
      </c>
      <c r="H931" s="5" t="s">
        <v>622</v>
      </c>
      <c r="I931" s="5" t="s">
        <v>191</v>
      </c>
      <c r="J931" s="7">
        <v>0</v>
      </c>
      <c r="M931" s="8">
        <v>1</v>
      </c>
      <c r="N931" s="7">
        <v>5141</v>
      </c>
      <c r="P931" s="7">
        <v>12006</v>
      </c>
      <c r="Q931" s="7">
        <v>41056</v>
      </c>
      <c r="R931" s="5" t="str">
        <f>VLOOKUP($G931,Others!$E$932:$I$960,2,FALSE)</f>
        <v>Based on Real Life Events</v>
      </c>
      <c r="S931" s="5" t="str">
        <f>VLOOKUP($G931,Others!$E$932:$I$960,3,FALSE)</f>
        <v>Live Action</v>
      </c>
      <c r="T931" s="5" t="str">
        <f>VLOOKUP($G931,Others!$E$932:$I$960,4,FALSE)</f>
        <v>Factual</v>
      </c>
      <c r="U931" s="5" t="str">
        <f>IFERROR(VLOOKUP($G931,Ratings!$E$125:$I$172,5,FALSE),"none")</f>
        <v>Not Rated</v>
      </c>
      <c r="V931" s="5"/>
      <c r="X931" s="5"/>
      <c r="Y931" s="5"/>
      <c r="Z931" s="5"/>
      <c r="AA931" s="5"/>
      <c r="AB931" s="5"/>
      <c r="AC931" s="5"/>
      <c r="AF931" s="79" t="s">
        <v>1883</v>
      </c>
      <c r="AG931" s="9"/>
      <c r="AH931" s="9"/>
    </row>
    <row r="932" spans="2:34" hidden="1">
      <c r="B932" s="4">
        <v>2017</v>
      </c>
      <c r="C932" s="4" t="s">
        <v>45</v>
      </c>
      <c r="D932" s="3">
        <v>7</v>
      </c>
      <c r="E932" s="3" t="s">
        <v>1348</v>
      </c>
      <c r="G932" s="5" t="s">
        <v>1349</v>
      </c>
      <c r="H932" s="5" t="s">
        <v>774</v>
      </c>
      <c r="I932" s="5" t="s">
        <v>131</v>
      </c>
      <c r="J932" s="7">
        <v>0</v>
      </c>
      <c r="M932" s="8">
        <v>3</v>
      </c>
      <c r="N932" s="7">
        <v>676</v>
      </c>
      <c r="P932" s="7">
        <v>54577</v>
      </c>
      <c r="Q932" s="7">
        <v>57155</v>
      </c>
      <c r="R932" s="5" t="str">
        <f>VLOOKUP($G932,Others!$E$932:$I$960,2,FALSE)</f>
        <v>Based on Fiction Book/Short Story</v>
      </c>
      <c r="S932" s="5" t="str">
        <f>VLOOKUP($G932,Others!$E$932:$I$960,3,FALSE)</f>
        <v>Live Action</v>
      </c>
      <c r="T932" s="5" t="str">
        <f>VLOOKUP($G932,Others!$E$932:$I$960,4,FALSE)</f>
        <v>Contemporary Fiction</v>
      </c>
      <c r="U932" s="5" t="str">
        <f>IFERROR(VLOOKUP($G932,Ratings!$E$125:$I$172,5,FALSE),"none")</f>
        <v>Not Rated</v>
      </c>
      <c r="V932" s="5"/>
      <c r="X932" s="5"/>
      <c r="Y932" s="5"/>
      <c r="Z932" s="5"/>
      <c r="AA932" s="5"/>
      <c r="AB932" s="5"/>
      <c r="AC932" s="5"/>
      <c r="AG932" s="9"/>
      <c r="AH932" s="9"/>
    </row>
    <row r="933" spans="2:34" hidden="1">
      <c r="B933" s="4">
        <v>2017</v>
      </c>
      <c r="C933" s="4" t="s">
        <v>45</v>
      </c>
      <c r="D933" s="3">
        <v>8</v>
      </c>
      <c r="E933" s="3" t="s">
        <v>1126</v>
      </c>
      <c r="G933" s="5" t="s">
        <v>1304</v>
      </c>
      <c r="H933" s="5"/>
      <c r="I933" s="5" t="s">
        <v>131</v>
      </c>
      <c r="J933" s="7">
        <v>0</v>
      </c>
      <c r="M933" s="8">
        <v>0</v>
      </c>
      <c r="N933" s="7">
        <v>0</v>
      </c>
      <c r="P933" s="7">
        <v>663773</v>
      </c>
      <c r="Q933" s="7">
        <v>663773</v>
      </c>
      <c r="R933" s="5" t="str">
        <f>VLOOKUP($G933,Others!$E$932:$I$960,2,FALSE)</f>
        <v>Original Screenplay</v>
      </c>
      <c r="S933" s="5" t="str">
        <f>VLOOKUP($G933,Others!$E$932:$I$960,3,FALSE)</f>
        <v>Live Action</v>
      </c>
      <c r="T933" s="5" t="str">
        <f>VLOOKUP($G933,Others!$E$932:$I$960,4,FALSE)</f>
        <v>Fantasy</v>
      </c>
      <c r="U933" s="5" t="str">
        <f>IFERROR(VLOOKUP($G933,Ratings!$E$125:$I$172,5,FALSE),"none")</f>
        <v>none</v>
      </c>
      <c r="V933" s="5"/>
      <c r="X933" s="5"/>
      <c r="Y933" s="5"/>
      <c r="Z933" s="5"/>
      <c r="AA933" s="5"/>
      <c r="AB933" s="5"/>
      <c r="AC933" s="5"/>
      <c r="AF933" s="79" t="s">
        <v>1883</v>
      </c>
      <c r="AG933" s="9"/>
      <c r="AH933" s="9"/>
    </row>
    <row r="934" spans="2:34" hidden="1">
      <c r="B934" s="4">
        <v>2017</v>
      </c>
      <c r="C934" s="4" t="s">
        <v>45</v>
      </c>
      <c r="D934" s="3">
        <v>9</v>
      </c>
      <c r="E934" s="3" t="s">
        <v>1126</v>
      </c>
      <c r="G934" s="5" t="s">
        <v>1350</v>
      </c>
      <c r="H934" s="5"/>
      <c r="I934" s="5" t="s">
        <v>129</v>
      </c>
      <c r="J934" s="7">
        <v>0</v>
      </c>
      <c r="M934" s="8">
        <v>0</v>
      </c>
      <c r="N934" s="7">
        <v>0</v>
      </c>
      <c r="P934" s="7">
        <v>5919976</v>
      </c>
      <c r="Q934" s="7">
        <v>5919976</v>
      </c>
      <c r="R934" s="5" t="str">
        <f>VLOOKUP($G934,Others!$E$932:$I$960,2,FALSE)</f>
        <v>Based on Real Life Events</v>
      </c>
      <c r="S934" s="5" t="str">
        <f>VLOOKUP($G934,Others!$E$932:$I$960,3,FALSE)</f>
        <v>Live Action</v>
      </c>
      <c r="T934" s="5" t="str">
        <f>VLOOKUP($G934,Others!$E$932:$I$960,4,FALSE)</f>
        <v>Dramatization</v>
      </c>
      <c r="U934" s="5" t="str">
        <f>IFERROR(VLOOKUP($G934,Ratings!$E$125:$I$172,5,FALSE),"none")</f>
        <v>none</v>
      </c>
      <c r="V934" s="5"/>
      <c r="X934" s="5"/>
      <c r="Y934" s="5"/>
      <c r="Z934" s="5"/>
      <c r="AA934" s="5"/>
      <c r="AB934" s="5"/>
      <c r="AC934" s="5"/>
      <c r="AG934" s="9"/>
      <c r="AH934" s="9"/>
    </row>
    <row r="935" spans="2:34" hidden="1">
      <c r="B935" s="4">
        <v>2017</v>
      </c>
      <c r="C935" s="4" t="s">
        <v>45</v>
      </c>
      <c r="D935" s="3">
        <v>10</v>
      </c>
      <c r="E935" s="3" t="s">
        <v>1111</v>
      </c>
      <c r="G935" s="5" t="s">
        <v>1112</v>
      </c>
      <c r="H935" s="5" t="s">
        <v>1113</v>
      </c>
      <c r="I935" s="5" t="s">
        <v>131</v>
      </c>
      <c r="J935" s="7">
        <v>0</v>
      </c>
      <c r="M935" s="8">
        <v>0</v>
      </c>
      <c r="N935" s="7">
        <v>0</v>
      </c>
      <c r="P935" s="7">
        <v>0</v>
      </c>
      <c r="Q935" s="7">
        <v>0</v>
      </c>
      <c r="R935" s="5" t="str">
        <f>VLOOKUP($G935,Others!$E$932:$I$960,2,FALSE)</f>
        <v>Based on Real Life Events</v>
      </c>
      <c r="S935" s="5" t="str">
        <f>VLOOKUP($G935,Others!$E$932:$I$960,3,FALSE)</f>
        <v>Live Action</v>
      </c>
      <c r="T935" s="5" t="str">
        <f>VLOOKUP($G935,Others!$E$932:$I$960,4,FALSE)</f>
        <v>Dramatization</v>
      </c>
      <c r="U935" s="5" t="str">
        <f>IFERROR(VLOOKUP($G935,Ratings!$E$125:$I$172,5,FALSE),"none")</f>
        <v>PG-13</v>
      </c>
      <c r="V935" s="5"/>
      <c r="X935" s="5"/>
      <c r="Y935" s="5"/>
      <c r="Z935" s="5"/>
      <c r="AA935" s="5"/>
      <c r="AB935" s="5"/>
      <c r="AC935" s="5"/>
      <c r="AF935" s="79" t="s">
        <v>1883</v>
      </c>
      <c r="AG935" s="9"/>
      <c r="AH935" s="9"/>
    </row>
    <row r="936" spans="2:34">
      <c r="B936" s="4">
        <v>2017</v>
      </c>
      <c r="C936" s="4" t="s">
        <v>45</v>
      </c>
      <c r="D936" s="3">
        <v>11</v>
      </c>
      <c r="E936" s="55" t="s">
        <v>1126</v>
      </c>
      <c r="F936" s="56" t="s">
        <v>2603</v>
      </c>
      <c r="G936" s="5" t="s">
        <v>1351</v>
      </c>
      <c r="H936" s="5" t="s">
        <v>2728</v>
      </c>
      <c r="I936" s="5" t="s">
        <v>127</v>
      </c>
      <c r="J936" s="7">
        <f>70000000/6.7</f>
        <v>10447761.194029851</v>
      </c>
      <c r="K936" s="7">
        <f>15000000/6.7</f>
        <v>2238805.9701492535</v>
      </c>
      <c r="L936" s="7">
        <f>15460000/6.7</f>
        <v>2307462.686567164</v>
      </c>
      <c r="M936" s="8">
        <v>33909</v>
      </c>
      <c r="N936" s="7">
        <v>4580967</v>
      </c>
      <c r="O936" s="7">
        <f>42148000/6.7</f>
        <v>6290746.2686567167</v>
      </c>
      <c r="P936" s="7">
        <v>6651494</v>
      </c>
      <c r="Q936" s="7">
        <v>6651494</v>
      </c>
      <c r="R936" s="5" t="str">
        <f>VLOOKUP($G936,Others!$E$932:$I$960,2,FALSE)</f>
        <v>Original Screenplay</v>
      </c>
      <c r="S936" s="5" t="str">
        <f>VLOOKUP($G936,Others!$E$932:$I$960,3,FALSE)</f>
        <v>Multiple Production Methods</v>
      </c>
      <c r="T936" s="5" t="str">
        <f>VLOOKUP($G936,Others!$E$932:$I$960,4,FALSE)</f>
        <v>Kids Fiction</v>
      </c>
      <c r="U936" s="5" t="str">
        <f>IFERROR(VLOOKUP($G936,Ratings!$E$125:$I$172,5,FALSE),"none")</f>
        <v>none</v>
      </c>
      <c r="V936" s="5" t="s">
        <v>2729</v>
      </c>
      <c r="W936" s="5" t="s">
        <v>1351</v>
      </c>
      <c r="X936" s="5" t="s">
        <v>1646</v>
      </c>
      <c r="Y936" s="5" t="s">
        <v>2563</v>
      </c>
      <c r="Z936" s="5" t="s">
        <v>2730</v>
      </c>
      <c r="AA936" s="5" t="s">
        <v>2731</v>
      </c>
      <c r="AB936" s="5"/>
      <c r="AC936" s="5" t="s">
        <v>2365</v>
      </c>
      <c r="AD936" s="9">
        <v>8.4</v>
      </c>
      <c r="AE936" s="1" t="s">
        <v>1489</v>
      </c>
      <c r="AG936" s="9"/>
      <c r="AH936" s="9"/>
    </row>
    <row r="937" spans="2:34" hidden="1">
      <c r="B937" s="4">
        <v>2017</v>
      </c>
      <c r="C937" s="4" t="s">
        <v>45</v>
      </c>
      <c r="D937" s="3">
        <v>12</v>
      </c>
      <c r="E937" s="3" t="s">
        <v>1126</v>
      </c>
      <c r="G937" s="5" t="s">
        <v>1352</v>
      </c>
      <c r="H937" s="5"/>
      <c r="I937" s="5" t="s">
        <v>193</v>
      </c>
      <c r="J937" s="7">
        <v>0</v>
      </c>
      <c r="M937" s="8">
        <v>0</v>
      </c>
      <c r="N937" s="7">
        <v>0</v>
      </c>
      <c r="P937" s="7">
        <v>7052423</v>
      </c>
      <c r="Q937" s="7">
        <v>7052423</v>
      </c>
      <c r="R937" s="5" t="str">
        <f>VLOOKUP($G937,Others!$E$932:$I$960,2,FALSE)</f>
        <v>Original Screenplay</v>
      </c>
      <c r="S937" s="5" t="str">
        <f>VLOOKUP($G937,Others!$E$932:$I$960,3,FALSE)</f>
        <v>Live Action</v>
      </c>
      <c r="T937" s="5" t="str">
        <f>VLOOKUP($G937,Others!$E$932:$I$960,4,FALSE)</f>
        <v>Contemporary Fiction</v>
      </c>
      <c r="U937" s="5" t="str">
        <f>IFERROR(VLOOKUP($G937,Ratings!$E$125:$I$172,5,FALSE),"none")</f>
        <v>none</v>
      </c>
      <c r="V937" s="5"/>
      <c r="X937" s="5"/>
      <c r="Y937" s="5"/>
      <c r="Z937" s="5"/>
      <c r="AA937" s="5"/>
      <c r="AB937" s="5"/>
      <c r="AC937" s="5"/>
      <c r="AG937" s="9"/>
      <c r="AH937" s="9"/>
    </row>
    <row r="938" spans="2:34" hidden="1">
      <c r="B938" s="4">
        <v>2017</v>
      </c>
      <c r="C938" s="4" t="s">
        <v>45</v>
      </c>
      <c r="D938" s="3">
        <v>13</v>
      </c>
      <c r="E938" s="3" t="s">
        <v>1126</v>
      </c>
      <c r="G938" s="5" t="s">
        <v>1215</v>
      </c>
      <c r="H938" s="5"/>
      <c r="I938" s="5" t="s">
        <v>154</v>
      </c>
      <c r="J938" s="7">
        <v>0</v>
      </c>
      <c r="M938" s="8">
        <v>0</v>
      </c>
      <c r="N938" s="7">
        <v>0</v>
      </c>
      <c r="P938" s="7">
        <v>8595808</v>
      </c>
      <c r="Q938" s="7">
        <v>8595808</v>
      </c>
      <c r="R938" s="5" t="str">
        <f>VLOOKUP($G938,Others!$E$932:$I$960,2,FALSE)</f>
        <v>Original Screenplay</v>
      </c>
      <c r="S938" s="5" t="str">
        <f>VLOOKUP($G938,Others!$E$932:$I$960,3,FALSE)</f>
        <v>Live Action</v>
      </c>
      <c r="T938" s="5" t="str">
        <f>VLOOKUP($G938,Others!$E$932:$I$960,4,FALSE)</f>
        <v>Contemporary Fiction</v>
      </c>
      <c r="U938" s="5" t="str">
        <f>IFERROR(VLOOKUP($G938,Ratings!$E$125:$I$172,5,FALSE),"none")</f>
        <v>none</v>
      </c>
      <c r="V938" s="5"/>
      <c r="X938" s="5"/>
      <c r="Y938" s="5"/>
      <c r="Z938" s="5"/>
      <c r="AA938" s="5"/>
      <c r="AB938" s="5"/>
      <c r="AC938" s="5"/>
      <c r="AF938" s="79" t="s">
        <v>1883</v>
      </c>
      <c r="AG938" s="9"/>
      <c r="AH938" s="9"/>
    </row>
    <row r="939" spans="2:34" hidden="1">
      <c r="B939" s="4">
        <v>2017</v>
      </c>
      <c r="C939" s="4" t="s">
        <v>45</v>
      </c>
      <c r="D939" s="3">
        <v>14</v>
      </c>
      <c r="E939" s="3" t="s">
        <v>1126</v>
      </c>
      <c r="G939" s="5" t="s">
        <v>1353</v>
      </c>
      <c r="H939" s="5"/>
      <c r="J939" s="7">
        <v>0</v>
      </c>
      <c r="M939" s="8">
        <v>0</v>
      </c>
      <c r="N939" s="7">
        <v>0</v>
      </c>
      <c r="P939" s="7">
        <v>207989</v>
      </c>
      <c r="Q939" s="7">
        <v>207989</v>
      </c>
      <c r="R939" s="5" t="str">
        <f>VLOOKUP($G939,Others!$E$932:$I$960,2,FALSE)</f>
        <v>Original Screenplay</v>
      </c>
      <c r="S939" s="5">
        <f>VLOOKUP($G939,Others!$E$932:$I$960,3,FALSE)</f>
        <v>0</v>
      </c>
      <c r="T939" s="5">
        <f>VLOOKUP($G939,Others!$E$932:$I$960,4,FALSE)</f>
        <v>0</v>
      </c>
      <c r="U939" s="5" t="str">
        <f>IFERROR(VLOOKUP($G939,Ratings!$E$125:$I$172,5,FALSE),"none")</f>
        <v>none</v>
      </c>
      <c r="V939" s="5"/>
      <c r="X939" s="5"/>
      <c r="Y939" s="5"/>
      <c r="Z939" s="5"/>
      <c r="AA939" s="5"/>
      <c r="AB939" s="5"/>
      <c r="AC939" s="5"/>
      <c r="AG939" s="9"/>
      <c r="AH939" s="9"/>
    </row>
    <row r="940" spans="2:34" hidden="1">
      <c r="B940" s="4">
        <v>2017</v>
      </c>
      <c r="C940" s="4" t="s">
        <v>45</v>
      </c>
      <c r="D940" s="3">
        <v>15</v>
      </c>
      <c r="E940" s="3" t="s">
        <v>1354</v>
      </c>
      <c r="G940" s="5" t="s">
        <v>1355</v>
      </c>
      <c r="H940" s="5"/>
      <c r="I940" s="5" t="s">
        <v>191</v>
      </c>
      <c r="J940" s="7">
        <v>0</v>
      </c>
      <c r="M940" s="8">
        <v>0</v>
      </c>
      <c r="N940" s="7">
        <v>0</v>
      </c>
      <c r="P940" s="7">
        <v>1134</v>
      </c>
      <c r="Q940" s="7">
        <v>1134</v>
      </c>
      <c r="R940" s="5" t="str">
        <f>VLOOKUP($G940,Others!$E$932:$I$960,2,FALSE)</f>
        <v>Based on Real Life Events</v>
      </c>
      <c r="S940" s="5" t="str">
        <f>VLOOKUP($G940,Others!$E$932:$I$960,3,FALSE)</f>
        <v>Live Action</v>
      </c>
      <c r="T940" s="5" t="str">
        <f>VLOOKUP($G940,Others!$E$932:$I$960,4,FALSE)</f>
        <v>Factual</v>
      </c>
      <c r="U940" s="5" t="str">
        <f>IFERROR(VLOOKUP($G940,Ratings!$E$125:$I$172,5,FALSE),"none")</f>
        <v>none</v>
      </c>
      <c r="V940" s="5"/>
      <c r="X940" s="5"/>
      <c r="Y940" s="5"/>
      <c r="Z940" s="5"/>
      <c r="AA940" s="5"/>
      <c r="AB940" s="5"/>
      <c r="AC940" s="5"/>
      <c r="AG940" s="9"/>
      <c r="AH940" s="9"/>
    </row>
    <row r="941" spans="2:34">
      <c r="B941" s="4">
        <v>2017</v>
      </c>
      <c r="C941" s="4" t="s">
        <v>45</v>
      </c>
      <c r="D941" s="3">
        <v>16</v>
      </c>
      <c r="E941" s="55" t="s">
        <v>1082</v>
      </c>
      <c r="F941" s="3" t="s">
        <v>1082</v>
      </c>
      <c r="G941" s="5" t="s">
        <v>1356</v>
      </c>
      <c r="H941" s="5" t="s">
        <v>1357</v>
      </c>
      <c r="I941" s="5" t="s">
        <v>129</v>
      </c>
      <c r="J941" s="7">
        <v>14925373</v>
      </c>
      <c r="K941" s="7">
        <v>7462686</v>
      </c>
      <c r="L941" s="7">
        <v>20895522</v>
      </c>
      <c r="M941" s="8">
        <v>58455</v>
      </c>
      <c r="N941" s="7">
        <v>24538631</v>
      </c>
      <c r="O941" s="7">
        <v>55522388</v>
      </c>
      <c r="P941" s="7">
        <v>58807172</v>
      </c>
      <c r="Q941" s="7">
        <v>58807172</v>
      </c>
      <c r="R941" s="5" t="str">
        <f>VLOOKUP($G941,Others!$E$932:$I$960,2,FALSE)</f>
        <v>Original Screenplay</v>
      </c>
      <c r="S941" s="5" t="str">
        <f>VLOOKUP($G941,Others!$E$932:$I$960,3,FALSE)</f>
        <v>Live Action</v>
      </c>
      <c r="T941" s="5" t="str">
        <f>VLOOKUP($G941,Others!$E$932:$I$960,4,FALSE)</f>
        <v>Contemporary Fiction</v>
      </c>
      <c r="U941" s="5" t="str">
        <f>IFERROR(VLOOKUP($G941,Ratings!$E$125:$I$172,5,FALSE),"none")</f>
        <v>Not Rated</v>
      </c>
      <c r="V941" s="5" t="s">
        <v>2732</v>
      </c>
      <c r="W941" s="5" t="s">
        <v>2733</v>
      </c>
      <c r="X941" s="5" t="s">
        <v>2727</v>
      </c>
      <c r="Y941" s="5" t="s">
        <v>2734</v>
      </c>
      <c r="Z941" s="5"/>
      <c r="AA941" s="5" t="s">
        <v>2298</v>
      </c>
      <c r="AB941" s="5"/>
      <c r="AC941" s="5" t="s">
        <v>2735</v>
      </c>
      <c r="AD941" s="9">
        <v>9</v>
      </c>
      <c r="AE941" s="1" t="s">
        <v>1489</v>
      </c>
      <c r="AG941" s="9"/>
      <c r="AH941" s="9"/>
    </row>
    <row r="942" spans="2:34" hidden="1">
      <c r="B942" s="4">
        <v>2017</v>
      </c>
      <c r="C942" s="4" t="s">
        <v>45</v>
      </c>
      <c r="D942" s="3">
        <v>17</v>
      </c>
      <c r="E942" s="3" t="s">
        <v>1358</v>
      </c>
      <c r="G942" s="5" t="s">
        <v>1359</v>
      </c>
      <c r="H942" s="5" t="s">
        <v>1357</v>
      </c>
      <c r="I942" s="5" t="s">
        <v>131</v>
      </c>
      <c r="J942" s="7">
        <v>0</v>
      </c>
      <c r="M942" s="8">
        <v>0</v>
      </c>
      <c r="N942" s="7">
        <v>0</v>
      </c>
      <c r="P942" s="7">
        <v>0</v>
      </c>
      <c r="Q942" s="7">
        <v>0</v>
      </c>
      <c r="R942" s="5" t="str">
        <f>VLOOKUP($G942,Others!$E$932:$I$960,2,FALSE)</f>
        <v>Based on Real Life Events</v>
      </c>
      <c r="S942" s="5" t="str">
        <f>VLOOKUP($G942,Others!$E$932:$I$960,3,FALSE)</f>
        <v>Live Action</v>
      </c>
      <c r="T942" s="5" t="str">
        <f>VLOOKUP($G942,Others!$E$932:$I$960,4,FALSE)</f>
        <v>Dramatization</v>
      </c>
      <c r="U942" s="5" t="str">
        <f>IFERROR(VLOOKUP($G942,Ratings!$E$125:$I$172,5,FALSE),"none")</f>
        <v>none</v>
      </c>
      <c r="V942" s="5"/>
      <c r="X942" s="5"/>
      <c r="Y942" s="5"/>
      <c r="Z942" s="5"/>
      <c r="AA942" s="5"/>
      <c r="AB942" s="5"/>
      <c r="AC942" s="5"/>
      <c r="AG942" s="9"/>
      <c r="AH942" s="9"/>
    </row>
    <row r="943" spans="2:34" hidden="1">
      <c r="B943" s="4">
        <v>2017</v>
      </c>
      <c r="C943" s="4" t="s">
        <v>45</v>
      </c>
      <c r="D943" s="3">
        <v>18</v>
      </c>
      <c r="E943" s="3" t="s">
        <v>1126</v>
      </c>
      <c r="F943" s="3" t="s">
        <v>2736</v>
      </c>
      <c r="G943" s="5" t="s">
        <v>1320</v>
      </c>
      <c r="H943" s="39" t="s">
        <v>2657</v>
      </c>
      <c r="I943" s="5" t="s">
        <v>129</v>
      </c>
      <c r="J943" s="7">
        <f>100000000/6.7</f>
        <v>14925373.134328358</v>
      </c>
      <c r="K943" s="7">
        <f>50000000/6.7</f>
        <v>7462686.5671641789</v>
      </c>
      <c r="L943" s="7">
        <f>1.44*100000000/6.7</f>
        <v>21492537.313432835</v>
      </c>
      <c r="M943" s="41">
        <v>95005</v>
      </c>
      <c r="N943" s="42">
        <v>24520000</v>
      </c>
      <c r="O943" s="7">
        <f>3.83*100000000/6.7</f>
        <v>57164179.104477607</v>
      </c>
      <c r="P943" s="7">
        <v>60600360</v>
      </c>
      <c r="Q943" s="7">
        <v>60600360</v>
      </c>
      <c r="R943" s="5" t="str">
        <f>VLOOKUP($G943,Others!$E$932:$I$960,2,FALSE)</f>
        <v>Original Screenplay</v>
      </c>
      <c r="S943" s="5" t="str">
        <f>VLOOKUP($G943,Others!$E$932:$I$960,3,FALSE)</f>
        <v>Live Action</v>
      </c>
      <c r="T943" s="5" t="str">
        <f>VLOOKUP($G943,Others!$E$932:$I$960,4,FALSE)</f>
        <v>Historical Fiction</v>
      </c>
      <c r="U943" s="5" t="str">
        <f>IFERROR(VLOOKUP($G943,Ratings!$E$125:$I$172,5,FALSE),"none")</f>
        <v>none</v>
      </c>
      <c r="V943" s="5" t="s">
        <v>2658</v>
      </c>
      <c r="W943" s="5" t="s">
        <v>2659</v>
      </c>
      <c r="X943" s="5" t="s">
        <v>2660</v>
      </c>
      <c r="Y943" s="5" t="s">
        <v>2661</v>
      </c>
      <c r="Z943" s="5"/>
      <c r="AA943" s="5" t="s">
        <v>1649</v>
      </c>
      <c r="AB943" s="5"/>
      <c r="AC943" s="39" t="s">
        <v>2662</v>
      </c>
      <c r="AD943" s="9">
        <v>9.1</v>
      </c>
      <c r="AE943" s="9" t="s">
        <v>1489</v>
      </c>
      <c r="AF943" s="79" t="s">
        <v>1883</v>
      </c>
      <c r="AG943" s="9"/>
      <c r="AH943" s="9"/>
    </row>
    <row r="944" spans="2:34" hidden="1">
      <c r="B944" s="4">
        <v>2017</v>
      </c>
      <c r="C944" s="4" t="s">
        <v>45</v>
      </c>
      <c r="D944" s="3">
        <v>19</v>
      </c>
      <c r="E944" s="3" t="s">
        <v>1126</v>
      </c>
      <c r="G944" s="5" t="s">
        <v>1360</v>
      </c>
      <c r="H944" s="5"/>
      <c r="I944" s="5" t="s">
        <v>131</v>
      </c>
      <c r="J944" s="7">
        <v>0</v>
      </c>
      <c r="M944" s="8">
        <v>0</v>
      </c>
      <c r="N944" s="7">
        <v>0</v>
      </c>
      <c r="P944" s="7">
        <v>6892</v>
      </c>
      <c r="Q944" s="7">
        <v>6892</v>
      </c>
      <c r="R944" s="5" t="str">
        <f>VLOOKUP($G944,Others!$E$932:$I$960,2,FALSE)</f>
        <v>Original Screenplay</v>
      </c>
      <c r="S944" s="5" t="str">
        <f>VLOOKUP($G944,Others!$E$932:$I$960,3,FALSE)</f>
        <v>Live Action</v>
      </c>
      <c r="T944" s="5" t="str">
        <f>VLOOKUP($G944,Others!$E$932:$I$960,4,FALSE)</f>
        <v>Contemporary Fiction</v>
      </c>
      <c r="U944" s="5" t="str">
        <f>IFERROR(VLOOKUP($G944,Ratings!$E$125:$I$172,5,FALSE),"none")</f>
        <v>none</v>
      </c>
      <c r="V944" s="5"/>
      <c r="X944" s="5"/>
      <c r="Y944" s="5"/>
      <c r="Z944" s="5"/>
      <c r="AA944" s="5"/>
      <c r="AB944" s="5"/>
      <c r="AC944" s="5"/>
      <c r="AG944" s="9"/>
      <c r="AH944" s="9"/>
    </row>
    <row r="945" spans="2:34" hidden="1">
      <c r="B945" s="4">
        <v>2017</v>
      </c>
      <c r="C945" s="4" t="s">
        <v>45</v>
      </c>
      <c r="D945" s="3">
        <v>20</v>
      </c>
      <c r="E945" s="3" t="s">
        <v>1126</v>
      </c>
      <c r="G945" s="5" t="s">
        <v>1282</v>
      </c>
      <c r="H945" s="5" t="s">
        <v>2566</v>
      </c>
      <c r="I945" s="5" t="s">
        <v>129</v>
      </c>
      <c r="J945" s="7">
        <v>29850746</v>
      </c>
      <c r="K945" s="7">
        <v>7462686</v>
      </c>
      <c r="L945" s="7">
        <v>5535820</v>
      </c>
      <c r="M945" s="8">
        <v>87906</v>
      </c>
      <c r="N945" s="7">
        <v>11150837</v>
      </c>
      <c r="O945" s="7">
        <v>14925373</v>
      </c>
      <c r="P945" s="7">
        <v>18339343</v>
      </c>
      <c r="Q945" s="7">
        <v>18339343</v>
      </c>
      <c r="R945" s="5" t="str">
        <f>VLOOKUP($G945,Others!$E$932:$I$960,2,FALSE)</f>
        <v>Based on Fiction Book/Short Story</v>
      </c>
      <c r="S945" s="5" t="str">
        <f>VLOOKUP($G945,Others!$E$932:$I$960,3,FALSE)</f>
        <v>Live Action</v>
      </c>
      <c r="T945" s="5" t="str">
        <f>VLOOKUP($G945,Others!$E$932:$I$960,4,FALSE)</f>
        <v>Contemporary Fiction</v>
      </c>
      <c r="U945" s="5" t="str">
        <f>IFERROR(VLOOKUP($G945,Ratings!$E$125:$I$172,5,FALSE),"none")</f>
        <v>none</v>
      </c>
      <c r="V945" s="5" t="s">
        <v>2567</v>
      </c>
      <c r="W945" s="5" t="s">
        <v>2568</v>
      </c>
      <c r="X945" s="5" t="s">
        <v>2569</v>
      </c>
      <c r="Y945" s="5" t="s">
        <v>2570</v>
      </c>
      <c r="Z945" s="5"/>
      <c r="AA945" s="5" t="s">
        <v>2571</v>
      </c>
      <c r="AB945" s="5"/>
      <c r="AC945" s="5" t="s">
        <v>2572</v>
      </c>
      <c r="AD945" s="9">
        <v>7.7</v>
      </c>
      <c r="AE945" s="1" t="s">
        <v>1489</v>
      </c>
      <c r="AF945" s="79" t="s">
        <v>1883</v>
      </c>
      <c r="AG945" s="9"/>
      <c r="AH945" s="9"/>
    </row>
    <row r="946" spans="2:34" hidden="1">
      <c r="B946" s="4">
        <v>2017</v>
      </c>
      <c r="C946" s="4" t="s">
        <v>45</v>
      </c>
      <c r="D946" s="3">
        <v>21</v>
      </c>
      <c r="E946" s="3" t="s">
        <v>1126</v>
      </c>
      <c r="G946" s="5" t="s">
        <v>1361</v>
      </c>
      <c r="H946" s="5"/>
      <c r="I946" s="5" t="s">
        <v>148</v>
      </c>
      <c r="J946" s="7">
        <v>0</v>
      </c>
      <c r="M946" s="8">
        <v>0</v>
      </c>
      <c r="N946" s="7">
        <v>0</v>
      </c>
      <c r="P946" s="7">
        <v>0</v>
      </c>
      <c r="Q946" s="7">
        <v>0</v>
      </c>
      <c r="R946" s="5">
        <f>VLOOKUP($G946,Others!$E$932:$I$960,2,FALSE)</f>
        <v>0</v>
      </c>
      <c r="S946" s="5" t="str">
        <f>VLOOKUP($G946,Others!$E$932:$I$960,3,FALSE)</f>
        <v>Live Action</v>
      </c>
      <c r="T946" s="5" t="str">
        <f>VLOOKUP($G946,Others!$E$932:$I$960,4,FALSE)</f>
        <v>Contemporary Fiction</v>
      </c>
      <c r="U946" s="5" t="str">
        <f>IFERROR(VLOOKUP($G946,Ratings!$E$125:$I$172,5,FALSE),"none")</f>
        <v>none</v>
      </c>
      <c r="V946" s="5"/>
      <c r="X946" s="5"/>
      <c r="Y946" s="5"/>
      <c r="Z946" s="5"/>
      <c r="AA946" s="5"/>
      <c r="AB946" s="5"/>
      <c r="AC946" s="5"/>
      <c r="AG946" s="9"/>
      <c r="AH946" s="9"/>
    </row>
    <row r="947" spans="2:34" hidden="1">
      <c r="B947" s="4">
        <v>2017</v>
      </c>
      <c r="C947" s="4" t="s">
        <v>45</v>
      </c>
      <c r="D947" s="3">
        <v>22</v>
      </c>
      <c r="E947" s="3" t="s">
        <v>1126</v>
      </c>
      <c r="G947" s="5" t="s">
        <v>315</v>
      </c>
      <c r="H947" s="5"/>
      <c r="I947" s="5" t="s">
        <v>131</v>
      </c>
      <c r="J947" s="7">
        <v>0</v>
      </c>
      <c r="M947" s="8">
        <v>0</v>
      </c>
      <c r="N947" s="7">
        <v>0</v>
      </c>
      <c r="P947" s="7">
        <v>67678</v>
      </c>
      <c r="Q947" s="7">
        <v>67678</v>
      </c>
      <c r="R947" s="5" t="str">
        <f>VLOOKUP($G947,Others!$E$932:$I$960,2,FALSE)</f>
        <v>Original Screenplay</v>
      </c>
      <c r="S947" s="5" t="str">
        <f>VLOOKUP($G947,Others!$E$932:$I$960,3,FALSE)</f>
        <v>Live Action</v>
      </c>
      <c r="T947" s="5" t="str">
        <f>VLOOKUP($G947,Others!$E$932:$I$960,4,FALSE)</f>
        <v>Contemporary Fiction</v>
      </c>
      <c r="U947" s="5" t="str">
        <f>IFERROR(VLOOKUP($G947,Ratings!$E$125:$I$172,5,FALSE),"none")</f>
        <v>none</v>
      </c>
      <c r="V947" s="5"/>
      <c r="X947" s="5"/>
      <c r="Y947" s="5"/>
      <c r="Z947" s="5"/>
      <c r="AA947" s="5"/>
      <c r="AB947" s="5"/>
      <c r="AC947" s="5"/>
      <c r="AF947" s="79" t="s">
        <v>1883</v>
      </c>
      <c r="AG947" s="9"/>
      <c r="AH947" s="9"/>
    </row>
    <row r="948" spans="2:34" hidden="1">
      <c r="B948" s="4">
        <v>2017</v>
      </c>
      <c r="C948" s="4" t="s">
        <v>45</v>
      </c>
      <c r="D948" s="3">
        <v>23</v>
      </c>
      <c r="E948" s="3" t="s">
        <v>1082</v>
      </c>
      <c r="G948" s="5" t="s">
        <v>1362</v>
      </c>
      <c r="H948" s="5" t="s">
        <v>1363</v>
      </c>
      <c r="I948" s="5" t="s">
        <v>129</v>
      </c>
      <c r="J948" s="7">
        <v>0</v>
      </c>
      <c r="M948" s="8">
        <v>0</v>
      </c>
      <c r="N948" s="7">
        <v>0</v>
      </c>
      <c r="P948" s="7">
        <v>13109</v>
      </c>
      <c r="Q948" s="7">
        <v>13109</v>
      </c>
      <c r="R948" s="5" t="str">
        <f>VLOOKUP($G948,Others!$E$932:$I$960,2,FALSE)</f>
        <v>Original Screenplay</v>
      </c>
      <c r="S948" s="5" t="str">
        <f>VLOOKUP($G948,Others!$E$932:$I$960,3,FALSE)</f>
        <v>Live Action</v>
      </c>
      <c r="T948" s="5" t="str">
        <f>VLOOKUP($G948,Others!$E$932:$I$960,4,FALSE)</f>
        <v>Contemporary Fiction</v>
      </c>
      <c r="U948" s="5" t="str">
        <f>IFERROR(VLOOKUP($G948,Ratings!$E$125:$I$172,5,FALSE),"none")</f>
        <v>R</v>
      </c>
      <c r="V948" s="5"/>
      <c r="X948" s="5"/>
      <c r="Y948" s="5"/>
      <c r="Z948" s="5"/>
      <c r="AA948" s="5"/>
      <c r="AB948" s="5"/>
      <c r="AC948" s="5"/>
      <c r="AG948" s="9"/>
      <c r="AH948" s="9"/>
    </row>
    <row r="949" spans="2:34" hidden="1">
      <c r="B949" s="4">
        <v>2017</v>
      </c>
      <c r="C949" s="4" t="s">
        <v>45</v>
      </c>
      <c r="D949" s="3">
        <v>24</v>
      </c>
      <c r="E949" s="3" t="s">
        <v>1364</v>
      </c>
      <c r="G949" s="5" t="s">
        <v>1365</v>
      </c>
      <c r="H949" s="5"/>
      <c r="I949" s="5" t="s">
        <v>136</v>
      </c>
      <c r="J949" s="7">
        <v>0</v>
      </c>
      <c r="M949" s="8">
        <v>0</v>
      </c>
      <c r="N949" s="7">
        <v>0</v>
      </c>
      <c r="P949" s="7">
        <v>0</v>
      </c>
      <c r="Q949" s="7">
        <v>0</v>
      </c>
      <c r="R949" s="5" t="str">
        <f>VLOOKUP($G949,Others!$E$932:$I$960,2,FALSE)</f>
        <v>Original Screenplay</v>
      </c>
      <c r="S949" s="5" t="str">
        <f>VLOOKUP($G949,Others!$E$932:$I$960,3,FALSE)</f>
        <v>Live Action</v>
      </c>
      <c r="T949" s="5" t="str">
        <f>VLOOKUP($G949,Others!$E$932:$I$960,4,FALSE)</f>
        <v>Contemporary Fiction</v>
      </c>
      <c r="U949" s="5" t="str">
        <f>IFERROR(VLOOKUP($G949,Ratings!$E$125:$I$172,5,FALSE),"none")</f>
        <v>Not Rated</v>
      </c>
      <c r="V949" s="5"/>
      <c r="X949" s="5"/>
      <c r="Y949" s="5"/>
      <c r="Z949" s="5"/>
      <c r="AA949" s="5"/>
      <c r="AB949" s="5"/>
      <c r="AC949" s="5"/>
      <c r="AG949" s="9"/>
      <c r="AH949" s="9"/>
    </row>
    <row r="950" spans="2:34" hidden="1">
      <c r="B950" s="4">
        <v>2017</v>
      </c>
      <c r="C950" s="4" t="s">
        <v>45</v>
      </c>
      <c r="D950" s="3">
        <v>25</v>
      </c>
      <c r="E950" s="3" t="s">
        <v>1126</v>
      </c>
      <c r="G950" s="5" t="s">
        <v>1366</v>
      </c>
      <c r="H950" s="5"/>
      <c r="I950" s="5" t="s">
        <v>131</v>
      </c>
      <c r="J950" s="7">
        <v>0</v>
      </c>
      <c r="M950" s="8">
        <v>0</v>
      </c>
      <c r="N950" s="7">
        <v>0</v>
      </c>
      <c r="P950" s="7">
        <v>11077852</v>
      </c>
      <c r="Q950" s="7">
        <v>11077852</v>
      </c>
      <c r="R950" s="5" t="str">
        <f>VLOOKUP($G950,Others!$E$932:$I$960,2,FALSE)</f>
        <v>Original Screenplay</v>
      </c>
      <c r="S950" s="5" t="str">
        <f>VLOOKUP($G950,Others!$E$932:$I$960,3,FALSE)</f>
        <v>Live Action</v>
      </c>
      <c r="T950" s="5" t="str">
        <f>VLOOKUP($G950,Others!$E$932:$I$960,4,FALSE)</f>
        <v>Contemporary Fiction</v>
      </c>
      <c r="U950" s="5" t="str">
        <f>IFERROR(VLOOKUP($G950,Ratings!$E$125:$I$172,5,FALSE),"none")</f>
        <v>none</v>
      </c>
      <c r="V950" s="5"/>
      <c r="X950" s="5"/>
      <c r="Y950" s="5"/>
      <c r="Z950" s="5"/>
      <c r="AA950" s="5"/>
      <c r="AB950" s="5"/>
      <c r="AC950" s="5"/>
      <c r="AG950" s="9"/>
      <c r="AH950" s="9"/>
    </row>
    <row r="951" spans="2:34" hidden="1">
      <c r="B951" s="4">
        <v>2017</v>
      </c>
      <c r="C951" s="4" t="s">
        <v>45</v>
      </c>
      <c r="D951" s="3">
        <v>26</v>
      </c>
      <c r="E951" s="3" t="s">
        <v>1126</v>
      </c>
      <c r="G951" s="5" t="s">
        <v>1325</v>
      </c>
      <c r="H951" s="5"/>
      <c r="I951" s="5" t="s">
        <v>129</v>
      </c>
      <c r="J951" s="7">
        <v>0</v>
      </c>
      <c r="M951" s="8">
        <v>0</v>
      </c>
      <c r="N951" s="7">
        <v>0</v>
      </c>
      <c r="P951" s="7">
        <v>5029820</v>
      </c>
      <c r="Q951" s="7">
        <v>5029820</v>
      </c>
      <c r="R951" s="5" t="str">
        <f>VLOOKUP($G951,Others!$E$932:$I$960,2,FALSE)</f>
        <v>Original Screenplay</v>
      </c>
      <c r="S951" s="5" t="str">
        <f>VLOOKUP($G951,Others!$E$932:$I$960,3,FALSE)</f>
        <v>Live Action</v>
      </c>
      <c r="T951" s="5" t="str">
        <f>VLOOKUP($G951,Others!$E$932:$I$960,4,FALSE)</f>
        <v>Contemporary Fiction</v>
      </c>
      <c r="U951" s="5" t="str">
        <f>IFERROR(VLOOKUP($G951,Ratings!$E$125:$I$172,5,FALSE),"none")</f>
        <v>none</v>
      </c>
      <c r="V951" s="5"/>
      <c r="X951" s="5"/>
      <c r="Y951" s="5"/>
      <c r="Z951" s="5"/>
      <c r="AA951" s="5"/>
      <c r="AB951" s="5"/>
      <c r="AC951" s="5"/>
      <c r="AF951" s="79" t="s">
        <v>1883</v>
      </c>
      <c r="AG951" s="9"/>
      <c r="AH951" s="9"/>
    </row>
    <row r="952" spans="2:34" hidden="1">
      <c r="B952" s="4">
        <v>2017</v>
      </c>
      <c r="C952" s="4" t="s">
        <v>45</v>
      </c>
      <c r="D952" s="3">
        <v>27</v>
      </c>
      <c r="E952" s="3" t="s">
        <v>1126</v>
      </c>
      <c r="G952" s="5" t="s">
        <v>1367</v>
      </c>
      <c r="H952" s="5"/>
      <c r="I952" s="5" t="s">
        <v>131</v>
      </c>
      <c r="J952" s="7">
        <v>0</v>
      </c>
      <c r="M952" s="8">
        <v>0</v>
      </c>
      <c r="N952" s="7">
        <v>0</v>
      </c>
      <c r="P952" s="7">
        <v>22178</v>
      </c>
      <c r="Q952" s="7">
        <v>22178</v>
      </c>
      <c r="R952" s="5" t="str">
        <f>VLOOKUP($G952,Others!$E$932:$I$960,2,FALSE)</f>
        <v>Original Screenplay</v>
      </c>
      <c r="S952" s="5" t="str">
        <f>VLOOKUP($G952,Others!$E$932:$I$960,3,FALSE)</f>
        <v>Live Action</v>
      </c>
      <c r="T952" s="5" t="str">
        <f>VLOOKUP($G952,Others!$E$932:$I$960,4,FALSE)</f>
        <v>Contemporary Fiction</v>
      </c>
      <c r="U952" s="5" t="str">
        <f>IFERROR(VLOOKUP($G952,Ratings!$E$125:$I$172,5,FALSE),"none")</f>
        <v>none</v>
      </c>
      <c r="V952" s="5"/>
      <c r="X952" s="5"/>
      <c r="Y952" s="5"/>
      <c r="Z952" s="5"/>
      <c r="AA952" s="5"/>
      <c r="AB952" s="5"/>
      <c r="AC952" s="5"/>
      <c r="AG952" s="9"/>
      <c r="AH952" s="9"/>
    </row>
    <row r="953" spans="2:34" hidden="1">
      <c r="B953" s="4">
        <v>2017</v>
      </c>
      <c r="C953" s="4" t="s">
        <v>45</v>
      </c>
      <c r="D953" s="3">
        <v>28</v>
      </c>
      <c r="E953" s="3" t="s">
        <v>1126</v>
      </c>
      <c r="G953" s="5" t="s">
        <v>1368</v>
      </c>
      <c r="H953" s="5"/>
      <c r="I953" s="5" t="s">
        <v>131</v>
      </c>
      <c r="J953" s="7">
        <v>0</v>
      </c>
      <c r="M953" s="8">
        <v>0</v>
      </c>
      <c r="N953" s="7">
        <v>0</v>
      </c>
      <c r="P953" s="7">
        <v>231975</v>
      </c>
      <c r="Q953" s="7">
        <v>231975</v>
      </c>
      <c r="R953" s="5" t="str">
        <f>VLOOKUP($G953,Others!$E$932:$I$960,2,FALSE)</f>
        <v>Original Screenplay</v>
      </c>
      <c r="S953" s="5" t="str">
        <f>VLOOKUP($G953,Others!$E$932:$I$960,3,FALSE)</f>
        <v>Live Action</v>
      </c>
      <c r="T953" s="5" t="str">
        <f>VLOOKUP($G953,Others!$E$932:$I$960,4,FALSE)</f>
        <v>Contemporary Fiction</v>
      </c>
      <c r="U953" s="5" t="str">
        <f>IFERROR(VLOOKUP($G953,Ratings!$E$125:$I$172,5,FALSE),"none")</f>
        <v>none</v>
      </c>
      <c r="V953" s="5"/>
      <c r="X953" s="5"/>
      <c r="Y953" s="5"/>
      <c r="Z953" s="5"/>
      <c r="AA953" s="5"/>
      <c r="AB953" s="5"/>
      <c r="AC953" s="5"/>
      <c r="AG953" s="9"/>
      <c r="AH953" s="9"/>
    </row>
    <row r="954" spans="2:34" hidden="1">
      <c r="B954" s="4">
        <v>2017</v>
      </c>
      <c r="C954" s="4" t="s">
        <v>45</v>
      </c>
      <c r="D954" s="3">
        <v>29</v>
      </c>
      <c r="E954" s="3" t="s">
        <v>1126</v>
      </c>
      <c r="G954" s="5" t="s">
        <v>1369</v>
      </c>
      <c r="H954" s="5"/>
      <c r="J954" s="7">
        <v>0</v>
      </c>
      <c r="M954" s="8">
        <v>0</v>
      </c>
      <c r="N954" s="7">
        <v>0</v>
      </c>
      <c r="P954" s="7">
        <v>0</v>
      </c>
      <c r="Q954" s="7">
        <v>0</v>
      </c>
      <c r="R954" s="5">
        <f>VLOOKUP($G954,Others!$E$932:$I$960,2,FALSE)</f>
        <v>0</v>
      </c>
      <c r="S954" s="5">
        <f>VLOOKUP($G954,Others!$E$932:$I$960,3,FALSE)</f>
        <v>0</v>
      </c>
      <c r="T954" s="5">
        <f>VLOOKUP($G954,Others!$E$932:$I$960,4,FALSE)</f>
        <v>0</v>
      </c>
      <c r="U954" s="5" t="str">
        <f>IFERROR(VLOOKUP($G954,Ratings!$E$125:$I$172,5,FALSE),"none")</f>
        <v>none</v>
      </c>
      <c r="V954" s="5"/>
      <c r="X954" s="5"/>
      <c r="Y954" s="5"/>
      <c r="Z954" s="5"/>
      <c r="AA954" s="5"/>
      <c r="AB954" s="5"/>
      <c r="AC954" s="5"/>
      <c r="AG954" s="9"/>
      <c r="AH954" s="9"/>
    </row>
    <row r="955" spans="2:34" hidden="1">
      <c r="B955" s="4">
        <v>2017</v>
      </c>
      <c r="C955" s="4" t="s">
        <v>46</v>
      </c>
      <c r="D955" s="3">
        <v>1</v>
      </c>
      <c r="E955" s="3" t="s">
        <v>1103</v>
      </c>
      <c r="G955" s="5" t="s">
        <v>1104</v>
      </c>
      <c r="H955" s="5" t="s">
        <v>622</v>
      </c>
      <c r="I955" s="5" t="s">
        <v>191</v>
      </c>
      <c r="J955" s="7">
        <v>0</v>
      </c>
      <c r="M955" s="8">
        <v>1</v>
      </c>
      <c r="N955" s="7">
        <v>5141</v>
      </c>
      <c r="P955" s="7">
        <v>12006</v>
      </c>
      <c r="Q955" s="7">
        <v>41056</v>
      </c>
      <c r="R955" s="5" t="str">
        <f>VLOOKUP($G955,Others!$E$961:$I$972,2,FALSE)</f>
        <v>Based on Real Life Events</v>
      </c>
      <c r="S955" s="5" t="str">
        <f>VLOOKUP($G955,Others!$E$961:$I$972,3,FALSE)</f>
        <v>Live Action</v>
      </c>
      <c r="T955" s="5" t="str">
        <f>VLOOKUP($G955,Others!$E$961:$I$972,4,FALSE)</f>
        <v>Factual</v>
      </c>
      <c r="U955" s="5" t="str">
        <f>IFERROR(VLOOKUP($G955,Ratings!$E$125:$I$172,5,FALSE),"none")</f>
        <v>Not Rated</v>
      </c>
      <c r="V955" s="5"/>
      <c r="X955" s="5"/>
      <c r="Y955" s="5"/>
      <c r="Z955" s="5"/>
      <c r="AA955" s="5"/>
      <c r="AB955" s="5"/>
      <c r="AC955" s="5"/>
      <c r="AF955" s="79" t="s">
        <v>1883</v>
      </c>
      <c r="AG955" s="9"/>
      <c r="AH955" s="9"/>
    </row>
    <row r="956" spans="2:34" hidden="1">
      <c r="B956" s="4">
        <v>2017</v>
      </c>
      <c r="C956" s="4" t="s">
        <v>46</v>
      </c>
      <c r="D956" s="3">
        <v>2</v>
      </c>
      <c r="E956" s="3" t="s">
        <v>1370</v>
      </c>
      <c r="G956" s="5" t="s">
        <v>1371</v>
      </c>
      <c r="H956" s="5" t="s">
        <v>1357</v>
      </c>
      <c r="I956" s="5" t="s">
        <v>193</v>
      </c>
      <c r="J956" s="7">
        <v>0</v>
      </c>
      <c r="M956" s="8">
        <v>8</v>
      </c>
      <c r="N956" s="7">
        <v>0</v>
      </c>
      <c r="P956" s="7">
        <v>0</v>
      </c>
      <c r="Q956" s="7">
        <v>18870</v>
      </c>
      <c r="R956" s="5" t="str">
        <f>VLOOKUP($G956,Others!$E$961:$I$972,2,FALSE)</f>
        <v>Original Screenplay</v>
      </c>
      <c r="S956" s="5" t="str">
        <f>VLOOKUP($G956,Others!$E$961:$I$972,3,FALSE)</f>
        <v>Live Action</v>
      </c>
      <c r="T956" s="5" t="str">
        <f>VLOOKUP($G956,Others!$E$961:$I$972,4,FALSE)</f>
        <v>Contemporary Fiction</v>
      </c>
      <c r="U956" s="5" t="str">
        <f>IFERROR(VLOOKUP($G956,Ratings!$E$125:$I$172,5,FALSE),"none")</f>
        <v>Not Rated</v>
      </c>
      <c r="V956" s="5"/>
      <c r="X956" s="5"/>
      <c r="Y956" s="5"/>
      <c r="Z956" s="5"/>
      <c r="AA956" s="5"/>
      <c r="AB956" s="5"/>
      <c r="AC956" s="5"/>
      <c r="AG956" s="9"/>
      <c r="AH956" s="9"/>
    </row>
    <row r="957" spans="2:34" hidden="1">
      <c r="B957" s="4">
        <v>2017</v>
      </c>
      <c r="C957" s="4" t="s">
        <v>46</v>
      </c>
      <c r="D957" s="3">
        <v>3</v>
      </c>
      <c r="E957" s="3" t="s">
        <v>1372</v>
      </c>
      <c r="G957" s="5" t="s">
        <v>35</v>
      </c>
      <c r="H957" s="5" t="s">
        <v>773</v>
      </c>
      <c r="I957" s="5" t="s">
        <v>131</v>
      </c>
      <c r="J957" s="7">
        <v>0</v>
      </c>
      <c r="M957" s="8">
        <v>1</v>
      </c>
      <c r="N957" s="7">
        <v>7333</v>
      </c>
      <c r="P957" s="7">
        <v>32003</v>
      </c>
      <c r="Q957" s="7">
        <v>44900</v>
      </c>
      <c r="R957" s="5" t="str">
        <f>VLOOKUP($G957,Others!$E$961:$I$972,2,FALSE)</f>
        <v>Original Screenplay</v>
      </c>
      <c r="S957" s="5" t="str">
        <f>VLOOKUP($G957,Others!$E$961:$I$972,3,FALSE)</f>
        <v>Live Action</v>
      </c>
      <c r="T957" s="5" t="str">
        <f>VLOOKUP($G957,Others!$E$961:$I$972,4,FALSE)</f>
        <v>Contemporary Fiction</v>
      </c>
      <c r="U957" s="5" t="str">
        <f>IFERROR(VLOOKUP($G957,Ratings!$E$125:$I$172,5,FALSE),"none")</f>
        <v>Not Rated</v>
      </c>
      <c r="V957" s="5"/>
      <c r="X957" s="5"/>
      <c r="Y957" s="5"/>
      <c r="Z957" s="5"/>
      <c r="AA957" s="5"/>
      <c r="AB957" s="5"/>
      <c r="AC957" s="5"/>
      <c r="AG957" s="9"/>
      <c r="AH957" s="9"/>
    </row>
    <row r="958" spans="2:34" hidden="1">
      <c r="B958" s="4">
        <v>2017</v>
      </c>
      <c r="C958" s="4" t="s">
        <v>46</v>
      </c>
      <c r="D958" s="3">
        <v>4</v>
      </c>
      <c r="E958" s="3" t="s">
        <v>1120</v>
      </c>
      <c r="G958" s="5" t="s">
        <v>1373</v>
      </c>
      <c r="H958" s="5"/>
      <c r="I958" s="5" t="s">
        <v>136</v>
      </c>
      <c r="J958" s="7">
        <v>0</v>
      </c>
      <c r="M958" s="8">
        <v>0</v>
      </c>
      <c r="N958" s="7">
        <v>0</v>
      </c>
      <c r="P958" s="7">
        <v>244286</v>
      </c>
      <c r="Q958" s="7">
        <v>244286</v>
      </c>
      <c r="R958" s="5" t="str">
        <f>VLOOKUP($G958,Others!$E$961:$I$972,2,FALSE)</f>
        <v>Original Screenplay</v>
      </c>
      <c r="S958" s="5" t="str">
        <f>VLOOKUP($G958,Others!$E$961:$I$972,3,FALSE)</f>
        <v>Live Action</v>
      </c>
      <c r="T958" s="5" t="str">
        <f>VLOOKUP($G958,Others!$E$961:$I$972,4,FALSE)</f>
        <v>Contemporary Fiction</v>
      </c>
      <c r="U958" s="5" t="str">
        <f>IFERROR(VLOOKUP($G958,Ratings!$E$125:$I$172,5,FALSE),"none")</f>
        <v>none</v>
      </c>
      <c r="V958" s="5"/>
      <c r="X958" s="5"/>
      <c r="Y958" s="5"/>
      <c r="Z958" s="5"/>
      <c r="AA958" s="5"/>
      <c r="AB958" s="5"/>
      <c r="AC958" s="5"/>
      <c r="AG958" s="9"/>
      <c r="AH958" s="9"/>
    </row>
    <row r="959" spans="2:34" hidden="1">
      <c r="B959" s="4">
        <v>2017</v>
      </c>
      <c r="C959" s="4" t="s">
        <v>46</v>
      </c>
      <c r="D959" s="3">
        <v>5</v>
      </c>
      <c r="E959" s="3" t="s">
        <v>1126</v>
      </c>
      <c r="G959" s="5" t="s">
        <v>453</v>
      </c>
      <c r="H959" s="5"/>
      <c r="I959" s="5" t="s">
        <v>131</v>
      </c>
      <c r="J959" s="7">
        <v>0</v>
      </c>
      <c r="M959" s="8">
        <v>0</v>
      </c>
      <c r="N959" s="7">
        <v>0</v>
      </c>
      <c r="P959" s="7">
        <v>775700</v>
      </c>
      <c r="Q959" s="7">
        <v>775700</v>
      </c>
      <c r="R959" s="5" t="str">
        <f>VLOOKUP($G959,Others!$E$961:$I$972,2,FALSE)</f>
        <v>Original Screenplay</v>
      </c>
      <c r="S959" s="5" t="str">
        <f>VLOOKUP($G959,Others!$E$961:$I$972,3,FALSE)</f>
        <v>Live Action</v>
      </c>
      <c r="T959" s="5" t="str">
        <f>VLOOKUP($G959,Others!$E$961:$I$972,4,FALSE)</f>
        <v>Fantasy</v>
      </c>
      <c r="U959" s="5" t="str">
        <f>IFERROR(VLOOKUP($G959,Ratings!$E$125:$I$172,5,FALSE),"none")</f>
        <v>none</v>
      </c>
      <c r="V959" s="5"/>
      <c r="X959" s="5"/>
      <c r="Y959" s="5"/>
      <c r="Z959" s="5"/>
      <c r="AA959" s="5"/>
      <c r="AB959" s="5"/>
      <c r="AC959" s="5"/>
      <c r="AG959" s="9"/>
      <c r="AH959" s="9"/>
    </row>
    <row r="960" spans="2:34" hidden="1">
      <c r="B960" s="4">
        <v>2017</v>
      </c>
      <c r="C960" s="4" t="s">
        <v>46</v>
      </c>
      <c r="D960" s="3">
        <v>6</v>
      </c>
      <c r="E960" s="3" t="s">
        <v>1126</v>
      </c>
      <c r="G960" s="5" t="s">
        <v>1374</v>
      </c>
      <c r="H960" s="5"/>
      <c r="J960" s="7">
        <v>0</v>
      </c>
      <c r="M960" s="8">
        <v>0</v>
      </c>
      <c r="N960" s="7">
        <v>0</v>
      </c>
      <c r="P960" s="7">
        <v>110752</v>
      </c>
      <c r="Q960" s="7">
        <v>110752</v>
      </c>
      <c r="R960" s="5">
        <f>VLOOKUP($G960,Others!$E$961:$I$972,2,FALSE)</f>
        <v>0</v>
      </c>
      <c r="S960" s="5">
        <f>VLOOKUP($G960,Others!$E$961:$I$972,3,FALSE)</f>
        <v>0</v>
      </c>
      <c r="T960" s="5">
        <f>VLOOKUP($G960,Others!$E$961:$I$972,4,FALSE)</f>
        <v>0</v>
      </c>
      <c r="U960" s="5" t="str">
        <f>IFERROR(VLOOKUP($G960,Ratings!$E$125:$I$172,5,FALSE),"none")</f>
        <v>none</v>
      </c>
      <c r="V960" s="5"/>
      <c r="X960" s="5"/>
      <c r="Y960" s="5"/>
      <c r="Z960" s="5"/>
      <c r="AA960" s="5"/>
      <c r="AB960" s="5"/>
      <c r="AC960" s="5"/>
      <c r="AG960" s="9"/>
      <c r="AH960" s="9"/>
    </row>
    <row r="961" spans="2:34" hidden="1">
      <c r="B961" s="4">
        <v>2017</v>
      </c>
      <c r="C961" s="4" t="s">
        <v>46</v>
      </c>
      <c r="D961" s="3">
        <v>7</v>
      </c>
      <c r="E961" s="3" t="s">
        <v>1126</v>
      </c>
      <c r="G961" s="5" t="s">
        <v>1238</v>
      </c>
      <c r="H961" s="5"/>
      <c r="I961" s="5" t="s">
        <v>148</v>
      </c>
      <c r="J961" s="7">
        <v>0</v>
      </c>
      <c r="M961" s="8">
        <v>0</v>
      </c>
      <c r="N961" s="7">
        <v>0</v>
      </c>
      <c r="P961" s="7">
        <v>2749490</v>
      </c>
      <c r="Q961" s="7">
        <v>2749490</v>
      </c>
      <c r="R961" s="5" t="str">
        <f>VLOOKUP($G961,Others!$E$961:$I$972,2,FALSE)</f>
        <v>Original Screenplay</v>
      </c>
      <c r="S961" s="5" t="str">
        <f>VLOOKUP($G961,Others!$E$961:$I$972,3,FALSE)</f>
        <v>Live Action</v>
      </c>
      <c r="T961" s="5" t="str">
        <f>VLOOKUP($G961,Others!$E$961:$I$972,4,FALSE)</f>
        <v>Contemporary Fiction</v>
      </c>
      <c r="U961" s="5" t="str">
        <f>IFERROR(VLOOKUP($G961,Ratings!$E$125:$I$172,5,FALSE),"none")</f>
        <v>none</v>
      </c>
      <c r="V961" s="5"/>
      <c r="X961" s="5"/>
      <c r="Y961" s="5"/>
      <c r="Z961" s="5"/>
      <c r="AA961" s="5"/>
      <c r="AB961" s="5"/>
      <c r="AC961" s="5"/>
      <c r="AF961" s="79" t="s">
        <v>1883</v>
      </c>
      <c r="AG961" s="9"/>
      <c r="AH961" s="9"/>
    </row>
    <row r="962" spans="2:34" hidden="1">
      <c r="B962" s="4">
        <v>2017</v>
      </c>
      <c r="C962" s="4" t="s">
        <v>46</v>
      </c>
      <c r="D962" s="3">
        <v>8</v>
      </c>
      <c r="E962" s="3" t="s">
        <v>1126</v>
      </c>
      <c r="G962" s="5" t="s">
        <v>1375</v>
      </c>
      <c r="H962" s="5"/>
      <c r="I962" s="5" t="s">
        <v>127</v>
      </c>
      <c r="J962" s="7">
        <v>0</v>
      </c>
      <c r="M962" s="8">
        <v>0</v>
      </c>
      <c r="N962" s="7">
        <v>0</v>
      </c>
      <c r="P962" s="7">
        <v>1926435</v>
      </c>
      <c r="Q962" s="7">
        <v>1926435</v>
      </c>
      <c r="R962" s="5" t="str">
        <f>VLOOKUP($G962,Others!$E$961:$I$972,2,FALSE)</f>
        <v>Original Screenplay</v>
      </c>
      <c r="S962" s="5" t="str">
        <f>VLOOKUP($G962,Others!$E$961:$I$972,3,FALSE)</f>
        <v>Digital Animation</v>
      </c>
      <c r="T962" s="5" t="str">
        <f>VLOOKUP($G962,Others!$E$961:$I$972,4,FALSE)</f>
        <v>Kids Fiction</v>
      </c>
      <c r="U962" s="5" t="str">
        <f>IFERROR(VLOOKUP($G962,Ratings!$E$125:$I$172,5,FALSE),"none")</f>
        <v>none</v>
      </c>
      <c r="V962" s="5"/>
      <c r="X962" s="5"/>
      <c r="Y962" s="5"/>
      <c r="Z962" s="5"/>
      <c r="AA962" s="5"/>
      <c r="AB962" s="5"/>
      <c r="AC962" s="5"/>
      <c r="AG962" s="9"/>
      <c r="AH962" s="9"/>
    </row>
    <row r="963" spans="2:34" hidden="1">
      <c r="B963" s="4">
        <v>2017</v>
      </c>
      <c r="C963" s="4" t="s">
        <v>46</v>
      </c>
      <c r="D963" s="3">
        <v>9</v>
      </c>
      <c r="E963" s="3" t="s">
        <v>1126</v>
      </c>
      <c r="G963" s="5" t="s">
        <v>1376</v>
      </c>
      <c r="H963" s="5"/>
      <c r="J963" s="7">
        <v>0</v>
      </c>
      <c r="M963" s="8">
        <v>0</v>
      </c>
      <c r="N963" s="7">
        <v>0</v>
      </c>
      <c r="P963" s="7">
        <v>4562</v>
      </c>
      <c r="Q963" s="7">
        <v>4562</v>
      </c>
      <c r="R963" s="5">
        <f>VLOOKUP($G963,Others!$E$961:$I$972,2,FALSE)</f>
        <v>0</v>
      </c>
      <c r="S963" s="5">
        <f>VLOOKUP($G963,Others!$E$961:$I$972,3,FALSE)</f>
        <v>0</v>
      </c>
      <c r="T963" s="5">
        <f>VLOOKUP($G963,Others!$E$961:$I$972,4,FALSE)</f>
        <v>0</v>
      </c>
      <c r="U963" s="5" t="str">
        <f>IFERROR(VLOOKUP($G963,Ratings!$E$125:$I$172,5,FALSE),"none")</f>
        <v>none</v>
      </c>
      <c r="V963" s="5"/>
      <c r="X963" s="5"/>
      <c r="Y963" s="5"/>
      <c r="Z963" s="5"/>
      <c r="AA963" s="5"/>
      <c r="AB963" s="5"/>
      <c r="AC963" s="5"/>
      <c r="AG963" s="9"/>
      <c r="AH963" s="9"/>
    </row>
    <row r="964" spans="2:34">
      <c r="B964" s="4">
        <v>2017</v>
      </c>
      <c r="C964" s="4" t="s">
        <v>46</v>
      </c>
      <c r="D964" s="3">
        <v>10</v>
      </c>
      <c r="E964" s="55" t="s">
        <v>1097</v>
      </c>
      <c r="F964" s="3" t="s">
        <v>2737</v>
      </c>
      <c r="G964" s="5" t="s">
        <v>58</v>
      </c>
      <c r="H964" s="5" t="s">
        <v>1377</v>
      </c>
      <c r="I964" s="5" t="s">
        <v>131</v>
      </c>
      <c r="J964" s="7">
        <f>40000000/6.7</f>
        <v>5970149.253731343</v>
      </c>
      <c r="K964" s="7">
        <f>20000000/6.7</f>
        <v>2985074.6268656715</v>
      </c>
      <c r="L964" s="7">
        <f>9290000/6.7</f>
        <v>1386567.1641791044</v>
      </c>
      <c r="M964" s="41">
        <v>23831</v>
      </c>
      <c r="N964" s="42">
        <v>18228</v>
      </c>
      <c r="O964" s="7">
        <f>25340000/6.7</f>
        <v>3782089.5522388057</v>
      </c>
      <c r="P964" s="7">
        <v>4013033</v>
      </c>
      <c r="Q964" s="7">
        <v>4013033</v>
      </c>
      <c r="R964" s="5" t="str">
        <f>VLOOKUP($G964,Others!$E$961:$I$972,2,FALSE)</f>
        <v>Original Screenplay</v>
      </c>
      <c r="S964" s="5" t="str">
        <f>VLOOKUP($G964,Others!$E$961:$I$972,3,FALSE)</f>
        <v>Live Action</v>
      </c>
      <c r="T964" s="5" t="str">
        <f>VLOOKUP($G964,Others!$E$961:$I$972,4,FALSE)</f>
        <v>Contemporary Fiction</v>
      </c>
      <c r="U964" s="5" t="str">
        <f>IFERROR(VLOOKUP($G964,Ratings!$E$125:$I$172,5,FALSE),"none")</f>
        <v>Not Rated</v>
      </c>
      <c r="V964" s="5" t="s">
        <v>2738</v>
      </c>
      <c r="W964" s="5" t="s">
        <v>2739</v>
      </c>
      <c r="X964" s="5" t="s">
        <v>2740</v>
      </c>
      <c r="Y964" s="5" t="s">
        <v>2426</v>
      </c>
      <c r="Z964" s="5" t="s">
        <v>2741</v>
      </c>
      <c r="AA964" s="5" t="s">
        <v>2742</v>
      </c>
      <c r="AB964" s="5"/>
      <c r="AC964" s="5" t="s">
        <v>2743</v>
      </c>
      <c r="AD964" s="9">
        <v>7.4</v>
      </c>
      <c r="AE964" s="9" t="s">
        <v>1489</v>
      </c>
      <c r="AG964" s="9"/>
      <c r="AH964" s="9"/>
    </row>
    <row r="965" spans="2:34" hidden="1">
      <c r="B965" s="4">
        <v>2017</v>
      </c>
      <c r="C965" s="4" t="s">
        <v>46</v>
      </c>
      <c r="D965" s="3">
        <v>11</v>
      </c>
      <c r="E965" s="3" t="s">
        <v>1126</v>
      </c>
      <c r="G965" s="5" t="s">
        <v>1378</v>
      </c>
      <c r="H965" s="5"/>
      <c r="I965" s="5" t="s">
        <v>127</v>
      </c>
      <c r="J965" s="7">
        <v>0</v>
      </c>
      <c r="M965" s="8">
        <v>0</v>
      </c>
      <c r="N965" s="7">
        <v>0</v>
      </c>
      <c r="P965" s="7">
        <v>31505</v>
      </c>
      <c r="Q965" s="7">
        <v>31505</v>
      </c>
      <c r="R965" s="5" t="str">
        <f>VLOOKUP($G965,Others!$E$961:$I$972,2,FALSE)</f>
        <v>Original Screenplay</v>
      </c>
      <c r="S965" s="5" t="str">
        <f>VLOOKUP($G965,Others!$E$961:$I$972,3,FALSE)</f>
        <v>Digital Animation</v>
      </c>
      <c r="T965" s="5" t="str">
        <f>VLOOKUP($G965,Others!$E$961:$I$972,4,FALSE)</f>
        <v>Kids Fiction</v>
      </c>
      <c r="U965" s="5" t="str">
        <f>IFERROR(VLOOKUP($G965,Ratings!$E$125:$I$172,5,FALSE),"none")</f>
        <v>none</v>
      </c>
      <c r="V965" s="5"/>
      <c r="X965" s="5"/>
      <c r="Y965" s="5"/>
      <c r="Z965" s="5"/>
      <c r="AA965" s="5"/>
      <c r="AB965" s="5"/>
      <c r="AC965" s="5"/>
      <c r="AG965" s="9"/>
      <c r="AH965" s="9"/>
    </row>
    <row r="966" spans="2:34" hidden="1">
      <c r="B966" s="4">
        <v>2017</v>
      </c>
      <c r="C966" s="4" t="s">
        <v>46</v>
      </c>
      <c r="D966" s="3">
        <v>12</v>
      </c>
      <c r="E966" s="3" t="s">
        <v>1126</v>
      </c>
      <c r="G966" s="5" t="s">
        <v>558</v>
      </c>
      <c r="H966" s="5"/>
      <c r="I966" s="5" t="s">
        <v>136</v>
      </c>
      <c r="J966" s="7">
        <v>0</v>
      </c>
      <c r="M966" s="8">
        <v>0</v>
      </c>
      <c r="N966" s="7">
        <v>0</v>
      </c>
      <c r="P966" s="7">
        <v>0</v>
      </c>
      <c r="Q966" s="7">
        <v>0</v>
      </c>
      <c r="R966" s="5">
        <f>VLOOKUP($G966,Others!$E$961:$I$972,2,FALSE)</f>
        <v>0</v>
      </c>
      <c r="S966" s="5">
        <f>VLOOKUP($G966,Others!$E$961:$I$972,3,FALSE)</f>
        <v>0</v>
      </c>
      <c r="T966" s="5">
        <f>VLOOKUP($G966,Others!$E$961:$I$972,4,FALSE)</f>
        <v>0</v>
      </c>
      <c r="U966" s="5" t="str">
        <f>IFERROR(VLOOKUP($G966,Ratings!$E$125:$I$172,5,FALSE),"none")</f>
        <v>none</v>
      </c>
      <c r="V966" s="5"/>
      <c r="X966" s="5"/>
      <c r="Y966" s="5"/>
      <c r="Z966" s="5"/>
      <c r="AA966" s="5"/>
      <c r="AB966" s="5"/>
      <c r="AC966" s="5"/>
      <c r="AG966" s="9"/>
      <c r="AH966" s="9"/>
    </row>
    <row r="967" spans="2:34" hidden="1">
      <c r="B967" s="4">
        <v>2019</v>
      </c>
      <c r="C967" s="4" t="s">
        <v>44</v>
      </c>
      <c r="F967" s="3" t="s">
        <v>2744</v>
      </c>
      <c r="G967" s="5" t="s">
        <v>2745</v>
      </c>
      <c r="H967" s="5" t="s">
        <v>2746</v>
      </c>
      <c r="I967" s="5" t="s">
        <v>127</v>
      </c>
      <c r="J967" s="7">
        <v>7000000</v>
      </c>
      <c r="K967" s="7">
        <v>7000000</v>
      </c>
      <c r="L967" s="7">
        <v>37000000</v>
      </c>
      <c r="O967" s="7">
        <v>106567164</v>
      </c>
      <c r="R967" s="5"/>
      <c r="S967" s="5" t="s">
        <v>631</v>
      </c>
      <c r="T967" s="5" t="s">
        <v>612</v>
      </c>
      <c r="U967" s="5"/>
      <c r="V967" s="5" t="s">
        <v>2747</v>
      </c>
      <c r="W967" s="5" t="s">
        <v>2748</v>
      </c>
      <c r="X967" s="39"/>
      <c r="Y967" s="5"/>
      <c r="Z967" s="5"/>
      <c r="AA967" s="5" t="s">
        <v>1563</v>
      </c>
      <c r="AB967" s="5" t="s">
        <v>2749</v>
      </c>
      <c r="AC967" s="5" t="s">
        <v>2750</v>
      </c>
      <c r="AD967" s="9">
        <v>9.1</v>
      </c>
      <c r="AE967" s="1" t="s">
        <v>1489</v>
      </c>
      <c r="AG967" s="9"/>
      <c r="AH967" s="9"/>
    </row>
    <row r="968" spans="2:34">
      <c r="B968" s="4">
        <v>2019</v>
      </c>
      <c r="C968" s="4" t="s">
        <v>44</v>
      </c>
      <c r="E968" s="55" t="s">
        <v>604</v>
      </c>
      <c r="F968" s="3" t="s">
        <v>604</v>
      </c>
      <c r="G968" s="5" t="s">
        <v>2751</v>
      </c>
      <c r="H968" s="5" t="s">
        <v>601</v>
      </c>
      <c r="I968" s="5" t="s">
        <v>129</v>
      </c>
      <c r="J968" s="7">
        <v>45000000</v>
      </c>
      <c r="K968" s="57" t="s">
        <v>1411</v>
      </c>
      <c r="L968" s="7">
        <v>8059701</v>
      </c>
      <c r="M968" s="41" t="s">
        <v>1501</v>
      </c>
      <c r="N968" s="7">
        <v>2795657</v>
      </c>
      <c r="O968" s="7">
        <v>22686567</v>
      </c>
      <c r="P968" s="7">
        <v>22687180</v>
      </c>
      <c r="Q968" s="7">
        <v>22687180</v>
      </c>
      <c r="R968" s="5" t="s">
        <v>666</v>
      </c>
      <c r="S968" s="5" t="s">
        <v>2752</v>
      </c>
      <c r="T968" s="5" t="s">
        <v>603</v>
      </c>
      <c r="U968" s="5" t="s">
        <v>1390</v>
      </c>
      <c r="V968" s="5" t="s">
        <v>2753</v>
      </c>
      <c r="W968" s="5" t="s">
        <v>2754</v>
      </c>
      <c r="X968" s="5" t="s">
        <v>2008</v>
      </c>
      <c r="Y968" s="5"/>
      <c r="Z968" s="5"/>
      <c r="AA968" s="5" t="s">
        <v>2755</v>
      </c>
      <c r="AB968" s="5"/>
      <c r="AC968" s="5" t="s">
        <v>2670</v>
      </c>
      <c r="AD968" s="9">
        <v>7.8</v>
      </c>
      <c r="AE968" s="1" t="s">
        <v>1489</v>
      </c>
      <c r="AG968" s="9"/>
      <c r="AH968" s="9"/>
    </row>
    <row r="969" spans="2:34" hidden="1">
      <c r="B969" s="4">
        <v>2019</v>
      </c>
      <c r="C969" s="4" t="s">
        <v>44</v>
      </c>
      <c r="F969" s="3" t="s">
        <v>2756</v>
      </c>
      <c r="G969" s="5" t="s">
        <v>2757</v>
      </c>
      <c r="H969" s="5" t="s">
        <v>1419</v>
      </c>
      <c r="I969" s="5" t="s">
        <v>127</v>
      </c>
      <c r="J969" s="7">
        <f>0.1*100000000/6.7</f>
        <v>1492537.3134328357</v>
      </c>
      <c r="K969" s="7" t="s">
        <v>1411</v>
      </c>
      <c r="L969" s="7">
        <f>0.08*100000000/6.7</f>
        <v>1194029.8507462686</v>
      </c>
      <c r="O969" s="7">
        <f>0.22*100000000/6.7</f>
        <v>3283582.0895522386</v>
      </c>
      <c r="R969" s="5"/>
      <c r="S969" s="5"/>
      <c r="T969" s="5"/>
      <c r="U969" s="5"/>
      <c r="V969" s="5" t="s">
        <v>2758</v>
      </c>
      <c r="W969" s="5" t="s">
        <v>2759</v>
      </c>
      <c r="X969" s="5"/>
      <c r="Y969" s="5"/>
      <c r="Z969" s="5"/>
      <c r="AA969" s="5" t="s">
        <v>2760</v>
      </c>
      <c r="AB969" s="5" t="s">
        <v>2760</v>
      </c>
      <c r="AC969" s="5" t="s">
        <v>2761</v>
      </c>
      <c r="AD969" s="9">
        <v>8.9</v>
      </c>
      <c r="AE969" s="1" t="s">
        <v>1489</v>
      </c>
      <c r="AG969" s="9"/>
      <c r="AH969" s="9"/>
    </row>
    <row r="970" spans="2:34" hidden="1">
      <c r="B970" s="4">
        <v>2019</v>
      </c>
      <c r="C970" s="4" t="s">
        <v>44</v>
      </c>
      <c r="F970" s="3" t="s">
        <v>2762</v>
      </c>
      <c r="G970" s="5" t="s">
        <v>2763</v>
      </c>
      <c r="H970" s="5" t="s">
        <v>1411</v>
      </c>
      <c r="I970" s="5" t="s">
        <v>148</v>
      </c>
      <c r="J970" s="7">
        <f>0.3*100000000/6.7</f>
        <v>4477611.940298507</v>
      </c>
      <c r="K970" s="7" t="s">
        <v>1411</v>
      </c>
      <c r="L970" s="7">
        <f>0.06*100000000/6.7</f>
        <v>895522.38805970142</v>
      </c>
      <c r="O970" s="7">
        <f>0.17*100000000/6.7</f>
        <v>2537313.4328358206</v>
      </c>
      <c r="R970" s="5"/>
      <c r="S970" s="5"/>
      <c r="T970" s="5"/>
      <c r="U970" s="5"/>
      <c r="V970" s="5" t="s">
        <v>2764</v>
      </c>
      <c r="W970" s="5" t="s">
        <v>2765</v>
      </c>
      <c r="X970" s="5" t="s">
        <v>2548</v>
      </c>
      <c r="Y970" s="5" t="s">
        <v>2766</v>
      </c>
      <c r="AA970" s="5" t="s">
        <v>2767</v>
      </c>
      <c r="AB970" s="5"/>
      <c r="AC970" s="5" t="s">
        <v>2768</v>
      </c>
      <c r="AD970" s="9">
        <v>5.7</v>
      </c>
      <c r="AE970" s="1" t="s">
        <v>1489</v>
      </c>
      <c r="AG970" s="9"/>
      <c r="AH970" s="9"/>
    </row>
    <row r="971" spans="2:34" hidden="1">
      <c r="B971" s="4">
        <v>2019</v>
      </c>
      <c r="C971" s="4" t="s">
        <v>44</v>
      </c>
      <c r="F971" s="3" t="s">
        <v>2769</v>
      </c>
      <c r="G971" s="5" t="s">
        <v>2770</v>
      </c>
      <c r="H971" s="5" t="s">
        <v>1658</v>
      </c>
      <c r="I971" s="5" t="s">
        <v>2771</v>
      </c>
      <c r="J971" s="7">
        <f>0.15*100000000/6.7</f>
        <v>2238805.9701492535</v>
      </c>
      <c r="K971" s="7" t="s">
        <v>1411</v>
      </c>
      <c r="L971" s="7">
        <f>0.05*100000000/6.7</f>
        <v>746268.65671641787</v>
      </c>
      <c r="O971" s="7">
        <f>0.14*100000000/6.7</f>
        <v>2089552.2388059704</v>
      </c>
      <c r="R971" s="5"/>
      <c r="S971" s="5"/>
      <c r="T971" s="5"/>
      <c r="U971" s="5"/>
      <c r="V971" s="5" t="s">
        <v>2772</v>
      </c>
      <c r="W971" s="5" t="s">
        <v>2773</v>
      </c>
      <c r="X971" s="5" t="s">
        <v>2774</v>
      </c>
      <c r="Y971" s="5" t="s">
        <v>2775</v>
      </c>
      <c r="AA971" s="5" t="s">
        <v>2776</v>
      </c>
      <c r="AB971" s="5"/>
      <c r="AC971" s="5" t="s">
        <v>2777</v>
      </c>
      <c r="AD971" s="9">
        <v>9.1</v>
      </c>
      <c r="AE971" s="1" t="s">
        <v>1489</v>
      </c>
      <c r="AG971" s="9"/>
      <c r="AH971" s="9"/>
    </row>
    <row r="972" spans="2:34" hidden="1">
      <c r="B972" s="4">
        <v>2019</v>
      </c>
      <c r="C972" s="4" t="s">
        <v>44</v>
      </c>
      <c r="F972" s="3" t="s">
        <v>2778</v>
      </c>
      <c r="G972" s="5" t="s">
        <v>2779</v>
      </c>
      <c r="H972" s="5" t="s">
        <v>2780</v>
      </c>
      <c r="I972" s="5" t="s">
        <v>2771</v>
      </c>
      <c r="J972" s="7">
        <f>0.1*100000000/6.7</f>
        <v>1492537.3134328357</v>
      </c>
      <c r="K972" s="7" t="s">
        <v>1411</v>
      </c>
      <c r="L972" s="7">
        <f>0.04*100000000/6.7</f>
        <v>597014.92537313432</v>
      </c>
      <c r="O972" s="7">
        <f>0.1*100000000/6.7</f>
        <v>1492537.3134328357</v>
      </c>
      <c r="R972" s="5"/>
      <c r="S972" s="5"/>
      <c r="T972" s="5"/>
      <c r="U972" s="5"/>
      <c r="V972" s="5" t="s">
        <v>2781</v>
      </c>
      <c r="W972" s="5" t="s">
        <v>2782</v>
      </c>
      <c r="X972" s="5" t="s">
        <v>2783</v>
      </c>
      <c r="Y972" s="5" t="s">
        <v>2784</v>
      </c>
      <c r="AA972" s="5" t="s">
        <v>2785</v>
      </c>
      <c r="AB972" s="5"/>
      <c r="AC972" s="5" t="s">
        <v>2786</v>
      </c>
      <c r="AD972" s="9">
        <v>7.9</v>
      </c>
      <c r="AE972" s="1" t="s">
        <v>1489</v>
      </c>
      <c r="AG972" s="9"/>
      <c r="AH972" s="9"/>
    </row>
    <row r="973" spans="2:34" hidden="1">
      <c r="B973" s="4">
        <v>2019</v>
      </c>
      <c r="C973" s="4" t="s">
        <v>44</v>
      </c>
      <c r="F973" s="3" t="s">
        <v>2787</v>
      </c>
      <c r="G973" s="5" t="s">
        <v>2788</v>
      </c>
      <c r="H973" s="5" t="s">
        <v>2789</v>
      </c>
      <c r="I973" s="5" t="s">
        <v>136</v>
      </c>
      <c r="J973" s="7">
        <f>0.4*100000000/6.7</f>
        <v>5970149.253731343</v>
      </c>
      <c r="K973" s="7" t="s">
        <v>1411</v>
      </c>
      <c r="L973" s="7">
        <f>0.03*100000000/6.7</f>
        <v>447761.19402985071</v>
      </c>
      <c r="O973" s="7">
        <f>0.08*100000000/6.7</f>
        <v>1194029.8507462686</v>
      </c>
      <c r="R973" s="5"/>
      <c r="S973" s="5"/>
      <c r="T973" s="5"/>
      <c r="U973" s="5"/>
      <c r="V973" s="5" t="s">
        <v>2790</v>
      </c>
      <c r="W973" s="5" t="s">
        <v>2791</v>
      </c>
      <c r="X973" s="5" t="s">
        <v>2792</v>
      </c>
      <c r="Y973" s="5" t="s">
        <v>2793</v>
      </c>
      <c r="AA973" s="5" t="s">
        <v>2794</v>
      </c>
      <c r="AB973" s="5"/>
      <c r="AC973" s="5" t="s">
        <v>2789</v>
      </c>
      <c r="AD973" s="9">
        <v>8.1</v>
      </c>
      <c r="AE973" s="1" t="s">
        <v>1489</v>
      </c>
      <c r="AG973" s="9"/>
      <c r="AH973" s="9"/>
    </row>
    <row r="974" spans="2:34" hidden="1">
      <c r="B974" s="4">
        <v>2019</v>
      </c>
      <c r="C974" s="4" t="s">
        <v>44</v>
      </c>
      <c r="F974" s="3" t="s">
        <v>2795</v>
      </c>
      <c r="G974" s="5" t="s">
        <v>2796</v>
      </c>
      <c r="H974" s="5" t="s">
        <v>1411</v>
      </c>
      <c r="I974" s="5" t="s">
        <v>136</v>
      </c>
      <c r="J974" s="7">
        <f>0.1*100000000/6.7</f>
        <v>1492537.3134328357</v>
      </c>
      <c r="K974" s="7" t="s">
        <v>1411</v>
      </c>
      <c r="L974" s="7">
        <f>0.02*100000000/6.7</f>
        <v>298507.46268656716</v>
      </c>
      <c r="O974" s="7">
        <f>0.05*100000000/6.7</f>
        <v>746268.65671641787</v>
      </c>
      <c r="R974" s="5"/>
      <c r="S974" s="5"/>
      <c r="T974" s="5"/>
      <c r="U974" s="5"/>
      <c r="V974" s="5" t="s">
        <v>2797</v>
      </c>
      <c r="W974" s="5" t="s">
        <v>2798</v>
      </c>
      <c r="X974" s="5" t="s">
        <v>2630</v>
      </c>
      <c r="Y974" s="5" t="s">
        <v>2799</v>
      </c>
      <c r="AA974" s="5" t="s">
        <v>2800</v>
      </c>
      <c r="AB974" s="5"/>
      <c r="AC974" s="5" t="s">
        <v>2801</v>
      </c>
      <c r="AD974" s="9">
        <v>8.1999999999999993</v>
      </c>
      <c r="AE974" s="1" t="s">
        <v>1489</v>
      </c>
      <c r="AG974" s="9"/>
      <c r="AH974" s="9"/>
    </row>
    <row r="975" spans="2:34" hidden="1">
      <c r="B975" s="4">
        <v>2019</v>
      </c>
      <c r="C975" s="4" t="s">
        <v>44</v>
      </c>
      <c r="F975" s="3" t="s">
        <v>2802</v>
      </c>
      <c r="G975" s="5" t="s">
        <v>2803</v>
      </c>
      <c r="H975" s="5" t="s">
        <v>2789</v>
      </c>
      <c r="I975" s="5" t="s">
        <v>129</v>
      </c>
      <c r="J975" s="7">
        <f>0.2*100000000/6.7</f>
        <v>2985074.6268656715</v>
      </c>
      <c r="K975" s="7" t="s">
        <v>1411</v>
      </c>
      <c r="L975" s="7">
        <f>0.15*100000000/6.7</f>
        <v>2238805.9701492535</v>
      </c>
      <c r="O975" s="7">
        <f>0.43*100000000/6.7</f>
        <v>6417910.4477611938</v>
      </c>
      <c r="R975" s="5"/>
      <c r="S975" s="5"/>
      <c r="T975" s="5"/>
      <c r="U975" s="5"/>
      <c r="V975" s="5" t="s">
        <v>2804</v>
      </c>
      <c r="W975" s="5" t="s">
        <v>203</v>
      </c>
      <c r="X975" s="5"/>
      <c r="Y975" s="5"/>
      <c r="AA975" s="5" t="s">
        <v>2403</v>
      </c>
      <c r="AB975" s="5"/>
      <c r="AC975" s="5" t="s">
        <v>2805</v>
      </c>
      <c r="AD975" s="9">
        <v>8.9</v>
      </c>
      <c r="AE975" s="9" t="s">
        <v>1489</v>
      </c>
      <c r="AG975" s="9"/>
      <c r="AH975" s="9"/>
    </row>
    <row r="976" spans="2:34" ht="15" hidden="1">
      <c r="B976" s="4">
        <v>2018</v>
      </c>
      <c r="C976" s="4" t="s">
        <v>44</v>
      </c>
      <c r="F976" s="3" t="s">
        <v>2806</v>
      </c>
      <c r="G976" s="5" t="s">
        <v>2807</v>
      </c>
      <c r="H976" s="5" t="s">
        <v>1411</v>
      </c>
      <c r="I976" s="5" t="s">
        <v>131</v>
      </c>
      <c r="J976" s="7">
        <f>50000000/6.7</f>
        <v>7462686.5671641789</v>
      </c>
      <c r="K976" s="7">
        <f>50000000/6.7</f>
        <v>7462686.5671641789</v>
      </c>
      <c r="L976" s="7">
        <f>2.15*100000000/6.7</f>
        <v>32089552.238805968</v>
      </c>
      <c r="O976" s="7">
        <f>5.68*100000000/6.7</f>
        <v>84776119.402985066</v>
      </c>
      <c r="R976" s="5"/>
      <c r="S976" s="5"/>
      <c r="T976" s="5"/>
      <c r="U976" s="5"/>
      <c r="V976" s="5" t="s">
        <v>2808</v>
      </c>
      <c r="W976" s="5" t="s">
        <v>2809</v>
      </c>
      <c r="X976" s="5"/>
      <c r="Y976" s="5"/>
      <c r="AA976" s="5" t="s">
        <v>1563</v>
      </c>
      <c r="AB976" s="5" t="s">
        <v>2749</v>
      </c>
      <c r="AC976" s="5" t="s">
        <v>2750</v>
      </c>
      <c r="AD976" s="9">
        <v>9.1</v>
      </c>
      <c r="AE976" s="9" t="s">
        <v>1489</v>
      </c>
    </row>
    <row r="977" spans="2:31" hidden="1">
      <c r="B977" s="4">
        <v>2018</v>
      </c>
      <c r="C977" s="4" t="s">
        <v>44</v>
      </c>
      <c r="F977" s="3" t="s">
        <v>2810</v>
      </c>
      <c r="G977" s="5" t="s">
        <v>2811</v>
      </c>
      <c r="H977" s="5" t="s">
        <v>1411</v>
      </c>
      <c r="I977" s="5" t="s">
        <v>129</v>
      </c>
      <c r="J977" s="7">
        <f>100000000/6.7</f>
        <v>14925373.134328358</v>
      </c>
      <c r="K977" s="7">
        <f>20000000/6.7</f>
        <v>2985074.6268656715</v>
      </c>
      <c r="L977" s="7">
        <f>13460000/6.7</f>
        <v>2008955.2238805969</v>
      </c>
      <c r="O977" s="7">
        <f>36690000/6.7</f>
        <v>5476119.4029850746</v>
      </c>
      <c r="R977" s="5"/>
      <c r="S977" s="5"/>
      <c r="T977" s="5"/>
      <c r="U977" s="5"/>
      <c r="V977" s="5" t="s">
        <v>2812</v>
      </c>
      <c r="W977" s="5" t="s">
        <v>1411</v>
      </c>
      <c r="X977" s="5" t="s">
        <v>2813</v>
      </c>
      <c r="Y977" s="5" t="s">
        <v>2290</v>
      </c>
      <c r="AA977" s="5" t="s">
        <v>2814</v>
      </c>
      <c r="AB977" s="5"/>
      <c r="AC977" s="5" t="s">
        <v>1417</v>
      </c>
      <c r="AD977" s="9">
        <v>6.8</v>
      </c>
      <c r="AE977" s="9" t="s">
        <v>1489</v>
      </c>
    </row>
    <row r="978" spans="2:31" hidden="1">
      <c r="B978" s="4">
        <v>2018</v>
      </c>
      <c r="C978" s="4" t="s">
        <v>44</v>
      </c>
      <c r="F978" s="3" t="s">
        <v>2815</v>
      </c>
      <c r="G978" s="5" t="s">
        <v>2816</v>
      </c>
      <c r="H978" s="5" t="s">
        <v>1410</v>
      </c>
      <c r="I978" s="5" t="s">
        <v>129</v>
      </c>
      <c r="J978" s="7">
        <f>200000000/6.7</f>
        <v>29850746.268656716</v>
      </c>
      <c r="K978" s="7">
        <f>10000000/6.7</f>
        <v>1492537.3134328357</v>
      </c>
      <c r="L978" s="7">
        <f>12800000/6.7</f>
        <v>1910447.7611940298</v>
      </c>
      <c r="O978" s="7">
        <f>34910000/6.7</f>
        <v>5210447.7611940298</v>
      </c>
      <c r="R978" s="5"/>
      <c r="S978" s="5"/>
      <c r="T978" s="5"/>
      <c r="U978" s="5"/>
      <c r="V978" s="5" t="s">
        <v>2817</v>
      </c>
      <c r="W978" s="5" t="s">
        <v>2818</v>
      </c>
      <c r="X978" s="5" t="s">
        <v>2819</v>
      </c>
      <c r="Y978" s="5" t="s">
        <v>2820</v>
      </c>
      <c r="AA978" s="5" t="s">
        <v>2821</v>
      </c>
      <c r="AB978" s="5"/>
      <c r="AC978" s="5" t="s">
        <v>1948</v>
      </c>
      <c r="AD978" s="9">
        <v>8.8000000000000007</v>
      </c>
      <c r="AE978" s="9" t="s">
        <v>1489</v>
      </c>
    </row>
    <row r="979" spans="2:31" hidden="1">
      <c r="B979" s="4">
        <v>2018</v>
      </c>
      <c r="C979" s="4" t="s">
        <v>44</v>
      </c>
      <c r="F979" s="3" t="s">
        <v>2822</v>
      </c>
      <c r="G979" s="5" t="s">
        <v>408</v>
      </c>
      <c r="H979" s="5" t="s">
        <v>1585</v>
      </c>
      <c r="I979" s="5" t="s">
        <v>1402</v>
      </c>
      <c r="J979" s="7">
        <f>40000000/6.7</f>
        <v>5970149.253731343</v>
      </c>
      <c r="K979" s="7">
        <f>10000000/6.7</f>
        <v>1492537.3134328357</v>
      </c>
      <c r="L979" s="7">
        <f>7460000/6.7</f>
        <v>1113432.8358208954</v>
      </c>
      <c r="O979" s="7">
        <f>20350000/6.7</f>
        <v>3037313.4328358206</v>
      </c>
      <c r="R979" s="5"/>
      <c r="S979" s="5"/>
      <c r="T979" s="5"/>
      <c r="U979" s="5"/>
      <c r="V979" s="5" t="s">
        <v>2823</v>
      </c>
      <c r="W979" s="5" t="s">
        <v>2824</v>
      </c>
      <c r="X979" s="5" t="s">
        <v>2825</v>
      </c>
      <c r="Y979" s="5" t="s">
        <v>2826</v>
      </c>
      <c r="AA979" s="5" t="s">
        <v>2403</v>
      </c>
      <c r="AB979" s="5"/>
      <c r="AC979" s="5" t="s">
        <v>2827</v>
      </c>
      <c r="AD979" s="9">
        <v>8.6</v>
      </c>
      <c r="AE979" s="9" t="s">
        <v>1489</v>
      </c>
    </row>
    <row r="980" spans="2:31" hidden="1">
      <c r="B980" s="4">
        <v>2017</v>
      </c>
      <c r="C980" s="4" t="s">
        <v>44</v>
      </c>
      <c r="F980" s="3" t="s">
        <v>2828</v>
      </c>
      <c r="G980" s="5" t="s">
        <v>2829</v>
      </c>
      <c r="H980" s="5" t="s">
        <v>1411</v>
      </c>
      <c r="I980" s="5" t="s">
        <v>131</v>
      </c>
      <c r="J980" s="7">
        <f>1.5*100000000/6.7</f>
        <v>22388059.701492537</v>
      </c>
      <c r="K980" s="7">
        <f>40000000/6.7</f>
        <v>5970149.253731343</v>
      </c>
      <c r="L980" s="7">
        <f>1.07*100000000/6.7</f>
        <v>15970149.253731342</v>
      </c>
      <c r="O980" s="7">
        <f>2.86*100000000/6.7</f>
        <v>42686567.164179102</v>
      </c>
      <c r="R980" s="5"/>
      <c r="S980" s="5"/>
      <c r="T980" s="5"/>
      <c r="U980" s="5"/>
      <c r="V980" s="5" t="s">
        <v>2830</v>
      </c>
      <c r="W980" s="5" t="s">
        <v>1411</v>
      </c>
      <c r="X980" s="5" t="s">
        <v>2357</v>
      </c>
      <c r="Y980" s="5" t="s">
        <v>2026</v>
      </c>
      <c r="AA980" s="5" t="s">
        <v>2831</v>
      </c>
      <c r="AB980" s="5"/>
      <c r="AC980" s="5" t="s">
        <v>2743</v>
      </c>
      <c r="AD980" s="9">
        <v>7.7</v>
      </c>
      <c r="AE980" s="9" t="s">
        <v>1489</v>
      </c>
    </row>
    <row r="981" spans="2:31" hidden="1">
      <c r="B981" s="4">
        <v>2017</v>
      </c>
      <c r="C981" s="4" t="s">
        <v>44</v>
      </c>
      <c r="F981" s="3" t="s">
        <v>2832</v>
      </c>
      <c r="G981" s="5" t="s">
        <v>2833</v>
      </c>
      <c r="H981" s="5" t="s">
        <v>1411</v>
      </c>
      <c r="I981" s="5" t="s">
        <v>1403</v>
      </c>
      <c r="J981" s="7">
        <f>1*100000000/6.7</f>
        <v>14925373.134328358</v>
      </c>
      <c r="K981" s="7">
        <f>40000000/6.7</f>
        <v>5970149.253731343</v>
      </c>
      <c r="L981" s="7">
        <f>1.04*100000000/6.7</f>
        <v>15522388.059701493</v>
      </c>
      <c r="O981" s="7">
        <f>2.78*100000000/6.7</f>
        <v>41492537.313432835</v>
      </c>
      <c r="R981" s="5"/>
      <c r="S981" s="5"/>
      <c r="T981" s="5"/>
      <c r="U981" s="5"/>
      <c r="V981" s="5" t="s">
        <v>2333</v>
      </c>
      <c r="W981" s="5" t="s">
        <v>2334</v>
      </c>
      <c r="X981" s="5" t="s">
        <v>1639</v>
      </c>
      <c r="Y981" s="5" t="s">
        <v>2151</v>
      </c>
      <c r="AA981" s="5" t="s">
        <v>2337</v>
      </c>
      <c r="AB981" s="5"/>
      <c r="AC981" s="5" t="s">
        <v>1948</v>
      </c>
      <c r="AD981" s="9">
        <v>8.6</v>
      </c>
      <c r="AE981" s="9" t="s">
        <v>1489</v>
      </c>
    </row>
    <row r="982" spans="2:31" hidden="1">
      <c r="B982" s="4">
        <v>2017</v>
      </c>
      <c r="C982" s="4" t="s">
        <v>44</v>
      </c>
      <c r="F982" s="3" t="s">
        <v>2834</v>
      </c>
      <c r="G982" s="5" t="s">
        <v>2835</v>
      </c>
      <c r="H982" s="5" t="s">
        <v>1410</v>
      </c>
      <c r="I982" s="5" t="s">
        <v>131</v>
      </c>
      <c r="J982" s="7">
        <f>1*100000000/6.7</f>
        <v>14925373.134328358</v>
      </c>
      <c r="K982" s="7">
        <f>50000000/6.7</f>
        <v>7462686.5671641789</v>
      </c>
      <c r="L982" s="7">
        <f>780760000/6.7</f>
        <v>116531343.28358209</v>
      </c>
      <c r="O982" s="7">
        <f>2.09*100000000/6.7</f>
        <v>31194029.850746267</v>
      </c>
      <c r="R982" s="5"/>
      <c r="S982" s="5"/>
      <c r="T982" s="5"/>
      <c r="U982" s="5"/>
      <c r="V982" s="5" t="s">
        <v>2836</v>
      </c>
      <c r="W982" s="5" t="s">
        <v>2837</v>
      </c>
      <c r="X982" s="5" t="s">
        <v>2838</v>
      </c>
      <c r="Y982" s="5" t="s">
        <v>2431</v>
      </c>
      <c r="AA982" s="5" t="s">
        <v>2839</v>
      </c>
      <c r="AB982" s="5"/>
      <c r="AC982" s="5" t="s">
        <v>1948</v>
      </c>
      <c r="AD982" s="9">
        <v>8.5</v>
      </c>
      <c r="AE982" s="9" t="s">
        <v>1489</v>
      </c>
    </row>
    <row r="983" spans="2:31" ht="15" hidden="1">
      <c r="B983" s="4">
        <v>2017</v>
      </c>
      <c r="C983" s="4" t="s">
        <v>44</v>
      </c>
      <c r="F983" s="3" t="s">
        <v>2840</v>
      </c>
      <c r="G983" s="5" t="s">
        <v>2841</v>
      </c>
      <c r="H983" s="5" t="s">
        <v>1410</v>
      </c>
      <c r="I983" s="5" t="s">
        <v>1402</v>
      </c>
      <c r="J983" s="7">
        <f>18000000/6.7</f>
        <v>2686567.1641791044</v>
      </c>
      <c r="K983" s="7">
        <f>20000000/6.7</f>
        <v>2985074.6268656715</v>
      </c>
      <c r="L983" s="7">
        <f>45743000/6.7</f>
        <v>6827313.4328358211</v>
      </c>
      <c r="O983" s="7">
        <f>1.23*100000000/6.7</f>
        <v>18358208.955223881</v>
      </c>
      <c r="R983" s="5"/>
      <c r="S983" s="5"/>
      <c r="T983" s="5"/>
      <c r="U983" s="5"/>
      <c r="V983" s="5" t="s">
        <v>2842</v>
      </c>
      <c r="W983" s="5" t="s">
        <v>2843</v>
      </c>
      <c r="X983" s="5" t="s">
        <v>2844</v>
      </c>
      <c r="Y983" s="5" t="s">
        <v>2845</v>
      </c>
      <c r="AA983" s="5" t="s">
        <v>2846</v>
      </c>
      <c r="AB983" s="5" t="s">
        <v>2847</v>
      </c>
      <c r="AC983" s="5" t="s">
        <v>2848</v>
      </c>
      <c r="AD983" s="9">
        <v>8.6999999999999993</v>
      </c>
      <c r="AE983" s="9" t="s">
        <v>1489</v>
      </c>
    </row>
    <row r="984" spans="2:31" ht="15" hidden="1">
      <c r="B984" s="4">
        <v>2017</v>
      </c>
      <c r="C984" s="4" t="s">
        <v>44</v>
      </c>
      <c r="F984" s="22">
        <v>42748</v>
      </c>
      <c r="G984" s="5" t="s">
        <v>2849</v>
      </c>
      <c r="H984" s="5" t="s">
        <v>2850</v>
      </c>
      <c r="I984" s="5" t="s">
        <v>1402</v>
      </c>
      <c r="J984" s="7">
        <f>30000000/6.7</f>
        <v>4477611.940298507</v>
      </c>
      <c r="K984" s="7">
        <f>5000000/6.7</f>
        <v>746268.65671641787</v>
      </c>
      <c r="L984" s="7">
        <f>43863000/6.7</f>
        <v>6546716.4179104473</v>
      </c>
      <c r="O984" s="7">
        <f>1.18*100000000/6.7</f>
        <v>17611940.298507463</v>
      </c>
      <c r="R984" s="5"/>
      <c r="S984" s="5"/>
      <c r="T984" s="5"/>
      <c r="U984" s="5"/>
      <c r="V984" s="5" t="s">
        <v>2851</v>
      </c>
      <c r="W984" s="5" t="s">
        <v>2849</v>
      </c>
      <c r="X984" s="39" t="s">
        <v>1411</v>
      </c>
      <c r="Y984" s="5"/>
      <c r="AA984" s="5" t="s">
        <v>2852</v>
      </c>
      <c r="AB984" s="5"/>
      <c r="AC984" s="5" t="s">
        <v>2853</v>
      </c>
      <c r="AD984" s="9">
        <v>8.5</v>
      </c>
      <c r="AE984" s="9" t="s">
        <v>1489</v>
      </c>
    </row>
    <row r="985" spans="2:31" hidden="1">
      <c r="B985" s="4">
        <v>2017</v>
      </c>
      <c r="C985" s="4" t="s">
        <v>44</v>
      </c>
      <c r="F985" s="3" t="s">
        <v>2854</v>
      </c>
      <c r="G985" s="5" t="s">
        <v>2855</v>
      </c>
      <c r="H985" s="5" t="s">
        <v>2856</v>
      </c>
      <c r="I985" s="5" t="s">
        <v>136</v>
      </c>
      <c r="J985" s="7">
        <f>100000000/6.7</f>
        <v>14925373.134328358</v>
      </c>
      <c r="K985" s="7">
        <f>30000000/6.7</f>
        <v>4477611.940298507</v>
      </c>
      <c r="L985" s="7">
        <f>41983000/6.7</f>
        <v>6266119.4029850746</v>
      </c>
      <c r="O985" s="7">
        <f>1.13*1000000/6.7</f>
        <v>168656.71641791044</v>
      </c>
      <c r="R985" s="5"/>
      <c r="S985" s="5"/>
      <c r="T985" s="5"/>
      <c r="U985" s="5"/>
      <c r="V985" s="5" t="s">
        <v>2857</v>
      </c>
      <c r="W985" s="5" t="s">
        <v>2855</v>
      </c>
      <c r="X985" s="5" t="s">
        <v>2858</v>
      </c>
      <c r="Y985" s="5" t="s">
        <v>2859</v>
      </c>
      <c r="AA985" s="5" t="s">
        <v>2860</v>
      </c>
      <c r="AB985" s="5"/>
      <c r="AC985" s="5" t="s">
        <v>2861</v>
      </c>
      <c r="AD985" s="9">
        <v>7.8</v>
      </c>
      <c r="AE985" s="9" t="s">
        <v>1489</v>
      </c>
    </row>
    <row r="986" spans="2:31" hidden="1">
      <c r="B986" s="4">
        <v>2017</v>
      </c>
      <c r="C986" s="4" t="s">
        <v>44</v>
      </c>
      <c r="F986" s="3" t="s">
        <v>2854</v>
      </c>
      <c r="G986" s="5" t="s">
        <v>2862</v>
      </c>
      <c r="H986" s="5" t="s">
        <v>2863</v>
      </c>
      <c r="I986" s="5" t="s">
        <v>136</v>
      </c>
      <c r="J986" s="7">
        <f>60000000/6.7</f>
        <v>8955223.880597014</v>
      </c>
      <c r="K986" s="7">
        <f>35000000/6.7</f>
        <v>5223880.5970149254</v>
      </c>
      <c r="L986" s="7">
        <f>36650000/6.7</f>
        <v>5470149.253731343</v>
      </c>
      <c r="O986" s="7">
        <f>98820000/6.7</f>
        <v>14749253.731343282</v>
      </c>
      <c r="R986" s="5"/>
      <c r="S986" s="5"/>
      <c r="T986" s="5"/>
      <c r="U986" s="5"/>
      <c r="V986" s="5" t="s">
        <v>2864</v>
      </c>
      <c r="W986" s="5" t="s">
        <v>1411</v>
      </c>
      <c r="X986" s="5" t="s">
        <v>2865</v>
      </c>
      <c r="Y986" s="5" t="s">
        <v>2563</v>
      </c>
      <c r="AA986" s="5" t="s">
        <v>2866</v>
      </c>
      <c r="AB986" s="5"/>
      <c r="AC986" s="5" t="s">
        <v>2495</v>
      </c>
      <c r="AD986" s="9">
        <v>7.2</v>
      </c>
      <c r="AE986" s="9" t="s">
        <v>1489</v>
      </c>
    </row>
    <row r="987" spans="2:31" hidden="1">
      <c r="B987" s="4">
        <v>2017</v>
      </c>
      <c r="C987" s="4" t="s">
        <v>44</v>
      </c>
      <c r="F987" s="3" t="s">
        <v>2854</v>
      </c>
      <c r="G987" s="5" t="s">
        <v>2867</v>
      </c>
      <c r="H987" s="5" t="s">
        <v>1411</v>
      </c>
      <c r="I987" s="5" t="s">
        <v>129</v>
      </c>
      <c r="J987" s="7">
        <f>1.2*100000000/6.7</f>
        <v>17910447.761194028</v>
      </c>
      <c r="K987" s="7">
        <f>20000000/6.7</f>
        <v>2985074.6268656715</v>
      </c>
      <c r="L987" s="7">
        <f>37050000/6.7</f>
        <v>5529850.7462686561</v>
      </c>
      <c r="O987" s="7">
        <f>99870000/6.7</f>
        <v>14905970.149253732</v>
      </c>
      <c r="R987" s="5"/>
      <c r="S987" s="5"/>
      <c r="T987" s="5"/>
      <c r="U987" s="5"/>
      <c r="V987" s="5" t="s">
        <v>2868</v>
      </c>
      <c r="W987" s="5" t="s">
        <v>1411</v>
      </c>
      <c r="X987" s="5" t="s">
        <v>2869</v>
      </c>
      <c r="Y987" s="5" t="s">
        <v>2870</v>
      </c>
      <c r="AA987" s="5" t="s">
        <v>1825</v>
      </c>
      <c r="AB987" s="5"/>
      <c r="AC987" s="5" t="s">
        <v>2871</v>
      </c>
      <c r="AD987" s="9">
        <v>7.6</v>
      </c>
      <c r="AE987" s="9" t="s">
        <v>1489</v>
      </c>
    </row>
    <row r="988" spans="2:31" ht="15" hidden="1">
      <c r="B988" s="4">
        <v>2017</v>
      </c>
      <c r="C988" s="4" t="s">
        <v>44</v>
      </c>
      <c r="F988" s="22">
        <v>42906</v>
      </c>
      <c r="G988" s="4" t="s">
        <v>2872</v>
      </c>
      <c r="H988" s="5" t="s">
        <v>2873</v>
      </c>
      <c r="I988" s="5" t="s">
        <v>131</v>
      </c>
      <c r="J988" s="7">
        <f>15000000/6.7</f>
        <v>2238805.9701492535</v>
      </c>
      <c r="K988" s="7">
        <f>5000000/6.7</f>
        <v>746268.65671641787</v>
      </c>
      <c r="L988" s="7">
        <f>34230000/6.7</f>
        <v>5108955.2238805965</v>
      </c>
      <c r="O988" s="7">
        <f>92380000/6.7</f>
        <v>13788059.701492537</v>
      </c>
      <c r="R988" s="5"/>
      <c r="S988" s="5"/>
      <c r="T988" s="5"/>
      <c r="U988" s="5"/>
      <c r="V988" s="5" t="s">
        <v>2874</v>
      </c>
      <c r="W988" s="5" t="s">
        <v>2872</v>
      </c>
      <c r="X988" s="5" t="s">
        <v>2875</v>
      </c>
      <c r="Y988" s="5" t="s">
        <v>2876</v>
      </c>
      <c r="Z988" s="5"/>
      <c r="AA988" s="5" t="s">
        <v>2877</v>
      </c>
      <c r="AB988" s="5"/>
      <c r="AC988" s="5" t="s">
        <v>2743</v>
      </c>
      <c r="AD988" s="9">
        <v>8.8000000000000007</v>
      </c>
      <c r="AE988" s="9" t="s">
        <v>1489</v>
      </c>
    </row>
    <row r="989" spans="2:31" hidden="1">
      <c r="B989" s="4">
        <v>2017</v>
      </c>
      <c r="C989" s="4" t="s">
        <v>44</v>
      </c>
      <c r="F989" s="3" t="s">
        <v>2878</v>
      </c>
      <c r="G989" s="5" t="s">
        <v>2879</v>
      </c>
      <c r="H989" s="5" t="s">
        <v>1411</v>
      </c>
      <c r="I989" s="5" t="s">
        <v>129</v>
      </c>
      <c r="J989" s="7">
        <f>60000000/6.7</f>
        <v>8955223.880597014</v>
      </c>
      <c r="K989" s="7">
        <f>20000000/6.7</f>
        <v>2985074.6268656715</v>
      </c>
      <c r="L989" s="7">
        <f>33480000/6.7</f>
        <v>4997014.9253731342</v>
      </c>
      <c r="O989" s="7">
        <f>90380000/6.7</f>
        <v>13489552.23880597</v>
      </c>
      <c r="R989" s="5"/>
      <c r="S989" s="5"/>
      <c r="T989" s="5"/>
      <c r="U989" s="5"/>
      <c r="V989" s="5" t="s">
        <v>2880</v>
      </c>
      <c r="W989" s="5" t="s">
        <v>2879</v>
      </c>
      <c r="X989" s="5" t="s">
        <v>1962</v>
      </c>
      <c r="Y989" s="5" t="s">
        <v>2881</v>
      </c>
      <c r="Z989" s="5" t="s">
        <v>2882</v>
      </c>
      <c r="AA989" s="5" t="s">
        <v>2151</v>
      </c>
      <c r="AB989" s="5"/>
      <c r="AC989" s="5" t="s">
        <v>1948</v>
      </c>
      <c r="AD989" s="9">
        <v>8.4</v>
      </c>
      <c r="AE989" s="9" t="s">
        <v>1489</v>
      </c>
    </row>
    <row r="990" spans="2:31" ht="15" hidden="1">
      <c r="B990" s="4">
        <v>2017</v>
      </c>
      <c r="C990" s="4" t="s">
        <v>44</v>
      </c>
      <c r="F990" s="3" t="s">
        <v>2883</v>
      </c>
      <c r="G990" s="5" t="s">
        <v>2884</v>
      </c>
      <c r="H990" s="5" t="s">
        <v>2067</v>
      </c>
      <c r="I990" s="5" t="s">
        <v>1402</v>
      </c>
      <c r="J990" s="7">
        <f>5000000/6.7</f>
        <v>746268.65671641787</v>
      </c>
      <c r="K990" s="7">
        <f>3000000/6.7</f>
        <v>447761.19402985071</v>
      </c>
      <c r="L990" s="7">
        <f>30430000/6.7</f>
        <v>4541791.0447761193</v>
      </c>
      <c r="O990" s="7">
        <f>82260000/6.7</f>
        <v>12277611.940298507</v>
      </c>
      <c r="R990" s="5"/>
      <c r="S990" s="5"/>
      <c r="T990" s="5"/>
      <c r="U990" s="5"/>
      <c r="V990" s="5" t="s">
        <v>2885</v>
      </c>
      <c r="W990" s="5" t="s">
        <v>2884</v>
      </c>
      <c r="X990" s="5" t="s">
        <v>1973</v>
      </c>
      <c r="Y990" s="5" t="s">
        <v>2886</v>
      </c>
      <c r="Z990" s="5"/>
      <c r="AA990" s="5" t="s">
        <v>2887</v>
      </c>
      <c r="AB990" s="5"/>
      <c r="AC990" s="5" t="s">
        <v>1411</v>
      </c>
      <c r="AD990" s="9">
        <v>6.4</v>
      </c>
      <c r="AE990" s="9" t="s">
        <v>1489</v>
      </c>
    </row>
    <row r="991" spans="2:31" hidden="1">
      <c r="B991" s="4">
        <v>2017</v>
      </c>
      <c r="C991" s="4" t="s">
        <v>44</v>
      </c>
      <c r="F991" s="3" t="s">
        <v>2888</v>
      </c>
      <c r="G991" s="5" t="s">
        <v>2889</v>
      </c>
      <c r="H991" s="5" t="s">
        <v>2890</v>
      </c>
      <c r="I991" s="5" t="s">
        <v>1402</v>
      </c>
      <c r="J991" s="7">
        <f>5000000/6.7</f>
        <v>746268.65671641787</v>
      </c>
      <c r="K991" s="7">
        <f>3000000/6.7</f>
        <v>447761.19402985071</v>
      </c>
      <c r="L991" s="7">
        <f>26620000/6.7</f>
        <v>3973134.3283582088</v>
      </c>
      <c r="O991" s="7">
        <f>72140000/6.7</f>
        <v>10767164.179104477</v>
      </c>
      <c r="R991" s="5"/>
      <c r="S991" s="5"/>
      <c r="T991" s="5"/>
      <c r="U991" s="5"/>
      <c r="V991" s="5" t="s">
        <v>2891</v>
      </c>
      <c r="W991" s="5" t="s">
        <v>2889</v>
      </c>
      <c r="X991" s="5" t="s">
        <v>2819</v>
      </c>
      <c r="Y991" s="5" t="s">
        <v>2892</v>
      </c>
      <c r="Z991" s="5" t="s">
        <v>2893</v>
      </c>
      <c r="AA991" s="5" t="s">
        <v>2894</v>
      </c>
      <c r="AB991" s="5"/>
      <c r="AC991" s="5" t="s">
        <v>2526</v>
      </c>
      <c r="AD991" s="9">
        <v>8.3000000000000007</v>
      </c>
      <c r="AE991" s="9" t="s">
        <v>1489</v>
      </c>
    </row>
    <row r="992" spans="2:31" hidden="1">
      <c r="B992" s="4">
        <v>2017</v>
      </c>
      <c r="C992" s="4" t="s">
        <v>44</v>
      </c>
      <c r="F992" s="3" t="s">
        <v>2895</v>
      </c>
      <c r="G992" s="5" t="s">
        <v>2896</v>
      </c>
      <c r="H992" s="5" t="s">
        <v>2455</v>
      </c>
      <c r="I992" s="5" t="s">
        <v>136</v>
      </c>
      <c r="J992" s="7">
        <f>20000000/6.7</f>
        <v>2985074.6268656715</v>
      </c>
      <c r="K992" s="7">
        <f>10000000/6.7</f>
        <v>1492537.3134328357</v>
      </c>
      <c r="L992" s="7">
        <f>23490000/6.7</f>
        <v>3505970.1492537311</v>
      </c>
      <c r="O992" s="7">
        <f>66850000/6.7</f>
        <v>9977611.940298507</v>
      </c>
      <c r="R992" s="5"/>
      <c r="S992" s="5"/>
      <c r="T992" s="5"/>
      <c r="U992" s="5"/>
      <c r="V992" s="5" t="s">
        <v>2897</v>
      </c>
      <c r="W992" s="5" t="s">
        <v>2896</v>
      </c>
      <c r="X992" s="5" t="s">
        <v>2427</v>
      </c>
      <c r="Y992" s="5" t="s">
        <v>2425</v>
      </c>
      <c r="Z992" s="5"/>
      <c r="AA992" s="5" t="s">
        <v>2898</v>
      </c>
      <c r="AB992" s="5"/>
      <c r="AC992" s="5" t="s">
        <v>2899</v>
      </c>
      <c r="AD992" s="9">
        <v>4.7</v>
      </c>
      <c r="AE992" s="9" t="s">
        <v>1489</v>
      </c>
    </row>
    <row r="993" spans="1:34" hidden="1">
      <c r="B993" s="4">
        <v>2017</v>
      </c>
      <c r="C993" s="4" t="s">
        <v>44</v>
      </c>
      <c r="F993" s="3" t="s">
        <v>2900</v>
      </c>
      <c r="G993" s="5" t="s">
        <v>2901</v>
      </c>
      <c r="H993" s="5" t="s">
        <v>2369</v>
      </c>
      <c r="I993" s="5" t="s">
        <v>136</v>
      </c>
      <c r="J993" s="7">
        <f>30000000/6.7</f>
        <v>4477611.940298507</v>
      </c>
      <c r="K993" s="7">
        <f>10000000/6.7</f>
        <v>1492537.3134328357</v>
      </c>
      <c r="L993" s="7">
        <f>21800000/6.7</f>
        <v>3253731.343283582</v>
      </c>
      <c r="O993" s="7">
        <f>59316000/6.7</f>
        <v>8853134.3283582088</v>
      </c>
      <c r="R993" s="5"/>
      <c r="S993" s="5"/>
      <c r="T993" s="5"/>
      <c r="U993" s="5"/>
      <c r="V993" s="5" t="s">
        <v>2902</v>
      </c>
      <c r="W993" s="5" t="s">
        <v>2901</v>
      </c>
      <c r="X993" s="5" t="s">
        <v>2425</v>
      </c>
      <c r="Y993" s="5" t="s">
        <v>1985</v>
      </c>
      <c r="Z993" s="5"/>
      <c r="AA993" s="5" t="s">
        <v>2903</v>
      </c>
      <c r="AB993" s="5"/>
      <c r="AC993" s="5" t="s">
        <v>2904</v>
      </c>
      <c r="AD993" s="9">
        <v>7.5</v>
      </c>
      <c r="AE993" s="9" t="s">
        <v>1489</v>
      </c>
    </row>
    <row r="994" spans="1:34" hidden="1">
      <c r="B994" s="4">
        <v>2017</v>
      </c>
      <c r="C994" s="4" t="s">
        <v>44</v>
      </c>
      <c r="F994" s="3" t="s">
        <v>2905</v>
      </c>
      <c r="G994" s="5" t="s">
        <v>2906</v>
      </c>
      <c r="H994" s="5" t="s">
        <v>1448</v>
      </c>
      <c r="I994" s="5" t="s">
        <v>129</v>
      </c>
      <c r="J994" s="7">
        <f>60000000/66.7</f>
        <v>899550.22488755616</v>
      </c>
      <c r="K994" s="7">
        <f>20000000/6.7</f>
        <v>2985074.6268656715</v>
      </c>
      <c r="L994" s="7">
        <f>22190000/6.7</f>
        <v>3311940.2985074627</v>
      </c>
      <c r="O994" s="7">
        <f>60360000/6.7</f>
        <v>9008955.2238805965</v>
      </c>
      <c r="R994" s="5"/>
      <c r="S994" s="5"/>
      <c r="T994" s="5"/>
      <c r="U994" s="5"/>
      <c r="V994" s="5" t="s">
        <v>2907</v>
      </c>
      <c r="W994" s="5" t="s">
        <v>2906</v>
      </c>
      <c r="X994" s="5" t="s">
        <v>2908</v>
      </c>
      <c r="Y994" s="5" t="s">
        <v>2025</v>
      </c>
      <c r="Z994" s="5"/>
      <c r="AA994" s="5" t="s">
        <v>2909</v>
      </c>
      <c r="AB994" s="5"/>
      <c r="AC994" s="5" t="s">
        <v>1954</v>
      </c>
      <c r="AD994" s="9">
        <v>7.5</v>
      </c>
      <c r="AE994" s="9" t="s">
        <v>1489</v>
      </c>
    </row>
    <row r="995" spans="1:34" hidden="1">
      <c r="B995" s="4">
        <v>2017</v>
      </c>
      <c r="C995" s="4" t="s">
        <v>44</v>
      </c>
      <c r="F995" s="3" t="s">
        <v>2900</v>
      </c>
      <c r="G995" s="5" t="s">
        <v>2910</v>
      </c>
      <c r="H995" s="5" t="s">
        <v>1448</v>
      </c>
      <c r="I995" s="5" t="s">
        <v>148</v>
      </c>
      <c r="J995" s="7">
        <f>40000000/6.7</f>
        <v>5970149.253731343</v>
      </c>
      <c r="K995" s="7">
        <f>20000000/6.7</f>
        <v>2985074.6268656715</v>
      </c>
      <c r="L995" s="7">
        <f>20440000/6.7</f>
        <v>3050746.2686567162</v>
      </c>
      <c r="O995" s="7">
        <f>55710000/6.7</f>
        <v>8314925.3731343281</v>
      </c>
      <c r="R995" s="5"/>
      <c r="S995" s="5"/>
      <c r="T995" s="5"/>
      <c r="U995" s="5"/>
      <c r="V995" s="5" t="s">
        <v>2911</v>
      </c>
      <c r="W995" s="5" t="s">
        <v>2910</v>
      </c>
      <c r="X995" s="5" t="s">
        <v>1608</v>
      </c>
      <c r="Y995" s="5" t="s">
        <v>1561</v>
      </c>
      <c r="Z995" s="5"/>
      <c r="AA995" s="5" t="s">
        <v>2912</v>
      </c>
      <c r="AB995" s="5"/>
      <c r="AC995" s="5" t="s">
        <v>1448</v>
      </c>
      <c r="AD995" s="20">
        <v>8</v>
      </c>
      <c r="AE995" s="9" t="s">
        <v>1489</v>
      </c>
    </row>
    <row r="996" spans="1:34" hidden="1">
      <c r="B996" s="4">
        <v>2017</v>
      </c>
      <c r="C996" s="4" t="s">
        <v>44</v>
      </c>
      <c r="F996" s="3" t="s">
        <v>2913</v>
      </c>
      <c r="G996" s="5" t="s">
        <v>2914</v>
      </c>
      <c r="H996" s="5" t="s">
        <v>2848</v>
      </c>
      <c r="I996" s="5" t="s">
        <v>1402</v>
      </c>
      <c r="J996" s="7">
        <f>5000000/6.7</f>
        <v>746268.65671641787</v>
      </c>
      <c r="K996" s="7">
        <f>3000000/6.7</f>
        <v>447761.19402985071</v>
      </c>
      <c r="L996" s="7">
        <f>17897000/6.7</f>
        <v>2671194.029850746</v>
      </c>
      <c r="O996" s="7">
        <f>48790000/6.7</f>
        <v>7282089.5522388062</v>
      </c>
      <c r="R996" s="5"/>
      <c r="S996" s="5"/>
      <c r="T996" s="5"/>
      <c r="U996" s="5"/>
      <c r="V996" s="5" t="s">
        <v>2915</v>
      </c>
      <c r="W996" s="5" t="s">
        <v>2914</v>
      </c>
      <c r="X996" s="5" t="s">
        <v>2886</v>
      </c>
      <c r="Y996" s="5" t="s">
        <v>1973</v>
      </c>
      <c r="Z996" s="5" t="s">
        <v>2916</v>
      </c>
      <c r="AA996" s="5" t="s">
        <v>2887</v>
      </c>
      <c r="AB996" s="5"/>
      <c r="AC996" s="5" t="s">
        <v>2848</v>
      </c>
      <c r="AD996" s="20">
        <v>8</v>
      </c>
      <c r="AE996" s="9" t="s">
        <v>1489</v>
      </c>
    </row>
    <row r="997" spans="1:34" hidden="1">
      <c r="B997" s="4">
        <v>2017</v>
      </c>
      <c r="C997" s="4" t="s">
        <v>44</v>
      </c>
      <c r="F997" s="3" t="s">
        <v>2917</v>
      </c>
      <c r="G997" s="5" t="s">
        <v>2918</v>
      </c>
      <c r="H997" s="5" t="s">
        <v>2919</v>
      </c>
      <c r="I997" s="5" t="s">
        <v>191</v>
      </c>
      <c r="J997" s="7">
        <f>10000000/6.7</f>
        <v>1492537.3134328357</v>
      </c>
      <c r="K997" s="7">
        <f>3000000/6.7</f>
        <v>447761.19402985071</v>
      </c>
      <c r="L997" s="7">
        <f>16230000/6.7</f>
        <v>2422388.0597014925</v>
      </c>
      <c r="O997" s="7">
        <f>44250000/6.7</f>
        <v>6604477.6119402982</v>
      </c>
      <c r="R997" s="5"/>
      <c r="S997" s="5"/>
      <c r="T997" s="5"/>
      <c r="U997" s="5"/>
      <c r="V997" s="5" t="s">
        <v>2920</v>
      </c>
      <c r="W997" s="5" t="s">
        <v>2918</v>
      </c>
      <c r="X997" s="39"/>
      <c r="Y997" s="5"/>
      <c r="Z997" s="5"/>
      <c r="AA997" s="5" t="s">
        <v>2921</v>
      </c>
      <c r="AB997" s="5"/>
      <c r="AC997" s="5" t="s">
        <v>2433</v>
      </c>
      <c r="AD997" s="20">
        <v>9</v>
      </c>
      <c r="AE997" s="9" t="s">
        <v>1489</v>
      </c>
    </row>
    <row r="998" spans="1:34" hidden="1">
      <c r="B998" s="4">
        <v>2017</v>
      </c>
      <c r="C998" s="4" t="s">
        <v>44</v>
      </c>
      <c r="F998" s="3" t="s">
        <v>2922</v>
      </c>
      <c r="G998" s="5" t="s">
        <v>2923</v>
      </c>
      <c r="H998" s="5" t="s">
        <v>2924</v>
      </c>
      <c r="I998" s="5" t="s">
        <v>1402</v>
      </c>
      <c r="J998" s="7">
        <f>5000000/6.7</f>
        <v>746268.65671641787</v>
      </c>
      <c r="K998" s="7">
        <f>3000000/6.7</f>
        <v>447761.19402985071</v>
      </c>
      <c r="L998" s="7">
        <f>16590000/6.7</f>
        <v>2476119.4029850746</v>
      </c>
      <c r="O998" s="7">
        <f>45240000/6.7</f>
        <v>6752238.8059701491</v>
      </c>
      <c r="R998" s="5"/>
      <c r="S998" s="5"/>
      <c r="T998" s="5"/>
      <c r="U998" s="5"/>
      <c r="V998" s="5" t="s">
        <v>2925</v>
      </c>
      <c r="W998" s="5" t="s">
        <v>2923</v>
      </c>
      <c r="X998" s="5" t="s">
        <v>2408</v>
      </c>
      <c r="Y998" s="5" t="s">
        <v>2409</v>
      </c>
      <c r="Z998" s="5"/>
      <c r="AA998" s="5" t="s">
        <v>2926</v>
      </c>
      <c r="AB998" s="5"/>
      <c r="AC998" s="5" t="s">
        <v>1746</v>
      </c>
      <c r="AD998" s="9">
        <v>8.5</v>
      </c>
      <c r="AE998" s="9" t="s">
        <v>1489</v>
      </c>
    </row>
    <row r="999" spans="1:34" ht="15" hidden="1">
      <c r="B999" s="4">
        <v>2017</v>
      </c>
      <c r="C999" s="4" t="s">
        <v>44</v>
      </c>
      <c r="F999" s="3" t="s">
        <v>2927</v>
      </c>
      <c r="G999" s="5" t="s">
        <v>2928</v>
      </c>
      <c r="H999" s="5" t="s">
        <v>2743</v>
      </c>
      <c r="I999" s="5" t="s">
        <v>127</v>
      </c>
      <c r="J999" s="7">
        <f>30000000/6.7</f>
        <v>4477611.940298507</v>
      </c>
      <c r="K999" s="7">
        <f>5000000/6.7</f>
        <v>746268.65671641787</v>
      </c>
      <c r="L999" s="7">
        <f>15890000/6.7</f>
        <v>2371641.7910447759</v>
      </c>
      <c r="O999" s="7">
        <f>43330000/6.7</f>
        <v>6467164.1791044772</v>
      </c>
      <c r="R999" s="5"/>
      <c r="S999" s="5"/>
      <c r="T999" s="5"/>
      <c r="U999" s="5"/>
      <c r="V999" s="5" t="s">
        <v>2929</v>
      </c>
      <c r="W999" s="5" t="s">
        <v>2928</v>
      </c>
      <c r="X999" s="5" t="s">
        <v>1680</v>
      </c>
      <c r="Y999" s="5" t="s">
        <v>2930</v>
      </c>
      <c r="Z999" s="5"/>
      <c r="AA999" s="5" t="s">
        <v>2931</v>
      </c>
      <c r="AB999" s="5" t="s">
        <v>2932</v>
      </c>
      <c r="AC999" s="5" t="s">
        <v>2933</v>
      </c>
      <c r="AD999" s="9">
        <v>8.6</v>
      </c>
      <c r="AE999" s="9" t="s">
        <v>1489</v>
      </c>
    </row>
    <row r="1000" spans="1:34" hidden="1">
      <c r="B1000" s="4">
        <v>2017</v>
      </c>
      <c r="C1000" s="4" t="s">
        <v>44</v>
      </c>
      <c r="F1000" s="3" t="s">
        <v>2934</v>
      </c>
      <c r="G1000" s="5" t="s">
        <v>2935</v>
      </c>
      <c r="H1000" s="5" t="s">
        <v>2936</v>
      </c>
      <c r="I1000" s="5" t="s">
        <v>1402</v>
      </c>
      <c r="J1000" s="7">
        <f>5000000/6.7</f>
        <v>746268.65671641787</v>
      </c>
      <c r="K1000" s="7">
        <f>3000000/6.7</f>
        <v>447761.19402985071</v>
      </c>
      <c r="L1000" s="7">
        <f>15450000/6.7</f>
        <v>2305970.1492537311</v>
      </c>
      <c r="O1000" s="7">
        <f>42116000/6.7</f>
        <v>6285970.1492537316</v>
      </c>
      <c r="R1000" s="5"/>
      <c r="S1000" s="5"/>
      <c r="T1000" s="5"/>
      <c r="U1000" s="5"/>
      <c r="V1000" s="5" t="s">
        <v>2937</v>
      </c>
      <c r="W1000" s="5" t="s">
        <v>2935</v>
      </c>
      <c r="X1000" s="5" t="s">
        <v>2938</v>
      </c>
      <c r="Y1000" s="5" t="s">
        <v>2939</v>
      </c>
      <c r="Z1000" s="5" t="s">
        <v>2940</v>
      </c>
      <c r="AA1000" s="5" t="s">
        <v>2941</v>
      </c>
      <c r="AB1000" s="5" t="s">
        <v>2942</v>
      </c>
      <c r="AC1000" s="5" t="s">
        <v>2526</v>
      </c>
      <c r="AD1000" s="9">
        <v>8.3000000000000007</v>
      </c>
      <c r="AE1000" s="9" t="s">
        <v>1489</v>
      </c>
    </row>
    <row r="1001" spans="1:34" ht="15" hidden="1">
      <c r="B1001" s="4">
        <v>2017</v>
      </c>
      <c r="C1001" s="4" t="s">
        <v>44</v>
      </c>
      <c r="F1001" s="3" t="s">
        <v>2943</v>
      </c>
      <c r="G1001" s="5" t="s">
        <v>2944</v>
      </c>
      <c r="H1001" s="5" t="s">
        <v>2945</v>
      </c>
      <c r="I1001" s="5" t="s">
        <v>136</v>
      </c>
      <c r="J1001" s="7">
        <f>20000000/6.7</f>
        <v>2985074.6268656715</v>
      </c>
      <c r="K1001" s="7">
        <f>10000000/6.7</f>
        <v>1492537.3134328357</v>
      </c>
      <c r="L1001" s="7">
        <f>12820000/6.7</f>
        <v>1913432.8358208954</v>
      </c>
      <c r="O1001" s="7">
        <f>34960000/6.7</f>
        <v>5217910.4477611938</v>
      </c>
      <c r="R1001" s="5"/>
      <c r="S1001" s="5"/>
      <c r="T1001" s="5"/>
      <c r="U1001" s="5"/>
      <c r="V1001" s="5" t="s">
        <v>2946</v>
      </c>
      <c r="W1001" s="5" t="s">
        <v>2944</v>
      </c>
      <c r="X1001" s="5" t="s">
        <v>2947</v>
      </c>
      <c r="Y1001" s="5" t="s">
        <v>2606</v>
      </c>
      <c r="Z1001" s="5"/>
      <c r="AA1001" s="5" t="s">
        <v>2948</v>
      </c>
      <c r="AB1001" s="5"/>
      <c r="AC1001" s="5" t="s">
        <v>2949</v>
      </c>
      <c r="AD1001" s="9">
        <v>8.1</v>
      </c>
      <c r="AE1001" s="9" t="s">
        <v>1489</v>
      </c>
    </row>
    <row r="1002" spans="1:34" hidden="1">
      <c r="B1002" s="4">
        <v>2017</v>
      </c>
      <c r="C1002" s="4" t="s">
        <v>44</v>
      </c>
      <c r="F1002" s="3" t="s">
        <v>2950</v>
      </c>
      <c r="G1002" s="5" t="s">
        <v>2951</v>
      </c>
      <c r="H1002" s="5" t="s">
        <v>2952</v>
      </c>
      <c r="I1002" s="5" t="s">
        <v>1402</v>
      </c>
      <c r="J1002" s="7">
        <f>85000000/6.7</f>
        <v>12686567.164179103</v>
      </c>
      <c r="K1002" s="7">
        <f>10000000/6.7</f>
        <v>1492537.3134328357</v>
      </c>
      <c r="L1002" s="7">
        <f>10410000/6.7</f>
        <v>1553731.343283582</v>
      </c>
      <c r="O1002" s="7">
        <f>28380000/6.7</f>
        <v>4235820.8955223877</v>
      </c>
      <c r="R1002" s="5"/>
      <c r="S1002" s="5"/>
      <c r="T1002" s="5"/>
      <c r="U1002" s="5"/>
      <c r="V1002" s="5" t="s">
        <v>2953</v>
      </c>
      <c r="W1002" s="5" t="s">
        <v>2951</v>
      </c>
      <c r="X1002" s="39"/>
      <c r="Y1002" s="5"/>
      <c r="Z1002" s="5"/>
      <c r="AA1002" s="5" t="s">
        <v>2403</v>
      </c>
      <c r="AB1002" s="5"/>
      <c r="AC1002" s="5" t="s">
        <v>2827</v>
      </c>
      <c r="AD1002" s="9">
        <v>8.9</v>
      </c>
      <c r="AE1002" s="9" t="s">
        <v>1489</v>
      </c>
    </row>
    <row r="1003" spans="1:34" ht="15" hidden="1">
      <c r="B1003" s="4">
        <v>2017</v>
      </c>
      <c r="C1003" s="4" t="s">
        <v>44</v>
      </c>
      <c r="F1003" s="3" t="s">
        <v>2954</v>
      </c>
      <c r="G1003" s="5" t="s">
        <v>2955</v>
      </c>
      <c r="H1003" s="5" t="s">
        <v>1411</v>
      </c>
      <c r="I1003" s="5" t="s">
        <v>1402</v>
      </c>
      <c r="J1003" s="7">
        <f>5000000/6.7</f>
        <v>746268.65671641787</v>
      </c>
      <c r="K1003" s="7">
        <f>3000000/6.7</f>
        <v>447761.19402985071</v>
      </c>
      <c r="L1003" s="7">
        <f>9250000/6.7</f>
        <v>1380597.014925373</v>
      </c>
      <c r="O1003" s="7">
        <f>25220000/6.7</f>
        <v>3764179.1044776118</v>
      </c>
      <c r="R1003" s="5"/>
      <c r="S1003" s="5"/>
      <c r="T1003" s="5"/>
      <c r="U1003" s="5"/>
      <c r="V1003" s="5" t="s">
        <v>2956</v>
      </c>
      <c r="W1003" s="5" t="s">
        <v>1411</v>
      </c>
      <c r="X1003" s="5" t="s">
        <v>1639</v>
      </c>
      <c r="Y1003" s="5" t="s">
        <v>2957</v>
      </c>
      <c r="Z1003" s="5"/>
      <c r="AA1003" s="5" t="s">
        <v>2958</v>
      </c>
      <c r="AB1003" s="5"/>
      <c r="AC1003" s="5" t="s">
        <v>1411</v>
      </c>
      <c r="AD1003" s="9">
        <v>8.1</v>
      </c>
      <c r="AE1003" s="9" t="s">
        <v>1489</v>
      </c>
    </row>
    <row r="1004" spans="1:34" hidden="1">
      <c r="B1004" s="4">
        <v>2017</v>
      </c>
      <c r="C1004" s="4" t="s">
        <v>44</v>
      </c>
      <c r="F1004" s="3" t="s">
        <v>2959</v>
      </c>
      <c r="G1004" s="5" t="s">
        <v>2960</v>
      </c>
      <c r="H1004" s="5" t="s">
        <v>1411</v>
      </c>
      <c r="I1004" s="5" t="s">
        <v>1402</v>
      </c>
      <c r="J1004" s="7">
        <f>8000000/6.7</f>
        <v>1194029.8507462686</v>
      </c>
      <c r="K1004" s="7">
        <f>3000000/6.7</f>
        <v>447761.19402985071</v>
      </c>
      <c r="L1004" s="7">
        <f>8540000/6.7</f>
        <v>1274626.8656716417</v>
      </c>
      <c r="O1004" s="7">
        <f>23280000/6.7</f>
        <v>3474626.8656716417</v>
      </c>
      <c r="R1004" s="5"/>
      <c r="S1004" s="5"/>
      <c r="T1004" s="5"/>
      <c r="U1004" s="5"/>
      <c r="V1004" s="5" t="s">
        <v>2961</v>
      </c>
      <c r="W1004" s="5" t="s">
        <v>1411</v>
      </c>
      <c r="X1004" s="5" t="s">
        <v>1411</v>
      </c>
      <c r="Y1004" s="5"/>
      <c r="Z1004" s="5"/>
      <c r="AA1004" s="5" t="s">
        <v>1411</v>
      </c>
      <c r="AB1004" s="5"/>
      <c r="AC1004" s="5" t="s">
        <v>1411</v>
      </c>
      <c r="AD1004" s="9">
        <v>8.3000000000000007</v>
      </c>
      <c r="AE1004" s="9" t="s">
        <v>1489</v>
      </c>
    </row>
    <row r="1005" spans="1:34" hidden="1">
      <c r="B1005" s="4">
        <v>2017</v>
      </c>
      <c r="C1005" s="4" t="s">
        <v>44</v>
      </c>
      <c r="F1005" s="3" t="s">
        <v>2962</v>
      </c>
      <c r="G1005" s="5" t="s">
        <v>2963</v>
      </c>
      <c r="H1005" s="5" t="s">
        <v>1428</v>
      </c>
      <c r="I1005" s="5" t="s">
        <v>148</v>
      </c>
      <c r="J1005" s="7">
        <f>30000000/6.7</f>
        <v>4477611.940298507</v>
      </c>
      <c r="K1005" s="7">
        <f>10000000/6.7</f>
        <v>1492537.3134328357</v>
      </c>
      <c r="L1005" s="7">
        <f>6290000/6.7</f>
        <v>938805.97014925373</v>
      </c>
      <c r="O1005" s="7">
        <f>17160000/6.7</f>
        <v>2561194.029850746</v>
      </c>
      <c r="R1005" s="5"/>
      <c r="S1005" s="5"/>
      <c r="T1005" s="5"/>
      <c r="U1005" s="5"/>
      <c r="V1005" s="5" t="s">
        <v>2964</v>
      </c>
      <c r="W1005" s="5" t="s">
        <v>2963</v>
      </c>
      <c r="X1005" s="5" t="s">
        <v>2965</v>
      </c>
      <c r="Y1005" s="5" t="s">
        <v>2966</v>
      </c>
      <c r="Z1005" s="5"/>
      <c r="AA1005" s="5" t="s">
        <v>2965</v>
      </c>
      <c r="AB1005" s="5"/>
      <c r="AC1005" s="5" t="s">
        <v>2487</v>
      </c>
      <c r="AD1005" s="9">
        <v>8.6</v>
      </c>
      <c r="AE1005" s="9" t="s">
        <v>1489</v>
      </c>
    </row>
    <row r="1006" spans="1:34" ht="17.149999999999999" hidden="1" customHeight="1">
      <c r="B1006" s="4">
        <v>2017</v>
      </c>
      <c r="C1006" s="4" t="s">
        <v>44</v>
      </c>
      <c r="F1006" s="3" t="s">
        <v>2967</v>
      </c>
      <c r="G1006" s="5" t="s">
        <v>2968</v>
      </c>
      <c r="H1006" s="5" t="s">
        <v>2969</v>
      </c>
      <c r="I1006" s="5" t="s">
        <v>136</v>
      </c>
      <c r="J1006" s="7">
        <f>20000000/6.7</f>
        <v>2985074.6268656715</v>
      </c>
      <c r="K1006" s="7">
        <f>10000000/6.7</f>
        <v>1492537.3134328357</v>
      </c>
      <c r="L1006" s="7">
        <f>6250000/0.7</f>
        <v>8928571.4285714291</v>
      </c>
      <c r="O1006" s="7">
        <f>17040000/6.7</f>
        <v>2543283.5820895522</v>
      </c>
      <c r="R1006" s="5"/>
      <c r="S1006" s="5"/>
      <c r="T1006" s="5"/>
      <c r="U1006" s="5"/>
      <c r="V1006" s="5" t="s">
        <v>2970</v>
      </c>
      <c r="W1006" s="5" t="s">
        <v>2968</v>
      </c>
      <c r="X1006" s="5" t="s">
        <v>2427</v>
      </c>
      <c r="Y1006" s="5" t="s">
        <v>2261</v>
      </c>
      <c r="Z1006" s="5"/>
      <c r="AA1006" s="5" t="s">
        <v>2971</v>
      </c>
      <c r="AB1006" s="5"/>
      <c r="AC1006" s="5" t="s">
        <v>2972</v>
      </c>
      <c r="AD1006" s="9">
        <v>6.1</v>
      </c>
      <c r="AE1006" s="9" t="s">
        <v>1489</v>
      </c>
    </row>
    <row r="1007" spans="1:34" s="2" customFormat="1" ht="16" hidden="1" customHeight="1">
      <c r="A1007" s="16"/>
      <c r="B1007" s="17">
        <v>2017</v>
      </c>
      <c r="C1007" s="4" t="s">
        <v>44</v>
      </c>
      <c r="D1007" s="3"/>
      <c r="E1007" s="3"/>
      <c r="F1007" s="16" t="s">
        <v>2973</v>
      </c>
      <c r="G1007" s="18" t="s">
        <v>1898</v>
      </c>
      <c r="H1007" s="5" t="s">
        <v>626</v>
      </c>
      <c r="I1007" s="18" t="s">
        <v>131</v>
      </c>
      <c r="J1007" s="19">
        <v>11940298.507462701</v>
      </c>
      <c r="K1007" s="19">
        <v>4477611.9402985098</v>
      </c>
      <c r="L1007" s="19">
        <v>3550746.2686567199</v>
      </c>
      <c r="M1007" s="48"/>
      <c r="N1007" s="7"/>
      <c r="O1007" s="19">
        <f>63640000/6.7</f>
        <v>9498507.4626865666</v>
      </c>
      <c r="P1007" s="19"/>
      <c r="Q1007" s="19"/>
      <c r="R1007" s="5"/>
      <c r="S1007" s="5"/>
      <c r="T1007" s="5"/>
      <c r="U1007" s="5"/>
      <c r="V1007" s="5" t="s">
        <v>1897</v>
      </c>
      <c r="W1007" s="18" t="s">
        <v>1898</v>
      </c>
      <c r="X1007" s="5" t="s">
        <v>2974</v>
      </c>
      <c r="Y1007" s="5" t="s">
        <v>2975</v>
      </c>
      <c r="Z1007" s="5" t="s">
        <v>2976</v>
      </c>
      <c r="AA1007" s="5" t="s">
        <v>2977</v>
      </c>
      <c r="AB1007" s="5"/>
      <c r="AC1007" s="5" t="s">
        <v>1888</v>
      </c>
      <c r="AD1007" s="2">
        <v>7.9</v>
      </c>
      <c r="AE1007" s="21" t="s">
        <v>1489</v>
      </c>
      <c r="AG1007" s="29"/>
      <c r="AH1007" s="29"/>
    </row>
    <row r="1008" spans="1:34" s="2" customFormat="1" ht="16" hidden="1" customHeight="1">
      <c r="A1008" s="16"/>
      <c r="B1008" s="17">
        <v>2017</v>
      </c>
      <c r="C1008" s="4" t="s">
        <v>44</v>
      </c>
      <c r="D1008" s="3"/>
      <c r="E1008" s="3"/>
      <c r="F1008" s="16" t="s">
        <v>2978</v>
      </c>
      <c r="G1008" s="18" t="s">
        <v>2979</v>
      </c>
      <c r="H1008" s="5" t="s">
        <v>1410</v>
      </c>
      <c r="I1008" s="18" t="s">
        <v>127</v>
      </c>
      <c r="J1008" s="19">
        <v>17910447.800000001</v>
      </c>
      <c r="K1008" s="19">
        <v>4477611.9400000004</v>
      </c>
      <c r="L1008" s="19">
        <v>4841194.03</v>
      </c>
      <c r="M1008" s="8"/>
      <c r="N1008" s="7"/>
      <c r="O1008" s="19">
        <v>13075223.9</v>
      </c>
      <c r="P1008" s="19"/>
      <c r="Q1008" s="19"/>
      <c r="R1008" s="5"/>
      <c r="S1008" s="5"/>
      <c r="T1008" s="5"/>
      <c r="U1008" s="5"/>
      <c r="V1008" s="5" t="s">
        <v>2980</v>
      </c>
      <c r="W1008" s="18" t="s">
        <v>2981</v>
      </c>
      <c r="X1008" s="5" t="s">
        <v>2548</v>
      </c>
      <c r="Y1008" s="5" t="s">
        <v>2982</v>
      </c>
      <c r="Z1008" s="5"/>
      <c r="AA1008" s="5" t="s">
        <v>2983</v>
      </c>
      <c r="AB1008" s="5"/>
      <c r="AC1008" s="5" t="s">
        <v>2487</v>
      </c>
      <c r="AD1008" s="2">
        <v>7.1</v>
      </c>
      <c r="AE1008" s="21" t="s">
        <v>1489</v>
      </c>
    </row>
    <row r="1009" spans="18:27">
      <c r="R1009" s="5"/>
      <c r="S1009" s="5"/>
      <c r="T1009" s="5"/>
      <c r="U1009" s="5"/>
      <c r="V1009" s="5"/>
    </row>
    <row r="1010" spans="18:27">
      <c r="V1010" s="9"/>
    </row>
    <row r="1011" spans="18:27">
      <c r="AA1011" s="66"/>
    </row>
    <row r="1012" spans="18:27">
      <c r="X1012" s="5"/>
    </row>
    <row r="1014" spans="18:27">
      <c r="X1014" s="53"/>
    </row>
  </sheetData>
  <autoFilter ref="A2:AF1008" xr:uid="{1293E12D-D292-4DAC-A531-49F8D65CF215}">
    <filterColumn colId="9">
      <filters>
        <filter val="$1,000,000"/>
        <filter val="$1,044,776"/>
        <filter val="$1,120,000"/>
        <filter val="$1,194,030"/>
        <filter val="$1,200,000"/>
        <filter val="$1,492,537"/>
        <filter val="$1,600,000"/>
        <filter val="$10,447,761"/>
        <filter val="$10,500,000"/>
        <filter val="$10,900,000"/>
        <filter val="$100,000,000"/>
        <filter val="$11,194,029"/>
        <filter val="$11,940,298"/>
        <filter val="$11,940,299"/>
        <filter val="$12,000,000"/>
        <filter val="$13,333,333"/>
        <filter val="$13,432,836"/>
        <filter val="$134,000"/>
        <filter val="$14,000,000"/>
        <filter val="$14,925,373"/>
        <filter val="$15,000,000"/>
        <filter val="$150,000,000"/>
        <filter val="$17,910,447"/>
        <filter val="$17,910,448"/>
        <filter val="$18,000,000"/>
        <filter val="$19,400,000"/>
        <filter val="$19,402,985"/>
        <filter val="$2,200,000"/>
        <filter val="$2,238,806"/>
        <filter val="$2,340,000"/>
        <filter val="$2,800,000"/>
        <filter val="$2,985,074"/>
        <filter val="$2,985,075"/>
        <filter val="$20,000,000"/>
        <filter val="$22,000,000"/>
        <filter val="$22,500,000"/>
        <filter val="$23,880,597"/>
        <filter val="$25,800,000"/>
        <filter val="$250,000,000"/>
        <filter val="$27,000,000"/>
        <filter val="$28,000,000"/>
        <filter val="$29,850,746"/>
        <filter val="$3,325,000"/>
        <filter val="$3,582,090"/>
        <filter val="$3,731,343"/>
        <filter val="$3,750,000"/>
        <filter val="$30,000,000"/>
        <filter val="$300,000,000"/>
        <filter val="$35,000,000"/>
        <filter val="$35,820,896"/>
        <filter val="$350,000,000"/>
        <filter val="$4,477,611"/>
        <filter val="$4,477,612"/>
        <filter val="$4,500,000"/>
        <filter val="$41,791,044"/>
        <filter val="$44,500,000"/>
        <filter val="$44,776,119"/>
        <filter val="$447,761"/>
        <filter val="$45,000,000"/>
        <filter val="$5,970,149"/>
        <filter val="$50,000,000"/>
        <filter val="$52,000,000"/>
        <filter val="$53,000,000"/>
        <filter val="$56,400,000"/>
        <filter val="$59,701,492"/>
        <filter val="$6,000,000"/>
        <filter val="$60,000,000"/>
        <filter val="$65,000,000"/>
        <filter val="$65,671,641"/>
        <filter val="$7,000,000"/>
        <filter val="$7,462,686"/>
        <filter val="$7,462,687"/>
        <filter val="$7,500,000"/>
        <filter val="$74,626,866"/>
        <filter val="$746,268"/>
        <filter val="$746,269"/>
        <filter val="$749,625"/>
        <filter val="$75,000,000"/>
        <filter val="$8,955,223"/>
        <filter val="$8,955,224"/>
        <filter val="$89,000,000"/>
        <filter val="$89,552,238"/>
        <filter val="$895,522"/>
      </filters>
    </filterColumn>
    <filterColumn colId="16">
      <filters>
        <filter val="$1,000,000"/>
        <filter val="$1,021,930"/>
        <filter val="$1,034"/>
        <filter val="$1,034,133"/>
        <filter val="$1,034,623"/>
        <filter val="$1,039,439"/>
        <filter val="$1,079,373"/>
        <filter val="$1,106,083"/>
        <filter val="$1,110,000"/>
        <filter val="$1,134"/>
        <filter val="$1,140,982"/>
        <filter val="$1,145,984"/>
        <filter val="$1,159,373"/>
        <filter val="$1,160,000"/>
        <filter val="$1,162,914"/>
        <filter val="$1,170,000"/>
        <filter val="$1,192,340"/>
        <filter val="$1,196,360"/>
        <filter val="$1,197,984"/>
        <filter val="$1,250,000"/>
        <filter val="$1,265,949"/>
        <filter val="$1,270,000"/>
        <filter val="$1,278,065"/>
        <filter val="$1,278,207"/>
        <filter val="$1,302,670"/>
        <filter val="$1,307,365"/>
        <filter val="$1,320,000"/>
        <filter val="$1,321,360"/>
        <filter val="$1,327,225"/>
        <filter val="$1,330,193"/>
        <filter val="$1,339,004"/>
        <filter val="$1,369,687"/>
        <filter val="$1,371,255"/>
        <filter val="$1,380,000"/>
        <filter val="$1,420,000"/>
        <filter val="$1,422,563"/>
        <filter val="$1,424,520"/>
        <filter val="$1,431,283"/>
        <filter val="$1,440,000"/>
        <filter val="$1,440,968"/>
        <filter val="$1,443,658"/>
        <filter val="$1,456,558"/>
        <filter val="$1,459,015"/>
        <filter val="$1,470,000"/>
        <filter val="$1,476,950"/>
        <filter val="$1,487,745"/>
        <filter val="$1,494,779"/>
        <filter val="$1,546,530"/>
        <filter val="$1,549,782"/>
        <filter val="$1,556,202"/>
        <filter val="$1,561,731"/>
        <filter val="$1,562,462"/>
        <filter val="$1,630,917"/>
        <filter val="$1,637,776"/>
        <filter val="$1,653,264"/>
        <filter val="$1,655,606"/>
        <filter val="$1,689,811"/>
        <filter val="$1,692,572"/>
        <filter val="$1,706,807"/>
        <filter val="$1,729,565"/>
        <filter val="$1,736,047"/>
        <filter val="$1,752,067"/>
        <filter val="$1,782,513"/>
        <filter val="$1,785,824"/>
        <filter val="$1,804"/>
        <filter val="$1,806,679"/>
        <filter val="$1,838,382"/>
        <filter val="$1,863"/>
        <filter val="$1,890,232"/>
        <filter val="$1,905,999"/>
        <filter val="$1,926,435"/>
        <filter val="$1,968"/>
        <filter val="$1,970,000"/>
        <filter val="$10,000"/>
        <filter val="$10,079,961"/>
        <filter val="$10,102,949"/>
        <filter val="$10,188"/>
        <filter val="$10,217,493"/>
        <filter val="$10,238,078"/>
        <filter val="$10,281,835"/>
        <filter val="$10,364"/>
        <filter val="$10,381,054"/>
        <filter val="$10,526"/>
        <filter val="$10,608"/>
        <filter val="$10,657,326"/>
        <filter val="$10,890"/>
        <filter val="$10,981"/>
        <filter val="$100,000"/>
        <filter val="$100,318"/>
        <filter val="$101,813,277"/>
        <filter val="$102,030"/>
        <filter val="$103,651,195"/>
        <filter val="$106,126,192"/>
        <filter val="$107,199"/>
        <filter val="$107,906,177"/>
        <filter val="$11,037,772"/>
        <filter val="$11,039"/>
        <filter val="$11,077,852"/>
        <filter val="$11,112"/>
        <filter val="$11,170,000"/>
        <filter val="$11,213,147"/>
        <filter val="$11,263"/>
        <filter val="$11,264,408"/>
        <filter val="$11,280"/>
        <filter val="$11,347"/>
        <filter val="$11,350"/>
        <filter val="$11,386"/>
        <filter val="$11,412"/>
        <filter val="$11,440,000"/>
        <filter val="$11,573,104"/>
        <filter val="$11,596"/>
        <filter val="$11,687,938"/>
        <filter val="$11,688"/>
        <filter val="$11,828,404"/>
        <filter val="$11,840,495"/>
        <filter val="$11,958"/>
        <filter val="$11,966,647"/>
        <filter val="$110,000"/>
        <filter val="$110,203,801"/>
        <filter val="$110,752"/>
        <filter val="$113,224"/>
        <filter val="$113,615"/>
        <filter val="$114,006"/>
        <filter val="$114,402"/>
        <filter val="$115,089,944"/>
        <filter val="$115,687,407"/>
        <filter val="$116,521"/>
        <filter val="$118,128,641"/>
        <filter val="$119,035,160"/>
        <filter val="$119,943"/>
        <filter val="$12,079"/>
        <filter val="$12,104,346"/>
        <filter val="$12,185"/>
        <filter val="$12,432"/>
        <filter val="$12,488"/>
        <filter val="$12,536"/>
        <filter val="$12,751"/>
        <filter val="$120,000"/>
        <filter val="$120,690"/>
        <filter val="$120,837"/>
        <filter val="$124,169,976"/>
        <filter val="$126,654"/>
        <filter val="$127,225"/>
        <filter val="$127,410"/>
        <filter val="$127,897,924"/>
        <filter val="$128,296"/>
        <filter val="$129,045"/>
        <filter val="$13,006,233"/>
        <filter val="$13,109"/>
        <filter val="$13,739"/>
        <filter val="$13,867,066"/>
        <filter val="$13,994,187"/>
        <filter val="$130,000"/>
        <filter val="$130,446"/>
        <filter val="$132,118"/>
        <filter val="$132,584"/>
        <filter val="$133,650,584"/>
        <filter val="$134,540"/>
        <filter val="$137,155"/>
        <filter val="$14,335"/>
        <filter val="$14,454"/>
        <filter val="$14,496"/>
        <filter val="$14,651,659"/>
        <filter val="$14,798,770"/>
        <filter val="$14,897,163"/>
        <filter val="$14,917,516"/>
        <filter val="$14,955"/>
        <filter val="$140,783,360"/>
        <filter val="$140,923"/>
        <filter val="$140,937"/>
        <filter val="$141,578"/>
        <filter val="$142,235"/>
        <filter val="$143,451"/>
        <filter val="$143,865"/>
        <filter val="$144,214"/>
        <filter val="$144,823"/>
        <filter val="$145,250"/>
        <filter val="$146,050"/>
        <filter val="$147,308"/>
        <filter val="$147,448"/>
        <filter val="$148,667"/>
        <filter val="$149,173"/>
        <filter val="$15,044"/>
        <filter val="$15,069"/>
        <filter val="$15,174"/>
        <filter val="$15,241"/>
        <filter val="$15,382,225"/>
        <filter val="$15,410"/>
        <filter val="$15,837"/>
        <filter val="$15,874,097"/>
        <filter val="$15,988,889"/>
        <filter val="$151,056,221"/>
        <filter val="$151,826"/>
        <filter val="$153,018,738"/>
        <filter val="$153,994"/>
        <filter val="$156,145"/>
        <filter val="$156,248"/>
        <filter val="$157,047"/>
        <filter val="$157,683"/>
        <filter val="$157,828"/>
        <filter val="$157,874"/>
        <filter val="$158,527"/>
        <filter val="$158,737"/>
        <filter val="$159,503"/>
        <filter val="$16,444,489"/>
        <filter val="$16,461,652"/>
        <filter val="$16,504"/>
        <filter val="$16,558,135"/>
        <filter val="$16,610"/>
        <filter val="$16,664"/>
        <filter val="$16,668,668"/>
        <filter val="$16,841,504"/>
        <filter val="$16,915"/>
        <filter val="$16,919"/>
        <filter val="$16,923,672"/>
        <filter val="$160,000"/>
        <filter val="$161,474"/>
        <filter val="$163,659,404"/>
        <filter val="$169,861"/>
        <filter val="$17,106"/>
        <filter val="$17,134"/>
        <filter val="$17,177"/>
        <filter val="$17,241,380"/>
        <filter val="$17,283,136"/>
        <filter val="$17,314,737"/>
        <filter val="$17,934"/>
        <filter val="$171,605"/>
        <filter val="$171,807"/>
        <filter val="$173,603"/>
        <filter val="$175,696"/>
        <filter val="$18,019,652"/>
        <filter val="$18,126"/>
        <filter val="$18,176"/>
        <filter val="$18,339,343"/>
        <filter val="$18,466"/>
        <filter val="$18,485,628"/>
        <filter val="$18,487"/>
        <filter val="$18,516"/>
        <filter val="$18,653,041"/>
        <filter val="$18,764,048"/>
        <filter val="$18,788"/>
        <filter val="$18,801"/>
        <filter val="$18,824"/>
        <filter val="$18,870"/>
        <filter val="$181,959"/>
        <filter val="$185,427,900"/>
        <filter val="$185,876"/>
        <filter val="$186,027,770"/>
        <filter val="$186,226"/>
        <filter val="$187,886,443"/>
        <filter val="$187,922"/>
        <filter val="$19,005,956"/>
        <filter val="$19,110,296"/>
        <filter val="$19,287"/>
        <filter val="$19,583"/>
        <filter val="$19,781,947"/>
        <filter val="$19,789,712"/>
        <filter val="$190,000"/>
        <filter val="$190,532"/>
        <filter val="$190,536"/>
        <filter val="$192,617,891"/>
        <filter val="$193,005"/>
        <filter val="$193,338"/>
        <filter val="$194,504"/>
        <filter val="$195,419"/>
        <filter val="$198,330,770"/>
        <filter val="$198,756,793"/>
        <filter val="$2,022,609"/>
        <filter val="$2,033"/>
        <filter val="$2,155,017"/>
        <filter val="$2,198"/>
        <filter val="$2,217"/>
        <filter val="$2,280,212"/>
        <filter val="$2,300,000"/>
        <filter val="$2,340,262"/>
        <filter val="$2,350,000"/>
        <filter val="$2,379,961"/>
        <filter val="$2,415,054"/>
        <filter val="$2,430,165"/>
        <filter val="$2,504,008"/>
        <filter val="$2,508"/>
        <filter val="$2,577,213"/>
        <filter val="$2,585,854"/>
        <filter val="$2,610,000"/>
        <filter val="$2,632,086"/>
        <filter val="$2,640,000"/>
        <filter val="$2,650,000"/>
        <filter val="$2,669,935"/>
        <filter val="$2,704,326"/>
        <filter val="$2,709,986"/>
        <filter val="$2,718,620"/>
        <filter val="$2,749,490"/>
        <filter val="$2,754"/>
        <filter val="$2,759"/>
        <filter val="$2,789,574"/>
        <filter val="$2,813,572"/>
        <filter val="$2,814,977"/>
        <filter val="$2,820,000"/>
        <filter val="$2,861"/>
        <filter val="$2,883,905"/>
        <filter val="$2,890,000"/>
        <filter val="$2,899,674"/>
        <filter val="$2,931,643"/>
        <filter val="$2,940,000"/>
        <filter val="$2,955,320"/>
        <filter val="$20,079,528"/>
        <filter val="$20,460,352"/>
        <filter val="$20,671"/>
        <filter val="$20,676"/>
        <filter val="$200,000"/>
        <filter val="$202,339"/>
        <filter val="$202,398"/>
        <filter val="$203,386"/>
        <filter val="$207,989"/>
        <filter val="$208,209"/>
        <filter val="$208,351"/>
        <filter val="$209,221,328"/>
        <filter val="$209,711"/>
        <filter val="$21,179"/>
        <filter val="$21,451,708"/>
        <filter val="$21,587"/>
        <filter val="$210,000"/>
        <filter val="$210,967"/>
        <filter val="$211,751"/>
        <filter val="$212,548"/>
        <filter val="$212,590"/>
        <filter val="$213,084"/>
        <filter val="$213,273"/>
        <filter val="$213,749"/>
        <filter val="$214,567"/>
        <filter val="$218,412"/>
        <filter val="$22,178"/>
        <filter val="$22,337"/>
        <filter val="$22,369,964"/>
        <filter val="$22,446,966"/>
        <filter val="$22,542"/>
        <filter val="$22,682,660"/>
        <filter val="$22,687,180"/>
        <filter val="$22,698"/>
        <filter val="$22,917"/>
        <filter val="$22,931"/>
        <filter val="$220,000"/>
        <filter val="$221,774"/>
        <filter val="$223,188"/>
        <filter val="$227,089,269"/>
        <filter val="$23,130,468"/>
        <filter val="$23,276"/>
        <filter val="$23,337"/>
        <filter val="$23,369"/>
        <filter val="$23,417,137"/>
        <filter val="$23,493"/>
        <filter val="$23,688"/>
        <filter val="$230,000"/>
        <filter val="$230,001,031"/>
        <filter val="$231,975"/>
        <filter val="$234,423"/>
        <filter val="$238,049"/>
        <filter val="$24,077"/>
        <filter val="$24,148,488"/>
        <filter val="$24,927"/>
        <filter val="$24,930"/>
        <filter val="$244,286"/>
        <filter val="$245,179,530"/>
        <filter val="$248,805,149"/>
        <filter val="$25,037,743"/>
        <filter val="$25,049"/>
        <filter val="$25,293,852"/>
        <filter val="$25,618"/>
        <filter val="$25,733,825"/>
        <filter val="$250,000"/>
        <filter val="$251,733"/>
        <filter val="$254,185"/>
        <filter val="$255,779"/>
        <filter val="$255,832,826"/>
        <filter val="$256,004,127"/>
        <filter val="$256,787"/>
        <filter val="$26,102"/>
        <filter val="$26,334"/>
        <filter val="$26,796,280"/>
        <filter val="$26,941"/>
        <filter val="$26,942"/>
        <filter val="$263,745"/>
        <filter val="$263,814"/>
        <filter val="$265,272"/>
        <filter val="$27,031"/>
        <filter val="$27,149"/>
        <filter val="$27,171"/>
        <filter val="$27,225"/>
        <filter val="$27,410,000"/>
        <filter val="$274,390"/>
        <filter val="$275,315"/>
        <filter val="$276,486"/>
        <filter val="$278,865"/>
        <filter val="$28,169"/>
        <filter val="$28,219"/>
        <filter val="$28,792,065"/>
        <filter val="$280,417"/>
        <filter val="$282,320"/>
        <filter val="$283,768"/>
        <filter val="$285,714"/>
        <filter val="$285,872"/>
        <filter val="$286,549"/>
        <filter val="$287,293"/>
        <filter val="$287,404"/>
        <filter val="$289,527"/>
        <filter val="$29,343"/>
        <filter val="$29,445"/>
        <filter val="$29,637"/>
        <filter val="$29,725"/>
        <filter val="$29,945,246"/>
        <filter val="$290,000"/>
        <filter val="$295,719"/>
        <filter val="$296,807"/>
        <filter val="$299,510"/>
        <filter val="$3,004,460"/>
        <filter val="$3,026,917"/>
        <filter val="$3,042,381"/>
        <filter val="$3,154,206"/>
        <filter val="$3,161,317"/>
        <filter val="$3,190,549"/>
        <filter val="$3,257"/>
        <filter val="$3,282,749"/>
        <filter val="$3,283,238"/>
        <filter val="$3,303,741"/>
        <filter val="$3,314"/>
        <filter val="$3,346"/>
        <filter val="$3,375,245"/>
        <filter val="$3,458,555"/>
        <filter val="$3,470,000"/>
        <filter val="$3,493,631"/>
        <filter val="$3,530,000"/>
        <filter val="$3,541"/>
        <filter val="$3,576,269"/>
        <filter val="$3,604"/>
        <filter val="$3,632,046"/>
        <filter val="$3,660,871"/>
        <filter val="$3,667,477"/>
        <filter val="$3,670"/>
        <filter val="$3,713"/>
        <filter val="$3,739,582"/>
        <filter val="$3,741,863"/>
        <filter val="$3,791,880"/>
        <filter val="$3,805"/>
        <filter val="$3,939,436"/>
        <filter val="$3,957,193"/>
        <filter val="$3,963,494"/>
        <filter val="$3,990,000"/>
        <filter val="$30,000"/>
        <filter val="$30,355,804"/>
        <filter val="$30,652"/>
        <filter val="$30,744"/>
        <filter val="$30,778"/>
        <filter val="$30,994"/>
        <filter val="$30,996,614"/>
        <filter val="$300,000"/>
        <filter val="$300,158"/>
        <filter val="$300,741"/>
        <filter val="$301,159"/>
        <filter val="$306,411"/>
        <filter val="$307,547,824"/>
        <filter val="$31,188,607"/>
        <filter val="$31,505"/>
        <filter val="$311,586"/>
        <filter val="$311,678"/>
        <filter val="$312,295"/>
        <filter val="$313,957"/>
        <filter val="$314,854"/>
        <filter val="$32,007,144"/>
        <filter val="$32,227,811"/>
        <filter val="$32,279"/>
        <filter val="$32,405"/>
        <filter val="$32,449,600"/>
        <filter val="$320,000"/>
        <filter val="$321,704"/>
        <filter val="$326,131"/>
        <filter val="$326,150,303"/>
        <filter val="$33,523"/>
        <filter val="$33,862"/>
        <filter val="$331,844"/>
        <filter val="$334,486,852"/>
        <filter val="$334,536,622"/>
        <filter val="$337,323"/>
        <filter val="$337,786"/>
        <filter val="$338,690"/>
        <filter val="$339,673"/>
        <filter val="$34,178"/>
        <filter val="$34,521"/>
        <filter val="$34,755"/>
        <filter val="$34,759"/>
        <filter val="$341,673"/>
        <filter val="$342,389"/>
        <filter val="$345,900"/>
        <filter val="$346,069"/>
        <filter val="$346,330"/>
        <filter val="$346,515"/>
        <filter val="$35,045,171"/>
        <filter val="$35,189"/>
        <filter val="$35,259"/>
        <filter val="$35,327,718"/>
        <filter val="$35,625"/>
        <filter val="$35,630"/>
        <filter val="$35,929"/>
        <filter val="$36,090,000"/>
        <filter val="$36,355"/>
        <filter val="$36,375"/>
        <filter val="$36,540"/>
        <filter val="$36,568"/>
        <filter val="$36,801,704"/>
        <filter val="$36,870,000"/>
        <filter val="$361,683,815"/>
        <filter val="$363,597"/>
        <filter val="$366,961,920"/>
        <filter val="$367,754"/>
        <filter val="$37,013,430"/>
        <filter val="$37,092,694"/>
        <filter val="$37,516,290"/>
        <filter val="$37,538"/>
        <filter val="$37,853"/>
        <filter val="$371,951"/>
        <filter val="$376,898"/>
        <filter val="$378,192"/>
        <filter val="$38,558"/>
        <filter val="$381,071"/>
        <filter val="$386,634"/>
        <filter val="$387,766"/>
        <filter val="$39,290"/>
        <filter val="$39,757,864"/>
        <filter val="$39,965,792"/>
        <filter val="$390,928"/>
        <filter val="$399,868"/>
        <filter val="$4,013"/>
        <filter val="$4,013,033"/>
        <filter val="$4,015,456"/>
        <filter val="$4,129,689"/>
        <filter val="$4,132,253"/>
        <filter val="$4,140"/>
        <filter val="$4,140,502"/>
        <filter val="$4,271,262"/>
        <filter val="$4,295"/>
        <filter val="$4,303,111"/>
        <filter val="$4,408,165"/>
        <filter val="$4,433,919"/>
        <filter val="$4,447,734"/>
        <filter val="$4,449"/>
        <filter val="$4,482"/>
        <filter val="$4,483"/>
        <filter val="$4,562"/>
        <filter val="$4,668,484"/>
        <filter val="$4,681,992"/>
        <filter val="$4,778,869"/>
        <filter val="$4,803,109"/>
        <filter val="$4,815,816"/>
        <filter val="$4,884,807"/>
        <filter val="$4,886,088"/>
        <filter val="$4,915"/>
        <filter val="$4,957,041"/>
        <filter val="$4,964,366"/>
        <filter val="$4,979"/>
        <filter val="$4,984"/>
        <filter val="$4,992"/>
        <filter val="$4,995"/>
        <filter val="$40,417"/>
        <filter val="$40,780"/>
        <filter val="$40,900"/>
        <filter val="$408,244"/>
        <filter val="$41,046,927"/>
        <filter val="$41,056"/>
        <filter val="$41,259"/>
        <filter val="$41,413"/>
        <filter val="$41,914"/>
        <filter val="$414,112"/>
        <filter val="$416,698"/>
        <filter val="$417,654,292"/>
        <filter val="$42,140,730"/>
        <filter val="$42,388"/>
        <filter val="$42,815"/>
        <filter val="$43,523"/>
        <filter val="$43,888,531"/>
        <filter val="$43,952"/>
        <filter val="$435,861"/>
        <filter val="$439,839"/>
        <filter val="$44,028"/>
        <filter val="$44,311"/>
        <filter val="$44,553,752"/>
        <filter val="$44,584,926"/>
        <filter val="$44,900"/>
        <filter val="$442,969"/>
        <filter val="$447,191"/>
        <filter val="$45,521,268"/>
        <filter val="$45,698,504"/>
        <filter val="$45,773"/>
        <filter val="$45,804"/>
        <filter val="$451,183,392"/>
        <filter val="$451,199"/>
        <filter val="$457,137"/>
        <filter val="$46,154,324"/>
        <filter val="$46,165,078"/>
        <filter val="$46,263,233"/>
        <filter val="$46,380"/>
        <filter val="$460,000"/>
        <filter val="$461,674"/>
        <filter val="$462,886"/>
        <filter val="$465,418,019"/>
        <filter val="$468,683"/>
        <filter val="$469,140"/>
        <filter val="$47,872,755"/>
        <filter val="$474,656"/>
        <filter val="$475,322"/>
        <filter val="$48,069,252"/>
        <filter val="$48,389"/>
        <filter val="$48,932"/>
        <filter val="$480,000"/>
        <filter val="$483,331"/>
        <filter val="$49,227"/>
        <filter val="$491,294"/>
        <filter val="$492,189"/>
        <filter val="$499,527"/>
        <filter val="$5,029,820"/>
        <filter val="$5,101"/>
        <filter val="$5,160,000"/>
        <filter val="$5,178"/>
        <filter val="$5,197"/>
        <filter val="$5,214"/>
        <filter val="$5,281"/>
        <filter val="$5,350,000"/>
        <filter val="$5,356"/>
        <filter val="$5,483,241"/>
        <filter val="$5,484,138"/>
        <filter val="$5,504,562"/>
        <filter val="$5,544,781"/>
        <filter val="$5,726"/>
        <filter val="$5,737"/>
        <filter val="$5,748,970"/>
        <filter val="$5,755,641"/>
        <filter val="$5,919,976"/>
        <filter val="$5,921,481"/>
        <filter val="$5,932,063"/>
        <filter val="$5,957,524"/>
        <filter val="$5,992"/>
        <filter val="$50,000"/>
        <filter val="$50,885,008"/>
        <filter val="$50,995"/>
        <filter val="$503,950"/>
        <filter val="$506,150"/>
        <filter val="$508,836"/>
        <filter val="$51,485"/>
        <filter val="$51,799"/>
        <filter val="$51,955,230"/>
        <filter val="$51,996"/>
        <filter val="$512,000"/>
        <filter val="$516,279"/>
        <filter val="$518,385"/>
        <filter val="$519,018"/>
        <filter val="$521,939"/>
        <filter val="$53,487"/>
        <filter val="$533,102"/>
        <filter val="$533,601,535"/>
        <filter val="$54,663,066"/>
        <filter val="$540,000"/>
        <filter val="$542,586"/>
        <filter val="$544,068,574"/>
        <filter val="$544,914"/>
        <filter val="$55,966"/>
        <filter val="$550,000"/>
        <filter val="$558,953"/>
        <filter val="$56,040,680"/>
        <filter val="$56,235,548"/>
        <filter val="$56,911,144"/>
        <filter val="$56,948"/>
        <filter val="$57,155"/>
        <filter val="$57,229"/>
        <filter val="$57,628,372"/>
        <filter val="$577,923"/>
        <filter val="$58,408"/>
        <filter val="$58,423"/>
        <filter val="$58,807,172"/>
        <filter val="$59,263,153"/>
        <filter val="$599,574"/>
        <filter val="$6,000,000"/>
        <filter val="$6,057"/>
        <filter val="$6,104"/>
        <filter val="$6,120,728"/>
        <filter val="$6,168,544"/>
        <filter val="$6,225,444"/>
        <filter val="$6,425,179"/>
        <filter val="$6,534"/>
        <filter val="$6,651,494"/>
        <filter val="$6,780,000"/>
        <filter val="$6,836,934"/>
        <filter val="$6,849,959"/>
        <filter val="$6,892"/>
        <filter val="$60,000"/>
        <filter val="$60,006,412"/>
        <filter val="$60,326"/>
        <filter val="$60,600,360"/>
        <filter val="$600,768"/>
        <filter val="$605,757"/>
        <filter val="$61,616"/>
        <filter val="$62,007"/>
        <filter val="$62,950"/>
        <filter val="$624,013"/>
        <filter val="$625,975"/>
        <filter val="$63,297"/>
        <filter val="$63,312"/>
        <filter val="$63,769"/>
        <filter val="$63,802"/>
        <filter val="$63,931,005"/>
        <filter val="$630,896"/>
        <filter val="$637,626"/>
        <filter val="$638,695"/>
        <filter val="$64,601"/>
        <filter val="$640,000"/>
        <filter val="$65,446"/>
        <filter val="$65,633"/>
        <filter val="$65,915"/>
        <filter val="$66,561"/>
        <filter val="$661,229"/>
        <filter val="$663,773"/>
        <filter val="$669,128"/>
        <filter val="$67,678"/>
        <filter val="$670,573"/>
        <filter val="$672,565"/>
        <filter val="$676,981"/>
        <filter val="$678,553"/>
        <filter val="$68,364,730"/>
        <filter val="$68,555"/>
        <filter val="$68,722,321"/>
        <filter val="$68,836"/>
        <filter val="$684,806"/>
        <filter val="$686,594"/>
        <filter val="$688,869"/>
        <filter val="$688,934,822"/>
        <filter val="$69,175"/>
        <filter val="$693,523"/>
        <filter val="$695,621"/>
        <filter val="$696,580"/>
        <filter val="$7,052,423"/>
        <filter val="$7,053"/>
        <filter val="$7,090,000"/>
        <filter val="$7,272,220"/>
        <filter val="$7,322,128"/>
        <filter val="$7,330,000"/>
        <filter val="$7,353,354"/>
        <filter val="$7,423,443"/>
        <filter val="$7,432"/>
        <filter val="$7,448,509"/>
        <filter val="$7,489,619"/>
        <filter val="$7,639"/>
        <filter val="$7,736,408"/>
        <filter val="$7,784,033"/>
        <filter val="$7,835,554"/>
        <filter val="$7,876"/>
        <filter val="$7,898"/>
        <filter val="$70,589"/>
        <filter val="$710,023"/>
        <filter val="$710,813"/>
        <filter val="$713,335"/>
        <filter val="$713,623"/>
        <filter val="$72,044"/>
        <filter val="$72,506,344"/>
        <filter val="$720,000"/>
        <filter val="$726,371"/>
        <filter val="$73,692,536"/>
        <filter val="$73,772"/>
        <filter val="$730,000"/>
        <filter val="$738,015"/>
        <filter val="$739,245"/>
        <filter val="$74,842,075"/>
        <filter val="$740,000"/>
        <filter val="$742,514,069"/>
        <filter val="$744,017"/>
        <filter val="$75,888"/>
        <filter val="$754,959"/>
        <filter val="$76,483"/>
        <filter val="$760,000"/>
        <filter val="$761,348"/>
        <filter val="$763,475"/>
        <filter val="$77,072,065"/>
        <filter val="$775,700"/>
        <filter val="$779,255"/>
        <filter val="$787,747"/>
        <filter val="$79,214,896"/>
        <filter val="$79,980"/>
        <filter val="$790,000"/>
        <filter val="$797,024"/>
        <filter val="$8,051,388"/>
        <filter val="$8,091,941"/>
        <filter val="$8,134"/>
        <filter val="$8,224"/>
        <filter val="$8,228,985"/>
        <filter val="$8,230,634"/>
        <filter val="$8,242,805"/>
        <filter val="$8,307,698"/>
        <filter val="$8,405"/>
        <filter val="$8,512,220"/>
        <filter val="$8,595,808"/>
        <filter val="$8,719,459"/>
        <filter val="$8,823"/>
        <filter val="$8,878"/>
        <filter val="$80,000"/>
        <filter val="$81,096,320"/>
        <filter val="$81,369"/>
        <filter val="$81,834"/>
        <filter val="$810,000"/>
        <filter val="$818,921"/>
        <filter val="$82,891,949"/>
        <filter val="$828,455"/>
        <filter val="$83,081"/>
        <filter val="$83,595"/>
        <filter val="$833,839"/>
        <filter val="$835,474,171"/>
        <filter val="$84,717,566"/>
        <filter val="$85,170,584"/>
        <filter val="$86,463"/>
        <filter val="$86,876,449"/>
        <filter val="$86,919"/>
        <filter val="$87,271"/>
        <filter val="$87,578"/>
        <filter val="$87,969,037"/>
        <filter val="$877,336"/>
        <filter val="$879,592"/>
        <filter val="$886,183"/>
        <filter val="$889,012"/>
        <filter val="$89,226"/>
        <filter val="$9,023,944"/>
        <filter val="$9,120,498"/>
        <filter val="$9,135"/>
        <filter val="$9,144"/>
        <filter val="$9,215"/>
        <filter val="$9,345,649"/>
        <filter val="$9,484,078"/>
        <filter val="$9,499,456"/>
        <filter val="$9,560,020"/>
        <filter val="$9,626,679"/>
        <filter val="$9,692,046"/>
        <filter val="$9,772"/>
        <filter val="$9,780"/>
        <filter val="$9,782,949"/>
        <filter val="$9,796,094"/>
        <filter val="$9,949,926"/>
        <filter val="$90,035,547"/>
        <filter val="$90,100,000"/>
        <filter val="$900,000"/>
        <filter val="$91,014"/>
        <filter val="$91,344"/>
        <filter val="$91,419,352"/>
        <filter val="$91,462,581"/>
        <filter val="$916,822"/>
        <filter val="$917,277"/>
        <filter val="$92,673"/>
        <filter val="$92,700"/>
        <filter val="$92,796,952"/>
        <filter val="$93,338"/>
        <filter val="$93,792"/>
        <filter val="$933,589"/>
        <filter val="$94,532"/>
        <filter val="$94,951,615"/>
        <filter val="$95,649"/>
        <filter val="$95,697,808"/>
        <filter val="$96,755,799"/>
        <filter val="$97,033,612"/>
        <filter val="$98,143"/>
        <filter val="$98,444,408"/>
        <filter val="$983,086"/>
        <filter val="$99,673"/>
      </filters>
    </filterColumn>
    <filterColumn colId="31">
      <filters blank="1"/>
    </filterColumn>
  </autoFilter>
  <phoneticPr fontId="15" type="noConversion"/>
  <conditionalFormatting sqref="G275:G979">
    <cfRule type="duplicateValues" dxfId="10" priority="42"/>
  </conditionalFormatting>
  <conditionalFormatting sqref="W849">
    <cfRule type="duplicateValues" dxfId="9" priority="1"/>
  </conditionalFormatting>
  <hyperlinks>
    <hyperlink ref="AA862" r:id="rId1" tooltip="https://baike.baidu.com/item/%E8%A2%81%E5%8D%AB%E4%B8%9C/6711412" xr:uid="{00000000-0004-0000-0700-000001000000}"/>
    <hyperlink ref="X908" r:id="rId2" tooltip="https://baike.baidu.com/item/%E6%AE%B5%E5%A5%95%E5%AE%8F/6910242" xr:uid="{00000000-0004-0000-0700-000002000000}"/>
    <hyperlink ref="X423" r:id="rId3" tooltip="https://baike.baidu.com/item/%E4%BA%95%E6%9F%8F%E7%84%B6/3974108" xr:uid="{00000000-0004-0000-0700-000003000000}"/>
    <hyperlink ref="X784" r:id="rId4" tooltip="https://baike.baidu.com/item/%E5%BE%90%E5%B3%A5/2966629" xr:uid="{00000000-0004-0000-0700-000004000000}"/>
    <hyperlink ref="AA321" r:id="rId5" tooltip="https://baike.baidu.com/item/%E7%BD%97%E6%B4%8B" xr:uid="{00000000-0004-0000-0700-000005000000}"/>
    <hyperlink ref="X574" r:id="rId6" tooltip="https://baike.baidu.com/item/%E5%91%A8%E8%8B%B1%E7%94%B7" xr:uid="{00000000-0004-0000-0700-000006000000}"/>
    <hyperlink ref="AA574" r:id="rId7" tooltip="https://baike.baidu.com/item/%E5%91%A8%E8%8B%B1%E7%94%B7" xr:uid="{00000000-0004-0000-0700-000007000000}"/>
    <hyperlink ref="AD1" r:id="rId8" xr:uid="{E962931B-3C19-4A6C-8792-D7353BB91775}"/>
    <hyperlink ref="W1" r:id="rId9" xr:uid="{04FE0C1D-ED8D-4DCF-86D8-A54288FE1318}"/>
    <hyperlink ref="AC1" r:id="rId10" xr:uid="{7B7BECA2-9557-44FF-9E88-E06D173B2BDC}"/>
    <hyperlink ref="X1" r:id="rId11" xr:uid="{1214F4F5-F85A-4553-B29E-F69FC9D6493E}"/>
    <hyperlink ref="Y1" r:id="rId12" xr:uid="{5D90E472-DB1E-4604-8B57-3AE9B5C6648C}"/>
    <hyperlink ref="Z1" r:id="rId13" xr:uid="{31B5C45A-76F1-4521-9561-1D0EE6C46A89}"/>
    <hyperlink ref="AA1" r:id="rId14" xr:uid="{D8CCB96B-FB09-45E8-84D9-87F3D5F69492}"/>
    <hyperlink ref="V1" r:id="rId15" xr:uid="{660330AB-23C2-42EE-8F2B-EC7BD1B1202E}"/>
    <hyperlink ref="F1" r:id="rId16" xr:uid="{17F706AE-2871-4D8B-A8B6-5F38B28B82DB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B758-0F62-4B55-BA26-2594470467B9}">
  <sheetPr filterMode="1">
    <tabColor rgb="FF00B050"/>
  </sheetPr>
  <dimension ref="A1:AC212"/>
  <sheetViews>
    <sheetView topLeftCell="L1" zoomScale="90" zoomScaleNormal="90" workbookViewId="0">
      <selection activeCell="S10" sqref="S10 S20 S100 S108 S128 S134 S200"/>
    </sheetView>
  </sheetViews>
  <sheetFormatPr defaultRowHeight="14.6" outlineLevelCol="1"/>
  <cols>
    <col min="1" max="1" width="8.69140625" customWidth="1"/>
    <col min="2" max="2" width="11.84375" customWidth="1"/>
    <col min="3" max="3" width="5.3828125" customWidth="1"/>
    <col min="4" max="4" width="11.3828125" customWidth="1" outlineLevel="1"/>
    <col min="5" max="5" width="15" bestFit="1" customWidth="1"/>
    <col min="6" max="6" width="33.53515625" bestFit="1" customWidth="1"/>
    <col min="7" max="7" width="53.53515625" bestFit="1" customWidth="1"/>
    <col min="8" max="8" width="15.23046875" bestFit="1" customWidth="1"/>
    <col min="9" max="9" width="11.53515625" bestFit="1" customWidth="1"/>
    <col min="10" max="10" width="10.53515625" bestFit="1" customWidth="1"/>
    <col min="11" max="11" width="11.53515625" customWidth="1" outlineLevel="1"/>
    <col min="12" max="12" width="10.53515625" bestFit="1" customWidth="1"/>
    <col min="13" max="13" width="11.53515625" bestFit="1" customWidth="1"/>
    <col min="14" max="14" width="11.53515625" customWidth="1" outlineLevel="1"/>
    <col min="15" max="16" width="11.53515625" bestFit="1" customWidth="1"/>
    <col min="17" max="17" width="29.3828125" bestFit="1" customWidth="1"/>
    <col min="18" max="18" width="28" customWidth="1" outlineLevel="1"/>
    <col min="19" max="19" width="46.53515625" customWidth="1" outlineLevel="1"/>
    <col min="20" max="20" width="28.84375" customWidth="1" outlineLevel="1"/>
    <col min="21" max="21" width="18.84375" customWidth="1"/>
    <col min="22" max="22" width="20.53515625" customWidth="1"/>
    <col min="23" max="23" width="15.3828125" customWidth="1"/>
    <col min="24" max="25" width="15.3828125" customWidth="1" outlineLevel="1"/>
    <col min="26" max="26" width="15.3828125" customWidth="1"/>
    <col min="27" max="27" width="15.3828125" customWidth="1" outlineLevel="1"/>
    <col min="28" max="28" width="35.3828125" customWidth="1"/>
    <col min="29" max="29" width="12.69140625" bestFit="1" customWidth="1"/>
  </cols>
  <sheetData>
    <row r="1" spans="1:29" ht="43.75">
      <c r="A1" s="11" t="s">
        <v>0</v>
      </c>
      <c r="B1" s="11" t="s">
        <v>1457</v>
      </c>
      <c r="C1" s="11" t="s">
        <v>1458</v>
      </c>
      <c r="D1" s="38" t="s">
        <v>573</v>
      </c>
      <c r="E1" s="12" t="s">
        <v>1459</v>
      </c>
      <c r="F1" s="40" t="s">
        <v>1460</v>
      </c>
      <c r="G1" s="12" t="s">
        <v>586</v>
      </c>
      <c r="H1" s="12" t="s">
        <v>123</v>
      </c>
      <c r="I1" s="13" t="s">
        <v>1461</v>
      </c>
      <c r="J1" s="13" t="s">
        <v>1462</v>
      </c>
      <c r="K1" s="38" t="s">
        <v>1463</v>
      </c>
      <c r="L1" s="43" t="s">
        <v>587</v>
      </c>
      <c r="M1" s="43" t="s">
        <v>588</v>
      </c>
      <c r="N1" s="40" t="s">
        <v>1464</v>
      </c>
      <c r="O1" s="40" t="s">
        <v>589</v>
      </c>
      <c r="P1" s="40" t="s">
        <v>590</v>
      </c>
      <c r="Q1" s="12" t="s">
        <v>591</v>
      </c>
      <c r="R1" s="14" t="s">
        <v>592</v>
      </c>
      <c r="S1" s="14" t="s">
        <v>593</v>
      </c>
      <c r="T1" s="14" t="s">
        <v>1385</v>
      </c>
      <c r="U1" s="14" t="s">
        <v>1465</v>
      </c>
      <c r="V1" s="15" t="s">
        <v>1466</v>
      </c>
      <c r="W1" s="44" t="s">
        <v>1467</v>
      </c>
      <c r="X1" s="44" t="s">
        <v>1468</v>
      </c>
      <c r="Y1" s="44" t="s">
        <v>1469</v>
      </c>
      <c r="Z1" s="44" t="s">
        <v>1470</v>
      </c>
      <c r="AA1" s="15" t="s">
        <v>1471</v>
      </c>
      <c r="AB1" s="44" t="s">
        <v>1472</v>
      </c>
      <c r="AC1" s="40" t="s">
        <v>1473</v>
      </c>
    </row>
    <row r="2" spans="1:29" hidden="1">
      <c r="A2" s="4">
        <v>2019</v>
      </c>
      <c r="B2" s="4" t="s">
        <v>44</v>
      </c>
      <c r="C2" s="3">
        <v>1</v>
      </c>
      <c r="D2" s="55" t="s">
        <v>600</v>
      </c>
      <c r="E2" s="3" t="s">
        <v>600</v>
      </c>
      <c r="F2" s="5" t="s">
        <v>390</v>
      </c>
      <c r="G2" s="5" t="s">
        <v>601</v>
      </c>
      <c r="H2" s="5" t="s">
        <v>129</v>
      </c>
      <c r="I2" s="7">
        <v>1600000</v>
      </c>
      <c r="J2" s="57"/>
      <c r="K2" s="7"/>
      <c r="L2" s="8">
        <v>17</v>
      </c>
      <c r="M2" s="7">
        <v>50583</v>
      </c>
      <c r="N2" s="7"/>
      <c r="O2" s="7">
        <v>22268448</v>
      </c>
      <c r="P2" s="7">
        <v>22369964</v>
      </c>
      <c r="Q2" s="66" t="s">
        <v>602</v>
      </c>
      <c r="R2" s="5" t="s">
        <v>598</v>
      </c>
      <c r="S2" s="10" t="s">
        <v>603</v>
      </c>
      <c r="T2" s="10" t="s">
        <v>1390</v>
      </c>
      <c r="U2" s="6" t="s">
        <v>1479</v>
      </c>
      <c r="V2" s="5" t="s">
        <v>1480</v>
      </c>
      <c r="W2" s="5" t="s">
        <v>1481</v>
      </c>
      <c r="X2" s="5"/>
      <c r="Y2" s="5"/>
      <c r="Z2" s="5" t="s">
        <v>1482</v>
      </c>
      <c r="AA2" s="5"/>
      <c r="AB2" s="39" t="s">
        <v>1483</v>
      </c>
      <c r="AC2" s="61">
        <v>5.6</v>
      </c>
    </row>
    <row r="3" spans="1:29" hidden="1">
      <c r="A3" s="4">
        <v>2019</v>
      </c>
      <c r="B3" s="4" t="s">
        <v>44</v>
      </c>
      <c r="C3" s="3">
        <f>C2+1</f>
        <v>2</v>
      </c>
      <c r="D3" s="55" t="s">
        <v>604</v>
      </c>
      <c r="E3" s="3" t="s">
        <v>604</v>
      </c>
      <c r="F3" s="5" t="s">
        <v>128</v>
      </c>
      <c r="G3" s="5" t="s">
        <v>605</v>
      </c>
      <c r="H3" s="5" t="s">
        <v>129</v>
      </c>
      <c r="I3" s="7">
        <v>50000000</v>
      </c>
      <c r="J3" s="7">
        <v>3000000</v>
      </c>
      <c r="K3" s="7">
        <v>253000000</v>
      </c>
      <c r="L3" s="8">
        <v>129</v>
      </c>
      <c r="M3" s="7">
        <v>1685287</v>
      </c>
      <c r="N3" s="7">
        <v>694626865</v>
      </c>
      <c r="O3" s="7">
        <v>683059335</v>
      </c>
      <c r="P3" s="7">
        <v>688934822</v>
      </c>
      <c r="Q3" s="5" t="s">
        <v>606</v>
      </c>
      <c r="R3" s="5" t="s">
        <v>598</v>
      </c>
      <c r="S3" s="5" t="s">
        <v>607</v>
      </c>
      <c r="T3" s="5" t="s">
        <v>1390</v>
      </c>
      <c r="U3" s="5" t="s">
        <v>1484</v>
      </c>
      <c r="V3" s="5" t="s">
        <v>1485</v>
      </c>
      <c r="W3" s="5" t="s">
        <v>1486</v>
      </c>
      <c r="X3" s="5"/>
      <c r="Y3" s="5"/>
      <c r="Z3" s="5" t="s">
        <v>1487</v>
      </c>
      <c r="AA3" s="5"/>
      <c r="AB3" s="5" t="s">
        <v>1488</v>
      </c>
      <c r="AC3" s="62">
        <v>9.1999999999999993</v>
      </c>
    </row>
    <row r="4" spans="1:29" hidden="1">
      <c r="A4" s="4">
        <v>2019</v>
      </c>
      <c r="B4" s="4" t="s">
        <v>44</v>
      </c>
      <c r="C4" s="3">
        <f t="shared" ref="C4:C67" si="0">C3+1</f>
        <v>3</v>
      </c>
      <c r="D4" s="55" t="s">
        <v>608</v>
      </c>
      <c r="E4" s="3" t="s">
        <v>608</v>
      </c>
      <c r="F4" s="5" t="s">
        <v>173</v>
      </c>
      <c r="G4" s="5" t="s">
        <v>609</v>
      </c>
      <c r="H4" s="5" t="s">
        <v>127</v>
      </c>
      <c r="I4" s="7">
        <v>7462686</v>
      </c>
      <c r="J4" s="57" t="s">
        <v>1411</v>
      </c>
      <c r="K4" s="7">
        <v>6417910</v>
      </c>
      <c r="L4" s="8">
        <v>67</v>
      </c>
      <c r="M4" s="7">
        <v>2733367</v>
      </c>
      <c r="N4" s="7">
        <v>18507462</v>
      </c>
      <c r="O4" s="7">
        <v>18521816</v>
      </c>
      <c r="P4" s="7">
        <v>18653041</v>
      </c>
      <c r="Q4" s="5" t="s">
        <v>610</v>
      </c>
      <c r="R4" s="5" t="s">
        <v>611</v>
      </c>
      <c r="S4" s="5" t="s">
        <v>612</v>
      </c>
      <c r="T4" s="5" t="s">
        <v>1386</v>
      </c>
      <c r="U4" s="5" t="s">
        <v>1490</v>
      </c>
      <c r="V4" s="5" t="s">
        <v>1491</v>
      </c>
      <c r="W4" s="5" t="s">
        <v>1492</v>
      </c>
      <c r="X4" s="5"/>
      <c r="Y4" s="5"/>
      <c r="Z4" s="5" t="s">
        <v>1493</v>
      </c>
      <c r="AA4" s="5"/>
      <c r="AB4" s="5" t="s">
        <v>1494</v>
      </c>
      <c r="AC4" s="62">
        <v>6</v>
      </c>
    </row>
    <row r="5" spans="1:29" hidden="1">
      <c r="A5" s="4">
        <v>2019</v>
      </c>
      <c r="B5" s="4" t="s">
        <v>44</v>
      </c>
      <c r="C5" s="3">
        <f t="shared" si="0"/>
        <v>4</v>
      </c>
      <c r="D5" s="55" t="s">
        <v>613</v>
      </c>
      <c r="E5" s="3" t="s">
        <v>613</v>
      </c>
      <c r="F5" s="5" t="s">
        <v>614</v>
      </c>
      <c r="G5" s="5" t="s">
        <v>1407</v>
      </c>
      <c r="H5" s="5" t="s">
        <v>127</v>
      </c>
      <c r="I5" s="7">
        <v>25800000</v>
      </c>
      <c r="J5" s="57"/>
      <c r="K5" s="7"/>
      <c r="L5" s="8">
        <v>60570</v>
      </c>
      <c r="M5" s="7">
        <v>3880000</v>
      </c>
      <c r="N5" s="7"/>
      <c r="O5" s="7">
        <v>4957041</v>
      </c>
      <c r="P5" s="7">
        <v>4957041</v>
      </c>
      <c r="Q5" s="39" t="s">
        <v>606</v>
      </c>
      <c r="R5" s="5" t="s">
        <v>598</v>
      </c>
      <c r="S5" s="5" t="s">
        <v>599</v>
      </c>
      <c r="T5" s="5" t="s">
        <v>1406</v>
      </c>
      <c r="U5" s="5" t="s">
        <v>1495</v>
      </c>
      <c r="V5" s="5" t="s">
        <v>1496</v>
      </c>
      <c r="W5" s="5" t="s">
        <v>1497</v>
      </c>
      <c r="X5" s="5"/>
      <c r="Y5" s="5"/>
      <c r="Z5" s="5" t="s">
        <v>1498</v>
      </c>
      <c r="AA5" s="5"/>
      <c r="AB5" s="39" t="s">
        <v>1499</v>
      </c>
      <c r="AC5" s="59">
        <v>4.4000000000000004</v>
      </c>
    </row>
    <row r="6" spans="1:29" hidden="1">
      <c r="A6" s="4">
        <v>2019</v>
      </c>
      <c r="B6" s="4" t="s">
        <v>44</v>
      </c>
      <c r="C6" s="3">
        <f t="shared" si="0"/>
        <v>5</v>
      </c>
      <c r="D6" s="55" t="s">
        <v>615</v>
      </c>
      <c r="E6" s="3" t="s">
        <v>615</v>
      </c>
      <c r="F6" s="5" t="s">
        <v>539</v>
      </c>
      <c r="G6" s="5" t="s">
        <v>1500</v>
      </c>
      <c r="H6" s="5" t="s">
        <v>131</v>
      </c>
      <c r="I6" s="7">
        <v>134000</v>
      </c>
      <c r="J6" s="57"/>
      <c r="K6" s="7"/>
      <c r="L6" s="41" t="s">
        <v>1501</v>
      </c>
      <c r="M6" s="7">
        <v>45000</v>
      </c>
      <c r="N6" s="7"/>
      <c r="O6" s="7">
        <v>250000</v>
      </c>
      <c r="P6" s="7">
        <v>250000</v>
      </c>
      <c r="Q6" s="5" t="s">
        <v>606</v>
      </c>
      <c r="R6" s="5" t="s">
        <v>598</v>
      </c>
      <c r="S6" s="5" t="s">
        <v>616</v>
      </c>
      <c r="T6" s="5" t="s">
        <v>1406</v>
      </c>
      <c r="U6" s="5" t="s">
        <v>1502</v>
      </c>
      <c r="V6" s="5" t="s">
        <v>1503</v>
      </c>
      <c r="W6" s="5" t="s">
        <v>1504</v>
      </c>
      <c r="X6" s="5"/>
      <c r="Y6" s="5"/>
      <c r="Z6" s="5" t="s">
        <v>1505</v>
      </c>
      <c r="AA6" s="5"/>
      <c r="AB6" s="5" t="s">
        <v>1506</v>
      </c>
      <c r="AC6" s="59">
        <v>7.9</v>
      </c>
    </row>
    <row r="7" spans="1:29" hidden="1">
      <c r="A7" s="4">
        <v>2019</v>
      </c>
      <c r="B7" s="4" t="s">
        <v>44</v>
      </c>
      <c r="C7" s="3">
        <f t="shared" si="0"/>
        <v>6</v>
      </c>
      <c r="D7" s="55" t="s">
        <v>617</v>
      </c>
      <c r="E7" s="3" t="s">
        <v>617</v>
      </c>
      <c r="F7" s="5" t="s">
        <v>399</v>
      </c>
      <c r="G7" s="5" t="s">
        <v>618</v>
      </c>
      <c r="H7" s="5" t="s">
        <v>131</v>
      </c>
      <c r="I7" s="7">
        <v>12000000</v>
      </c>
      <c r="J7" s="57"/>
      <c r="K7" s="7"/>
      <c r="L7" s="8">
        <v>47</v>
      </c>
      <c r="M7" s="7">
        <v>2000000</v>
      </c>
      <c r="N7" s="7"/>
      <c r="O7" s="7">
        <v>11552069</v>
      </c>
      <c r="P7" s="7">
        <v>11966647</v>
      </c>
      <c r="Q7" s="5" t="s">
        <v>606</v>
      </c>
      <c r="R7" s="5" t="s">
        <v>598</v>
      </c>
      <c r="S7" s="5" t="s">
        <v>616</v>
      </c>
      <c r="T7" s="5" t="s">
        <v>1390</v>
      </c>
      <c r="U7" s="5" t="s">
        <v>1507</v>
      </c>
      <c r="V7" s="5" t="s">
        <v>1508</v>
      </c>
      <c r="W7" s="5" t="s">
        <v>1509</v>
      </c>
      <c r="X7" s="5"/>
      <c r="Y7" s="5"/>
      <c r="Z7" s="5" t="s">
        <v>1510</v>
      </c>
      <c r="AA7" s="5"/>
      <c r="AB7" s="39" t="s">
        <v>1511</v>
      </c>
      <c r="AC7" s="59">
        <v>7.6</v>
      </c>
    </row>
    <row r="8" spans="1:29" hidden="1">
      <c r="A8" s="4">
        <v>2019</v>
      </c>
      <c r="B8" s="4" t="s">
        <v>44</v>
      </c>
      <c r="C8" s="3">
        <f t="shared" si="0"/>
        <v>7</v>
      </c>
      <c r="D8" s="55" t="s">
        <v>619</v>
      </c>
      <c r="E8" s="3" t="s">
        <v>619</v>
      </c>
      <c r="F8" s="5" t="s">
        <v>620</v>
      </c>
      <c r="G8" s="5" t="s">
        <v>601</v>
      </c>
      <c r="H8" s="5" t="s">
        <v>154</v>
      </c>
      <c r="I8" s="7">
        <v>12000000</v>
      </c>
      <c r="J8" s="57"/>
      <c r="K8" s="7"/>
      <c r="L8" s="8">
        <v>12</v>
      </c>
      <c r="M8" s="7">
        <v>168740</v>
      </c>
      <c r="N8" s="7"/>
      <c r="O8" s="7">
        <v>269611</v>
      </c>
      <c r="P8" s="7">
        <v>345900</v>
      </c>
      <c r="Q8" s="5" t="s">
        <v>606</v>
      </c>
      <c r="R8" s="5" t="s">
        <v>598</v>
      </c>
      <c r="S8" s="5" t="s">
        <v>616</v>
      </c>
      <c r="T8" s="5" t="s">
        <v>1394</v>
      </c>
      <c r="U8" s="5" t="s">
        <v>1512</v>
      </c>
      <c r="V8" s="5" t="s">
        <v>620</v>
      </c>
      <c r="W8" s="5" t="s">
        <v>1513</v>
      </c>
      <c r="X8" s="5"/>
      <c r="Y8" s="5"/>
      <c r="Z8" s="5" t="s">
        <v>1514</v>
      </c>
      <c r="AA8" s="5"/>
      <c r="AB8" s="39" t="s">
        <v>1515</v>
      </c>
      <c r="AC8" s="59">
        <v>8</v>
      </c>
    </row>
    <row r="9" spans="1:29" hidden="1">
      <c r="A9" s="4">
        <v>2019</v>
      </c>
      <c r="B9" s="4" t="s">
        <v>44</v>
      </c>
      <c r="C9" s="3">
        <f t="shared" si="0"/>
        <v>8</v>
      </c>
      <c r="D9" s="55" t="s">
        <v>621</v>
      </c>
      <c r="E9" s="3" t="s">
        <v>621</v>
      </c>
      <c r="F9" s="5" t="s">
        <v>343</v>
      </c>
      <c r="G9" s="5" t="s">
        <v>622</v>
      </c>
      <c r="H9" s="5" t="s">
        <v>131</v>
      </c>
      <c r="I9" s="7">
        <v>1200000</v>
      </c>
      <c r="J9" s="57"/>
      <c r="K9" s="7"/>
      <c r="L9" s="8">
        <v>3</v>
      </c>
      <c r="M9" s="7">
        <v>3207</v>
      </c>
      <c r="N9" s="7"/>
      <c r="O9" s="7">
        <v>0</v>
      </c>
      <c r="P9" s="7">
        <v>10364</v>
      </c>
      <c r="Q9" s="5" t="s">
        <v>606</v>
      </c>
      <c r="R9" s="5" t="s">
        <v>598</v>
      </c>
      <c r="S9" s="5" t="s">
        <v>616</v>
      </c>
      <c r="T9" s="5" t="s">
        <v>1390</v>
      </c>
      <c r="U9" s="5" t="s">
        <v>1516</v>
      </c>
      <c r="V9" s="5" t="s">
        <v>1517</v>
      </c>
      <c r="W9" s="5" t="s">
        <v>1518</v>
      </c>
      <c r="X9" s="5"/>
      <c r="Y9" s="5"/>
      <c r="Z9" s="5" t="s">
        <v>1519</v>
      </c>
      <c r="AA9" s="5"/>
      <c r="AB9" s="39" t="s">
        <v>1520</v>
      </c>
      <c r="AC9" s="63" t="s">
        <v>1521</v>
      </c>
    </row>
    <row r="10" spans="1:29" ht="15">
      <c r="A10" s="4">
        <v>2019</v>
      </c>
      <c r="B10" s="4" t="s">
        <v>44</v>
      </c>
      <c r="C10" s="3">
        <f t="shared" si="0"/>
        <v>9</v>
      </c>
      <c r="D10" s="55" t="s">
        <v>623</v>
      </c>
      <c r="E10" s="3" t="s">
        <v>623</v>
      </c>
      <c r="F10" s="5" t="s">
        <v>392</v>
      </c>
      <c r="G10" s="5" t="s">
        <v>601</v>
      </c>
      <c r="H10" s="5" t="s">
        <v>129</v>
      </c>
      <c r="I10" s="7">
        <v>28000000</v>
      </c>
      <c r="J10" s="57"/>
      <c r="K10" s="7"/>
      <c r="L10" s="8">
        <v>61</v>
      </c>
      <c r="M10" s="7">
        <v>92663</v>
      </c>
      <c r="N10" s="7"/>
      <c r="O10" s="7">
        <v>19572493</v>
      </c>
      <c r="P10" s="7">
        <v>19781947</v>
      </c>
      <c r="Q10" s="5" t="s">
        <v>606</v>
      </c>
      <c r="R10" s="5" t="s">
        <v>598</v>
      </c>
      <c r="S10" s="6">
        <v>0</v>
      </c>
      <c r="T10" s="5" t="s">
        <v>1390</v>
      </c>
      <c r="U10" s="5" t="s">
        <v>1522</v>
      </c>
      <c r="V10" s="5" t="s">
        <v>1523</v>
      </c>
      <c r="W10" s="5" t="s">
        <v>1524</v>
      </c>
      <c r="X10" s="5"/>
      <c r="Y10" s="5"/>
      <c r="Z10" s="5" t="s">
        <v>1525</v>
      </c>
      <c r="AA10" s="5"/>
      <c r="AB10" s="39" t="s">
        <v>1483</v>
      </c>
      <c r="AC10" s="63">
        <v>9</v>
      </c>
    </row>
    <row r="11" spans="1:29" hidden="1">
      <c r="A11" s="4">
        <v>2019</v>
      </c>
      <c r="B11" s="4" t="s">
        <v>44</v>
      </c>
      <c r="C11" s="3">
        <f t="shared" si="0"/>
        <v>10</v>
      </c>
      <c r="D11" s="55" t="s">
        <v>623</v>
      </c>
      <c r="E11" s="3" t="s">
        <v>623</v>
      </c>
      <c r="F11" s="5" t="s">
        <v>382</v>
      </c>
      <c r="G11" s="5" t="s">
        <v>624</v>
      </c>
      <c r="H11" s="5" t="s">
        <v>131</v>
      </c>
      <c r="I11" s="7">
        <v>7500000</v>
      </c>
      <c r="J11" s="57"/>
      <c r="K11" s="7"/>
      <c r="L11" s="8">
        <v>24</v>
      </c>
      <c r="M11" s="7">
        <v>26746</v>
      </c>
      <c r="N11" s="7"/>
      <c r="O11" s="7">
        <v>41619365</v>
      </c>
      <c r="P11" s="7">
        <v>42140730</v>
      </c>
      <c r="Q11" s="5" t="s">
        <v>606</v>
      </c>
      <c r="R11" s="5" t="s">
        <v>598</v>
      </c>
      <c r="S11" s="5" t="s">
        <v>616</v>
      </c>
      <c r="T11" s="5" t="s">
        <v>1390</v>
      </c>
      <c r="U11" s="5" t="s">
        <v>1526</v>
      </c>
      <c r="V11" s="5" t="s">
        <v>1527</v>
      </c>
      <c r="W11" s="5" t="s">
        <v>1528</v>
      </c>
      <c r="X11" s="5" t="s">
        <v>1529</v>
      </c>
      <c r="Y11" s="5" t="s">
        <v>1530</v>
      </c>
      <c r="Z11" s="5" t="s">
        <v>1531</v>
      </c>
      <c r="AA11" s="5"/>
      <c r="AB11" s="39" t="s">
        <v>1532</v>
      </c>
      <c r="AC11" s="59">
        <v>2.6</v>
      </c>
    </row>
    <row r="12" spans="1:29" hidden="1">
      <c r="A12" s="4">
        <v>2019</v>
      </c>
      <c r="B12" s="4" t="s">
        <v>44</v>
      </c>
      <c r="C12" s="3">
        <f t="shared" si="0"/>
        <v>11</v>
      </c>
      <c r="D12" s="55" t="s">
        <v>625</v>
      </c>
      <c r="E12" s="3" t="s">
        <v>1533</v>
      </c>
      <c r="F12" s="5" t="s">
        <v>209</v>
      </c>
      <c r="G12" s="5" t="s">
        <v>601</v>
      </c>
      <c r="H12" s="5" t="s">
        <v>1403</v>
      </c>
      <c r="I12" s="7">
        <v>14925373.134328358</v>
      </c>
      <c r="J12" s="57" t="s">
        <v>1411</v>
      </c>
      <c r="K12" s="7">
        <v>1492537.3134328357</v>
      </c>
      <c r="L12" s="8">
        <v>19</v>
      </c>
      <c r="M12" s="7">
        <v>36590</v>
      </c>
      <c r="N12" s="7">
        <v>4179104.4776119408</v>
      </c>
      <c r="O12" s="7">
        <v>4066011</v>
      </c>
      <c r="P12" s="7">
        <v>4140502</v>
      </c>
      <c r="Q12" s="5" t="s">
        <v>606</v>
      </c>
      <c r="R12" s="5" t="s">
        <v>598</v>
      </c>
      <c r="S12" s="5" t="s">
        <v>616</v>
      </c>
      <c r="T12" s="5" t="s">
        <v>1390</v>
      </c>
      <c r="U12" s="5" t="s">
        <v>1534</v>
      </c>
      <c r="V12" s="5" t="s">
        <v>1535</v>
      </c>
      <c r="W12" s="5" t="s">
        <v>1536</v>
      </c>
      <c r="X12" s="5"/>
      <c r="Y12" s="5"/>
      <c r="Z12" s="5" t="s">
        <v>1537</v>
      </c>
      <c r="AA12" s="5"/>
      <c r="AB12" s="5" t="s">
        <v>1538</v>
      </c>
      <c r="AC12" s="62">
        <v>8.4</v>
      </c>
    </row>
    <row r="13" spans="1:29" ht="15" hidden="1">
      <c r="A13" s="4">
        <v>2019</v>
      </c>
      <c r="B13" s="4" t="s">
        <v>44</v>
      </c>
      <c r="C13" s="3">
        <f t="shared" si="0"/>
        <v>12</v>
      </c>
      <c r="D13" s="55" t="s">
        <v>625</v>
      </c>
      <c r="E13" s="3" t="s">
        <v>625</v>
      </c>
      <c r="F13" s="5" t="s">
        <v>172</v>
      </c>
      <c r="G13" s="5" t="s">
        <v>626</v>
      </c>
      <c r="H13" s="5" t="s">
        <v>131</v>
      </c>
      <c r="I13" s="7">
        <v>4500000</v>
      </c>
      <c r="J13" s="57" t="s">
        <v>1411</v>
      </c>
      <c r="K13" s="7">
        <v>6119403</v>
      </c>
      <c r="L13" s="8">
        <v>33178</v>
      </c>
      <c r="M13" s="7">
        <v>4267156</v>
      </c>
      <c r="N13" s="7">
        <v>18059701</v>
      </c>
      <c r="O13" s="7">
        <v>18914072</v>
      </c>
      <c r="P13" s="7">
        <v>19005956</v>
      </c>
      <c r="Q13" s="5" t="s">
        <v>606</v>
      </c>
      <c r="R13" s="5" t="s">
        <v>598</v>
      </c>
      <c r="S13" s="5" t="s">
        <v>616</v>
      </c>
      <c r="T13" s="5" t="s">
        <v>1390</v>
      </c>
      <c r="U13" s="5" t="s">
        <v>1539</v>
      </c>
      <c r="V13" s="5" t="s">
        <v>1540</v>
      </c>
      <c r="W13" s="5" t="s">
        <v>1541</v>
      </c>
      <c r="X13" s="5"/>
      <c r="Y13" s="5"/>
      <c r="Z13" s="5" t="s">
        <v>1542</v>
      </c>
      <c r="AA13" s="5"/>
      <c r="AB13" s="5" t="s">
        <v>1543</v>
      </c>
      <c r="AC13" s="62">
        <v>5.0999999999999996</v>
      </c>
    </row>
    <row r="14" spans="1:29" hidden="1">
      <c r="A14" s="4">
        <v>2019</v>
      </c>
      <c r="B14" s="4" t="s">
        <v>44</v>
      </c>
      <c r="C14" s="3">
        <f t="shared" si="0"/>
        <v>13</v>
      </c>
      <c r="D14" s="55" t="s">
        <v>625</v>
      </c>
      <c r="E14" s="3" t="s">
        <v>625</v>
      </c>
      <c r="F14" s="5" t="s">
        <v>371</v>
      </c>
      <c r="G14" s="5" t="s">
        <v>601</v>
      </c>
      <c r="H14" s="5" t="s">
        <v>129</v>
      </c>
      <c r="I14" s="7">
        <v>44500000</v>
      </c>
      <c r="J14" s="57"/>
      <c r="K14" s="7"/>
      <c r="L14" s="8">
        <v>53</v>
      </c>
      <c r="M14" s="7">
        <v>9650987</v>
      </c>
      <c r="N14" s="7"/>
      <c r="O14" s="7">
        <v>90941185</v>
      </c>
      <c r="P14" s="7">
        <v>91462581</v>
      </c>
      <c r="Q14" s="5" t="s">
        <v>606</v>
      </c>
      <c r="R14" s="5" t="s">
        <v>598</v>
      </c>
      <c r="S14" s="5" t="s">
        <v>603</v>
      </c>
      <c r="T14" s="5" t="s">
        <v>1390</v>
      </c>
      <c r="U14" s="5" t="s">
        <v>1544</v>
      </c>
      <c r="V14" s="5" t="s">
        <v>1545</v>
      </c>
      <c r="W14" s="5" t="s">
        <v>1546</v>
      </c>
      <c r="X14" s="5"/>
      <c r="Y14" s="5"/>
      <c r="Z14" s="5" t="s">
        <v>1547</v>
      </c>
      <c r="AA14" s="5"/>
      <c r="AB14" s="39" t="s">
        <v>1548</v>
      </c>
      <c r="AC14" s="59">
        <v>8.1</v>
      </c>
    </row>
    <row r="15" spans="1:29" hidden="1">
      <c r="A15" s="4">
        <v>2019</v>
      </c>
      <c r="B15" s="4" t="s">
        <v>44</v>
      </c>
      <c r="C15" s="3">
        <f t="shared" si="0"/>
        <v>14</v>
      </c>
      <c r="D15" s="55" t="s">
        <v>628</v>
      </c>
      <c r="E15" s="3" t="s">
        <v>628</v>
      </c>
      <c r="F15" s="5" t="s">
        <v>351</v>
      </c>
      <c r="G15" s="39" t="s">
        <v>870</v>
      </c>
      <c r="H15" s="5" t="s">
        <v>129</v>
      </c>
      <c r="I15" s="7">
        <v>35000000</v>
      </c>
      <c r="J15" s="57"/>
      <c r="K15" s="7"/>
      <c r="L15" s="41" t="s">
        <v>1501</v>
      </c>
      <c r="M15" s="7">
        <v>10925253</v>
      </c>
      <c r="N15" s="7"/>
      <c r="O15" s="7">
        <v>54000000</v>
      </c>
      <c r="P15" s="7">
        <v>90100000</v>
      </c>
      <c r="Q15" s="5" t="s">
        <v>606</v>
      </c>
      <c r="R15" s="5" t="s">
        <v>598</v>
      </c>
      <c r="S15" s="5" t="s">
        <v>607</v>
      </c>
      <c r="T15" s="5" t="s">
        <v>1390</v>
      </c>
      <c r="U15" s="39" t="s">
        <v>1553</v>
      </c>
      <c r="V15" s="39" t="s">
        <v>351</v>
      </c>
      <c r="W15" s="80" t="s">
        <v>1554</v>
      </c>
      <c r="X15" s="80" t="s">
        <v>1555</v>
      </c>
      <c r="Y15" s="80" t="s">
        <v>1556</v>
      </c>
      <c r="Z15" s="39" t="s">
        <v>1557</v>
      </c>
      <c r="AA15" s="5"/>
      <c r="AB15" s="39" t="s">
        <v>1558</v>
      </c>
      <c r="AC15" s="59">
        <v>6.5</v>
      </c>
    </row>
    <row r="16" spans="1:29" ht="15" hidden="1">
      <c r="A16" s="4">
        <v>2019</v>
      </c>
      <c r="B16" s="4" t="s">
        <v>44</v>
      </c>
      <c r="C16" s="3">
        <f t="shared" si="0"/>
        <v>15</v>
      </c>
      <c r="D16" s="55" t="s">
        <v>632</v>
      </c>
      <c r="E16" s="3" t="s">
        <v>1559</v>
      </c>
      <c r="F16" s="5" t="s">
        <v>633</v>
      </c>
      <c r="G16" s="5" t="s">
        <v>634</v>
      </c>
      <c r="H16" s="5" t="s">
        <v>127</v>
      </c>
      <c r="I16" s="7">
        <v>7462686.5671641789</v>
      </c>
      <c r="J16" s="7">
        <v>4477611.940298507</v>
      </c>
      <c r="K16" s="7">
        <v>27462686.567164179</v>
      </c>
      <c r="L16" s="41">
        <v>17372</v>
      </c>
      <c r="M16" s="7">
        <v>59300000</v>
      </c>
      <c r="N16" s="7">
        <v>72686567.164179102</v>
      </c>
      <c r="O16" s="7">
        <v>77072065</v>
      </c>
      <c r="P16" s="7">
        <v>77072065</v>
      </c>
      <c r="Q16" s="5" t="s">
        <v>606</v>
      </c>
      <c r="R16" s="5" t="s">
        <v>631</v>
      </c>
      <c r="S16" s="5" t="s">
        <v>612</v>
      </c>
      <c r="T16" s="5" t="s">
        <v>1386</v>
      </c>
      <c r="U16" s="45" t="s">
        <v>1560</v>
      </c>
      <c r="V16" s="5" t="s">
        <v>633</v>
      </c>
      <c r="W16" s="5" t="s">
        <v>1561</v>
      </c>
      <c r="X16" s="5" t="s">
        <v>1562</v>
      </c>
      <c r="Y16" s="10"/>
      <c r="Z16" s="5" t="s">
        <v>1563</v>
      </c>
      <c r="AA16" s="5"/>
      <c r="AB16" s="5" t="s">
        <v>1564</v>
      </c>
      <c r="AC16" s="62">
        <v>9.1</v>
      </c>
    </row>
    <row r="17" spans="1:29" hidden="1">
      <c r="A17" s="4">
        <v>2019</v>
      </c>
      <c r="B17" s="4" t="s">
        <v>44</v>
      </c>
      <c r="C17" s="3">
        <f t="shared" si="0"/>
        <v>16</v>
      </c>
      <c r="D17" s="55" t="s">
        <v>639</v>
      </c>
      <c r="E17" s="3" t="s">
        <v>639</v>
      </c>
      <c r="F17" s="5" t="s">
        <v>142</v>
      </c>
      <c r="G17" s="5" t="s">
        <v>626</v>
      </c>
      <c r="H17" s="5" t="s">
        <v>131</v>
      </c>
      <c r="I17" s="7">
        <v>12000000</v>
      </c>
      <c r="J17" s="57"/>
      <c r="K17" s="7"/>
      <c r="L17" s="41">
        <v>121643</v>
      </c>
      <c r="M17" s="42">
        <v>5560000</v>
      </c>
      <c r="N17" s="7"/>
      <c r="O17" s="7">
        <v>127897924</v>
      </c>
      <c r="P17" s="7">
        <v>127897924</v>
      </c>
      <c r="Q17" s="5" t="s">
        <v>606</v>
      </c>
      <c r="R17" s="5" t="s">
        <v>598</v>
      </c>
      <c r="S17" s="5" t="s">
        <v>603</v>
      </c>
      <c r="T17" s="5" t="s">
        <v>1390</v>
      </c>
      <c r="U17" s="39" t="s">
        <v>1565</v>
      </c>
      <c r="V17" s="39" t="s">
        <v>1566</v>
      </c>
      <c r="W17" s="80" t="s">
        <v>1546</v>
      </c>
      <c r="X17" s="80" t="s">
        <v>1567</v>
      </c>
      <c r="Y17" s="80" t="s">
        <v>1568</v>
      </c>
      <c r="Z17" s="80" t="s">
        <v>1546</v>
      </c>
      <c r="AA17" s="39" t="s">
        <v>1569</v>
      </c>
      <c r="AB17" s="50" t="s">
        <v>1570</v>
      </c>
      <c r="AC17" s="59">
        <v>9.4</v>
      </c>
    </row>
    <row r="18" spans="1:29" hidden="1">
      <c r="A18" s="4">
        <v>2019</v>
      </c>
      <c r="B18" s="4" t="s">
        <v>44</v>
      </c>
      <c r="C18" s="3">
        <f t="shared" si="0"/>
        <v>17</v>
      </c>
      <c r="D18" s="55" t="s">
        <v>640</v>
      </c>
      <c r="E18" s="3" t="s">
        <v>640</v>
      </c>
      <c r="F18" s="5" t="s">
        <v>138</v>
      </c>
      <c r="G18" s="5" t="s">
        <v>641</v>
      </c>
      <c r="H18" s="5" t="s">
        <v>131</v>
      </c>
      <c r="I18" s="7">
        <v>56400000</v>
      </c>
      <c r="J18" s="57"/>
      <c r="K18" s="7"/>
      <c r="L18" s="8">
        <v>150</v>
      </c>
      <c r="M18" s="7">
        <v>98500000</v>
      </c>
      <c r="N18" s="7"/>
      <c r="O18" s="7">
        <v>244889313</v>
      </c>
      <c r="P18" s="7">
        <v>245179530</v>
      </c>
      <c r="Q18" s="54" t="s">
        <v>597</v>
      </c>
      <c r="R18" s="5" t="s">
        <v>598</v>
      </c>
      <c r="S18" s="5" t="s">
        <v>707</v>
      </c>
      <c r="T18" s="5" t="s">
        <v>1393</v>
      </c>
      <c r="U18" s="39" t="s">
        <v>1571</v>
      </c>
      <c r="V18" s="39" t="s">
        <v>1572</v>
      </c>
      <c r="W18" s="80" t="s">
        <v>1573</v>
      </c>
      <c r="X18" s="80" t="s">
        <v>1574</v>
      </c>
      <c r="Y18" s="80" t="s">
        <v>1575</v>
      </c>
      <c r="Z18" s="39" t="s">
        <v>1576</v>
      </c>
      <c r="AA18" s="5"/>
      <c r="AB18" s="50" t="s">
        <v>1577</v>
      </c>
      <c r="AC18" s="59">
        <v>9.4</v>
      </c>
    </row>
    <row r="19" spans="1:29" hidden="1">
      <c r="A19" s="4">
        <v>2019</v>
      </c>
      <c r="B19" s="4" t="s">
        <v>44</v>
      </c>
      <c r="C19" s="3">
        <f t="shared" si="0"/>
        <v>18</v>
      </c>
      <c r="D19" s="55" t="s">
        <v>640</v>
      </c>
      <c r="E19" s="3" t="s">
        <v>640</v>
      </c>
      <c r="F19" s="5" t="s">
        <v>1578</v>
      </c>
      <c r="G19" s="5" t="s">
        <v>626</v>
      </c>
      <c r="H19" s="5" t="s">
        <v>131</v>
      </c>
      <c r="I19" s="7">
        <v>10900000</v>
      </c>
      <c r="J19" s="57"/>
      <c r="K19" s="7"/>
      <c r="L19" s="8">
        <v>2</v>
      </c>
      <c r="M19" s="7">
        <v>296516000</v>
      </c>
      <c r="N19" s="7"/>
      <c r="O19" s="7">
        <v>451176640</v>
      </c>
      <c r="P19" s="7">
        <v>451183392</v>
      </c>
      <c r="Q19" s="5" t="s">
        <v>606</v>
      </c>
      <c r="R19" s="5" t="s">
        <v>598</v>
      </c>
      <c r="S19" s="5" t="s">
        <v>616</v>
      </c>
      <c r="T19" s="5" t="s">
        <v>1406</v>
      </c>
      <c r="U19" s="5" t="s">
        <v>1579</v>
      </c>
      <c r="V19" s="39" t="s">
        <v>1580</v>
      </c>
      <c r="W19" s="50" t="s">
        <v>1581</v>
      </c>
      <c r="X19" s="50" t="s">
        <v>1582</v>
      </c>
      <c r="Y19" s="50" t="s">
        <v>1583</v>
      </c>
      <c r="Z19" s="39" t="s">
        <v>1584</v>
      </c>
      <c r="AA19" s="5"/>
      <c r="AB19" s="50" t="s">
        <v>1585</v>
      </c>
      <c r="AC19" s="59">
        <v>9.6</v>
      </c>
    </row>
    <row r="20" spans="1:29">
      <c r="A20" s="4">
        <v>2019</v>
      </c>
      <c r="B20" s="4" t="s">
        <v>44</v>
      </c>
      <c r="C20" s="3">
        <f t="shared" si="0"/>
        <v>19</v>
      </c>
      <c r="D20" s="3" t="s">
        <v>645</v>
      </c>
      <c r="E20" s="22" t="s">
        <v>1586</v>
      </c>
      <c r="F20" s="5" t="s">
        <v>445</v>
      </c>
      <c r="G20" s="39" t="s">
        <v>1501</v>
      </c>
      <c r="H20" s="5" t="s">
        <v>131</v>
      </c>
      <c r="I20" s="7">
        <v>1000000</v>
      </c>
      <c r="J20" s="57"/>
      <c r="K20" s="7"/>
      <c r="L20" s="41">
        <v>25926</v>
      </c>
      <c r="M20" s="7">
        <v>780400</v>
      </c>
      <c r="N20" s="7"/>
      <c r="O20" s="7">
        <v>1079373</v>
      </c>
      <c r="P20" s="7">
        <v>1079373</v>
      </c>
      <c r="Q20" s="39" t="s">
        <v>606</v>
      </c>
      <c r="R20" s="5" t="s">
        <v>598</v>
      </c>
      <c r="S20" s="6">
        <v>0</v>
      </c>
      <c r="T20" s="5" t="s">
        <v>1390</v>
      </c>
      <c r="U20" s="39" t="s">
        <v>1587</v>
      </c>
      <c r="V20" s="39" t="s">
        <v>1588</v>
      </c>
      <c r="W20" s="50" t="s">
        <v>1589</v>
      </c>
      <c r="X20" s="50" t="s">
        <v>1590</v>
      </c>
      <c r="Y20" s="10"/>
      <c r="Z20" s="39" t="s">
        <v>1591</v>
      </c>
      <c r="AA20" s="5"/>
      <c r="AB20" s="80" t="s">
        <v>1501</v>
      </c>
      <c r="AC20" s="59">
        <v>7.8</v>
      </c>
    </row>
    <row r="21" spans="1:29" ht="15" hidden="1">
      <c r="A21" s="4">
        <v>2019</v>
      </c>
      <c r="B21" s="4" t="s">
        <v>44</v>
      </c>
      <c r="C21" s="3">
        <f t="shared" si="0"/>
        <v>20</v>
      </c>
      <c r="D21" s="55" t="s">
        <v>646</v>
      </c>
      <c r="E21" s="3" t="s">
        <v>646</v>
      </c>
      <c r="F21" s="5" t="s">
        <v>6</v>
      </c>
      <c r="G21" s="5" t="s">
        <v>601</v>
      </c>
      <c r="H21" s="5" t="s">
        <v>127</v>
      </c>
      <c r="I21" s="7">
        <v>20000000</v>
      </c>
      <c r="J21" s="57"/>
      <c r="K21" s="7"/>
      <c r="L21" s="8">
        <v>135</v>
      </c>
      <c r="M21" s="7">
        <v>1164810</v>
      </c>
      <c r="N21" s="7"/>
      <c r="O21" s="7">
        <v>738818536</v>
      </c>
      <c r="P21" s="7">
        <v>742514069</v>
      </c>
      <c r="Q21" s="5" t="s">
        <v>606</v>
      </c>
      <c r="R21" s="5" t="s">
        <v>631</v>
      </c>
      <c r="S21" s="5" t="s">
        <v>603</v>
      </c>
      <c r="T21" s="5" t="s">
        <v>1390</v>
      </c>
      <c r="U21" s="5" t="s">
        <v>1592</v>
      </c>
      <c r="V21" s="39" t="s">
        <v>1593</v>
      </c>
      <c r="W21" s="39" t="s">
        <v>1594</v>
      </c>
      <c r="X21" s="39" t="s">
        <v>1561</v>
      </c>
      <c r="Y21" s="39" t="s">
        <v>1595</v>
      </c>
      <c r="Z21" s="39" t="s">
        <v>1596</v>
      </c>
      <c r="AA21" s="5"/>
      <c r="AB21" s="50" t="s">
        <v>1597</v>
      </c>
      <c r="AC21" s="59">
        <v>9.6</v>
      </c>
    </row>
    <row r="22" spans="1:29" hidden="1">
      <c r="A22" s="4">
        <v>2019</v>
      </c>
      <c r="B22" s="4" t="s">
        <v>44</v>
      </c>
      <c r="C22" s="3">
        <f t="shared" si="0"/>
        <v>21</v>
      </c>
      <c r="D22" s="55" t="s">
        <v>647</v>
      </c>
      <c r="E22" s="3" t="s">
        <v>647</v>
      </c>
      <c r="F22" s="5" t="s">
        <v>174</v>
      </c>
      <c r="G22" s="39" t="s">
        <v>1598</v>
      </c>
      <c r="H22" s="5" t="s">
        <v>131</v>
      </c>
      <c r="I22" s="7">
        <v>44500000</v>
      </c>
      <c r="J22" s="57"/>
      <c r="K22" s="7"/>
      <c r="L22" s="41">
        <v>130842</v>
      </c>
      <c r="M22" s="7">
        <v>15095649</v>
      </c>
      <c r="N22" s="7"/>
      <c r="O22" s="7">
        <v>16923672</v>
      </c>
      <c r="P22" s="7">
        <v>16923672</v>
      </c>
      <c r="Q22" s="5" t="s">
        <v>606</v>
      </c>
      <c r="R22" s="5" t="s">
        <v>703</v>
      </c>
      <c r="S22" s="5" t="s">
        <v>607</v>
      </c>
      <c r="T22" s="5" t="s">
        <v>1390</v>
      </c>
      <c r="U22" s="39" t="s">
        <v>1599</v>
      </c>
      <c r="V22" s="39" t="s">
        <v>1600</v>
      </c>
      <c r="W22" s="80" t="s">
        <v>1601</v>
      </c>
      <c r="X22" s="80" t="s">
        <v>1602</v>
      </c>
      <c r="Y22" s="80" t="s">
        <v>1603</v>
      </c>
      <c r="Z22" s="39" t="s">
        <v>1604</v>
      </c>
      <c r="AA22" s="5"/>
      <c r="AB22" s="50" t="s">
        <v>1605</v>
      </c>
      <c r="AC22" s="59">
        <v>5.8</v>
      </c>
    </row>
    <row r="23" spans="1:29" hidden="1">
      <c r="A23" s="4">
        <v>2019</v>
      </c>
      <c r="B23" s="4" t="s">
        <v>44</v>
      </c>
      <c r="C23" s="3">
        <f t="shared" si="0"/>
        <v>22</v>
      </c>
      <c r="D23" s="55" t="s">
        <v>647</v>
      </c>
      <c r="E23" s="3" t="s">
        <v>647</v>
      </c>
      <c r="F23" s="5" t="s">
        <v>648</v>
      </c>
      <c r="G23" s="5" t="s">
        <v>626</v>
      </c>
      <c r="H23" s="5" t="s">
        <v>131</v>
      </c>
      <c r="I23" s="7">
        <v>4500000</v>
      </c>
      <c r="J23" s="57"/>
      <c r="K23" s="7"/>
      <c r="L23" s="8">
        <v>13</v>
      </c>
      <c r="M23" s="7">
        <v>182300</v>
      </c>
      <c r="N23" s="7"/>
      <c r="O23" s="7">
        <v>1222532</v>
      </c>
      <c r="P23" s="7">
        <v>1265949</v>
      </c>
      <c r="Q23" s="5" t="s">
        <v>606</v>
      </c>
      <c r="R23" s="5" t="s">
        <v>598</v>
      </c>
      <c r="S23" s="5" t="s">
        <v>616</v>
      </c>
      <c r="T23" s="5" t="s">
        <v>1390</v>
      </c>
      <c r="U23" s="39" t="s">
        <v>1606</v>
      </c>
      <c r="V23" s="39" t="s">
        <v>1607</v>
      </c>
      <c r="W23" s="50" t="s">
        <v>1608</v>
      </c>
      <c r="X23" s="80" t="s">
        <v>1609</v>
      </c>
      <c r="Y23" s="80" t="s">
        <v>1610</v>
      </c>
      <c r="Z23" s="39" t="s">
        <v>1611</v>
      </c>
      <c r="AA23" s="5"/>
      <c r="AB23" s="50" t="s">
        <v>1612</v>
      </c>
      <c r="AC23" s="59">
        <v>8.6</v>
      </c>
    </row>
    <row r="24" spans="1:29" hidden="1">
      <c r="A24" s="4">
        <v>2019</v>
      </c>
      <c r="B24" s="4" t="s">
        <v>44</v>
      </c>
      <c r="C24" s="3">
        <f t="shared" si="0"/>
        <v>23</v>
      </c>
      <c r="D24" s="55" t="s">
        <v>649</v>
      </c>
      <c r="E24" s="22" t="s">
        <v>1050</v>
      </c>
      <c r="F24" s="5" t="s">
        <v>432</v>
      </c>
      <c r="G24" s="39" t="s">
        <v>1613</v>
      </c>
      <c r="H24" s="5" t="s">
        <v>129</v>
      </c>
      <c r="I24" s="7">
        <v>22000000</v>
      </c>
      <c r="J24" s="57"/>
      <c r="K24" s="7"/>
      <c r="L24" s="41">
        <v>40704</v>
      </c>
      <c r="M24" s="7">
        <v>1804810</v>
      </c>
      <c r="N24" s="7"/>
      <c r="O24" s="7">
        <v>2577213</v>
      </c>
      <c r="P24" s="7">
        <v>2577213</v>
      </c>
      <c r="Q24" s="39" t="s">
        <v>606</v>
      </c>
      <c r="R24" s="5" t="s">
        <v>598</v>
      </c>
      <c r="S24" s="5" t="s">
        <v>616</v>
      </c>
      <c r="T24" s="5" t="s">
        <v>1390</v>
      </c>
      <c r="U24" s="39" t="s">
        <v>1614</v>
      </c>
      <c r="V24" s="39" t="s">
        <v>1615</v>
      </c>
      <c r="W24" s="80" t="s">
        <v>1616</v>
      </c>
      <c r="X24" s="80" t="s">
        <v>1617</v>
      </c>
      <c r="Y24" s="10"/>
      <c r="Z24" s="39" t="s">
        <v>1618</v>
      </c>
      <c r="AA24" s="5"/>
      <c r="AB24" s="50" t="s">
        <v>1619</v>
      </c>
      <c r="AC24" s="59">
        <v>7</v>
      </c>
    </row>
    <row r="25" spans="1:29" hidden="1">
      <c r="A25" s="4">
        <v>2019</v>
      </c>
      <c r="B25" s="4" t="s">
        <v>44</v>
      </c>
      <c r="C25" s="3">
        <f t="shared" si="0"/>
        <v>24</v>
      </c>
      <c r="D25" s="55" t="s">
        <v>650</v>
      </c>
      <c r="E25" s="3" t="s">
        <v>650</v>
      </c>
      <c r="F25" s="5" t="s">
        <v>216</v>
      </c>
      <c r="G25" s="5" t="s">
        <v>601</v>
      </c>
      <c r="H25" s="5" t="s">
        <v>131</v>
      </c>
      <c r="I25" s="7">
        <v>2200000</v>
      </c>
      <c r="J25" s="57"/>
      <c r="K25" s="7"/>
      <c r="L25" s="8">
        <v>13</v>
      </c>
      <c r="M25" s="7">
        <v>2633997</v>
      </c>
      <c r="N25" s="7"/>
      <c r="O25" s="7">
        <v>3440000</v>
      </c>
      <c r="P25" s="7">
        <v>3458555</v>
      </c>
      <c r="Q25" s="5" t="s">
        <v>606</v>
      </c>
      <c r="R25" s="5" t="s">
        <v>598</v>
      </c>
      <c r="S25" s="5" t="s">
        <v>616</v>
      </c>
      <c r="T25" s="5" t="s">
        <v>1390</v>
      </c>
      <c r="U25" s="39" t="s">
        <v>1620</v>
      </c>
      <c r="V25" s="39" t="s">
        <v>1621</v>
      </c>
      <c r="W25" s="50" t="s">
        <v>1622</v>
      </c>
      <c r="X25" s="50" t="s">
        <v>1623</v>
      </c>
      <c r="Y25" s="80" t="s">
        <v>1624</v>
      </c>
      <c r="Z25" s="39" t="s">
        <v>1622</v>
      </c>
      <c r="AA25" s="5"/>
      <c r="AB25" s="80" t="s">
        <v>1501</v>
      </c>
      <c r="AC25" s="59">
        <v>7.5</v>
      </c>
    </row>
    <row r="26" spans="1:29" hidden="1">
      <c r="A26" s="4">
        <v>2019</v>
      </c>
      <c r="B26" s="4" t="s">
        <v>44</v>
      </c>
      <c r="C26" s="3">
        <f t="shared" si="0"/>
        <v>25</v>
      </c>
      <c r="D26" s="55" t="s">
        <v>651</v>
      </c>
      <c r="E26" s="3" t="s">
        <v>651</v>
      </c>
      <c r="F26" s="5" t="s">
        <v>652</v>
      </c>
      <c r="G26" s="5" t="s">
        <v>653</v>
      </c>
      <c r="H26" s="5" t="s">
        <v>127</v>
      </c>
      <c r="I26" s="7">
        <v>75000000</v>
      </c>
      <c r="J26" s="57"/>
      <c r="K26" s="7"/>
      <c r="L26" s="8">
        <v>4248</v>
      </c>
      <c r="M26" s="7">
        <v>20612100</v>
      </c>
      <c r="N26" s="7"/>
      <c r="O26" s="7">
        <v>127170053</v>
      </c>
      <c r="P26" s="7">
        <v>187886443</v>
      </c>
      <c r="Q26" s="5" t="s">
        <v>606</v>
      </c>
      <c r="R26" s="5" t="s">
        <v>631</v>
      </c>
      <c r="S26" s="5" t="s">
        <v>612</v>
      </c>
      <c r="T26" s="5" t="s">
        <v>1392</v>
      </c>
      <c r="U26" s="39" t="s">
        <v>1625</v>
      </c>
      <c r="V26" s="39" t="s">
        <v>652</v>
      </c>
      <c r="W26" s="50" t="s">
        <v>1626</v>
      </c>
      <c r="X26" s="50" t="s">
        <v>1627</v>
      </c>
      <c r="Y26" s="10"/>
      <c r="Z26" s="39" t="s">
        <v>1628</v>
      </c>
      <c r="AA26" s="5"/>
      <c r="AB26" s="50" t="s">
        <v>1629</v>
      </c>
      <c r="AC26" s="59">
        <v>9.3000000000000007</v>
      </c>
    </row>
    <row r="27" spans="1:29" hidden="1">
      <c r="A27" s="4">
        <v>2019</v>
      </c>
      <c r="B27" s="4" t="s">
        <v>44</v>
      </c>
      <c r="C27" s="3">
        <f t="shared" si="0"/>
        <v>26</v>
      </c>
      <c r="D27" s="55" t="s">
        <v>654</v>
      </c>
      <c r="E27" s="3" t="s">
        <v>654</v>
      </c>
      <c r="F27" s="5" t="s">
        <v>141</v>
      </c>
      <c r="G27" s="5" t="s">
        <v>601</v>
      </c>
      <c r="H27" s="5" t="s">
        <v>127</v>
      </c>
      <c r="I27" s="7">
        <v>89000000</v>
      </c>
      <c r="J27" s="57"/>
      <c r="K27" s="7"/>
      <c r="L27" s="8">
        <v>102</v>
      </c>
      <c r="M27" s="7">
        <v>31120924</v>
      </c>
      <c r="N27" s="7"/>
      <c r="O27" s="7">
        <v>163172247</v>
      </c>
      <c r="P27" s="7">
        <v>163659404</v>
      </c>
      <c r="Q27" s="5" t="s">
        <v>597</v>
      </c>
      <c r="R27" s="5" t="s">
        <v>598</v>
      </c>
      <c r="S27" s="5" t="s">
        <v>707</v>
      </c>
      <c r="T27" s="5" t="s">
        <v>1390</v>
      </c>
      <c r="U27" s="39" t="s">
        <v>1630</v>
      </c>
      <c r="V27" s="39" t="s">
        <v>1631</v>
      </c>
      <c r="W27" s="80" t="s">
        <v>1632</v>
      </c>
      <c r="X27" s="80" t="s">
        <v>1633</v>
      </c>
      <c r="Y27" s="80" t="s">
        <v>1634</v>
      </c>
      <c r="Z27" s="39" t="s">
        <v>1635</v>
      </c>
      <c r="AA27" s="5"/>
      <c r="AB27" s="50" t="s">
        <v>1636</v>
      </c>
      <c r="AC27" s="59">
        <v>9.4</v>
      </c>
    </row>
    <row r="28" spans="1:29" hidden="1">
      <c r="A28" s="4">
        <v>2019</v>
      </c>
      <c r="B28" s="4" t="s">
        <v>44</v>
      </c>
      <c r="C28" s="3">
        <f t="shared" si="0"/>
        <v>27</v>
      </c>
      <c r="D28" s="55" t="s">
        <v>657</v>
      </c>
      <c r="E28" s="3" t="s">
        <v>657</v>
      </c>
      <c r="F28" s="5" t="s">
        <v>130</v>
      </c>
      <c r="G28" s="5" t="s">
        <v>605</v>
      </c>
      <c r="H28" s="5" t="s">
        <v>131</v>
      </c>
      <c r="I28" s="7">
        <v>18000000</v>
      </c>
      <c r="J28" s="57"/>
      <c r="K28" s="7"/>
      <c r="L28" s="8">
        <v>83</v>
      </c>
      <c r="M28" s="7">
        <v>101146119</v>
      </c>
      <c r="N28" s="7"/>
      <c r="O28" s="7">
        <v>463094610</v>
      </c>
      <c r="P28" s="7">
        <v>465418019</v>
      </c>
      <c r="Q28" s="5" t="s">
        <v>597</v>
      </c>
      <c r="R28" s="5" t="s">
        <v>598</v>
      </c>
      <c r="S28" s="5" t="s">
        <v>658</v>
      </c>
      <c r="T28" s="5" t="s">
        <v>1390</v>
      </c>
      <c r="U28" s="39" t="s">
        <v>1637</v>
      </c>
      <c r="V28" s="39" t="s">
        <v>1638</v>
      </c>
      <c r="W28" s="80" t="s">
        <v>1639</v>
      </c>
      <c r="X28" s="50" t="s">
        <v>1640</v>
      </c>
      <c r="Y28" s="80" t="s">
        <v>1641</v>
      </c>
      <c r="Z28" s="39" t="s">
        <v>1642</v>
      </c>
      <c r="AA28" s="5"/>
      <c r="AB28" s="50" t="s">
        <v>1494</v>
      </c>
      <c r="AC28" s="59">
        <v>9.6999999999999993</v>
      </c>
    </row>
    <row r="29" spans="1:29" hidden="1">
      <c r="A29" s="4">
        <v>2019</v>
      </c>
      <c r="B29" s="4" t="s">
        <v>44</v>
      </c>
      <c r="C29" s="3">
        <f t="shared" si="0"/>
        <v>28</v>
      </c>
      <c r="D29" s="55" t="s">
        <v>659</v>
      </c>
      <c r="E29" s="3" t="s">
        <v>659</v>
      </c>
      <c r="F29" s="5" t="s">
        <v>402</v>
      </c>
      <c r="G29" s="39" t="s">
        <v>1643</v>
      </c>
      <c r="H29" s="5" t="s">
        <v>129</v>
      </c>
      <c r="I29" s="7">
        <v>27000000</v>
      </c>
      <c r="J29" s="57"/>
      <c r="K29" s="7"/>
      <c r="L29" s="41">
        <v>62631</v>
      </c>
      <c r="M29" s="7">
        <v>7563904</v>
      </c>
      <c r="N29" s="7"/>
      <c r="O29" s="7">
        <v>11573104</v>
      </c>
      <c r="P29" s="7">
        <v>11573104</v>
      </c>
      <c r="Q29" s="5" t="s">
        <v>606</v>
      </c>
      <c r="R29" s="5" t="s">
        <v>598</v>
      </c>
      <c r="S29" s="5" t="s">
        <v>603</v>
      </c>
      <c r="T29" s="5" t="s">
        <v>1406</v>
      </c>
      <c r="U29" s="39" t="s">
        <v>1644</v>
      </c>
      <c r="V29" s="39" t="s">
        <v>1645</v>
      </c>
      <c r="W29" s="80" t="s">
        <v>1646</v>
      </c>
      <c r="X29" s="80" t="s">
        <v>1647</v>
      </c>
      <c r="Y29" s="50" t="s">
        <v>1648</v>
      </c>
      <c r="Z29" s="39" t="s">
        <v>1649</v>
      </c>
      <c r="AA29" s="5"/>
      <c r="AB29" s="50" t="s">
        <v>1577</v>
      </c>
      <c r="AC29" s="59">
        <v>7.5</v>
      </c>
    </row>
    <row r="30" spans="1:29" hidden="1">
      <c r="A30" s="4">
        <v>2019</v>
      </c>
      <c r="B30" s="4" t="s">
        <v>44</v>
      </c>
      <c r="C30" s="3">
        <f t="shared" si="0"/>
        <v>29</v>
      </c>
      <c r="D30" s="55" t="s">
        <v>660</v>
      </c>
      <c r="E30" s="3" t="s">
        <v>660</v>
      </c>
      <c r="F30" s="5" t="s">
        <v>132</v>
      </c>
      <c r="G30" s="5" t="s">
        <v>601</v>
      </c>
      <c r="H30" s="5" t="s">
        <v>131</v>
      </c>
      <c r="I30" s="7">
        <v>60000000</v>
      </c>
      <c r="J30" s="57"/>
      <c r="K30" s="7"/>
      <c r="L30" s="8">
        <v>47</v>
      </c>
      <c r="M30" s="7">
        <v>102353091</v>
      </c>
      <c r="N30" s="7"/>
      <c r="O30" s="7">
        <v>416947720</v>
      </c>
      <c r="P30" s="7">
        <v>417654292</v>
      </c>
      <c r="Q30" s="5" t="s">
        <v>597</v>
      </c>
      <c r="R30" s="5" t="s">
        <v>598</v>
      </c>
      <c r="S30" s="5" t="s">
        <v>599</v>
      </c>
      <c r="T30" s="5" t="s">
        <v>1390</v>
      </c>
      <c r="U30" s="39" t="s">
        <v>1650</v>
      </c>
      <c r="V30" s="39" t="s">
        <v>1651</v>
      </c>
      <c r="W30" s="50" t="s">
        <v>1652</v>
      </c>
      <c r="X30" s="80" t="s">
        <v>1641</v>
      </c>
      <c r="Y30" s="80" t="s">
        <v>1574</v>
      </c>
      <c r="Z30" s="39" t="s">
        <v>1649</v>
      </c>
      <c r="AA30" s="5"/>
      <c r="AB30" s="50" t="s">
        <v>1577</v>
      </c>
      <c r="AC30" s="59">
        <v>9.4</v>
      </c>
    </row>
    <row r="31" spans="1:29" hidden="1">
      <c r="A31" s="4">
        <v>2019</v>
      </c>
      <c r="B31" s="4" t="s">
        <v>44</v>
      </c>
      <c r="C31" s="3">
        <f t="shared" si="0"/>
        <v>30</v>
      </c>
      <c r="D31" s="55" t="s">
        <v>661</v>
      </c>
      <c r="E31" s="3" t="s">
        <v>1653</v>
      </c>
      <c r="F31" s="5" t="s">
        <v>57</v>
      </c>
      <c r="G31" s="5" t="s">
        <v>1408</v>
      </c>
      <c r="H31" s="5" t="s">
        <v>131</v>
      </c>
      <c r="I31" s="7">
        <v>44776119</v>
      </c>
      <c r="J31" s="7">
        <v>8955223</v>
      </c>
      <c r="K31" s="7">
        <v>28208955</v>
      </c>
      <c r="L31" s="8">
        <v>70359</v>
      </c>
      <c r="M31" s="7">
        <v>39959722</v>
      </c>
      <c r="N31" s="7">
        <v>74477611</v>
      </c>
      <c r="O31" s="7">
        <v>97033612</v>
      </c>
      <c r="P31" s="7">
        <v>97033612</v>
      </c>
      <c r="Q31" s="5" t="s">
        <v>602</v>
      </c>
      <c r="R31" s="5" t="s">
        <v>598</v>
      </c>
      <c r="S31" s="5" t="s">
        <v>603</v>
      </c>
      <c r="T31" s="5" t="s">
        <v>1390</v>
      </c>
      <c r="U31" s="5" t="s">
        <v>1654</v>
      </c>
      <c r="V31" s="5" t="s">
        <v>1655</v>
      </c>
      <c r="W31" s="5" t="s">
        <v>1656</v>
      </c>
      <c r="X31" s="5" t="s">
        <v>1657</v>
      </c>
      <c r="Y31" s="5"/>
      <c r="Z31" s="5" t="s">
        <v>1642</v>
      </c>
      <c r="AA31" s="5"/>
      <c r="AB31" s="5" t="s">
        <v>1658</v>
      </c>
      <c r="AC31" s="62">
        <v>7.5</v>
      </c>
    </row>
    <row r="32" spans="1:29" hidden="1">
      <c r="A32" s="4">
        <v>2019</v>
      </c>
      <c r="B32" s="4" t="s">
        <v>44</v>
      </c>
      <c r="C32" s="3">
        <f t="shared" si="0"/>
        <v>31</v>
      </c>
      <c r="D32" s="55" t="s">
        <v>662</v>
      </c>
      <c r="E32" s="3" t="s">
        <v>662</v>
      </c>
      <c r="F32" s="5" t="s">
        <v>663</v>
      </c>
      <c r="G32" s="5" t="s">
        <v>664</v>
      </c>
      <c r="H32" s="5" t="s">
        <v>127</v>
      </c>
      <c r="I32" s="7">
        <v>50000000</v>
      </c>
      <c r="J32" s="57"/>
      <c r="K32" s="7"/>
      <c r="L32" s="8">
        <v>2844</v>
      </c>
      <c r="M32" s="7">
        <v>2901335</v>
      </c>
      <c r="N32" s="7"/>
      <c r="O32" s="7">
        <v>3890797</v>
      </c>
      <c r="P32" s="7">
        <v>9692046</v>
      </c>
      <c r="Q32" s="5" t="s">
        <v>606</v>
      </c>
      <c r="R32" s="5" t="s">
        <v>631</v>
      </c>
      <c r="S32" s="5" t="s">
        <v>612</v>
      </c>
      <c r="T32" s="5" t="s">
        <v>1392</v>
      </c>
      <c r="U32" s="39" t="s">
        <v>1659</v>
      </c>
      <c r="V32" s="39" t="s">
        <v>663</v>
      </c>
      <c r="W32" s="39" t="s">
        <v>1660</v>
      </c>
      <c r="X32" s="39" t="s">
        <v>1661</v>
      </c>
      <c r="Y32" s="39" t="s">
        <v>1662</v>
      </c>
      <c r="Z32" s="39" t="s">
        <v>1663</v>
      </c>
      <c r="AA32" s="5"/>
      <c r="AB32" s="39" t="s">
        <v>1664</v>
      </c>
      <c r="AC32" s="63" t="s">
        <v>1665</v>
      </c>
    </row>
    <row r="33" spans="1:29" hidden="1">
      <c r="A33" s="4">
        <v>2019</v>
      </c>
      <c r="B33" s="4" t="s">
        <v>44</v>
      </c>
      <c r="C33" s="3">
        <f t="shared" si="0"/>
        <v>32</v>
      </c>
      <c r="D33" s="55" t="s">
        <v>665</v>
      </c>
      <c r="E33" s="3" t="s">
        <v>665</v>
      </c>
      <c r="F33" s="5" t="s">
        <v>401</v>
      </c>
      <c r="G33" s="39" t="s">
        <v>1666</v>
      </c>
      <c r="H33" s="5" t="s">
        <v>127</v>
      </c>
      <c r="I33" s="7">
        <v>20000000</v>
      </c>
      <c r="J33" s="57"/>
      <c r="K33" s="7"/>
      <c r="L33" s="41">
        <v>13085</v>
      </c>
      <c r="M33" s="7">
        <v>2687165</v>
      </c>
      <c r="N33" s="7"/>
      <c r="O33" s="7">
        <v>11687938</v>
      </c>
      <c r="P33" s="7">
        <v>11687938</v>
      </c>
      <c r="Q33" s="5" t="s">
        <v>666</v>
      </c>
      <c r="R33" s="5" t="s">
        <v>631</v>
      </c>
      <c r="S33" s="5" t="s">
        <v>603</v>
      </c>
      <c r="T33" s="5" t="s">
        <v>1392</v>
      </c>
      <c r="U33" s="39" t="s">
        <v>1667</v>
      </c>
      <c r="V33" s="39" t="s">
        <v>1667</v>
      </c>
      <c r="W33" s="39" t="s">
        <v>1668</v>
      </c>
      <c r="X33" s="5"/>
      <c r="Y33" s="5"/>
      <c r="Z33" s="39" t="s">
        <v>1669</v>
      </c>
      <c r="AA33" s="5"/>
      <c r="AB33" s="39" t="s">
        <v>1666</v>
      </c>
      <c r="AC33" s="59">
        <v>8.8000000000000007</v>
      </c>
    </row>
    <row r="34" spans="1:29" hidden="1">
      <c r="A34" s="4">
        <v>2019</v>
      </c>
      <c r="B34" s="4" t="s">
        <v>44</v>
      </c>
      <c r="C34" s="3">
        <f t="shared" si="0"/>
        <v>33</v>
      </c>
      <c r="D34" s="55" t="s">
        <v>667</v>
      </c>
      <c r="E34" s="3" t="s">
        <v>667</v>
      </c>
      <c r="F34" s="5" t="s">
        <v>162</v>
      </c>
      <c r="G34" s="5" t="s">
        <v>605</v>
      </c>
      <c r="H34" s="5" t="s">
        <v>131</v>
      </c>
      <c r="I34" s="7">
        <v>1120000</v>
      </c>
      <c r="J34" s="57"/>
      <c r="K34" s="7"/>
      <c r="L34" s="8">
        <v>29</v>
      </c>
      <c r="M34" s="7">
        <v>9838348</v>
      </c>
      <c r="N34" s="7"/>
      <c r="O34" s="7">
        <v>31098062</v>
      </c>
      <c r="P34" s="7">
        <v>31188607</v>
      </c>
      <c r="Q34" s="5" t="s">
        <v>606</v>
      </c>
      <c r="R34" s="5" t="s">
        <v>598</v>
      </c>
      <c r="S34" s="5" t="s">
        <v>616</v>
      </c>
      <c r="T34" s="5" t="s">
        <v>1390</v>
      </c>
      <c r="U34" s="39" t="s">
        <v>1670</v>
      </c>
      <c r="V34" s="39" t="s">
        <v>1671</v>
      </c>
      <c r="W34" s="39" t="s">
        <v>1672</v>
      </c>
      <c r="X34" s="39" t="s">
        <v>1673</v>
      </c>
      <c r="Y34" s="39" t="s">
        <v>1674</v>
      </c>
      <c r="Z34" s="39" t="s">
        <v>1675</v>
      </c>
      <c r="AA34" s="5"/>
      <c r="AB34" s="39" t="s">
        <v>1676</v>
      </c>
      <c r="AC34" s="59">
        <v>8.8000000000000007</v>
      </c>
    </row>
    <row r="35" spans="1:29" hidden="1">
      <c r="A35" s="4">
        <v>2019</v>
      </c>
      <c r="B35" s="4" t="s">
        <v>44</v>
      </c>
      <c r="C35" s="3">
        <f t="shared" si="0"/>
        <v>34</v>
      </c>
      <c r="D35" s="55" t="s">
        <v>667</v>
      </c>
      <c r="E35" s="3" t="s">
        <v>667</v>
      </c>
      <c r="F35" s="5" t="s">
        <v>139</v>
      </c>
      <c r="G35" s="5" t="s">
        <v>601</v>
      </c>
      <c r="H35" s="5" t="s">
        <v>131</v>
      </c>
      <c r="I35" s="7">
        <v>18000000</v>
      </c>
      <c r="J35" s="57"/>
      <c r="K35" s="7"/>
      <c r="L35" s="8">
        <v>88</v>
      </c>
      <c r="M35" s="7">
        <v>82199097</v>
      </c>
      <c r="N35" s="7"/>
      <c r="O35" s="7">
        <v>228079374</v>
      </c>
      <c r="P35" s="7">
        <v>230001031</v>
      </c>
      <c r="Q35" s="5" t="s">
        <v>602</v>
      </c>
      <c r="R35" s="5" t="s">
        <v>598</v>
      </c>
      <c r="S35" s="5" t="s">
        <v>616</v>
      </c>
      <c r="T35" s="5" t="s">
        <v>1390</v>
      </c>
      <c r="U35" s="39" t="s">
        <v>1677</v>
      </c>
      <c r="V35" s="39" t="s">
        <v>1678</v>
      </c>
      <c r="W35" s="39" t="s">
        <v>1679</v>
      </c>
      <c r="X35" s="39" t="s">
        <v>1680</v>
      </c>
      <c r="Y35" s="39" t="s">
        <v>1681</v>
      </c>
      <c r="Z35" s="39" t="s">
        <v>1682</v>
      </c>
      <c r="AA35" s="5"/>
      <c r="AB35" s="39" t="s">
        <v>1683</v>
      </c>
      <c r="AC35" s="59">
        <v>9.4</v>
      </c>
    </row>
    <row r="36" spans="1:29" hidden="1">
      <c r="A36" s="4">
        <v>2019</v>
      </c>
      <c r="B36" s="4" t="s">
        <v>44</v>
      </c>
      <c r="C36" s="3">
        <f t="shared" si="0"/>
        <v>35</v>
      </c>
      <c r="D36" s="55" t="s">
        <v>668</v>
      </c>
      <c r="E36" s="3" t="s">
        <v>668</v>
      </c>
      <c r="F36" s="5" t="s">
        <v>150</v>
      </c>
      <c r="G36" s="5" t="s">
        <v>669</v>
      </c>
      <c r="H36" s="5" t="s">
        <v>131</v>
      </c>
      <c r="I36" s="7">
        <v>14000000</v>
      </c>
      <c r="J36" s="57" t="s">
        <v>1411</v>
      </c>
      <c r="K36" s="7">
        <v>23134328</v>
      </c>
      <c r="L36" s="8">
        <v>51754</v>
      </c>
      <c r="M36" s="7">
        <v>5860000</v>
      </c>
      <c r="N36" s="7">
        <v>66865672</v>
      </c>
      <c r="O36" s="7">
        <v>68330000</v>
      </c>
      <c r="P36" s="7">
        <v>68364730</v>
      </c>
      <c r="Q36" s="5" t="s">
        <v>606</v>
      </c>
      <c r="R36" s="5" t="s">
        <v>631</v>
      </c>
      <c r="S36" s="5" t="s">
        <v>603</v>
      </c>
      <c r="T36" s="5" t="s">
        <v>1390</v>
      </c>
      <c r="U36" s="5" t="s">
        <v>1685</v>
      </c>
      <c r="V36" s="5" t="s">
        <v>1686</v>
      </c>
      <c r="W36" s="5" t="s">
        <v>1687</v>
      </c>
      <c r="X36" s="5" t="s">
        <v>1688</v>
      </c>
      <c r="Y36" s="5"/>
      <c r="Z36" s="5" t="s">
        <v>1689</v>
      </c>
      <c r="AA36" s="5"/>
      <c r="AB36" s="5" t="s">
        <v>812</v>
      </c>
      <c r="AC36" s="62">
        <v>9.3000000000000007</v>
      </c>
    </row>
    <row r="37" spans="1:29" hidden="1">
      <c r="A37" s="4">
        <v>2019</v>
      </c>
      <c r="B37" s="4" t="s">
        <v>44</v>
      </c>
      <c r="C37" s="3">
        <f t="shared" si="0"/>
        <v>36</v>
      </c>
      <c r="D37" s="55" t="s">
        <v>675</v>
      </c>
      <c r="E37" s="3" t="s">
        <v>675</v>
      </c>
      <c r="F37" s="5" t="s">
        <v>167</v>
      </c>
      <c r="G37" s="5" t="s">
        <v>626</v>
      </c>
      <c r="H37" s="5" t="s">
        <v>131</v>
      </c>
      <c r="I37" s="7">
        <v>100000000</v>
      </c>
      <c r="J37" s="57"/>
      <c r="K37" s="7"/>
      <c r="L37" s="41">
        <v>75831</v>
      </c>
      <c r="M37" s="42">
        <v>9490000</v>
      </c>
      <c r="N37" s="7"/>
      <c r="O37" s="7">
        <v>23417137</v>
      </c>
      <c r="P37" s="7">
        <v>23417137</v>
      </c>
      <c r="Q37" s="5" t="s">
        <v>606</v>
      </c>
      <c r="R37" s="5" t="s">
        <v>598</v>
      </c>
      <c r="S37" s="5" t="s">
        <v>616</v>
      </c>
      <c r="T37" s="5" t="s">
        <v>1390</v>
      </c>
      <c r="U37" s="39" t="s">
        <v>1690</v>
      </c>
      <c r="V37" s="39" t="s">
        <v>1691</v>
      </c>
      <c r="W37" s="39" t="s">
        <v>1692</v>
      </c>
      <c r="X37" s="39" t="s">
        <v>1693</v>
      </c>
      <c r="Y37" s="39" t="s">
        <v>1694</v>
      </c>
      <c r="Z37" s="39" t="s">
        <v>1695</v>
      </c>
      <c r="AA37" s="5"/>
      <c r="AB37" s="39" t="s">
        <v>1494</v>
      </c>
      <c r="AC37" s="59">
        <v>8.5</v>
      </c>
    </row>
    <row r="38" spans="1:29" hidden="1">
      <c r="A38" s="4">
        <v>2019</v>
      </c>
      <c r="B38" s="4" t="s">
        <v>44</v>
      </c>
      <c r="C38" s="3">
        <f t="shared" si="0"/>
        <v>37</v>
      </c>
      <c r="D38" s="3" t="s">
        <v>676</v>
      </c>
      <c r="E38" s="3" t="s">
        <v>1696</v>
      </c>
      <c r="F38" s="5" t="s">
        <v>192</v>
      </c>
      <c r="G38" s="5" t="s">
        <v>1409</v>
      </c>
      <c r="H38" s="5" t="s">
        <v>193</v>
      </c>
      <c r="I38" s="7">
        <v>895522.38805970142</v>
      </c>
      <c r="J38" s="57" t="s">
        <v>1411</v>
      </c>
      <c r="K38" s="7">
        <v>1791044.7761194028</v>
      </c>
      <c r="L38" s="8">
        <v>13036</v>
      </c>
      <c r="M38" s="7">
        <v>1170000</v>
      </c>
      <c r="N38" s="7">
        <v>5522388.0597014921</v>
      </c>
      <c r="O38" s="7">
        <v>7489619</v>
      </c>
      <c r="P38" s="7">
        <v>7489619</v>
      </c>
      <c r="Q38" s="5" t="s">
        <v>606</v>
      </c>
      <c r="R38" s="5" t="s">
        <v>598</v>
      </c>
      <c r="S38" s="5" t="s">
        <v>616</v>
      </c>
      <c r="T38" s="5" t="s">
        <v>1406</v>
      </c>
      <c r="U38" s="5" t="s">
        <v>1697</v>
      </c>
      <c r="V38" s="5" t="s">
        <v>1698</v>
      </c>
      <c r="W38" s="5" t="s">
        <v>1699</v>
      </c>
      <c r="X38" s="5" t="s">
        <v>1693</v>
      </c>
      <c r="Y38" s="5" t="s">
        <v>1694</v>
      </c>
      <c r="Z38" s="5" t="s">
        <v>1700</v>
      </c>
      <c r="AA38" s="5"/>
      <c r="AB38" s="5" t="s">
        <v>1701</v>
      </c>
      <c r="AC38" s="62">
        <v>7.9</v>
      </c>
    </row>
    <row r="39" spans="1:29" hidden="1">
      <c r="A39" s="4">
        <v>2019</v>
      </c>
      <c r="B39" s="4" t="s">
        <v>44</v>
      </c>
      <c r="C39" s="3">
        <f t="shared" si="0"/>
        <v>38</v>
      </c>
      <c r="D39" s="55" t="s">
        <v>676</v>
      </c>
      <c r="E39" s="56" t="s">
        <v>675</v>
      </c>
      <c r="F39" s="5" t="s">
        <v>140</v>
      </c>
      <c r="G39" s="39" t="s">
        <v>1501</v>
      </c>
      <c r="H39" s="5" t="s">
        <v>131</v>
      </c>
      <c r="I39" s="7">
        <v>250000000</v>
      </c>
      <c r="J39" s="57"/>
      <c r="K39" s="7"/>
      <c r="L39" s="41">
        <v>108128</v>
      </c>
      <c r="M39" s="41" t="s">
        <v>1501</v>
      </c>
      <c r="N39" s="7"/>
      <c r="O39" s="7">
        <v>198756793</v>
      </c>
      <c r="P39" s="7">
        <v>198756793</v>
      </c>
      <c r="Q39" s="5" t="s">
        <v>606</v>
      </c>
      <c r="R39" s="5" t="s">
        <v>598</v>
      </c>
      <c r="S39" s="5" t="s">
        <v>616</v>
      </c>
      <c r="T39" s="5" t="s">
        <v>1406</v>
      </c>
      <c r="U39" s="5" t="s">
        <v>1702</v>
      </c>
      <c r="V39" s="5" t="s">
        <v>1703</v>
      </c>
      <c r="W39" s="39" t="s">
        <v>1704</v>
      </c>
      <c r="X39" s="39" t="s">
        <v>1575</v>
      </c>
      <c r="Y39" s="80" t="s">
        <v>1705</v>
      </c>
      <c r="Z39" s="39" t="s">
        <v>1706</v>
      </c>
      <c r="AA39" s="5"/>
      <c r="AB39" s="39" t="s">
        <v>1707</v>
      </c>
      <c r="AC39" s="59">
        <v>9.4</v>
      </c>
    </row>
    <row r="40" spans="1:29" hidden="1">
      <c r="A40" s="4">
        <v>2019</v>
      </c>
      <c r="B40" s="4" t="s">
        <v>44</v>
      </c>
      <c r="C40" s="3">
        <f t="shared" si="0"/>
        <v>39</v>
      </c>
      <c r="D40" s="55" t="s">
        <v>676</v>
      </c>
      <c r="E40" s="22" t="s">
        <v>1708</v>
      </c>
      <c r="F40" s="5" t="s">
        <v>187</v>
      </c>
      <c r="G40" s="39" t="s">
        <v>1501</v>
      </c>
      <c r="H40" s="5" t="s">
        <v>127</v>
      </c>
      <c r="I40" s="7">
        <v>350000000</v>
      </c>
      <c r="J40" s="57"/>
      <c r="K40" s="7"/>
      <c r="L40" s="41">
        <v>26219</v>
      </c>
      <c r="M40" s="42">
        <v>2130000</v>
      </c>
      <c r="N40" s="7"/>
      <c r="O40" s="7">
        <v>8307698</v>
      </c>
      <c r="P40" s="7">
        <v>8307698</v>
      </c>
      <c r="Q40" s="5" t="s">
        <v>666</v>
      </c>
      <c r="R40" s="5" t="s">
        <v>598</v>
      </c>
      <c r="S40" s="5" t="s">
        <v>603</v>
      </c>
      <c r="T40" s="5" t="s">
        <v>1406</v>
      </c>
      <c r="U40" s="58" t="s">
        <v>1411</v>
      </c>
      <c r="V40" s="5" t="s">
        <v>1709</v>
      </c>
      <c r="W40" s="5"/>
      <c r="X40" s="5"/>
      <c r="Y40" s="10"/>
      <c r="Z40" s="58" t="s">
        <v>1501</v>
      </c>
      <c r="AA40" s="5"/>
      <c r="AB40" s="58" t="s">
        <v>1501</v>
      </c>
      <c r="AC40" s="62" t="s">
        <v>1411</v>
      </c>
    </row>
    <row r="41" spans="1:29" hidden="1">
      <c r="A41" s="4">
        <v>2019</v>
      </c>
      <c r="B41" s="4" t="s">
        <v>44</v>
      </c>
      <c r="C41" s="3">
        <f t="shared" si="0"/>
        <v>40</v>
      </c>
      <c r="D41" s="55" t="s">
        <v>676</v>
      </c>
      <c r="E41" s="56" t="s">
        <v>673</v>
      </c>
      <c r="F41" s="5" t="s">
        <v>179</v>
      </c>
      <c r="G41" s="39" t="s">
        <v>1710</v>
      </c>
      <c r="H41" s="5" t="s">
        <v>131</v>
      </c>
      <c r="I41" s="7">
        <v>300000000</v>
      </c>
      <c r="J41" s="57"/>
      <c r="K41" s="7"/>
      <c r="L41" s="41">
        <v>105653</v>
      </c>
      <c r="M41" s="42">
        <v>8540000</v>
      </c>
      <c r="N41" s="7"/>
      <c r="O41" s="7">
        <v>10102949</v>
      </c>
      <c r="P41" s="7">
        <v>10102949</v>
      </c>
      <c r="Q41" s="5" t="s">
        <v>606</v>
      </c>
      <c r="R41" s="5" t="s">
        <v>598</v>
      </c>
      <c r="S41" s="5" t="s">
        <v>603</v>
      </c>
      <c r="T41" s="5" t="s">
        <v>1406</v>
      </c>
      <c r="U41" s="39" t="s">
        <v>1711</v>
      </c>
      <c r="V41" s="39" t="s">
        <v>1712</v>
      </c>
      <c r="W41" s="39" t="s">
        <v>1639</v>
      </c>
      <c r="X41" s="39" t="s">
        <v>1713</v>
      </c>
      <c r="Y41" s="10"/>
      <c r="Z41" s="39" t="s">
        <v>1714</v>
      </c>
      <c r="AA41" s="5"/>
      <c r="AB41" s="39" t="s">
        <v>1710</v>
      </c>
      <c r="AC41" s="59">
        <v>7.8</v>
      </c>
    </row>
    <row r="42" spans="1:29" hidden="1">
      <c r="A42" s="4">
        <v>2019</v>
      </c>
      <c r="B42" s="4" t="s">
        <v>44</v>
      </c>
      <c r="C42" s="3">
        <f t="shared" si="0"/>
        <v>41</v>
      </c>
      <c r="D42" s="55" t="s">
        <v>676</v>
      </c>
      <c r="E42" s="3" t="s">
        <v>1715</v>
      </c>
      <c r="F42" s="5" t="s">
        <v>231</v>
      </c>
      <c r="G42" s="5" t="s">
        <v>1410</v>
      </c>
      <c r="H42" s="5" t="s">
        <v>131</v>
      </c>
      <c r="I42" s="7">
        <v>5970149.253731343</v>
      </c>
      <c r="J42" s="57" t="s">
        <v>1411</v>
      </c>
      <c r="K42" s="7">
        <v>895522.38805970142</v>
      </c>
      <c r="L42" s="41" t="s">
        <v>1501</v>
      </c>
      <c r="M42" s="7">
        <v>1929242</v>
      </c>
      <c r="N42" s="7">
        <v>2537313.4328358206</v>
      </c>
      <c r="O42" s="7">
        <v>2504008</v>
      </c>
      <c r="P42" s="7">
        <v>2504008</v>
      </c>
      <c r="Q42" s="5" t="s">
        <v>606</v>
      </c>
      <c r="R42" s="5" t="s">
        <v>598</v>
      </c>
      <c r="S42" s="5" t="s">
        <v>616</v>
      </c>
      <c r="T42" s="5" t="s">
        <v>1406</v>
      </c>
      <c r="U42" s="5" t="s">
        <v>1716</v>
      </c>
      <c r="V42" s="5" t="s">
        <v>1717</v>
      </c>
      <c r="W42" s="5" t="s">
        <v>1718</v>
      </c>
      <c r="X42" s="5" t="s">
        <v>1719</v>
      </c>
      <c r="Y42" s="5"/>
      <c r="Z42" s="5" t="s">
        <v>1720</v>
      </c>
      <c r="AA42" s="5"/>
      <c r="AB42" s="5" t="s">
        <v>1721</v>
      </c>
      <c r="AC42" s="62">
        <v>6.8</v>
      </c>
    </row>
    <row r="43" spans="1:29" hidden="1">
      <c r="A43" s="4">
        <v>2019</v>
      </c>
      <c r="B43" s="4" t="s">
        <v>44</v>
      </c>
      <c r="C43" s="3">
        <f t="shared" si="0"/>
        <v>42</v>
      </c>
      <c r="D43" s="55" t="s">
        <v>676</v>
      </c>
      <c r="E43" s="56" t="s">
        <v>769</v>
      </c>
      <c r="F43" s="5" t="s">
        <v>151</v>
      </c>
      <c r="G43" s="39" t="s">
        <v>605</v>
      </c>
      <c r="H43" s="5" t="s">
        <v>131</v>
      </c>
      <c r="I43" s="7">
        <v>7000000</v>
      </c>
      <c r="J43" s="57" t="s">
        <v>1411</v>
      </c>
      <c r="K43" s="7">
        <v>20895522</v>
      </c>
      <c r="L43" s="8">
        <v>75043</v>
      </c>
      <c r="M43" s="7">
        <v>21695510</v>
      </c>
      <c r="N43" s="7">
        <v>61044776</v>
      </c>
      <c r="O43" s="7">
        <v>60006412</v>
      </c>
      <c r="P43" s="7">
        <v>60006412</v>
      </c>
      <c r="Q43" s="5" t="s">
        <v>606</v>
      </c>
      <c r="R43" s="5" t="s">
        <v>598</v>
      </c>
      <c r="S43" s="5" t="s">
        <v>616</v>
      </c>
      <c r="T43" s="5" t="s">
        <v>1406</v>
      </c>
      <c r="U43" s="5" t="s">
        <v>1722</v>
      </c>
      <c r="V43" s="5" t="s">
        <v>1723</v>
      </c>
      <c r="W43" s="5" t="s">
        <v>1724</v>
      </c>
      <c r="X43" s="5" t="s">
        <v>1725</v>
      </c>
      <c r="Y43" s="5"/>
      <c r="Z43" s="5" t="s">
        <v>1726</v>
      </c>
      <c r="AA43" s="5"/>
      <c r="AB43" s="5" t="s">
        <v>1417</v>
      </c>
      <c r="AC43" s="62">
        <v>8.6999999999999993</v>
      </c>
    </row>
    <row r="44" spans="1:29" hidden="1">
      <c r="A44" s="4">
        <v>2019</v>
      </c>
      <c r="B44" s="4" t="s">
        <v>44</v>
      </c>
      <c r="C44" s="3">
        <f t="shared" si="0"/>
        <v>43</v>
      </c>
      <c r="D44" s="55" t="s">
        <v>676</v>
      </c>
      <c r="E44" s="3" t="s">
        <v>807</v>
      </c>
      <c r="F44" s="5" t="s">
        <v>227</v>
      </c>
      <c r="G44" s="5" t="s">
        <v>1412</v>
      </c>
      <c r="H44" s="5" t="s">
        <v>148</v>
      </c>
      <c r="I44" s="7">
        <v>2985074.6268656715</v>
      </c>
      <c r="J44" s="57" t="s">
        <v>1411</v>
      </c>
      <c r="K44" s="7">
        <v>746268.65671641787</v>
      </c>
      <c r="L44" s="8">
        <v>43445</v>
      </c>
      <c r="M44" s="7">
        <v>1604943</v>
      </c>
      <c r="N44" s="7">
        <v>2238805.9701492535</v>
      </c>
      <c r="O44" s="7">
        <v>2709986</v>
      </c>
      <c r="P44" s="7">
        <v>2709986</v>
      </c>
      <c r="Q44" s="5" t="s">
        <v>606</v>
      </c>
      <c r="R44" s="5" t="s">
        <v>598</v>
      </c>
      <c r="S44" s="5" t="s">
        <v>616</v>
      </c>
      <c r="T44" s="5" t="s">
        <v>1406</v>
      </c>
      <c r="U44" s="5" t="s">
        <v>1729</v>
      </c>
      <c r="V44" s="5" t="s">
        <v>1730</v>
      </c>
      <c r="W44" s="5" t="s">
        <v>1731</v>
      </c>
      <c r="X44" s="5" t="s">
        <v>1732</v>
      </c>
      <c r="Y44" s="5" t="s">
        <v>1733</v>
      </c>
      <c r="Z44" s="5" t="s">
        <v>1734</v>
      </c>
      <c r="AA44" s="5" t="s">
        <v>1735</v>
      </c>
      <c r="AB44" s="5" t="s">
        <v>1412</v>
      </c>
      <c r="AC44" s="62">
        <v>7.5</v>
      </c>
    </row>
    <row r="45" spans="1:29" hidden="1">
      <c r="A45" s="4">
        <v>2019</v>
      </c>
      <c r="B45" s="4" t="s">
        <v>44</v>
      </c>
      <c r="C45" s="3">
        <f t="shared" si="0"/>
        <v>44</v>
      </c>
      <c r="D45" s="55" t="s">
        <v>676</v>
      </c>
      <c r="E45" s="3" t="s">
        <v>621</v>
      </c>
      <c r="F45" s="5" t="s">
        <v>219</v>
      </c>
      <c r="G45" s="5" t="s">
        <v>1413</v>
      </c>
      <c r="H45" s="5" t="s">
        <v>127</v>
      </c>
      <c r="I45" s="7">
        <v>2985074.6268656715</v>
      </c>
      <c r="J45" s="57" t="s">
        <v>1411</v>
      </c>
      <c r="K45" s="7">
        <v>895522.38805970142</v>
      </c>
      <c r="L45" s="8">
        <v>12490</v>
      </c>
      <c r="M45" s="7">
        <v>1020000</v>
      </c>
      <c r="N45" s="7">
        <v>2835820.8955223882</v>
      </c>
      <c r="O45" s="7">
        <v>3190549</v>
      </c>
      <c r="P45" s="7">
        <v>3190549</v>
      </c>
      <c r="Q45" s="5" t="s">
        <v>666</v>
      </c>
      <c r="R45" s="5" t="s">
        <v>631</v>
      </c>
      <c r="S45" s="5" t="s">
        <v>603</v>
      </c>
      <c r="T45" s="5" t="s">
        <v>1406</v>
      </c>
      <c r="U45" s="5" t="s">
        <v>1738</v>
      </c>
      <c r="V45" s="5" t="s">
        <v>1739</v>
      </c>
      <c r="W45" s="39" t="s">
        <v>1411</v>
      </c>
      <c r="X45" s="5"/>
      <c r="Y45" s="5"/>
      <c r="Z45" s="5" t="s">
        <v>1740</v>
      </c>
      <c r="AA45" s="5"/>
      <c r="AB45" s="5" t="s">
        <v>1741</v>
      </c>
      <c r="AC45" s="62">
        <v>7.4</v>
      </c>
    </row>
    <row r="46" spans="1:29" hidden="1">
      <c r="A46" s="4">
        <v>2019</v>
      </c>
      <c r="B46" s="4" t="s">
        <v>44</v>
      </c>
      <c r="C46" s="3">
        <f t="shared" si="0"/>
        <v>45</v>
      </c>
      <c r="D46" s="55" t="s">
        <v>676</v>
      </c>
      <c r="E46" s="3" t="s">
        <v>676</v>
      </c>
      <c r="F46" s="5" t="s">
        <v>212</v>
      </c>
      <c r="G46" s="5" t="s">
        <v>1414</v>
      </c>
      <c r="H46" s="5" t="s">
        <v>127</v>
      </c>
      <c r="I46" s="7">
        <v>1492537.3134328357</v>
      </c>
      <c r="J46" s="57" t="s">
        <v>1411</v>
      </c>
      <c r="K46" s="7">
        <v>1194029.8507462686</v>
      </c>
      <c r="L46" s="8">
        <v>31708</v>
      </c>
      <c r="M46" s="7">
        <v>2640832</v>
      </c>
      <c r="N46" s="7">
        <v>3582089.5522388057</v>
      </c>
      <c r="O46" s="7">
        <v>3939436</v>
      </c>
      <c r="P46" s="7">
        <v>3939436</v>
      </c>
      <c r="Q46" s="5" t="s">
        <v>606</v>
      </c>
      <c r="R46" s="5" t="s">
        <v>631</v>
      </c>
      <c r="S46" s="5" t="s">
        <v>612</v>
      </c>
      <c r="T46" s="5" t="s">
        <v>1406</v>
      </c>
      <c r="U46" s="5" t="s">
        <v>1742</v>
      </c>
      <c r="V46" s="5" t="s">
        <v>1743</v>
      </c>
      <c r="W46" s="6" t="s">
        <v>1411</v>
      </c>
      <c r="X46" s="5"/>
      <c r="Y46" s="5"/>
      <c r="Z46" s="5" t="s">
        <v>1744</v>
      </c>
      <c r="AA46" s="5" t="s">
        <v>1745</v>
      </c>
      <c r="AB46" s="5" t="s">
        <v>1746</v>
      </c>
      <c r="AC46" s="62">
        <v>8.6999999999999993</v>
      </c>
    </row>
    <row r="47" spans="1:29" hidden="1">
      <c r="A47" s="4">
        <v>2019</v>
      </c>
      <c r="B47" s="4" t="s">
        <v>44</v>
      </c>
      <c r="C47" s="3">
        <f t="shared" si="0"/>
        <v>46</v>
      </c>
      <c r="D47" s="55" t="s">
        <v>676</v>
      </c>
      <c r="E47" s="22" t="s">
        <v>1749</v>
      </c>
      <c r="F47" s="5" t="s">
        <v>758</v>
      </c>
      <c r="G47" s="39" t="s">
        <v>1613</v>
      </c>
      <c r="H47" s="5" t="s">
        <v>129</v>
      </c>
      <c r="I47" s="7">
        <v>3582089.5522388099</v>
      </c>
      <c r="J47" s="57"/>
      <c r="K47" s="7"/>
      <c r="L47" s="8">
        <v>68060</v>
      </c>
      <c r="M47" s="7">
        <v>16321896</v>
      </c>
      <c r="N47" s="7"/>
      <c r="O47" s="7">
        <v>37092694</v>
      </c>
      <c r="P47" s="7">
        <v>37092694</v>
      </c>
      <c r="Q47" s="39" t="s">
        <v>606</v>
      </c>
      <c r="R47" s="5" t="s">
        <v>598</v>
      </c>
      <c r="S47" s="39" t="s">
        <v>616</v>
      </c>
      <c r="T47" s="5" t="s">
        <v>1406</v>
      </c>
      <c r="U47" s="5" t="s">
        <v>1750</v>
      </c>
      <c r="V47" s="39" t="s">
        <v>1751</v>
      </c>
      <c r="W47" s="39" t="s">
        <v>1646</v>
      </c>
      <c r="X47" s="39" t="s">
        <v>1752</v>
      </c>
      <c r="Y47" s="10"/>
      <c r="Z47" s="39" t="s">
        <v>1753</v>
      </c>
      <c r="AA47" s="5"/>
      <c r="AB47" s="39" t="s">
        <v>1612</v>
      </c>
      <c r="AC47" s="59">
        <v>8.9</v>
      </c>
    </row>
    <row r="48" spans="1:29" hidden="1">
      <c r="A48" s="4">
        <v>2019</v>
      </c>
      <c r="B48" s="4" t="s">
        <v>44</v>
      </c>
      <c r="C48" s="3">
        <f t="shared" si="0"/>
        <v>47</v>
      </c>
      <c r="D48" s="55" t="s">
        <v>676</v>
      </c>
      <c r="E48" s="22" t="s">
        <v>1754</v>
      </c>
      <c r="F48" s="5" t="s">
        <v>156</v>
      </c>
      <c r="G48" s="39" t="s">
        <v>1755</v>
      </c>
      <c r="H48" s="5" t="s">
        <v>127</v>
      </c>
      <c r="I48" s="7">
        <v>1492537.3134328399</v>
      </c>
      <c r="J48" s="57"/>
      <c r="K48" s="7"/>
      <c r="L48" s="8">
        <v>98464</v>
      </c>
      <c r="M48" s="7">
        <v>12110000</v>
      </c>
      <c r="N48" s="7"/>
      <c r="O48" s="7">
        <v>44553752</v>
      </c>
      <c r="P48" s="7">
        <v>44553752</v>
      </c>
      <c r="Q48" s="5" t="s">
        <v>666</v>
      </c>
      <c r="R48" s="5" t="s">
        <v>631</v>
      </c>
      <c r="S48" s="5" t="s">
        <v>603</v>
      </c>
      <c r="T48" s="5" t="s">
        <v>1406</v>
      </c>
      <c r="U48" s="5" t="s">
        <v>1756</v>
      </c>
      <c r="V48" s="39" t="s">
        <v>1757</v>
      </c>
      <c r="W48" s="39" t="s">
        <v>1758</v>
      </c>
      <c r="X48" s="39" t="s">
        <v>1759</v>
      </c>
      <c r="Y48" s="10"/>
      <c r="Z48" s="39" t="s">
        <v>1760</v>
      </c>
      <c r="AA48" s="5"/>
      <c r="AB48" s="39" t="s">
        <v>1761</v>
      </c>
      <c r="AC48" s="59">
        <v>9.3000000000000007</v>
      </c>
    </row>
    <row r="49" spans="1:29" hidden="1">
      <c r="A49" s="4">
        <v>2019</v>
      </c>
      <c r="B49" s="4" t="s">
        <v>44</v>
      </c>
      <c r="C49" s="3">
        <f t="shared" si="0"/>
        <v>48</v>
      </c>
      <c r="D49" s="55" t="s">
        <v>676</v>
      </c>
      <c r="E49" s="22" t="s">
        <v>1762</v>
      </c>
      <c r="F49" s="5" t="s">
        <v>177</v>
      </c>
      <c r="G49" s="39" t="s">
        <v>1501</v>
      </c>
      <c r="H49" s="5" t="s">
        <v>131</v>
      </c>
      <c r="I49" s="7">
        <v>11940298.507462701</v>
      </c>
      <c r="J49" s="57"/>
      <c r="K49" s="7"/>
      <c r="L49" s="8">
        <v>49408</v>
      </c>
      <c r="M49" s="7">
        <v>8510000</v>
      </c>
      <c r="N49" s="7"/>
      <c r="O49" s="7">
        <v>13994187</v>
      </c>
      <c r="P49" s="7">
        <v>13994187</v>
      </c>
      <c r="Q49" s="39" t="s">
        <v>606</v>
      </c>
      <c r="R49" s="5" t="s">
        <v>598</v>
      </c>
      <c r="S49" s="5" t="s">
        <v>616</v>
      </c>
      <c r="T49" s="5" t="s">
        <v>1406</v>
      </c>
      <c r="U49" s="5" t="s">
        <v>1763</v>
      </c>
      <c r="V49" s="39" t="s">
        <v>1764</v>
      </c>
      <c r="W49" s="39" t="s">
        <v>1765</v>
      </c>
      <c r="X49" s="39" t="s">
        <v>1766</v>
      </c>
      <c r="Y49" s="80" t="s">
        <v>1767</v>
      </c>
      <c r="Z49" s="39" t="s">
        <v>1768</v>
      </c>
      <c r="AA49" s="39" t="s">
        <v>1769</v>
      </c>
      <c r="AB49" s="39" t="s">
        <v>1501</v>
      </c>
      <c r="AC49" s="59">
        <v>8.3000000000000007</v>
      </c>
    </row>
    <row r="50" spans="1:29" hidden="1">
      <c r="A50" s="4">
        <v>2019</v>
      </c>
      <c r="B50" s="4" t="s">
        <v>44</v>
      </c>
      <c r="C50" s="3">
        <f t="shared" si="0"/>
        <v>49</v>
      </c>
      <c r="D50" s="55" t="s">
        <v>676</v>
      </c>
      <c r="E50" s="22" t="s">
        <v>1770</v>
      </c>
      <c r="F50" s="5" t="s">
        <v>189</v>
      </c>
      <c r="G50" s="39" t="s">
        <v>1585</v>
      </c>
      <c r="H50" s="5" t="s">
        <v>154</v>
      </c>
      <c r="I50" s="7">
        <v>14925373.134328401</v>
      </c>
      <c r="J50" s="57"/>
      <c r="K50" s="7"/>
      <c r="L50" s="8">
        <v>93636</v>
      </c>
      <c r="M50" s="7">
        <v>6470000</v>
      </c>
      <c r="N50" s="7"/>
      <c r="O50" s="7">
        <v>8230634</v>
      </c>
      <c r="P50" s="7">
        <v>8230634</v>
      </c>
      <c r="Q50" s="5" t="s">
        <v>606</v>
      </c>
      <c r="R50" s="5" t="s">
        <v>598</v>
      </c>
      <c r="S50" s="5" t="s">
        <v>616</v>
      </c>
      <c r="T50" s="5" t="s">
        <v>1406</v>
      </c>
      <c r="U50" s="5" t="s">
        <v>1771</v>
      </c>
      <c r="V50" s="39" t="s">
        <v>1772</v>
      </c>
      <c r="W50" s="39" t="s">
        <v>1773</v>
      </c>
      <c r="X50" s="39" t="s">
        <v>1774</v>
      </c>
      <c r="Y50" s="80" t="s">
        <v>1775</v>
      </c>
      <c r="Z50" s="39" t="s">
        <v>1776</v>
      </c>
      <c r="AA50" s="10"/>
      <c r="AB50" s="39" t="s">
        <v>1585</v>
      </c>
      <c r="AC50" s="59">
        <v>8.6</v>
      </c>
    </row>
    <row r="51" spans="1:29" hidden="1">
      <c r="A51" s="4">
        <v>2019</v>
      </c>
      <c r="B51" s="4" t="s">
        <v>44</v>
      </c>
      <c r="C51" s="3">
        <f t="shared" si="0"/>
        <v>50</v>
      </c>
      <c r="D51" s="55" t="s">
        <v>676</v>
      </c>
      <c r="E51" s="22" t="s">
        <v>675</v>
      </c>
      <c r="F51" s="5" t="s">
        <v>164</v>
      </c>
      <c r="G51" s="39" t="s">
        <v>1501</v>
      </c>
      <c r="H51" s="5" t="s">
        <v>148</v>
      </c>
      <c r="I51" s="7">
        <v>2985074.6268656701</v>
      </c>
      <c r="J51" s="57"/>
      <c r="K51" s="7"/>
      <c r="L51" s="8">
        <v>54753</v>
      </c>
      <c r="M51" s="7">
        <v>6390000</v>
      </c>
      <c r="N51" s="7"/>
      <c r="O51" s="7">
        <v>27410000</v>
      </c>
      <c r="P51" s="7">
        <v>27410000</v>
      </c>
      <c r="Q51" s="5" t="s">
        <v>606</v>
      </c>
      <c r="R51" s="5" t="s">
        <v>598</v>
      </c>
      <c r="S51" s="5" t="s">
        <v>616</v>
      </c>
      <c r="T51" s="5" t="s">
        <v>1406</v>
      </c>
      <c r="U51" s="5" t="s">
        <v>1777</v>
      </c>
      <c r="V51" s="39" t="s">
        <v>1778</v>
      </c>
      <c r="W51" s="39" t="s">
        <v>1568</v>
      </c>
      <c r="X51" s="39" t="s">
        <v>1779</v>
      </c>
      <c r="Y51" s="80" t="s">
        <v>1780</v>
      </c>
      <c r="Z51" s="39" t="s">
        <v>1781</v>
      </c>
      <c r="AA51" s="39" t="s">
        <v>1782</v>
      </c>
      <c r="AB51" s="39" t="s">
        <v>1501</v>
      </c>
      <c r="AC51" s="59">
        <v>8.9</v>
      </c>
    </row>
    <row r="52" spans="1:29" hidden="1">
      <c r="A52" s="4">
        <v>2019</v>
      </c>
      <c r="B52" s="4" t="s">
        <v>44</v>
      </c>
      <c r="C52" s="3">
        <f t="shared" si="0"/>
        <v>51</v>
      </c>
      <c r="D52" s="55" t="s">
        <v>676</v>
      </c>
      <c r="E52" s="22" t="s">
        <v>650</v>
      </c>
      <c r="F52" s="5" t="s">
        <v>175</v>
      </c>
      <c r="G52" s="39" t="s">
        <v>1501</v>
      </c>
      <c r="H52" s="5" t="s">
        <v>131</v>
      </c>
      <c r="I52" s="7">
        <v>2985074.6268656701</v>
      </c>
      <c r="J52" s="57"/>
      <c r="K52" s="7"/>
      <c r="L52" s="8">
        <v>56551</v>
      </c>
      <c r="M52" s="7">
        <v>6240000</v>
      </c>
      <c r="N52" s="7"/>
      <c r="O52" s="7">
        <v>16841504</v>
      </c>
      <c r="P52" s="7">
        <v>16841504</v>
      </c>
      <c r="Q52" s="5" t="s">
        <v>597</v>
      </c>
      <c r="R52" s="5" t="s">
        <v>598</v>
      </c>
      <c r="S52" s="5" t="s">
        <v>658</v>
      </c>
      <c r="T52" s="5" t="s">
        <v>1406</v>
      </c>
      <c r="U52" s="5" t="s">
        <v>1783</v>
      </c>
      <c r="V52" s="39" t="s">
        <v>1784</v>
      </c>
      <c r="W52" s="39" t="s">
        <v>1785</v>
      </c>
      <c r="X52" s="39" t="s">
        <v>1786</v>
      </c>
      <c r="Y52" s="80" t="s">
        <v>1787</v>
      </c>
      <c r="Z52" s="39" t="s">
        <v>1788</v>
      </c>
      <c r="AA52" s="39" t="s">
        <v>1789</v>
      </c>
      <c r="AB52" s="39" t="s">
        <v>1577</v>
      </c>
      <c r="AC52" s="59">
        <v>9.1</v>
      </c>
    </row>
    <row r="53" spans="1:29" hidden="1">
      <c r="A53" s="4">
        <v>2019</v>
      </c>
      <c r="B53" s="4" t="s">
        <v>44</v>
      </c>
      <c r="C53" s="3">
        <f t="shared" si="0"/>
        <v>52</v>
      </c>
      <c r="D53" s="55" t="s">
        <v>676</v>
      </c>
      <c r="E53" s="22" t="s">
        <v>1792</v>
      </c>
      <c r="F53" s="5" t="s">
        <v>217</v>
      </c>
      <c r="G53" s="39" t="s">
        <v>1793</v>
      </c>
      <c r="H53" s="5" t="s">
        <v>129</v>
      </c>
      <c r="I53" s="7">
        <v>44776119.402985103</v>
      </c>
      <c r="J53" s="57"/>
      <c r="K53" s="7"/>
      <c r="L53" s="8">
        <v>68172</v>
      </c>
      <c r="M53" s="7">
        <v>2958191</v>
      </c>
      <c r="N53" s="7"/>
      <c r="O53" s="7">
        <v>3283238</v>
      </c>
      <c r="P53" s="7">
        <v>3283238</v>
      </c>
      <c r="Q53" s="5" t="s">
        <v>606</v>
      </c>
      <c r="R53" s="5" t="s">
        <v>598</v>
      </c>
      <c r="S53" s="5" t="s">
        <v>616</v>
      </c>
      <c r="T53" s="5" t="s">
        <v>1406</v>
      </c>
      <c r="U53" s="5" t="s">
        <v>1794</v>
      </c>
      <c r="V53" s="39" t="s">
        <v>1795</v>
      </c>
      <c r="W53" s="39" t="s">
        <v>1796</v>
      </c>
      <c r="X53" s="39" t="s">
        <v>1797</v>
      </c>
      <c r="Y53" s="80" t="s">
        <v>1798</v>
      </c>
      <c r="Z53" s="39" t="s">
        <v>1799</v>
      </c>
      <c r="AA53" s="5"/>
      <c r="AB53" s="39" t="s">
        <v>1800</v>
      </c>
      <c r="AC53" s="59">
        <v>7.4</v>
      </c>
    </row>
    <row r="54" spans="1:29" ht="15" hidden="1">
      <c r="A54" s="4">
        <v>2019</v>
      </c>
      <c r="B54" s="4" t="s">
        <v>44</v>
      </c>
      <c r="C54" s="3">
        <f t="shared" si="0"/>
        <v>53</v>
      </c>
      <c r="D54" s="55" t="s">
        <v>676</v>
      </c>
      <c r="E54" s="3" t="s">
        <v>632</v>
      </c>
      <c r="F54" s="5" t="s">
        <v>207</v>
      </c>
      <c r="G54" s="5" t="s">
        <v>1415</v>
      </c>
      <c r="H54" s="5" t="s">
        <v>131</v>
      </c>
      <c r="I54" s="7">
        <v>7462686.5671641789</v>
      </c>
      <c r="J54" s="57" t="s">
        <v>1411</v>
      </c>
      <c r="K54" s="7">
        <v>1492537.3134328357</v>
      </c>
      <c r="L54" s="8">
        <v>37338</v>
      </c>
      <c r="M54" s="7">
        <v>2950000</v>
      </c>
      <c r="N54" s="7">
        <v>4477611.940298507</v>
      </c>
      <c r="O54" s="7">
        <v>4303111</v>
      </c>
      <c r="P54" s="7">
        <v>4303111</v>
      </c>
      <c r="Q54" s="5" t="s">
        <v>606</v>
      </c>
      <c r="R54" s="5" t="s">
        <v>598</v>
      </c>
      <c r="S54" s="5" t="s">
        <v>616</v>
      </c>
      <c r="T54" s="5" t="s">
        <v>1406</v>
      </c>
      <c r="U54" s="5" t="s">
        <v>1801</v>
      </c>
      <c r="V54" s="5" t="s">
        <v>1802</v>
      </c>
      <c r="W54" s="5" t="s">
        <v>1803</v>
      </c>
      <c r="X54" s="5" t="s">
        <v>1804</v>
      </c>
      <c r="Y54" s="5" t="s">
        <v>1805</v>
      </c>
      <c r="Z54" s="5" t="s">
        <v>1806</v>
      </c>
      <c r="AA54" s="5" t="s">
        <v>1807</v>
      </c>
      <c r="AB54" s="5" t="s">
        <v>1808</v>
      </c>
      <c r="AC54" s="62">
        <v>7.5</v>
      </c>
    </row>
    <row r="55" spans="1:29" hidden="1">
      <c r="A55" s="4">
        <v>2019</v>
      </c>
      <c r="B55" s="4" t="s">
        <v>44</v>
      </c>
      <c r="C55" s="3">
        <f t="shared" si="0"/>
        <v>54</v>
      </c>
      <c r="D55" s="55" t="s">
        <v>676</v>
      </c>
      <c r="E55" s="22" t="s">
        <v>1812</v>
      </c>
      <c r="F55" s="5" t="s">
        <v>256</v>
      </c>
      <c r="G55" s="39" t="s">
        <v>1813</v>
      </c>
      <c r="H55" s="5" t="s">
        <v>148</v>
      </c>
      <c r="I55" s="7">
        <v>2985074.6268656701</v>
      </c>
      <c r="J55" s="57"/>
      <c r="K55" s="7"/>
      <c r="L55" s="8">
        <v>34638</v>
      </c>
      <c r="M55" s="7">
        <v>760000</v>
      </c>
      <c r="N55" s="7"/>
      <c r="O55" s="7">
        <v>810000</v>
      </c>
      <c r="P55" s="7">
        <v>810000</v>
      </c>
      <c r="Q55" s="5" t="s">
        <v>606</v>
      </c>
      <c r="R55" s="5" t="s">
        <v>598</v>
      </c>
      <c r="S55" s="5" t="s">
        <v>616</v>
      </c>
      <c r="T55" s="5" t="s">
        <v>1406</v>
      </c>
      <c r="U55" s="5" t="s">
        <v>1814</v>
      </c>
      <c r="V55" s="39" t="s">
        <v>1815</v>
      </c>
      <c r="W55" s="39" t="s">
        <v>1797</v>
      </c>
      <c r="X55" s="39" t="s">
        <v>1816</v>
      </c>
      <c r="Y55" s="80" t="s">
        <v>1817</v>
      </c>
      <c r="Z55" s="39" t="s">
        <v>1818</v>
      </c>
      <c r="AA55" s="5"/>
      <c r="AB55" s="39" t="s">
        <v>1819</v>
      </c>
      <c r="AC55" s="59">
        <v>7.7</v>
      </c>
    </row>
    <row r="56" spans="1:29" hidden="1">
      <c r="A56" s="4">
        <v>2019</v>
      </c>
      <c r="B56" s="4" t="s">
        <v>44</v>
      </c>
      <c r="C56" s="3">
        <f t="shared" si="0"/>
        <v>55</v>
      </c>
      <c r="D56" s="55" t="s">
        <v>676</v>
      </c>
      <c r="E56" s="3" t="s">
        <v>807</v>
      </c>
      <c r="F56" s="5" t="s">
        <v>225</v>
      </c>
      <c r="G56" s="5" t="s">
        <v>1416</v>
      </c>
      <c r="H56" s="5" t="s">
        <v>129</v>
      </c>
      <c r="I56" s="7">
        <v>749625.18740629684</v>
      </c>
      <c r="J56" s="57" t="s">
        <v>1411</v>
      </c>
      <c r="K56" s="7">
        <v>895522.38805970142</v>
      </c>
      <c r="L56" s="8">
        <v>10660</v>
      </c>
      <c r="M56" s="7">
        <v>399170</v>
      </c>
      <c r="N56" s="7">
        <v>2537313.4328358206</v>
      </c>
      <c r="O56" s="7">
        <v>2883905</v>
      </c>
      <c r="P56" s="7">
        <v>2883905</v>
      </c>
      <c r="Q56" s="5" t="s">
        <v>597</v>
      </c>
      <c r="R56" s="5" t="s">
        <v>598</v>
      </c>
      <c r="S56" s="5" t="s">
        <v>658</v>
      </c>
      <c r="T56" s="5" t="s">
        <v>1406</v>
      </c>
      <c r="U56" s="5" t="s">
        <v>1821</v>
      </c>
      <c r="V56" s="5" t="s">
        <v>1822</v>
      </c>
      <c r="W56" s="5" t="s">
        <v>1823</v>
      </c>
      <c r="X56" s="5" t="s">
        <v>1824</v>
      </c>
      <c r="Y56" s="10"/>
      <c r="Z56" s="5" t="s">
        <v>1825</v>
      </c>
      <c r="AA56" s="5"/>
      <c r="AB56" s="5" t="s">
        <v>1826</v>
      </c>
      <c r="AC56" s="62">
        <v>8.4</v>
      </c>
    </row>
    <row r="57" spans="1:29" hidden="1">
      <c r="A57" s="4">
        <v>2019</v>
      </c>
      <c r="B57" s="4" t="s">
        <v>44</v>
      </c>
      <c r="C57" s="3">
        <f t="shared" si="0"/>
        <v>56</v>
      </c>
      <c r="D57" s="55" t="s">
        <v>747</v>
      </c>
      <c r="E57" s="3" t="s">
        <v>747</v>
      </c>
      <c r="F57" s="5" t="s">
        <v>186</v>
      </c>
      <c r="G57" s="5" t="s">
        <v>605</v>
      </c>
      <c r="H57" s="5" t="s">
        <v>129</v>
      </c>
      <c r="I57" s="7">
        <v>35820895.522388101</v>
      </c>
      <c r="J57" s="57"/>
      <c r="K57" s="7"/>
      <c r="L57" s="8">
        <v>54139</v>
      </c>
      <c r="M57" s="7">
        <v>150481</v>
      </c>
      <c r="N57" s="7"/>
      <c r="O57" s="7">
        <v>8568978</v>
      </c>
      <c r="P57" s="7">
        <v>8719459</v>
      </c>
      <c r="Q57" s="5" t="s">
        <v>606</v>
      </c>
      <c r="R57" s="5" t="s">
        <v>598</v>
      </c>
      <c r="S57" s="5" t="s">
        <v>616</v>
      </c>
      <c r="T57" s="5" t="s">
        <v>1390</v>
      </c>
      <c r="U57" s="5" t="s">
        <v>1829</v>
      </c>
      <c r="V57" s="39" t="s">
        <v>1830</v>
      </c>
      <c r="W57" s="39" t="s">
        <v>1831</v>
      </c>
      <c r="X57" s="39" t="s">
        <v>1528</v>
      </c>
      <c r="Y57" s="80" t="s">
        <v>1832</v>
      </c>
      <c r="Z57" s="39" t="s">
        <v>1833</v>
      </c>
      <c r="AA57" s="5"/>
      <c r="AB57" s="39" t="s">
        <v>1834</v>
      </c>
      <c r="AC57" s="59">
        <v>8.4</v>
      </c>
    </row>
    <row r="58" spans="1:29" hidden="1">
      <c r="A58" s="4">
        <v>2019</v>
      </c>
      <c r="B58" s="4" t="s">
        <v>44</v>
      </c>
      <c r="C58" s="3">
        <f t="shared" si="0"/>
        <v>57</v>
      </c>
      <c r="D58" s="55" t="s">
        <v>676</v>
      </c>
      <c r="E58" s="3" t="s">
        <v>1837</v>
      </c>
      <c r="F58" s="5" t="s">
        <v>211</v>
      </c>
      <c r="G58" s="5" t="s">
        <v>1417</v>
      </c>
      <c r="H58" s="5" t="s">
        <v>131</v>
      </c>
      <c r="I58" s="7">
        <v>2985074.6268656715</v>
      </c>
      <c r="J58" s="57" t="s">
        <v>1411</v>
      </c>
      <c r="K58" s="7">
        <v>1044776.1194029852</v>
      </c>
      <c r="L58" s="41" t="s">
        <v>1501</v>
      </c>
      <c r="M58" s="7">
        <v>125544</v>
      </c>
      <c r="N58" s="7">
        <v>3134328.3582089553</v>
      </c>
      <c r="O58" s="7">
        <v>3963494</v>
      </c>
      <c r="P58" s="7">
        <v>3963494</v>
      </c>
      <c r="Q58" s="5" t="s">
        <v>597</v>
      </c>
      <c r="R58" s="5" t="s">
        <v>598</v>
      </c>
      <c r="S58" s="5" t="s">
        <v>707</v>
      </c>
      <c r="T58" s="5" t="s">
        <v>1406</v>
      </c>
      <c r="U58" s="5" t="s">
        <v>1838</v>
      </c>
      <c r="V58" s="5" t="s">
        <v>1839</v>
      </c>
      <c r="W58" s="5" t="s">
        <v>1840</v>
      </c>
      <c r="X58" s="5"/>
      <c r="Y58" s="10"/>
      <c r="Z58" s="5" t="s">
        <v>1841</v>
      </c>
      <c r="AA58" s="5" t="s">
        <v>1842</v>
      </c>
      <c r="AB58" s="5" t="s">
        <v>1843</v>
      </c>
      <c r="AC58" s="63" t="s">
        <v>1665</v>
      </c>
    </row>
    <row r="59" spans="1:29" hidden="1">
      <c r="A59" s="4">
        <v>2019</v>
      </c>
      <c r="B59" s="4" t="s">
        <v>44</v>
      </c>
      <c r="C59" s="3">
        <f t="shared" si="0"/>
        <v>58</v>
      </c>
      <c r="D59" s="55" t="s">
        <v>676</v>
      </c>
      <c r="E59" s="46" t="s">
        <v>1845</v>
      </c>
      <c r="F59" s="5" t="s">
        <v>261</v>
      </c>
      <c r="G59" s="39" t="s">
        <v>1501</v>
      </c>
      <c r="H59" s="5" t="s">
        <v>127</v>
      </c>
      <c r="I59" s="7">
        <v>100000000</v>
      </c>
      <c r="J59" s="57"/>
      <c r="K59" s="7"/>
      <c r="L59" s="41" t="s">
        <v>1501</v>
      </c>
      <c r="M59" s="7">
        <v>24397</v>
      </c>
      <c r="N59" s="7"/>
      <c r="O59" s="7">
        <v>713335</v>
      </c>
      <c r="P59" s="7">
        <v>713335</v>
      </c>
      <c r="Q59" s="5" t="s">
        <v>606</v>
      </c>
      <c r="R59" s="5" t="s">
        <v>631</v>
      </c>
      <c r="S59" s="5" t="s">
        <v>612</v>
      </c>
      <c r="T59" s="5" t="s">
        <v>1406</v>
      </c>
      <c r="U59" s="5" t="s">
        <v>1846</v>
      </c>
      <c r="V59" s="39" t="s">
        <v>1847</v>
      </c>
      <c r="W59" s="39" t="s">
        <v>1411</v>
      </c>
      <c r="X59" s="5"/>
      <c r="Y59" s="10"/>
      <c r="Z59" s="39" t="s">
        <v>1848</v>
      </c>
      <c r="AA59" s="5"/>
      <c r="AB59" s="39" t="s">
        <v>1501</v>
      </c>
      <c r="AC59" s="63" t="s">
        <v>1665</v>
      </c>
    </row>
    <row r="60" spans="1:29" hidden="1">
      <c r="A60" s="4">
        <v>2019</v>
      </c>
      <c r="B60" s="4" t="s">
        <v>44</v>
      </c>
      <c r="C60" s="3">
        <f t="shared" si="0"/>
        <v>59</v>
      </c>
      <c r="D60" s="55" t="s">
        <v>676</v>
      </c>
      <c r="E60" s="46" t="s">
        <v>673</v>
      </c>
      <c r="F60" s="5" t="s">
        <v>176</v>
      </c>
      <c r="G60" s="39" t="s">
        <v>1857</v>
      </c>
      <c r="H60" s="5" t="s">
        <v>129</v>
      </c>
      <c r="I60" s="7">
        <v>22500000</v>
      </c>
      <c r="J60" s="57"/>
      <c r="K60" s="7"/>
      <c r="L60" s="41">
        <v>61047</v>
      </c>
      <c r="M60" s="42">
        <v>7240000</v>
      </c>
      <c r="N60" s="7"/>
      <c r="O60" s="7">
        <v>14917516</v>
      </c>
      <c r="P60" s="7">
        <v>14917516</v>
      </c>
      <c r="Q60" s="5" t="s">
        <v>606</v>
      </c>
      <c r="R60" s="5" t="s">
        <v>598</v>
      </c>
      <c r="S60" s="5" t="s">
        <v>616</v>
      </c>
      <c r="T60" s="5" t="s">
        <v>1406</v>
      </c>
      <c r="U60" s="39" t="s">
        <v>1858</v>
      </c>
      <c r="V60" s="39" t="s">
        <v>1859</v>
      </c>
      <c r="W60" s="39" t="s">
        <v>1860</v>
      </c>
      <c r="X60" s="39" t="s">
        <v>1861</v>
      </c>
      <c r="Y60" s="10"/>
      <c r="Z60" s="39" t="s">
        <v>1862</v>
      </c>
      <c r="AA60" s="39" t="s">
        <v>1863</v>
      </c>
      <c r="AB60" s="39" t="s">
        <v>1864</v>
      </c>
      <c r="AC60" s="59">
        <v>8.9</v>
      </c>
    </row>
    <row r="61" spans="1:29" hidden="1">
      <c r="A61" s="4">
        <v>2019</v>
      </c>
      <c r="B61" s="4" t="s">
        <v>45</v>
      </c>
      <c r="C61" s="3">
        <f t="shared" si="0"/>
        <v>60</v>
      </c>
      <c r="D61" s="55" t="s">
        <v>650</v>
      </c>
      <c r="E61" s="3" t="s">
        <v>650</v>
      </c>
      <c r="F61" s="5" t="s">
        <v>763</v>
      </c>
      <c r="G61" s="5" t="s">
        <v>764</v>
      </c>
      <c r="H61" s="5" t="s">
        <v>129</v>
      </c>
      <c r="I61" s="7">
        <v>50000000</v>
      </c>
      <c r="J61" s="57"/>
      <c r="K61" s="7"/>
      <c r="L61" s="8">
        <v>3618</v>
      </c>
      <c r="M61" s="7">
        <v>18872919</v>
      </c>
      <c r="N61" s="7"/>
      <c r="O61" s="7">
        <v>46600000</v>
      </c>
      <c r="P61" s="7">
        <v>91419352</v>
      </c>
      <c r="Q61" s="5" t="s">
        <v>602</v>
      </c>
      <c r="R61" s="5" t="s">
        <v>598</v>
      </c>
      <c r="S61" s="5" t="s">
        <v>616</v>
      </c>
      <c r="T61" s="5" t="s">
        <v>1394</v>
      </c>
      <c r="U61" s="39" t="s">
        <v>1867</v>
      </c>
      <c r="V61" s="39" t="s">
        <v>763</v>
      </c>
      <c r="W61" s="39" t="s">
        <v>1868</v>
      </c>
      <c r="X61" s="39" t="s">
        <v>1869</v>
      </c>
      <c r="Y61" s="50" t="s">
        <v>1870</v>
      </c>
      <c r="Z61" s="39" t="s">
        <v>1871</v>
      </c>
      <c r="AA61" s="5"/>
      <c r="AB61" s="39" t="s">
        <v>764</v>
      </c>
      <c r="AC61" s="59">
        <v>6.9</v>
      </c>
    </row>
    <row r="62" spans="1:29" hidden="1">
      <c r="A62" s="4">
        <v>2019</v>
      </c>
      <c r="B62" s="4" t="s">
        <v>45</v>
      </c>
      <c r="C62" s="3">
        <f t="shared" si="0"/>
        <v>61</v>
      </c>
      <c r="D62" s="55" t="s">
        <v>765</v>
      </c>
      <c r="E62" s="3" t="s">
        <v>765</v>
      </c>
      <c r="F62" s="5" t="s">
        <v>766</v>
      </c>
      <c r="G62" s="5" t="s">
        <v>767</v>
      </c>
      <c r="H62" s="5" t="s">
        <v>193</v>
      </c>
      <c r="I62" s="7">
        <v>6000000</v>
      </c>
      <c r="J62" s="57"/>
      <c r="K62" s="7"/>
      <c r="L62" s="8">
        <v>2530</v>
      </c>
      <c r="M62" s="7">
        <v>5853061</v>
      </c>
      <c r="N62" s="7"/>
      <c r="O62" s="7">
        <v>4933421</v>
      </c>
      <c r="P62" s="7">
        <v>19789712</v>
      </c>
      <c r="Q62" s="5" t="s">
        <v>606</v>
      </c>
      <c r="R62" s="5" t="s">
        <v>598</v>
      </c>
      <c r="S62" s="5" t="s">
        <v>616</v>
      </c>
      <c r="T62" s="5" t="s">
        <v>1394</v>
      </c>
      <c r="U62" s="39" t="s">
        <v>1872</v>
      </c>
      <c r="V62" s="39" t="s">
        <v>766</v>
      </c>
      <c r="W62" s="39" t="s">
        <v>1873</v>
      </c>
      <c r="X62" s="39" t="s">
        <v>1874</v>
      </c>
      <c r="Y62" s="80" t="s">
        <v>1875</v>
      </c>
      <c r="Z62" s="39" t="s">
        <v>1876</v>
      </c>
      <c r="AA62" s="5"/>
      <c r="AB62" s="39" t="s">
        <v>767</v>
      </c>
      <c r="AC62" s="59">
        <v>6.1</v>
      </c>
    </row>
    <row r="63" spans="1:29" hidden="1">
      <c r="A63" s="4">
        <v>2019</v>
      </c>
      <c r="B63" s="4" t="s">
        <v>45</v>
      </c>
      <c r="C63" s="3">
        <f t="shared" si="0"/>
        <v>62</v>
      </c>
      <c r="D63" s="55" t="s">
        <v>768</v>
      </c>
      <c r="E63" s="3" t="s">
        <v>768</v>
      </c>
      <c r="F63" s="5" t="s">
        <v>52</v>
      </c>
      <c r="G63" s="5" t="s">
        <v>601</v>
      </c>
      <c r="H63" s="5" t="s">
        <v>129</v>
      </c>
      <c r="I63" s="7">
        <v>52000000</v>
      </c>
      <c r="J63" s="57"/>
      <c r="K63" s="7"/>
      <c r="L63" s="8">
        <v>125</v>
      </c>
      <c r="M63" s="7">
        <v>1459523</v>
      </c>
      <c r="N63" s="7"/>
      <c r="O63" s="7">
        <v>188661860</v>
      </c>
      <c r="P63" s="7">
        <v>192617891</v>
      </c>
      <c r="Q63" s="5" t="s">
        <v>597</v>
      </c>
      <c r="R63" s="5" t="s">
        <v>703</v>
      </c>
      <c r="S63" s="5" t="s">
        <v>658</v>
      </c>
      <c r="T63" s="5" t="s">
        <v>1390</v>
      </c>
      <c r="U63" s="39" t="s">
        <v>1877</v>
      </c>
      <c r="V63" s="39" t="s">
        <v>1878</v>
      </c>
      <c r="W63" s="39" t="s">
        <v>1497</v>
      </c>
      <c r="X63" s="39" t="s">
        <v>1554</v>
      </c>
      <c r="Y63" s="50" t="s">
        <v>1617</v>
      </c>
      <c r="Z63" s="39" t="s">
        <v>1879</v>
      </c>
      <c r="AA63" s="5"/>
      <c r="AB63" s="39" t="s">
        <v>1483</v>
      </c>
      <c r="AC63" s="59">
        <v>9.4</v>
      </c>
    </row>
    <row r="64" spans="1:29" hidden="1">
      <c r="A64" s="4">
        <v>2019</v>
      </c>
      <c r="B64" s="4" t="s">
        <v>45</v>
      </c>
      <c r="C64" s="3">
        <f t="shared" si="0"/>
        <v>63</v>
      </c>
      <c r="D64" s="55" t="s">
        <v>769</v>
      </c>
      <c r="E64" s="3" t="s">
        <v>1884</v>
      </c>
      <c r="F64" s="5" t="s">
        <v>770</v>
      </c>
      <c r="G64" s="5" t="s">
        <v>601</v>
      </c>
      <c r="H64" s="5" t="s">
        <v>129</v>
      </c>
      <c r="I64" s="7">
        <v>19400000</v>
      </c>
      <c r="J64" s="57" t="s">
        <v>1411</v>
      </c>
      <c r="K64" s="7">
        <v>15671642</v>
      </c>
      <c r="L64" s="8">
        <v>82072</v>
      </c>
      <c r="M64" s="7">
        <v>20422321</v>
      </c>
      <c r="N64" s="7">
        <v>45671642</v>
      </c>
      <c r="O64" s="7">
        <v>44388292</v>
      </c>
      <c r="P64" s="7">
        <v>44584926</v>
      </c>
      <c r="Q64" s="5" t="s">
        <v>597</v>
      </c>
      <c r="R64" s="5" t="s">
        <v>598</v>
      </c>
      <c r="S64" s="5" t="s">
        <v>707</v>
      </c>
      <c r="T64" s="5" t="s">
        <v>1390</v>
      </c>
      <c r="U64" s="5" t="s">
        <v>1885</v>
      </c>
      <c r="V64" s="5" t="s">
        <v>1886</v>
      </c>
      <c r="W64" s="5" t="s">
        <v>1524</v>
      </c>
      <c r="X64" s="5" t="s">
        <v>1880</v>
      </c>
      <c r="Y64" s="5" t="s">
        <v>1881</v>
      </c>
      <c r="Z64" s="5" t="s">
        <v>1887</v>
      </c>
      <c r="AA64" s="5"/>
      <c r="AB64" s="5" t="s">
        <v>1888</v>
      </c>
      <c r="AC64" s="62">
        <v>8</v>
      </c>
    </row>
    <row r="65" spans="1:29" hidden="1">
      <c r="A65" s="4">
        <v>2019</v>
      </c>
      <c r="B65" s="4" t="s">
        <v>45</v>
      </c>
      <c r="C65" s="3">
        <f t="shared" si="0"/>
        <v>64</v>
      </c>
      <c r="D65" s="55" t="s">
        <v>747</v>
      </c>
      <c r="E65" s="3" t="s">
        <v>747</v>
      </c>
      <c r="F65" s="5" t="s">
        <v>775</v>
      </c>
      <c r="G65" s="5" t="s">
        <v>601</v>
      </c>
      <c r="H65" s="5" t="s">
        <v>131</v>
      </c>
      <c r="I65" s="7">
        <v>3750000</v>
      </c>
      <c r="J65" s="57"/>
      <c r="K65" s="7"/>
      <c r="L65" s="8">
        <v>1</v>
      </c>
      <c r="M65" s="7">
        <v>1652</v>
      </c>
      <c r="N65" s="7"/>
      <c r="O65" s="7">
        <v>16460000</v>
      </c>
      <c r="P65" s="7">
        <v>16461652</v>
      </c>
      <c r="Q65" s="5" t="s">
        <v>606</v>
      </c>
      <c r="R65" s="5" t="s">
        <v>598</v>
      </c>
      <c r="S65" s="5" t="s">
        <v>616</v>
      </c>
      <c r="T65" s="5" t="s">
        <v>1390</v>
      </c>
      <c r="U65" s="39" t="s">
        <v>1889</v>
      </c>
      <c r="V65" s="39" t="s">
        <v>1890</v>
      </c>
      <c r="W65" s="39" t="s">
        <v>1891</v>
      </c>
      <c r="X65" s="39" t="s">
        <v>1892</v>
      </c>
      <c r="Y65" s="39" t="s">
        <v>1893</v>
      </c>
      <c r="Z65" s="39" t="s">
        <v>1894</v>
      </c>
      <c r="AA65" s="5"/>
      <c r="AB65" s="39" t="s">
        <v>1895</v>
      </c>
      <c r="AC65" s="59">
        <v>9.1</v>
      </c>
    </row>
    <row r="66" spans="1:29" hidden="1">
      <c r="A66" s="4">
        <v>2019</v>
      </c>
      <c r="B66" s="4" t="s">
        <v>45</v>
      </c>
      <c r="C66" s="3">
        <f t="shared" si="0"/>
        <v>65</v>
      </c>
      <c r="D66" s="55" t="s">
        <v>642</v>
      </c>
      <c r="E66" s="3" t="s">
        <v>1896</v>
      </c>
      <c r="F66" s="5" t="s">
        <v>776</v>
      </c>
      <c r="G66" s="39" t="s">
        <v>1407</v>
      </c>
      <c r="H66" s="5" t="s">
        <v>129</v>
      </c>
      <c r="I66" s="7">
        <v>11940298.5</v>
      </c>
      <c r="J66" s="7">
        <v>4477611.9400000004</v>
      </c>
      <c r="K66" s="7">
        <v>3552089.55</v>
      </c>
      <c r="L66" s="41">
        <v>61552</v>
      </c>
      <c r="M66" s="42">
        <v>6830000</v>
      </c>
      <c r="N66" s="7">
        <v>9498656.7200000007</v>
      </c>
      <c r="O66" s="7">
        <v>10217493</v>
      </c>
      <c r="P66" s="7">
        <v>10217493</v>
      </c>
      <c r="Q66" s="5" t="s">
        <v>606</v>
      </c>
      <c r="R66" s="5" t="s">
        <v>598</v>
      </c>
      <c r="S66" s="5" t="s">
        <v>616</v>
      </c>
      <c r="T66" s="5" t="s">
        <v>1390</v>
      </c>
      <c r="U66" s="39" t="s">
        <v>1897</v>
      </c>
      <c r="V66" s="39" t="s">
        <v>1898</v>
      </c>
      <c r="W66" s="39" t="s">
        <v>1899</v>
      </c>
      <c r="X66" s="5"/>
      <c r="Y66" s="5"/>
      <c r="Z66" s="39" t="s">
        <v>1900</v>
      </c>
      <c r="AA66" s="5"/>
      <c r="AB66" s="5" t="s">
        <v>1901</v>
      </c>
      <c r="AC66" s="59">
        <v>7.9</v>
      </c>
    </row>
    <row r="67" spans="1:29" hidden="1">
      <c r="A67" s="4">
        <v>2019</v>
      </c>
      <c r="B67" s="4" t="s">
        <v>45</v>
      </c>
      <c r="C67" s="3">
        <f t="shared" si="0"/>
        <v>66</v>
      </c>
      <c r="D67" s="55" t="s">
        <v>676</v>
      </c>
      <c r="E67" s="56" t="s">
        <v>1902</v>
      </c>
      <c r="F67" s="5" t="s">
        <v>49</v>
      </c>
      <c r="G67" s="39" t="s">
        <v>1676</v>
      </c>
      <c r="H67" s="5" t="s">
        <v>131</v>
      </c>
      <c r="I67" s="7">
        <v>30000000</v>
      </c>
      <c r="J67" s="57"/>
      <c r="K67" s="7"/>
      <c r="L67" s="41">
        <v>28181</v>
      </c>
      <c r="M67" s="42">
        <v>1450000</v>
      </c>
      <c r="N67" s="7"/>
      <c r="O67" s="7">
        <v>2640000</v>
      </c>
      <c r="P67" s="7">
        <v>2640000</v>
      </c>
      <c r="Q67" s="5" t="s">
        <v>606</v>
      </c>
      <c r="R67" s="5" t="s">
        <v>598</v>
      </c>
      <c r="S67" s="5" t="s">
        <v>616</v>
      </c>
      <c r="T67" s="5" t="s">
        <v>1406</v>
      </c>
      <c r="U67" s="39" t="s">
        <v>1903</v>
      </c>
      <c r="V67" s="39" t="s">
        <v>1904</v>
      </c>
      <c r="W67" s="39" t="s">
        <v>1905</v>
      </c>
      <c r="X67" s="39" t="s">
        <v>1906</v>
      </c>
      <c r="Y67" s="39" t="s">
        <v>1907</v>
      </c>
      <c r="Z67" s="39" t="s">
        <v>1908</v>
      </c>
      <c r="AA67" s="5"/>
      <c r="AB67" s="39" t="s">
        <v>1909</v>
      </c>
      <c r="AC67" s="59">
        <v>8.1</v>
      </c>
    </row>
    <row r="68" spans="1:29" hidden="1">
      <c r="A68" s="4">
        <v>2019</v>
      </c>
      <c r="B68" s="4" t="s">
        <v>45</v>
      </c>
      <c r="C68" s="3">
        <f t="shared" ref="C68:C131" si="1">C67+1</f>
        <v>67</v>
      </c>
      <c r="D68" s="55" t="s">
        <v>765</v>
      </c>
      <c r="E68" s="3" t="s">
        <v>765</v>
      </c>
      <c r="F68" s="5" t="s">
        <v>781</v>
      </c>
      <c r="G68" s="5" t="s">
        <v>782</v>
      </c>
      <c r="H68" s="5" t="s">
        <v>1404</v>
      </c>
      <c r="I68" s="7">
        <v>41791044</v>
      </c>
      <c r="J68" s="57" t="s">
        <v>1411</v>
      </c>
      <c r="K68" s="7">
        <v>5970149</v>
      </c>
      <c r="L68" s="8">
        <v>37</v>
      </c>
      <c r="M68" s="7">
        <v>1781952</v>
      </c>
      <c r="N68" s="7">
        <v>17014925</v>
      </c>
      <c r="O68" s="7">
        <v>17314737</v>
      </c>
      <c r="P68" s="7">
        <v>17314737</v>
      </c>
      <c r="Q68" s="39" t="s">
        <v>606</v>
      </c>
      <c r="R68" s="5" t="s">
        <v>598</v>
      </c>
      <c r="S68" s="39" t="s">
        <v>616</v>
      </c>
      <c r="T68" s="5" t="s">
        <v>1390</v>
      </c>
      <c r="U68" s="5" t="s">
        <v>1912</v>
      </c>
      <c r="V68" s="5" t="s">
        <v>1913</v>
      </c>
      <c r="W68" s="5" t="s">
        <v>1914</v>
      </c>
      <c r="X68" s="5" t="s">
        <v>1860</v>
      </c>
      <c r="Y68" s="5"/>
      <c r="Z68" s="5" t="s">
        <v>1915</v>
      </c>
      <c r="AA68" s="5"/>
      <c r="AB68" s="5" t="s">
        <v>1916</v>
      </c>
      <c r="AC68" s="62">
        <v>7.2</v>
      </c>
    </row>
    <row r="69" spans="1:29" hidden="1">
      <c r="A69" s="4">
        <v>2019</v>
      </c>
      <c r="B69" s="4" t="s">
        <v>45</v>
      </c>
      <c r="C69" s="3">
        <f t="shared" si="1"/>
        <v>68</v>
      </c>
      <c r="D69" s="55" t="s">
        <v>676</v>
      </c>
      <c r="E69" s="3" t="s">
        <v>676</v>
      </c>
      <c r="F69" s="5" t="s">
        <v>790</v>
      </c>
      <c r="G69" s="39" t="s">
        <v>1501</v>
      </c>
      <c r="H69" s="5" t="s">
        <v>129</v>
      </c>
      <c r="I69" s="7">
        <v>2340000</v>
      </c>
      <c r="J69" s="57"/>
      <c r="K69" s="7"/>
      <c r="L69" s="41" t="s">
        <v>1501</v>
      </c>
      <c r="M69" s="41" t="s">
        <v>1501</v>
      </c>
      <c r="N69" s="7"/>
      <c r="O69" s="7">
        <v>2300000</v>
      </c>
      <c r="P69" s="7">
        <v>2300000</v>
      </c>
      <c r="Q69" s="5" t="s">
        <v>606</v>
      </c>
      <c r="R69" s="5" t="s">
        <v>598</v>
      </c>
      <c r="S69" s="5" t="s">
        <v>616</v>
      </c>
      <c r="T69" s="5" t="s">
        <v>1406</v>
      </c>
      <c r="U69" s="39" t="s">
        <v>1917</v>
      </c>
      <c r="V69" s="39" t="s">
        <v>1411</v>
      </c>
      <c r="W69" s="39" t="s">
        <v>1411</v>
      </c>
      <c r="X69" s="5"/>
      <c r="Y69" s="5"/>
      <c r="Z69" s="39" t="s">
        <v>1918</v>
      </c>
      <c r="AA69" s="5"/>
      <c r="AB69" s="39" t="s">
        <v>1501</v>
      </c>
      <c r="AC69" s="59">
        <v>5</v>
      </c>
    </row>
    <row r="70" spans="1:29" hidden="1">
      <c r="A70" s="4">
        <v>2019</v>
      </c>
      <c r="B70" s="4" t="s">
        <v>46</v>
      </c>
      <c r="C70" s="3">
        <f t="shared" si="1"/>
        <v>69</v>
      </c>
      <c r="D70" s="55" t="s">
        <v>617</v>
      </c>
      <c r="E70" s="3" t="s">
        <v>617</v>
      </c>
      <c r="F70" s="5" t="s">
        <v>55</v>
      </c>
      <c r="G70" s="5" t="s">
        <v>626</v>
      </c>
      <c r="H70" s="5" t="s">
        <v>131</v>
      </c>
      <c r="I70" s="7">
        <v>4500000</v>
      </c>
      <c r="J70" s="57"/>
      <c r="K70" s="7"/>
      <c r="L70" s="8">
        <v>40</v>
      </c>
      <c r="M70" s="7">
        <v>185928</v>
      </c>
      <c r="N70" s="7"/>
      <c r="O70" s="7">
        <v>150333552</v>
      </c>
      <c r="P70" s="7">
        <v>151056221</v>
      </c>
      <c r="Q70" s="5" t="s">
        <v>606</v>
      </c>
      <c r="R70" s="5" t="s">
        <v>598</v>
      </c>
      <c r="S70" s="5" t="s">
        <v>616</v>
      </c>
      <c r="T70" s="5" t="s">
        <v>1390</v>
      </c>
      <c r="U70" s="39" t="s">
        <v>1919</v>
      </c>
      <c r="V70" s="39" t="s">
        <v>1920</v>
      </c>
      <c r="W70" s="39" t="s">
        <v>1921</v>
      </c>
      <c r="X70" s="39" t="s">
        <v>1922</v>
      </c>
      <c r="Y70" s="39" t="s">
        <v>1923</v>
      </c>
      <c r="Z70" s="39" t="s">
        <v>1924</v>
      </c>
      <c r="AA70" s="5"/>
      <c r="AB70" s="50" t="s">
        <v>1925</v>
      </c>
      <c r="AC70" s="59">
        <v>8</v>
      </c>
    </row>
    <row r="71" spans="1:29" hidden="1">
      <c r="A71" s="4">
        <v>2019</v>
      </c>
      <c r="B71" s="4" t="s">
        <v>46</v>
      </c>
      <c r="C71" s="3">
        <f t="shared" si="1"/>
        <v>70</v>
      </c>
      <c r="D71" s="55" t="s">
        <v>676</v>
      </c>
      <c r="E71" s="46" t="s">
        <v>1926</v>
      </c>
      <c r="F71" s="5" t="s">
        <v>238</v>
      </c>
      <c r="G71" s="39" t="s">
        <v>812</v>
      </c>
      <c r="H71" s="5" t="s">
        <v>193</v>
      </c>
      <c r="I71" s="7">
        <v>3325000</v>
      </c>
      <c r="J71" s="57"/>
      <c r="K71" s="7"/>
      <c r="L71" s="41">
        <v>128</v>
      </c>
      <c r="M71" s="42">
        <v>283312</v>
      </c>
      <c r="N71" s="7"/>
      <c r="O71" s="7">
        <v>1692572</v>
      </c>
      <c r="P71" s="7">
        <v>1692572</v>
      </c>
      <c r="Q71" s="5" t="s">
        <v>606</v>
      </c>
      <c r="R71" s="5" t="s">
        <v>598</v>
      </c>
      <c r="S71" s="5" t="s">
        <v>658</v>
      </c>
      <c r="T71" s="5" t="s">
        <v>1406</v>
      </c>
      <c r="U71" s="39" t="s">
        <v>1927</v>
      </c>
      <c r="V71" s="39" t="s">
        <v>1928</v>
      </c>
      <c r="W71" s="39" t="s">
        <v>1929</v>
      </c>
      <c r="X71" s="39" t="s">
        <v>1930</v>
      </c>
      <c r="Y71" s="39" t="s">
        <v>1931</v>
      </c>
      <c r="Z71" s="39" t="s">
        <v>1932</v>
      </c>
      <c r="AA71" s="5"/>
      <c r="AB71" s="50" t="s">
        <v>1933</v>
      </c>
      <c r="AC71" s="63" t="s">
        <v>1665</v>
      </c>
    </row>
    <row r="72" spans="1:29" hidden="1">
      <c r="A72" s="4">
        <v>2019</v>
      </c>
      <c r="B72" s="4" t="s">
        <v>46</v>
      </c>
      <c r="C72" s="3">
        <f t="shared" si="1"/>
        <v>71</v>
      </c>
      <c r="D72" s="55" t="s">
        <v>676</v>
      </c>
      <c r="E72" s="22" t="s">
        <v>1936</v>
      </c>
      <c r="F72" s="5" t="s">
        <v>50</v>
      </c>
      <c r="G72" s="39" t="s">
        <v>812</v>
      </c>
      <c r="H72" s="5" t="s">
        <v>131</v>
      </c>
      <c r="I72" s="7">
        <v>2800000</v>
      </c>
      <c r="J72" s="57"/>
      <c r="K72" s="7"/>
      <c r="L72" s="41" t="s">
        <v>1501</v>
      </c>
      <c r="M72" s="42">
        <v>67571</v>
      </c>
      <c r="N72" s="7"/>
      <c r="O72" s="7">
        <v>140937</v>
      </c>
      <c r="P72" s="7">
        <v>140937</v>
      </c>
      <c r="Q72" s="5" t="s">
        <v>606</v>
      </c>
      <c r="R72" s="5" t="s">
        <v>598</v>
      </c>
      <c r="S72" s="5" t="s">
        <v>616</v>
      </c>
      <c r="T72" s="5" t="s">
        <v>1406</v>
      </c>
      <c r="U72" s="39" t="s">
        <v>1937</v>
      </c>
      <c r="V72" s="39" t="s">
        <v>1938</v>
      </c>
      <c r="W72" s="39" t="s">
        <v>1939</v>
      </c>
      <c r="X72" s="39" t="s">
        <v>1940</v>
      </c>
      <c r="Y72" s="39" t="s">
        <v>1941</v>
      </c>
      <c r="Z72" s="39" t="s">
        <v>1942</v>
      </c>
      <c r="AA72" s="5"/>
      <c r="AB72" s="50" t="s">
        <v>1943</v>
      </c>
      <c r="AC72" s="59">
        <v>7.4</v>
      </c>
    </row>
    <row r="73" spans="1:29" hidden="1">
      <c r="A73" s="4">
        <v>2018</v>
      </c>
      <c r="B73" s="4" t="s">
        <v>44</v>
      </c>
      <c r="C73" s="3">
        <f t="shared" si="1"/>
        <v>72</v>
      </c>
      <c r="D73" s="55" t="s">
        <v>811</v>
      </c>
      <c r="E73" s="3" t="s">
        <v>811</v>
      </c>
      <c r="F73" s="5" t="s">
        <v>7</v>
      </c>
      <c r="G73" s="5" t="s">
        <v>812</v>
      </c>
      <c r="H73" s="5" t="s">
        <v>129</v>
      </c>
      <c r="I73" s="7">
        <v>59701492</v>
      </c>
      <c r="J73" s="7">
        <v>22388059</v>
      </c>
      <c r="K73" s="7">
        <v>186268656</v>
      </c>
      <c r="L73" s="8">
        <v>115</v>
      </c>
      <c r="M73" s="7">
        <v>704047</v>
      </c>
      <c r="N73" s="7">
        <v>475970149</v>
      </c>
      <c r="O73" s="7">
        <v>542084590</v>
      </c>
      <c r="P73" s="7">
        <v>544068574</v>
      </c>
      <c r="Q73" s="5" t="s">
        <v>606</v>
      </c>
      <c r="R73" s="5" t="s">
        <v>598</v>
      </c>
      <c r="S73" s="5" t="s">
        <v>616</v>
      </c>
      <c r="T73" s="5" t="s">
        <v>1394</v>
      </c>
      <c r="U73" s="5" t="s">
        <v>1944</v>
      </c>
      <c r="V73" s="5" t="s">
        <v>1945</v>
      </c>
      <c r="W73" s="5" t="s">
        <v>1946</v>
      </c>
      <c r="X73" s="5" t="s">
        <v>1718</v>
      </c>
      <c r="Y73" s="5"/>
      <c r="Z73" s="5" t="s">
        <v>1947</v>
      </c>
      <c r="AA73" s="5"/>
      <c r="AB73" s="5" t="s">
        <v>1948</v>
      </c>
      <c r="AC73" s="62">
        <v>9</v>
      </c>
    </row>
    <row r="74" spans="1:29" hidden="1">
      <c r="A74" s="4">
        <v>2018</v>
      </c>
      <c r="B74" s="4" t="s">
        <v>44</v>
      </c>
      <c r="C74" s="3">
        <f t="shared" si="1"/>
        <v>73</v>
      </c>
      <c r="D74" s="55" t="s">
        <v>813</v>
      </c>
      <c r="E74" s="3" t="s">
        <v>813</v>
      </c>
      <c r="F74" s="5" t="s">
        <v>359</v>
      </c>
      <c r="G74" s="5" t="s">
        <v>601</v>
      </c>
      <c r="H74" s="5" t="s">
        <v>129</v>
      </c>
      <c r="I74" s="7">
        <v>74626865.671641782</v>
      </c>
      <c r="J74" s="7">
        <v>11940298.507462686</v>
      </c>
      <c r="K74" s="7">
        <v>199850746.2686567</v>
      </c>
      <c r="L74" s="8">
        <v>55</v>
      </c>
      <c r="M74" s="7">
        <v>436059</v>
      </c>
      <c r="N74" s="7">
        <v>510597014.92537314</v>
      </c>
      <c r="O74" s="7">
        <v>532057988</v>
      </c>
      <c r="P74" s="7">
        <v>533601535</v>
      </c>
      <c r="Q74" s="5" t="s">
        <v>606</v>
      </c>
      <c r="R74" s="5" t="s">
        <v>598</v>
      </c>
      <c r="S74" s="5" t="s">
        <v>616</v>
      </c>
      <c r="T74" s="5" t="s">
        <v>1390</v>
      </c>
      <c r="U74" s="5" t="s">
        <v>1949</v>
      </c>
      <c r="V74" s="5" t="s">
        <v>1950</v>
      </c>
      <c r="W74" s="5" t="s">
        <v>1951</v>
      </c>
      <c r="X74" s="5" t="s">
        <v>1952</v>
      </c>
      <c r="Y74" s="10"/>
      <c r="Z74" s="5" t="s">
        <v>1953</v>
      </c>
      <c r="AA74" s="5"/>
      <c r="AB74" s="5" t="s">
        <v>1954</v>
      </c>
      <c r="AC74" s="62">
        <v>9.4</v>
      </c>
    </row>
    <row r="75" spans="1:29" hidden="1">
      <c r="A75" s="4">
        <v>2018</v>
      </c>
      <c r="B75" s="4" t="s">
        <v>44</v>
      </c>
      <c r="C75" s="3">
        <f t="shared" si="1"/>
        <v>74</v>
      </c>
      <c r="D75" s="55" t="s">
        <v>814</v>
      </c>
      <c r="E75" s="3" t="s">
        <v>814</v>
      </c>
      <c r="F75" s="5" t="s">
        <v>365</v>
      </c>
      <c r="G75" s="5" t="s">
        <v>601</v>
      </c>
      <c r="H75" s="5" t="s">
        <v>148</v>
      </c>
      <c r="I75" s="7">
        <v>5970149</v>
      </c>
      <c r="J75" s="7">
        <v>3731343</v>
      </c>
      <c r="K75" s="7">
        <v>47611940</v>
      </c>
      <c r="L75" s="8">
        <v>32</v>
      </c>
      <c r="M75" s="7">
        <v>204733</v>
      </c>
      <c r="N75" s="7">
        <v>124179104</v>
      </c>
      <c r="O75" s="7">
        <v>132903651</v>
      </c>
      <c r="P75" s="7">
        <v>133650584</v>
      </c>
      <c r="Q75" s="5" t="s">
        <v>1398</v>
      </c>
      <c r="R75" s="5" t="s">
        <v>598</v>
      </c>
      <c r="S75" s="5" t="s">
        <v>603</v>
      </c>
      <c r="T75" s="5" t="s">
        <v>1390</v>
      </c>
      <c r="U75" s="5" t="s">
        <v>1955</v>
      </c>
      <c r="V75" s="5" t="s">
        <v>365</v>
      </c>
      <c r="W75" s="5" t="s">
        <v>1956</v>
      </c>
      <c r="X75" s="5" t="s">
        <v>1957</v>
      </c>
      <c r="Y75" s="10"/>
      <c r="Z75" s="5" t="s">
        <v>1958</v>
      </c>
      <c r="AA75" s="5"/>
      <c r="AB75" s="5" t="s">
        <v>1959</v>
      </c>
      <c r="AC75" s="62">
        <v>8.6999999999999993</v>
      </c>
    </row>
    <row r="76" spans="1:29" hidden="1">
      <c r="A76" s="4">
        <v>2018</v>
      </c>
      <c r="B76" s="4" t="s">
        <v>44</v>
      </c>
      <c r="C76" s="3">
        <f t="shared" si="1"/>
        <v>75</v>
      </c>
      <c r="D76" s="55" t="s">
        <v>811</v>
      </c>
      <c r="E76" s="3" t="s">
        <v>811</v>
      </c>
      <c r="F76" s="5" t="s">
        <v>362</v>
      </c>
      <c r="G76" s="5" t="s">
        <v>764</v>
      </c>
      <c r="H76" s="5" t="s">
        <v>127</v>
      </c>
      <c r="I76" s="7">
        <v>89552238</v>
      </c>
      <c r="J76" s="7">
        <v>22388059</v>
      </c>
      <c r="K76" s="7">
        <v>123432835</v>
      </c>
      <c r="L76" s="8">
        <v>69</v>
      </c>
      <c r="M76" s="7">
        <v>341834</v>
      </c>
      <c r="N76" s="7">
        <v>316567164</v>
      </c>
      <c r="O76" s="7">
        <v>360977662</v>
      </c>
      <c r="P76" s="7">
        <v>361683815</v>
      </c>
      <c r="Q76" s="5" t="s">
        <v>606</v>
      </c>
      <c r="R76" s="5" t="s">
        <v>611</v>
      </c>
      <c r="S76" s="5" t="s">
        <v>607</v>
      </c>
      <c r="T76" s="5" t="s">
        <v>1390</v>
      </c>
      <c r="U76" s="5" t="s">
        <v>1960</v>
      </c>
      <c r="V76" s="5" t="s">
        <v>1961</v>
      </c>
      <c r="W76" s="5" t="s">
        <v>1962</v>
      </c>
      <c r="X76" s="5" t="s">
        <v>1963</v>
      </c>
      <c r="Y76" s="10"/>
      <c r="Z76" s="5" t="s">
        <v>1964</v>
      </c>
      <c r="AA76" s="5"/>
      <c r="AB76" s="5" t="s">
        <v>1965</v>
      </c>
      <c r="AC76" s="62">
        <v>8.1999999999999993</v>
      </c>
    </row>
    <row r="77" spans="1:29" hidden="1">
      <c r="A77" s="4">
        <v>2018</v>
      </c>
      <c r="B77" s="4" t="s">
        <v>44</v>
      </c>
      <c r="C77" s="3">
        <f t="shared" si="1"/>
        <v>76</v>
      </c>
      <c r="D77" s="55" t="s">
        <v>811</v>
      </c>
      <c r="E77" s="3" t="s">
        <v>811</v>
      </c>
      <c r="F77" s="5" t="s">
        <v>368</v>
      </c>
      <c r="G77" s="5" t="s">
        <v>601</v>
      </c>
      <c r="H77" s="5" t="s">
        <v>129</v>
      </c>
      <c r="I77" s="7">
        <v>59701492</v>
      </c>
      <c r="J77" s="7">
        <v>8955223</v>
      </c>
      <c r="K77" s="7">
        <v>38955223</v>
      </c>
      <c r="L77" s="8">
        <v>34</v>
      </c>
      <c r="M77" s="7">
        <v>95577</v>
      </c>
      <c r="N77" s="7">
        <v>102537313</v>
      </c>
      <c r="O77" s="7">
        <v>114902870</v>
      </c>
      <c r="P77" s="7">
        <v>115089944</v>
      </c>
      <c r="Q77" s="5" t="s">
        <v>602</v>
      </c>
      <c r="R77" s="5" t="s">
        <v>598</v>
      </c>
      <c r="S77" s="5" t="s">
        <v>603</v>
      </c>
      <c r="T77" s="5" t="s">
        <v>1390</v>
      </c>
      <c r="U77" s="5" t="s">
        <v>1966</v>
      </c>
      <c r="V77" s="5" t="s">
        <v>1967</v>
      </c>
      <c r="W77" s="5" t="s">
        <v>1905</v>
      </c>
      <c r="X77" s="5" t="s">
        <v>1968</v>
      </c>
      <c r="Y77" s="10"/>
      <c r="Z77" s="5" t="s">
        <v>1969</v>
      </c>
      <c r="AA77" s="5"/>
      <c r="AB77" s="5" t="s">
        <v>1970</v>
      </c>
      <c r="AC77" s="62">
        <v>7.9</v>
      </c>
    </row>
    <row r="78" spans="1:29" hidden="1">
      <c r="A78" s="4">
        <v>2018</v>
      </c>
      <c r="B78" s="4" t="s">
        <v>44</v>
      </c>
      <c r="C78" s="3">
        <f t="shared" si="1"/>
        <v>77</v>
      </c>
      <c r="D78" s="55" t="s">
        <v>818</v>
      </c>
      <c r="E78" s="3" t="s">
        <v>818</v>
      </c>
      <c r="F78" s="5" t="s">
        <v>819</v>
      </c>
      <c r="G78" s="5" t="s">
        <v>601</v>
      </c>
      <c r="H78" s="5" t="s">
        <v>136</v>
      </c>
      <c r="I78" s="7">
        <v>10447761</v>
      </c>
      <c r="J78" s="7">
        <v>5970149</v>
      </c>
      <c r="K78" s="7">
        <v>18955223</v>
      </c>
      <c r="L78" s="8">
        <v>24</v>
      </c>
      <c r="M78" s="7">
        <v>79180</v>
      </c>
      <c r="N78" s="7">
        <v>50746268</v>
      </c>
      <c r="O78" s="7">
        <v>57442237</v>
      </c>
      <c r="P78" s="7">
        <v>57628372</v>
      </c>
      <c r="Q78" s="5" t="s">
        <v>606</v>
      </c>
      <c r="R78" s="5" t="s">
        <v>598</v>
      </c>
      <c r="S78" s="5" t="s">
        <v>616</v>
      </c>
      <c r="T78" s="5" t="s">
        <v>1390</v>
      </c>
      <c r="U78" s="5" t="s">
        <v>1971</v>
      </c>
      <c r="V78" s="5" t="s">
        <v>1972</v>
      </c>
      <c r="W78" s="5" t="s">
        <v>1973</v>
      </c>
      <c r="X78" s="5" t="s">
        <v>1974</v>
      </c>
      <c r="Y78" s="10"/>
      <c r="Z78" s="5" t="s">
        <v>1973</v>
      </c>
      <c r="AA78" s="5"/>
      <c r="AB78" s="5" t="s">
        <v>1975</v>
      </c>
      <c r="AC78" s="62">
        <v>6.9</v>
      </c>
    </row>
    <row r="79" spans="1:29" hidden="1">
      <c r="A79" s="4">
        <v>2018</v>
      </c>
      <c r="B79" s="4" t="s">
        <v>44</v>
      </c>
      <c r="C79" s="3">
        <f t="shared" si="1"/>
        <v>78</v>
      </c>
      <c r="D79" s="55" t="s">
        <v>824</v>
      </c>
      <c r="E79" s="3" t="s">
        <v>824</v>
      </c>
      <c r="F79" s="5" t="s">
        <v>386</v>
      </c>
      <c r="G79" s="5" t="s">
        <v>626</v>
      </c>
      <c r="H79" s="5" t="s">
        <v>127</v>
      </c>
      <c r="I79" s="7">
        <v>11940298</v>
      </c>
      <c r="J79" s="7">
        <v>2985074</v>
      </c>
      <c r="K79" s="7">
        <v>11985074</v>
      </c>
      <c r="L79" s="8">
        <v>27</v>
      </c>
      <c r="M79" s="7">
        <v>57713</v>
      </c>
      <c r="N79" s="7">
        <v>32238805</v>
      </c>
      <c r="O79" s="7">
        <v>36895078</v>
      </c>
      <c r="P79" s="7">
        <v>37013430</v>
      </c>
      <c r="Q79" s="5" t="s">
        <v>606</v>
      </c>
      <c r="R79" s="5" t="s">
        <v>598</v>
      </c>
      <c r="S79" s="5" t="s">
        <v>616</v>
      </c>
      <c r="T79" s="5" t="s">
        <v>1390</v>
      </c>
      <c r="U79" s="5" t="s">
        <v>1976</v>
      </c>
      <c r="V79" s="5" t="s">
        <v>1977</v>
      </c>
      <c r="W79" s="5" t="s">
        <v>1978</v>
      </c>
      <c r="X79" s="5" t="s">
        <v>1979</v>
      </c>
      <c r="Y79" s="10"/>
      <c r="Z79" s="5" t="s">
        <v>1980</v>
      </c>
      <c r="AA79" s="5"/>
      <c r="AB79" s="5" t="s">
        <v>1981</v>
      </c>
      <c r="AC79" s="62">
        <v>8.9</v>
      </c>
    </row>
    <row r="80" spans="1:29" hidden="1">
      <c r="A80" s="4">
        <v>2018</v>
      </c>
      <c r="B80" s="4" t="s">
        <v>44</v>
      </c>
      <c r="C80" s="3">
        <f t="shared" si="1"/>
        <v>79</v>
      </c>
      <c r="D80" s="55" t="s">
        <v>825</v>
      </c>
      <c r="E80" s="3" t="s">
        <v>825</v>
      </c>
      <c r="F80" s="5" t="s">
        <v>406</v>
      </c>
      <c r="G80" s="5" t="s">
        <v>626</v>
      </c>
      <c r="H80" s="5" t="s">
        <v>129</v>
      </c>
      <c r="I80" s="7">
        <v>8955223</v>
      </c>
      <c r="J80" s="7">
        <v>3731343</v>
      </c>
      <c r="K80" s="7">
        <v>3491044</v>
      </c>
      <c r="L80" s="8">
        <v>12</v>
      </c>
      <c r="M80" s="7">
        <v>35015</v>
      </c>
      <c r="N80" s="7">
        <v>9485074</v>
      </c>
      <c r="O80" s="7">
        <v>10295882</v>
      </c>
      <c r="P80" s="7">
        <v>10381054</v>
      </c>
      <c r="Q80" s="5" t="s">
        <v>606</v>
      </c>
      <c r="R80" s="5" t="s">
        <v>598</v>
      </c>
      <c r="S80" s="5" t="s">
        <v>616</v>
      </c>
      <c r="T80" s="5" t="s">
        <v>1390</v>
      </c>
      <c r="U80" s="5" t="s">
        <v>1982</v>
      </c>
      <c r="V80" s="5" t="s">
        <v>1983</v>
      </c>
      <c r="W80" s="5" t="s">
        <v>1984</v>
      </c>
      <c r="X80" s="5" t="s">
        <v>1985</v>
      </c>
      <c r="Y80" s="10"/>
      <c r="Z80" s="5" t="s">
        <v>1986</v>
      </c>
      <c r="AA80" s="5"/>
      <c r="AB80" s="5" t="s">
        <v>1948</v>
      </c>
      <c r="AC80" s="62">
        <v>7.8</v>
      </c>
    </row>
    <row r="81" spans="1:29" hidden="1">
      <c r="A81" s="4">
        <v>2018</v>
      </c>
      <c r="B81" s="4" t="s">
        <v>44</v>
      </c>
      <c r="C81" s="3">
        <f t="shared" si="1"/>
        <v>80</v>
      </c>
      <c r="D81" s="55" t="s">
        <v>828</v>
      </c>
      <c r="E81" s="3" t="s">
        <v>828</v>
      </c>
      <c r="F81" s="5" t="s">
        <v>407</v>
      </c>
      <c r="G81" s="5" t="s">
        <v>601</v>
      </c>
      <c r="H81" s="5" t="s">
        <v>136</v>
      </c>
      <c r="I81" s="7">
        <v>7462686</v>
      </c>
      <c r="J81" s="7">
        <v>2238805</v>
      </c>
      <c r="K81" s="7">
        <v>3332835</v>
      </c>
      <c r="L81" s="41">
        <v>55966</v>
      </c>
      <c r="M81" s="42">
        <v>7740000</v>
      </c>
      <c r="N81" s="7">
        <v>9061194</v>
      </c>
      <c r="O81" s="7">
        <v>10244720</v>
      </c>
      <c r="P81" s="7">
        <v>10281835</v>
      </c>
      <c r="Q81" s="5" t="s">
        <v>606</v>
      </c>
      <c r="R81" s="5" t="s">
        <v>598</v>
      </c>
      <c r="S81" s="5" t="s">
        <v>616</v>
      </c>
      <c r="T81" s="5" t="s">
        <v>1390</v>
      </c>
      <c r="U81" s="5" t="s">
        <v>1987</v>
      </c>
      <c r="V81" s="39" t="s">
        <v>1988</v>
      </c>
      <c r="W81" s="5" t="s">
        <v>1921</v>
      </c>
      <c r="X81" s="5" t="s">
        <v>1989</v>
      </c>
      <c r="Y81" s="10"/>
      <c r="Z81" s="5" t="s">
        <v>1990</v>
      </c>
      <c r="AA81" s="5"/>
      <c r="AB81" s="5" t="s">
        <v>1991</v>
      </c>
      <c r="AC81" s="62">
        <v>6.6</v>
      </c>
    </row>
    <row r="82" spans="1:29" hidden="1">
      <c r="A82" s="4">
        <v>2018</v>
      </c>
      <c r="B82" s="4" t="s">
        <v>44</v>
      </c>
      <c r="C82" s="3">
        <f t="shared" si="1"/>
        <v>81</v>
      </c>
      <c r="D82" s="55" t="s">
        <v>835</v>
      </c>
      <c r="E82" s="22" t="s">
        <v>835</v>
      </c>
      <c r="F82" s="5" t="s">
        <v>836</v>
      </c>
      <c r="G82" s="5" t="s">
        <v>626</v>
      </c>
      <c r="H82" s="39" t="s">
        <v>136</v>
      </c>
      <c r="I82" s="7">
        <v>2985074.6268656715</v>
      </c>
      <c r="J82" s="7">
        <v>746268.65671641787</v>
      </c>
      <c r="K82" s="7">
        <v>410447.76119402982</v>
      </c>
      <c r="L82" s="41" t="s">
        <v>1501</v>
      </c>
      <c r="M82" s="7">
        <v>1012175</v>
      </c>
      <c r="N82" s="7">
        <v>13331</v>
      </c>
      <c r="O82" s="42">
        <v>1264734</v>
      </c>
      <c r="P82" s="42">
        <v>1278065</v>
      </c>
      <c r="Q82" s="39" t="s">
        <v>1399</v>
      </c>
      <c r="R82" s="39" t="s">
        <v>598</v>
      </c>
      <c r="S82" s="39" t="s">
        <v>616</v>
      </c>
      <c r="T82" s="6" t="s">
        <v>1390</v>
      </c>
      <c r="U82" s="5" t="s">
        <v>1992</v>
      </c>
      <c r="V82" s="5" t="s">
        <v>1993</v>
      </c>
      <c r="W82" s="5" t="s">
        <v>1994</v>
      </c>
      <c r="X82" s="5" t="s">
        <v>1646</v>
      </c>
      <c r="Y82" s="10"/>
      <c r="Z82" s="5" t="s">
        <v>1995</v>
      </c>
      <c r="AA82" s="5"/>
      <c r="AB82" s="5" t="s">
        <v>1996</v>
      </c>
      <c r="AC82" s="62">
        <v>7</v>
      </c>
    </row>
    <row r="83" spans="1:29" hidden="1">
      <c r="A83" s="4">
        <v>2018</v>
      </c>
      <c r="B83" s="4" t="s">
        <v>44</v>
      </c>
      <c r="C83" s="3">
        <f t="shared" si="1"/>
        <v>82</v>
      </c>
      <c r="D83" s="55" t="s">
        <v>843</v>
      </c>
      <c r="E83" s="3" t="s">
        <v>843</v>
      </c>
      <c r="F83" s="5" t="s">
        <v>844</v>
      </c>
      <c r="G83" s="5" t="s">
        <v>1418</v>
      </c>
      <c r="H83" s="5" t="s">
        <v>129</v>
      </c>
      <c r="I83" s="7">
        <v>746268.65671641787</v>
      </c>
      <c r="J83" s="7">
        <v>298507.46268656716</v>
      </c>
      <c r="K83" s="7">
        <v>3353283.5820895522</v>
      </c>
      <c r="L83" s="8">
        <v>34254</v>
      </c>
      <c r="M83" s="7">
        <v>4210000</v>
      </c>
      <c r="N83" s="7">
        <v>9117611.940298507</v>
      </c>
      <c r="O83" s="7">
        <v>9796094</v>
      </c>
      <c r="P83" s="7">
        <v>9796094</v>
      </c>
      <c r="Q83" s="5" t="s">
        <v>606</v>
      </c>
      <c r="R83" s="5" t="s">
        <v>598</v>
      </c>
      <c r="S83" s="5" t="s">
        <v>616</v>
      </c>
      <c r="T83" s="5" t="s">
        <v>1406</v>
      </c>
      <c r="U83" s="5" t="s">
        <v>1997</v>
      </c>
      <c r="V83" s="5" t="s">
        <v>844</v>
      </c>
      <c r="W83" s="5" t="s">
        <v>1905</v>
      </c>
      <c r="X83" s="5" t="s">
        <v>1984</v>
      </c>
      <c r="Y83" s="5" t="s">
        <v>1998</v>
      </c>
      <c r="Z83" s="5" t="s">
        <v>1999</v>
      </c>
      <c r="AA83" s="5"/>
      <c r="AB83" s="5" t="s">
        <v>1981</v>
      </c>
      <c r="AC83" s="62">
        <v>8.4</v>
      </c>
    </row>
    <row r="84" spans="1:29" hidden="1">
      <c r="A84" s="4">
        <v>2018</v>
      </c>
      <c r="B84" s="4" t="s">
        <v>44</v>
      </c>
      <c r="C84" s="3">
        <f t="shared" si="1"/>
        <v>83</v>
      </c>
      <c r="D84" s="55" t="s">
        <v>848</v>
      </c>
      <c r="E84" s="3" t="s">
        <v>848</v>
      </c>
      <c r="F84" s="5" t="s">
        <v>849</v>
      </c>
      <c r="G84" s="5" t="s">
        <v>653</v>
      </c>
      <c r="H84" s="5" t="s">
        <v>131</v>
      </c>
      <c r="I84" s="7">
        <v>11940298</v>
      </c>
      <c r="J84" s="7">
        <v>2985074</v>
      </c>
      <c r="K84" s="7">
        <v>910447</v>
      </c>
      <c r="L84" s="8">
        <v>23262</v>
      </c>
      <c r="M84" s="7">
        <v>1519978</v>
      </c>
      <c r="N84" s="7">
        <v>2483582</v>
      </c>
      <c r="O84" s="7">
        <v>2669935</v>
      </c>
      <c r="P84" s="7">
        <v>2669935</v>
      </c>
      <c r="Q84" s="5" t="s">
        <v>606</v>
      </c>
      <c r="R84" s="5" t="s">
        <v>598</v>
      </c>
      <c r="S84" s="5" t="s">
        <v>616</v>
      </c>
      <c r="T84" s="5" t="s">
        <v>1406</v>
      </c>
      <c r="U84" s="5" t="s">
        <v>2000</v>
      </c>
      <c r="V84" s="5" t="s">
        <v>2001</v>
      </c>
      <c r="W84" s="5" t="s">
        <v>2002</v>
      </c>
      <c r="X84" s="5"/>
      <c r="Y84" s="10"/>
      <c r="Z84" s="5" t="s">
        <v>2003</v>
      </c>
      <c r="AA84" s="5"/>
      <c r="AB84" s="5" t="s">
        <v>2004</v>
      </c>
      <c r="AC84" s="62">
        <v>6.9</v>
      </c>
    </row>
    <row r="85" spans="1:29" hidden="1">
      <c r="A85" s="4">
        <v>2018</v>
      </c>
      <c r="B85" s="4" t="s">
        <v>44</v>
      </c>
      <c r="C85" s="3">
        <f t="shared" si="1"/>
        <v>84</v>
      </c>
      <c r="D85" s="55" t="s">
        <v>857</v>
      </c>
      <c r="E85" s="3" t="s">
        <v>857</v>
      </c>
      <c r="F85" s="5" t="s">
        <v>858</v>
      </c>
      <c r="G85" s="5" t="s">
        <v>1419</v>
      </c>
      <c r="H85" s="5" t="s">
        <v>129</v>
      </c>
      <c r="I85" s="7">
        <v>14925373.134328358</v>
      </c>
      <c r="J85" s="7">
        <v>4477611.940298507</v>
      </c>
      <c r="K85" s="7">
        <v>8174029.8507462684</v>
      </c>
      <c r="L85" s="41">
        <v>44310</v>
      </c>
      <c r="M85" s="42">
        <v>179845</v>
      </c>
      <c r="N85" s="7">
        <v>21940298.507462688</v>
      </c>
      <c r="O85" s="7">
        <v>22682660</v>
      </c>
      <c r="P85" s="7">
        <v>22682660</v>
      </c>
      <c r="Q85" s="5" t="s">
        <v>606</v>
      </c>
      <c r="R85" s="5" t="s">
        <v>598</v>
      </c>
      <c r="S85" s="5" t="s">
        <v>616</v>
      </c>
      <c r="T85" s="5" t="s">
        <v>1406</v>
      </c>
      <c r="U85" s="5" t="s">
        <v>2017</v>
      </c>
      <c r="V85" s="5" t="s">
        <v>2018</v>
      </c>
      <c r="W85" s="5" t="s">
        <v>1656</v>
      </c>
      <c r="X85" s="5" t="s">
        <v>2019</v>
      </c>
      <c r="Y85" s="10"/>
      <c r="Z85" s="5" t="s">
        <v>2020</v>
      </c>
      <c r="AA85" s="5" t="s">
        <v>2021</v>
      </c>
      <c r="AB85" s="5" t="s">
        <v>1991</v>
      </c>
      <c r="AC85" s="62">
        <v>8.6999999999999993</v>
      </c>
    </row>
    <row r="86" spans="1:29" hidden="1">
      <c r="A86" s="4">
        <v>2018</v>
      </c>
      <c r="B86" s="4" t="s">
        <v>44</v>
      </c>
      <c r="C86" s="3">
        <f t="shared" si="1"/>
        <v>85</v>
      </c>
      <c r="D86" s="55" t="s">
        <v>859</v>
      </c>
      <c r="E86" s="3" t="s">
        <v>2022</v>
      </c>
      <c r="F86" s="5" t="s">
        <v>860</v>
      </c>
      <c r="G86" s="5" t="s">
        <v>1420</v>
      </c>
      <c r="H86" s="5" t="s">
        <v>129</v>
      </c>
      <c r="I86" s="7">
        <v>29850746.268656716</v>
      </c>
      <c r="J86" s="7">
        <v>8955223.880597014</v>
      </c>
      <c r="K86" s="7">
        <v>37014925.37313433</v>
      </c>
      <c r="L86" s="41">
        <v>106873</v>
      </c>
      <c r="M86" s="42">
        <v>42160000</v>
      </c>
      <c r="N86" s="7">
        <v>97313432.835820898</v>
      </c>
      <c r="O86" s="7">
        <v>103651195</v>
      </c>
      <c r="P86" s="7">
        <v>103651195</v>
      </c>
      <c r="Q86" s="5" t="s">
        <v>666</v>
      </c>
      <c r="R86" s="5" t="s">
        <v>703</v>
      </c>
      <c r="S86" s="5" t="s">
        <v>603</v>
      </c>
      <c r="T86" s="5" t="s">
        <v>1406</v>
      </c>
      <c r="U86" s="5" t="s">
        <v>2023</v>
      </c>
      <c r="V86" s="5" t="s">
        <v>2024</v>
      </c>
      <c r="W86" s="5" t="s">
        <v>2025</v>
      </c>
      <c r="X86" s="5" t="s">
        <v>2026</v>
      </c>
      <c r="Y86" s="10"/>
      <c r="Z86" s="5" t="s">
        <v>2027</v>
      </c>
      <c r="AA86" s="5"/>
      <c r="AB86" s="5" t="s">
        <v>1911</v>
      </c>
      <c r="AC86" s="62">
        <v>7.7</v>
      </c>
    </row>
    <row r="87" spans="1:29" hidden="1">
      <c r="A87" s="4">
        <v>2018</v>
      </c>
      <c r="B87" s="4" t="s">
        <v>44</v>
      </c>
      <c r="C87" s="3">
        <f t="shared" si="1"/>
        <v>86</v>
      </c>
      <c r="D87" s="55" t="s">
        <v>813</v>
      </c>
      <c r="E87" s="3" t="s">
        <v>813</v>
      </c>
      <c r="F87" s="5" t="s">
        <v>412</v>
      </c>
      <c r="G87" s="5" t="s">
        <v>861</v>
      </c>
      <c r="H87" s="5" t="s">
        <v>129</v>
      </c>
      <c r="I87" s="7">
        <v>17910447</v>
      </c>
      <c r="J87" s="7">
        <v>2985074</v>
      </c>
      <c r="K87" s="7">
        <v>2579104</v>
      </c>
      <c r="L87" s="8">
        <v>55600</v>
      </c>
      <c r="M87" s="7">
        <v>6183665</v>
      </c>
      <c r="N87" s="7">
        <v>7029850</v>
      </c>
      <c r="O87" s="7">
        <v>7835554</v>
      </c>
      <c r="P87" s="7">
        <v>7835554</v>
      </c>
      <c r="Q87" s="5" t="s">
        <v>606</v>
      </c>
      <c r="R87" s="5" t="s">
        <v>598</v>
      </c>
      <c r="S87" s="5" t="s">
        <v>607</v>
      </c>
      <c r="T87" s="5" t="s">
        <v>1406</v>
      </c>
      <c r="U87" s="5" t="s">
        <v>2028</v>
      </c>
      <c r="V87" s="5" t="s">
        <v>412</v>
      </c>
      <c r="W87" s="5" t="s">
        <v>2029</v>
      </c>
      <c r="X87" s="5"/>
      <c r="Y87" s="10"/>
      <c r="Z87" s="5" t="s">
        <v>2030</v>
      </c>
      <c r="AA87" s="5"/>
      <c r="AB87" s="5" t="s">
        <v>861</v>
      </c>
      <c r="AC87" s="62">
        <v>7</v>
      </c>
    </row>
    <row r="88" spans="1:29" hidden="1">
      <c r="A88" s="4">
        <v>2018</v>
      </c>
      <c r="B88" s="4" t="s">
        <v>44</v>
      </c>
      <c r="C88" s="3">
        <f t="shared" si="1"/>
        <v>87</v>
      </c>
      <c r="D88" s="55" t="s">
        <v>862</v>
      </c>
      <c r="E88" s="3" t="s">
        <v>862</v>
      </c>
      <c r="F88" s="5" t="s">
        <v>469</v>
      </c>
      <c r="G88" s="5" t="s">
        <v>764</v>
      </c>
      <c r="H88" s="5" t="s">
        <v>129</v>
      </c>
      <c r="I88" s="7">
        <v>65000000</v>
      </c>
      <c r="J88" s="57"/>
      <c r="K88" s="7"/>
      <c r="L88" s="41" t="s">
        <v>1501</v>
      </c>
      <c r="M88" s="41" t="s">
        <v>1501</v>
      </c>
      <c r="N88" s="7"/>
      <c r="O88" s="7">
        <v>516279</v>
      </c>
      <c r="P88" s="7">
        <v>516279</v>
      </c>
      <c r="Q88" s="5" t="s">
        <v>606</v>
      </c>
      <c r="R88" s="5" t="s">
        <v>598</v>
      </c>
      <c r="S88" s="5" t="s">
        <v>658</v>
      </c>
      <c r="T88" s="5" t="s">
        <v>1394</v>
      </c>
      <c r="U88" s="39" t="s">
        <v>469</v>
      </c>
      <c r="V88" s="39" t="s">
        <v>469</v>
      </c>
      <c r="W88" s="39" t="s">
        <v>2031</v>
      </c>
      <c r="X88" s="39" t="s">
        <v>2032</v>
      </c>
      <c r="Y88" s="50" t="s">
        <v>2033</v>
      </c>
      <c r="Z88" s="39" t="s">
        <v>2034</v>
      </c>
      <c r="AA88" s="5"/>
      <c r="AB88" s="39" t="s">
        <v>2035</v>
      </c>
      <c r="AC88" s="63" t="s">
        <v>1665</v>
      </c>
    </row>
    <row r="89" spans="1:29" hidden="1">
      <c r="A89" s="4">
        <v>2018</v>
      </c>
      <c r="B89" s="4" t="s">
        <v>44</v>
      </c>
      <c r="C89" s="3">
        <f t="shared" si="1"/>
        <v>88</v>
      </c>
      <c r="D89" s="55" t="s">
        <v>863</v>
      </c>
      <c r="E89" s="3" t="s">
        <v>863</v>
      </c>
      <c r="F89" s="5" t="s">
        <v>864</v>
      </c>
      <c r="G89" s="5" t="s">
        <v>596</v>
      </c>
      <c r="H89" s="5" t="s">
        <v>131</v>
      </c>
      <c r="I89" s="7">
        <v>746268</v>
      </c>
      <c r="J89" s="7">
        <v>447761</v>
      </c>
      <c r="K89" s="7">
        <v>1123880</v>
      </c>
      <c r="L89" s="8">
        <v>13309</v>
      </c>
      <c r="M89" s="7">
        <v>1920000</v>
      </c>
      <c r="N89" s="7">
        <v>3065671</v>
      </c>
      <c r="O89" s="7">
        <v>3375245</v>
      </c>
      <c r="P89" s="7">
        <v>3375245</v>
      </c>
      <c r="Q89" s="5" t="s">
        <v>606</v>
      </c>
      <c r="R89" s="5" t="s">
        <v>598</v>
      </c>
      <c r="S89" s="5" t="s">
        <v>616</v>
      </c>
      <c r="T89" s="5" t="s">
        <v>1406</v>
      </c>
      <c r="U89" s="5" t="s">
        <v>2036</v>
      </c>
      <c r="V89" s="5" t="s">
        <v>2037</v>
      </c>
      <c r="W89" s="5" t="s">
        <v>2031</v>
      </c>
      <c r="X89" s="5" t="s">
        <v>2038</v>
      </c>
      <c r="Y89" s="10" t="s">
        <v>2033</v>
      </c>
      <c r="Z89" s="5" t="s">
        <v>2039</v>
      </c>
      <c r="AA89" s="5"/>
      <c r="AB89" s="5" t="s">
        <v>1991</v>
      </c>
      <c r="AC89" s="62">
        <v>8</v>
      </c>
    </row>
    <row r="90" spans="1:29" hidden="1">
      <c r="A90" s="4">
        <v>2018</v>
      </c>
      <c r="B90" s="4" t="s">
        <v>44</v>
      </c>
      <c r="C90" s="3">
        <f t="shared" si="1"/>
        <v>89</v>
      </c>
      <c r="D90" s="55" t="s">
        <v>874</v>
      </c>
      <c r="E90" s="3" t="s">
        <v>2040</v>
      </c>
      <c r="F90" s="5" t="s">
        <v>875</v>
      </c>
      <c r="G90" s="5" t="s">
        <v>1408</v>
      </c>
      <c r="H90" s="5" t="s">
        <v>129</v>
      </c>
      <c r="I90" s="7">
        <v>14925373</v>
      </c>
      <c r="J90" s="7">
        <v>7462686</v>
      </c>
      <c r="K90" s="7">
        <v>27462686</v>
      </c>
      <c r="L90" s="8">
        <v>73896</v>
      </c>
      <c r="M90" s="7">
        <v>32200000</v>
      </c>
      <c r="N90" s="7">
        <v>72537313</v>
      </c>
      <c r="O90" s="7">
        <v>79214896</v>
      </c>
      <c r="P90" s="7">
        <v>79214896</v>
      </c>
      <c r="Q90" s="5" t="s">
        <v>606</v>
      </c>
      <c r="R90" s="5" t="s">
        <v>598</v>
      </c>
      <c r="S90" s="5" t="s">
        <v>616</v>
      </c>
      <c r="T90" s="5" t="s">
        <v>1406</v>
      </c>
      <c r="U90" s="5" t="s">
        <v>2041</v>
      </c>
      <c r="V90" s="5" t="s">
        <v>2042</v>
      </c>
      <c r="W90" s="5" t="s">
        <v>1646</v>
      </c>
      <c r="X90" s="5"/>
      <c r="Y90" s="10"/>
      <c r="Z90" s="5" t="s">
        <v>1879</v>
      </c>
      <c r="AA90" s="5"/>
      <c r="AB90" s="5" t="s">
        <v>1888</v>
      </c>
      <c r="AC90" s="62">
        <v>8.5</v>
      </c>
    </row>
    <row r="91" spans="1:29" hidden="1">
      <c r="A91" s="4">
        <v>2018</v>
      </c>
      <c r="B91" s="4" t="s">
        <v>44</v>
      </c>
      <c r="C91" s="3">
        <f t="shared" si="1"/>
        <v>90</v>
      </c>
      <c r="D91" s="55" t="s">
        <v>880</v>
      </c>
      <c r="E91" s="3" t="s">
        <v>880</v>
      </c>
      <c r="F91" s="5" t="s">
        <v>881</v>
      </c>
      <c r="G91" s="5" t="s">
        <v>1418</v>
      </c>
      <c r="H91" s="5" t="s">
        <v>154</v>
      </c>
      <c r="I91" s="7">
        <v>14925373</v>
      </c>
      <c r="J91" s="7">
        <v>7462686</v>
      </c>
      <c r="K91" s="7">
        <v>11764179</v>
      </c>
      <c r="L91" s="8">
        <v>76993</v>
      </c>
      <c r="M91" s="7">
        <v>21549210</v>
      </c>
      <c r="N91" s="7">
        <v>31492537</v>
      </c>
      <c r="O91" s="7">
        <v>35045171</v>
      </c>
      <c r="P91" s="7">
        <v>35045171</v>
      </c>
      <c r="Q91" s="5" t="s">
        <v>602</v>
      </c>
      <c r="R91" s="5" t="s">
        <v>598</v>
      </c>
      <c r="S91" s="5" t="s">
        <v>616</v>
      </c>
      <c r="T91" s="5" t="s">
        <v>1406</v>
      </c>
      <c r="U91" s="5" t="s">
        <v>2043</v>
      </c>
      <c r="V91" s="5" t="s">
        <v>2044</v>
      </c>
      <c r="W91" s="5" t="s">
        <v>2045</v>
      </c>
      <c r="X91" s="5" t="s">
        <v>2046</v>
      </c>
      <c r="Y91" s="10"/>
      <c r="Z91" s="5" t="s">
        <v>2047</v>
      </c>
      <c r="AA91" s="5"/>
      <c r="AB91" s="5" t="s">
        <v>2048</v>
      </c>
      <c r="AC91" s="62">
        <v>8.6999999999999993</v>
      </c>
    </row>
    <row r="92" spans="1:29" hidden="1">
      <c r="A92" s="4">
        <v>2018</v>
      </c>
      <c r="B92" s="4" t="s">
        <v>44</v>
      </c>
      <c r="C92" s="3">
        <f t="shared" si="1"/>
        <v>91</v>
      </c>
      <c r="D92" s="55" t="s">
        <v>882</v>
      </c>
      <c r="E92" s="3" t="s">
        <v>824</v>
      </c>
      <c r="F92" s="5" t="s">
        <v>423</v>
      </c>
      <c r="G92" s="5" t="s">
        <v>1421</v>
      </c>
      <c r="H92" s="5" t="s">
        <v>127</v>
      </c>
      <c r="I92" s="7">
        <v>2985074.6268656715</v>
      </c>
      <c r="J92" s="7">
        <v>746268.65671641787</v>
      </c>
      <c r="K92" s="7">
        <v>1417910.4477611941</v>
      </c>
      <c r="L92" s="8">
        <v>772</v>
      </c>
      <c r="M92" s="7">
        <v>192492</v>
      </c>
      <c r="N92" s="7">
        <v>3865671.6417910447</v>
      </c>
      <c r="O92" s="7">
        <v>4668484</v>
      </c>
      <c r="P92" s="7">
        <v>4668484</v>
      </c>
      <c r="Q92" s="5" t="s">
        <v>606</v>
      </c>
      <c r="R92" s="5" t="s">
        <v>631</v>
      </c>
      <c r="S92" s="5" t="s">
        <v>612</v>
      </c>
      <c r="T92" s="5" t="s">
        <v>1392</v>
      </c>
      <c r="U92" s="5" t="s">
        <v>2049</v>
      </c>
      <c r="V92" s="5" t="s">
        <v>488</v>
      </c>
      <c r="W92" s="5" t="s">
        <v>2050</v>
      </c>
      <c r="X92" s="5" t="s">
        <v>2051</v>
      </c>
      <c r="Y92" s="5" t="s">
        <v>2052</v>
      </c>
      <c r="Z92" s="5" t="s">
        <v>2053</v>
      </c>
      <c r="AA92" s="5"/>
      <c r="AB92" s="5" t="s">
        <v>2054</v>
      </c>
      <c r="AC92" s="62">
        <v>8.5</v>
      </c>
    </row>
    <row r="93" spans="1:29" hidden="1">
      <c r="A93" s="4">
        <v>2018</v>
      </c>
      <c r="B93" s="4" t="s">
        <v>44</v>
      </c>
      <c r="C93" s="3">
        <f t="shared" si="1"/>
        <v>92</v>
      </c>
      <c r="D93" s="55" t="s">
        <v>886</v>
      </c>
      <c r="E93" s="56" t="s">
        <v>2055</v>
      </c>
      <c r="F93" s="5" t="s">
        <v>891</v>
      </c>
      <c r="G93" s="39" t="s">
        <v>1501</v>
      </c>
      <c r="H93" s="5" t="s">
        <v>127</v>
      </c>
      <c r="I93" s="7">
        <v>1492537.3134328357</v>
      </c>
      <c r="J93" s="57" t="s">
        <v>1411</v>
      </c>
      <c r="K93" s="7">
        <v>298507.46268656716</v>
      </c>
      <c r="L93" s="8">
        <v>239</v>
      </c>
      <c r="M93" s="7">
        <v>283674</v>
      </c>
      <c r="N93" s="7">
        <v>746268.65671641787</v>
      </c>
      <c r="O93" s="7">
        <v>754959</v>
      </c>
      <c r="P93" s="7">
        <v>754959</v>
      </c>
      <c r="Q93" s="39" t="s">
        <v>606</v>
      </c>
      <c r="R93" s="5" t="s">
        <v>631</v>
      </c>
      <c r="S93" s="39" t="s">
        <v>612</v>
      </c>
      <c r="T93" s="5" t="s">
        <v>1406</v>
      </c>
      <c r="U93" s="5" t="s">
        <v>2056</v>
      </c>
      <c r="V93" s="5" t="s">
        <v>2057</v>
      </c>
      <c r="W93" s="39" t="s">
        <v>1411</v>
      </c>
      <c r="X93" s="5"/>
      <c r="Y93" s="5" t="s">
        <v>22</v>
      </c>
      <c r="Z93" s="5" t="s">
        <v>2058</v>
      </c>
      <c r="AA93" s="5"/>
      <c r="AB93" s="5" t="s">
        <v>2059</v>
      </c>
      <c r="AC93" s="62">
        <v>8</v>
      </c>
    </row>
    <row r="94" spans="1:29" hidden="1">
      <c r="A94" s="4">
        <v>2018</v>
      </c>
      <c r="B94" s="4" t="s">
        <v>44</v>
      </c>
      <c r="C94" s="3">
        <f t="shared" si="1"/>
        <v>93</v>
      </c>
      <c r="D94" s="55" t="s">
        <v>886</v>
      </c>
      <c r="E94" s="3" t="s">
        <v>2060</v>
      </c>
      <c r="F94" s="5" t="s">
        <v>906</v>
      </c>
      <c r="G94" s="5" t="s">
        <v>1422</v>
      </c>
      <c r="H94" s="5" t="s">
        <v>127</v>
      </c>
      <c r="I94" s="7">
        <v>1492537.3134328357</v>
      </c>
      <c r="J94" s="7">
        <v>746268.65671641787</v>
      </c>
      <c r="K94" s="7">
        <v>337313.43283582089</v>
      </c>
      <c r="L94" s="41" t="s">
        <v>1501</v>
      </c>
      <c r="M94" s="7">
        <v>101150</v>
      </c>
      <c r="N94" s="7">
        <v>917910.44776119397</v>
      </c>
      <c r="O94" s="7">
        <v>1021930</v>
      </c>
      <c r="P94" s="7">
        <v>1021930</v>
      </c>
      <c r="Q94" s="39" t="s">
        <v>606</v>
      </c>
      <c r="R94" s="5" t="s">
        <v>631</v>
      </c>
      <c r="S94" s="5" t="s">
        <v>599</v>
      </c>
      <c r="T94" s="5" t="s">
        <v>1406</v>
      </c>
      <c r="U94" s="5" t="s">
        <v>2061</v>
      </c>
      <c r="V94" s="5" t="s">
        <v>906</v>
      </c>
      <c r="W94" s="39" t="s">
        <v>1411</v>
      </c>
      <c r="X94" s="5"/>
      <c r="Y94" s="5"/>
      <c r="Z94" s="5" t="s">
        <v>2062</v>
      </c>
      <c r="AA94" s="5"/>
      <c r="AB94" s="5" t="s">
        <v>2063</v>
      </c>
      <c r="AC94" s="64">
        <v>6.8</v>
      </c>
    </row>
    <row r="95" spans="1:29" ht="15" hidden="1">
      <c r="A95" s="4">
        <v>2018</v>
      </c>
      <c r="B95" s="4" t="s">
        <v>44</v>
      </c>
      <c r="C95" s="3">
        <f t="shared" si="1"/>
        <v>94</v>
      </c>
      <c r="D95" s="55" t="s">
        <v>886</v>
      </c>
      <c r="E95" s="3" t="s">
        <v>2064</v>
      </c>
      <c r="F95" s="5" t="s">
        <v>919</v>
      </c>
      <c r="G95" s="5" t="s">
        <v>1422</v>
      </c>
      <c r="H95" s="39" t="s">
        <v>1402</v>
      </c>
      <c r="I95" s="7">
        <v>1492537.3134328357</v>
      </c>
      <c r="J95" s="7">
        <v>746268.65671641787</v>
      </c>
      <c r="K95" s="7">
        <v>1058208.9552238805</v>
      </c>
      <c r="L95" s="8">
        <v>20274</v>
      </c>
      <c r="M95" s="7">
        <v>2580000</v>
      </c>
      <c r="N95" s="7">
        <v>2883582.0895522386</v>
      </c>
      <c r="O95" s="7">
        <v>3161317</v>
      </c>
      <c r="P95" s="7">
        <v>3161317</v>
      </c>
      <c r="Q95" s="5" t="s">
        <v>606</v>
      </c>
      <c r="R95" s="5" t="s">
        <v>631</v>
      </c>
      <c r="S95" s="5" t="s">
        <v>612</v>
      </c>
      <c r="T95" s="5" t="s">
        <v>1406</v>
      </c>
      <c r="U95" s="45" t="s">
        <v>2065</v>
      </c>
      <c r="V95" s="5" t="s">
        <v>919</v>
      </c>
      <c r="W95" s="39" t="s">
        <v>1411</v>
      </c>
      <c r="X95" s="5"/>
      <c r="Y95" s="5"/>
      <c r="Z95" s="5" t="s">
        <v>2066</v>
      </c>
      <c r="AA95" s="5"/>
      <c r="AB95" s="5" t="s">
        <v>2067</v>
      </c>
      <c r="AC95" s="62">
        <v>7.9</v>
      </c>
    </row>
    <row r="96" spans="1:29" hidden="1">
      <c r="A96" s="4">
        <v>2019</v>
      </c>
      <c r="B96" s="4" t="s">
        <v>44</v>
      </c>
      <c r="C96" s="3">
        <f t="shared" si="1"/>
        <v>95</v>
      </c>
      <c r="D96" s="55" t="s">
        <v>886</v>
      </c>
      <c r="E96" s="3" t="s">
        <v>2068</v>
      </c>
      <c r="F96" s="5" t="s">
        <v>247</v>
      </c>
      <c r="G96" s="5" t="s">
        <v>1409</v>
      </c>
      <c r="H96" s="5" t="s">
        <v>191</v>
      </c>
      <c r="I96" s="7">
        <v>1492537.3134328357</v>
      </c>
      <c r="J96" s="57" t="s">
        <v>1411</v>
      </c>
      <c r="K96" s="7">
        <v>298507.46268656716</v>
      </c>
      <c r="L96" s="41" t="s">
        <v>1501</v>
      </c>
      <c r="M96" s="7">
        <v>67346</v>
      </c>
      <c r="N96" s="7">
        <v>1044776.1194029852</v>
      </c>
      <c r="O96" s="7">
        <v>1250000</v>
      </c>
      <c r="P96" s="7">
        <v>1250000</v>
      </c>
      <c r="Q96" s="5" t="s">
        <v>606</v>
      </c>
      <c r="R96" s="5" t="s">
        <v>598</v>
      </c>
      <c r="S96" s="5" t="s">
        <v>599</v>
      </c>
      <c r="T96" s="5" t="s">
        <v>1406</v>
      </c>
      <c r="U96" s="5" t="s">
        <v>2069</v>
      </c>
      <c r="V96" s="5" t="s">
        <v>247</v>
      </c>
      <c r="W96" s="39" t="s">
        <v>2070</v>
      </c>
      <c r="X96" s="39" t="s">
        <v>2071</v>
      </c>
      <c r="Y96" s="5"/>
      <c r="Z96" s="5" t="s">
        <v>2072</v>
      </c>
      <c r="AA96" s="5"/>
      <c r="AB96" s="5" t="s">
        <v>2073</v>
      </c>
      <c r="AC96" s="62">
        <v>9.1999999999999993</v>
      </c>
    </row>
    <row r="97" spans="1:29" hidden="1">
      <c r="A97" s="4">
        <v>2018</v>
      </c>
      <c r="B97" s="4" t="s">
        <v>44</v>
      </c>
      <c r="C97" s="3">
        <f t="shared" si="1"/>
        <v>96</v>
      </c>
      <c r="D97" s="55" t="s">
        <v>886</v>
      </c>
      <c r="E97" s="3" t="s">
        <v>2074</v>
      </c>
      <c r="F97" s="5" t="s">
        <v>456</v>
      </c>
      <c r="G97" s="5" t="s">
        <v>1423</v>
      </c>
      <c r="H97" s="5" t="s">
        <v>127</v>
      </c>
      <c r="I97" s="7">
        <v>2985074.6268656715</v>
      </c>
      <c r="J97" s="7">
        <v>1194029.8507462686</v>
      </c>
      <c r="K97" s="7">
        <v>243283.58208955222</v>
      </c>
      <c r="L97" s="8">
        <v>14704</v>
      </c>
      <c r="M97" s="7">
        <v>470000</v>
      </c>
      <c r="N97" s="7">
        <v>664179.10447761195</v>
      </c>
      <c r="O97" s="7">
        <v>726371</v>
      </c>
      <c r="P97" s="7">
        <v>726371</v>
      </c>
      <c r="Q97" s="5" t="s">
        <v>606</v>
      </c>
      <c r="R97" s="5" t="s">
        <v>631</v>
      </c>
      <c r="S97" s="5" t="s">
        <v>612</v>
      </c>
      <c r="T97" s="5" t="s">
        <v>1406</v>
      </c>
      <c r="U97" s="5" t="s">
        <v>2075</v>
      </c>
      <c r="V97" s="5" t="s">
        <v>456</v>
      </c>
      <c r="W97" s="5" t="s">
        <v>2076</v>
      </c>
      <c r="X97" s="5" t="s">
        <v>2077</v>
      </c>
      <c r="Y97" s="5" t="s">
        <v>2078</v>
      </c>
      <c r="Z97" s="5" t="s">
        <v>2079</v>
      </c>
      <c r="AA97" s="5"/>
      <c r="AB97" s="5" t="s">
        <v>2080</v>
      </c>
      <c r="AC97" s="62">
        <v>8</v>
      </c>
    </row>
    <row r="98" spans="1:29" hidden="1">
      <c r="A98" s="4">
        <v>2018</v>
      </c>
      <c r="B98" s="4" t="s">
        <v>44</v>
      </c>
      <c r="C98" s="3">
        <f t="shared" si="1"/>
        <v>97</v>
      </c>
      <c r="D98" s="55" t="s">
        <v>886</v>
      </c>
      <c r="E98" s="3" t="s">
        <v>832</v>
      </c>
      <c r="F98" s="5" t="s">
        <v>460</v>
      </c>
      <c r="G98" s="5" t="s">
        <v>1424</v>
      </c>
      <c r="H98" s="5" t="s">
        <v>1403</v>
      </c>
      <c r="I98" s="7">
        <v>1492537.3134328357</v>
      </c>
      <c r="J98" s="7">
        <v>1194029.8507462686</v>
      </c>
      <c r="K98" s="7">
        <v>228358.20895522388</v>
      </c>
      <c r="L98" s="8">
        <v>11527</v>
      </c>
      <c r="M98" s="7">
        <v>500000</v>
      </c>
      <c r="N98" s="7">
        <v>623880.59701492533</v>
      </c>
      <c r="O98" s="7">
        <v>688869</v>
      </c>
      <c r="P98" s="7">
        <v>688869</v>
      </c>
      <c r="Q98" s="39" t="s">
        <v>606</v>
      </c>
      <c r="R98" s="5" t="s">
        <v>598</v>
      </c>
      <c r="S98" s="5" t="s">
        <v>616</v>
      </c>
      <c r="T98" s="5" t="s">
        <v>1406</v>
      </c>
      <c r="U98" s="5" t="s">
        <v>2081</v>
      </c>
      <c r="V98" s="5" t="s">
        <v>460</v>
      </c>
      <c r="W98" s="5" t="s">
        <v>2082</v>
      </c>
      <c r="X98" s="5" t="s">
        <v>2083</v>
      </c>
      <c r="Y98" s="5"/>
      <c r="Z98" s="5" t="s">
        <v>2084</v>
      </c>
      <c r="AA98" s="5"/>
      <c r="AB98" s="5" t="s">
        <v>2085</v>
      </c>
      <c r="AC98" s="62">
        <v>7.6</v>
      </c>
    </row>
    <row r="99" spans="1:29" hidden="1">
      <c r="A99" s="4">
        <v>2019</v>
      </c>
      <c r="B99" s="4" t="s">
        <v>44</v>
      </c>
      <c r="C99" s="3">
        <f t="shared" si="1"/>
        <v>98</v>
      </c>
      <c r="D99" s="55" t="s">
        <v>886</v>
      </c>
      <c r="E99" s="3" t="s">
        <v>2086</v>
      </c>
      <c r="F99" s="5" t="s">
        <v>257</v>
      </c>
      <c r="G99" s="5" t="s">
        <v>1425</v>
      </c>
      <c r="H99" s="5" t="s">
        <v>193</v>
      </c>
      <c r="I99" s="7">
        <v>746268.65671641787</v>
      </c>
      <c r="J99" s="57" t="s">
        <v>1411</v>
      </c>
      <c r="K99" s="7">
        <v>298507.46268656716</v>
      </c>
      <c r="L99" s="41" t="s">
        <v>1501</v>
      </c>
      <c r="M99" s="7">
        <v>283109</v>
      </c>
      <c r="N99" s="7">
        <v>746268.65671641787</v>
      </c>
      <c r="O99" s="7">
        <v>787747</v>
      </c>
      <c r="P99" s="7">
        <v>787747</v>
      </c>
      <c r="Q99" s="5" t="s">
        <v>606</v>
      </c>
      <c r="R99" s="5" t="s">
        <v>703</v>
      </c>
      <c r="S99" s="5" t="s">
        <v>616</v>
      </c>
      <c r="T99" s="5" t="s">
        <v>1406</v>
      </c>
      <c r="U99" s="5" t="s">
        <v>2087</v>
      </c>
      <c r="V99" s="5" t="s">
        <v>2088</v>
      </c>
      <c r="W99" s="5" t="s">
        <v>2089</v>
      </c>
      <c r="X99" s="5" t="s">
        <v>2090</v>
      </c>
      <c r="Y99" s="5"/>
      <c r="Z99" s="5" t="s">
        <v>2091</v>
      </c>
      <c r="AA99" s="5"/>
      <c r="AB99" s="5" t="s">
        <v>2092</v>
      </c>
      <c r="AC99" s="62">
        <v>4.7</v>
      </c>
    </row>
    <row r="100" spans="1:29">
      <c r="A100" s="4">
        <v>2018</v>
      </c>
      <c r="B100" s="4" t="s">
        <v>44</v>
      </c>
      <c r="C100" s="3">
        <f t="shared" si="1"/>
        <v>99</v>
      </c>
      <c r="D100" s="55" t="s">
        <v>886</v>
      </c>
      <c r="E100" s="3" t="s">
        <v>832</v>
      </c>
      <c r="F100" s="5" t="s">
        <v>464</v>
      </c>
      <c r="G100" s="5" t="s">
        <v>1426</v>
      </c>
      <c r="H100" s="5" t="s">
        <v>131</v>
      </c>
      <c r="I100" s="7">
        <v>4477611.940298507</v>
      </c>
      <c r="J100" s="7">
        <v>2985074.6268656715</v>
      </c>
      <c r="K100" s="7">
        <v>208955.22388059701</v>
      </c>
      <c r="L100" s="41" t="s">
        <v>1501</v>
      </c>
      <c r="M100" s="42">
        <v>475952</v>
      </c>
      <c r="N100" s="7">
        <v>571641.7910447761</v>
      </c>
      <c r="O100" s="7">
        <v>625975</v>
      </c>
      <c r="P100" s="7">
        <v>625975</v>
      </c>
      <c r="Q100" s="39" t="s">
        <v>606</v>
      </c>
      <c r="R100" s="5" t="s">
        <v>598</v>
      </c>
      <c r="S100" s="6">
        <v>0</v>
      </c>
      <c r="T100" s="5" t="s">
        <v>1406</v>
      </c>
      <c r="U100" s="5" t="s">
        <v>2093</v>
      </c>
      <c r="V100" s="5" t="s">
        <v>2094</v>
      </c>
      <c r="W100" s="5" t="s">
        <v>2095</v>
      </c>
      <c r="X100" s="5"/>
      <c r="Y100" s="5"/>
      <c r="Z100" s="5" t="s">
        <v>2096</v>
      </c>
      <c r="AA100" s="5"/>
      <c r="AB100" s="5" t="s">
        <v>2097</v>
      </c>
      <c r="AC100" s="62">
        <v>7.1</v>
      </c>
    </row>
    <row r="101" spans="1:29" hidden="1">
      <c r="A101" s="4">
        <v>2019</v>
      </c>
      <c r="B101" s="4" t="s">
        <v>44</v>
      </c>
      <c r="C101" s="3">
        <f t="shared" si="1"/>
        <v>100</v>
      </c>
      <c r="D101" s="55" t="s">
        <v>886</v>
      </c>
      <c r="E101" s="3" t="s">
        <v>621</v>
      </c>
      <c r="F101" s="5" t="s">
        <v>244</v>
      </c>
      <c r="G101" s="39" t="s">
        <v>1501</v>
      </c>
      <c r="H101" s="5" t="s">
        <v>127</v>
      </c>
      <c r="I101" s="7">
        <v>1492537.3134328357</v>
      </c>
      <c r="J101" s="57" t="s">
        <v>1411</v>
      </c>
      <c r="K101" s="7">
        <v>597014.92537313432</v>
      </c>
      <c r="L101" s="8">
        <v>13290</v>
      </c>
      <c r="M101" s="7">
        <v>1000000</v>
      </c>
      <c r="N101" s="7">
        <v>1492537.3134328357</v>
      </c>
      <c r="O101" s="7">
        <v>1456558</v>
      </c>
      <c r="P101" s="7">
        <v>1456558</v>
      </c>
      <c r="Q101" s="5" t="s">
        <v>606</v>
      </c>
      <c r="R101" s="5" t="s">
        <v>631</v>
      </c>
      <c r="S101" s="5" t="s">
        <v>612</v>
      </c>
      <c r="T101" s="5" t="s">
        <v>1406</v>
      </c>
      <c r="U101" s="5" t="s">
        <v>2098</v>
      </c>
      <c r="V101" s="5" t="s">
        <v>244</v>
      </c>
      <c r="W101" s="5" t="s">
        <v>2099</v>
      </c>
      <c r="X101" s="5"/>
      <c r="Y101" s="5"/>
      <c r="Z101" s="5" t="s">
        <v>2100</v>
      </c>
      <c r="AA101" s="5"/>
      <c r="AB101" s="5" t="s">
        <v>2101</v>
      </c>
      <c r="AC101" s="62">
        <v>7.7</v>
      </c>
    </row>
    <row r="102" spans="1:29" hidden="1">
      <c r="A102" s="4">
        <v>2019</v>
      </c>
      <c r="B102" s="4" t="s">
        <v>44</v>
      </c>
      <c r="C102" s="3">
        <f t="shared" si="1"/>
        <v>101</v>
      </c>
      <c r="D102" s="55" t="s">
        <v>886</v>
      </c>
      <c r="E102" s="3" t="s">
        <v>2102</v>
      </c>
      <c r="F102" s="5" t="s">
        <v>184</v>
      </c>
      <c r="G102" s="5" t="s">
        <v>1410</v>
      </c>
      <c r="H102" s="5" t="s">
        <v>136</v>
      </c>
      <c r="I102" s="7">
        <v>15000000</v>
      </c>
      <c r="J102" s="57"/>
      <c r="K102" s="7">
        <v>3134328</v>
      </c>
      <c r="L102" s="8">
        <v>113484</v>
      </c>
      <c r="M102" s="7">
        <v>8370000</v>
      </c>
      <c r="N102" s="7">
        <v>9402985</v>
      </c>
      <c r="O102" s="7">
        <v>9345649</v>
      </c>
      <c r="P102" s="7">
        <v>9345649</v>
      </c>
      <c r="Q102" s="5" t="s">
        <v>606</v>
      </c>
      <c r="R102" s="5" t="s">
        <v>598</v>
      </c>
      <c r="S102" s="5" t="s">
        <v>616</v>
      </c>
      <c r="T102" s="5" t="s">
        <v>1406</v>
      </c>
      <c r="U102" s="5" t="s">
        <v>2103</v>
      </c>
      <c r="V102" s="5" t="s">
        <v>2104</v>
      </c>
      <c r="W102" s="5" t="s">
        <v>2105</v>
      </c>
      <c r="X102" s="5"/>
      <c r="Y102" s="5"/>
      <c r="Z102" s="5" t="s">
        <v>2106</v>
      </c>
      <c r="AA102" s="5"/>
      <c r="AB102" s="5" t="s">
        <v>1948</v>
      </c>
      <c r="AC102" s="62">
        <v>6.3</v>
      </c>
    </row>
    <row r="103" spans="1:29" hidden="1">
      <c r="A103" s="4">
        <v>2018</v>
      </c>
      <c r="B103" s="4" t="s">
        <v>44</v>
      </c>
      <c r="C103" s="3">
        <f t="shared" si="1"/>
        <v>102</v>
      </c>
      <c r="D103" s="55" t="s">
        <v>886</v>
      </c>
      <c r="E103" s="3" t="s">
        <v>623</v>
      </c>
      <c r="F103" s="5" t="s">
        <v>259</v>
      </c>
      <c r="G103" s="5" t="s">
        <v>1427</v>
      </c>
      <c r="H103" s="5" t="s">
        <v>131</v>
      </c>
      <c r="I103" s="7">
        <v>4477611.940298507</v>
      </c>
      <c r="J103" s="57" t="s">
        <v>1411</v>
      </c>
      <c r="K103" s="7">
        <v>298507.46268656716</v>
      </c>
      <c r="L103" s="41" t="s">
        <v>1501</v>
      </c>
      <c r="M103" s="7">
        <v>570216</v>
      </c>
      <c r="N103" s="7">
        <v>746268.65671641787</v>
      </c>
      <c r="O103" s="7">
        <v>738015</v>
      </c>
      <c r="P103" s="7">
        <v>738015</v>
      </c>
      <c r="Q103" s="5" t="s">
        <v>606</v>
      </c>
      <c r="R103" s="5" t="s">
        <v>598</v>
      </c>
      <c r="S103" s="5" t="s">
        <v>616</v>
      </c>
      <c r="T103" s="5" t="s">
        <v>1406</v>
      </c>
      <c r="U103" s="5" t="s">
        <v>2107</v>
      </c>
      <c r="V103" s="5" t="s">
        <v>2108</v>
      </c>
      <c r="W103" s="5" t="s">
        <v>2109</v>
      </c>
      <c r="X103" s="5" t="s">
        <v>2110</v>
      </c>
      <c r="Y103" s="5" t="s">
        <v>2111</v>
      </c>
      <c r="Z103" s="5" t="s">
        <v>2112</v>
      </c>
      <c r="AA103" s="5"/>
      <c r="AB103" s="5" t="s">
        <v>2113</v>
      </c>
      <c r="AC103" s="62">
        <v>7.8</v>
      </c>
    </row>
    <row r="104" spans="1:29" hidden="1">
      <c r="A104" s="4">
        <v>2019</v>
      </c>
      <c r="B104" s="4" t="s">
        <v>44</v>
      </c>
      <c r="C104" s="3">
        <f t="shared" si="1"/>
        <v>103</v>
      </c>
      <c r="D104" s="55" t="s">
        <v>886</v>
      </c>
      <c r="E104" s="3" t="s">
        <v>2114</v>
      </c>
      <c r="F104" s="5" t="s">
        <v>214</v>
      </c>
      <c r="G104" s="5" t="s">
        <v>1419</v>
      </c>
      <c r="H104" s="5" t="s">
        <v>131</v>
      </c>
      <c r="I104" s="7">
        <v>5970149.253731343</v>
      </c>
      <c r="J104" s="57" t="s">
        <v>1411</v>
      </c>
      <c r="K104" s="7">
        <v>1194029.8507462686</v>
      </c>
      <c r="L104" s="8">
        <v>73241</v>
      </c>
      <c r="M104" s="7">
        <v>2920000</v>
      </c>
      <c r="N104" s="7">
        <v>3432835.8208955224</v>
      </c>
      <c r="O104" s="7">
        <v>3493631</v>
      </c>
      <c r="P104" s="7">
        <v>3493631</v>
      </c>
      <c r="Q104" s="5" t="s">
        <v>606</v>
      </c>
      <c r="R104" s="5" t="s">
        <v>598</v>
      </c>
      <c r="S104" s="5" t="s">
        <v>616</v>
      </c>
      <c r="T104" s="5" t="s">
        <v>1406</v>
      </c>
      <c r="U104" s="5" t="s">
        <v>2115</v>
      </c>
      <c r="V104" s="5" t="s">
        <v>2116</v>
      </c>
      <c r="W104" s="5" t="s">
        <v>2117</v>
      </c>
      <c r="X104" s="5" t="s">
        <v>2118</v>
      </c>
      <c r="Y104" s="5"/>
      <c r="Z104" s="5" t="s">
        <v>2119</v>
      </c>
      <c r="AA104" s="5"/>
      <c r="AB104" s="5" t="s">
        <v>1948</v>
      </c>
      <c r="AC104" s="62">
        <v>7.7</v>
      </c>
    </row>
    <row r="105" spans="1:29" hidden="1">
      <c r="A105" s="4">
        <v>2018</v>
      </c>
      <c r="B105" s="4" t="s">
        <v>44</v>
      </c>
      <c r="C105" s="3">
        <f t="shared" si="1"/>
        <v>104</v>
      </c>
      <c r="D105" s="55" t="s">
        <v>886</v>
      </c>
      <c r="E105" s="56" t="s">
        <v>825</v>
      </c>
      <c r="F105" s="5" t="s">
        <v>363</v>
      </c>
      <c r="G105" s="5" t="s">
        <v>1428</v>
      </c>
      <c r="H105" s="5" t="s">
        <v>148</v>
      </c>
      <c r="I105" s="7">
        <v>11940298</v>
      </c>
      <c r="J105" s="7">
        <v>8955223</v>
      </c>
      <c r="K105" s="7">
        <v>73134328</v>
      </c>
      <c r="L105" s="8">
        <v>163093</v>
      </c>
      <c r="M105" s="7">
        <v>88210000</v>
      </c>
      <c r="N105" s="7">
        <v>189104477</v>
      </c>
      <c r="O105" s="7">
        <v>209221328</v>
      </c>
      <c r="P105" s="7">
        <v>209221328</v>
      </c>
      <c r="Q105" s="39" t="s">
        <v>606</v>
      </c>
      <c r="R105" s="5" t="s">
        <v>598</v>
      </c>
      <c r="S105" s="5" t="s">
        <v>616</v>
      </c>
      <c r="T105" s="5" t="s">
        <v>1406</v>
      </c>
      <c r="U105" s="5" t="s">
        <v>2120</v>
      </c>
      <c r="V105" s="5" t="s">
        <v>2121</v>
      </c>
      <c r="W105" s="5" t="s">
        <v>1963</v>
      </c>
      <c r="X105" s="5" t="s">
        <v>2122</v>
      </c>
      <c r="Y105" s="5"/>
      <c r="Z105" s="5" t="s">
        <v>2123</v>
      </c>
      <c r="AA105" s="5"/>
      <c r="AB105" s="5" t="s">
        <v>1420</v>
      </c>
      <c r="AC105" s="62">
        <v>8.3000000000000007</v>
      </c>
    </row>
    <row r="106" spans="1:29" hidden="1">
      <c r="A106" s="4">
        <v>2019</v>
      </c>
      <c r="B106" s="4" t="s">
        <v>44</v>
      </c>
      <c r="C106" s="3">
        <f t="shared" si="1"/>
        <v>105</v>
      </c>
      <c r="D106" s="55" t="s">
        <v>886</v>
      </c>
      <c r="E106" s="3" t="s">
        <v>2124</v>
      </c>
      <c r="F106" s="5" t="s">
        <v>149</v>
      </c>
      <c r="G106" s="5" t="s">
        <v>1429</v>
      </c>
      <c r="H106" s="5" t="s">
        <v>136</v>
      </c>
      <c r="I106" s="7">
        <v>4500000</v>
      </c>
      <c r="J106" s="57" t="s">
        <v>1411</v>
      </c>
      <c r="K106" s="7">
        <v>32835821</v>
      </c>
      <c r="L106" s="8">
        <v>2345</v>
      </c>
      <c r="M106" s="7">
        <v>12836295</v>
      </c>
      <c r="N106" s="7">
        <v>93134328</v>
      </c>
      <c r="O106" s="7">
        <v>92796952</v>
      </c>
      <c r="P106" s="7">
        <v>92796952</v>
      </c>
      <c r="Q106" s="5" t="s">
        <v>606</v>
      </c>
      <c r="R106" s="5" t="s">
        <v>598</v>
      </c>
      <c r="S106" s="5" t="s">
        <v>616</v>
      </c>
      <c r="T106" s="5" t="s">
        <v>1406</v>
      </c>
      <c r="U106" s="5" t="s">
        <v>2125</v>
      </c>
      <c r="V106" s="5" t="s">
        <v>2126</v>
      </c>
      <c r="W106" s="5" t="s">
        <v>1946</v>
      </c>
      <c r="X106" s="5" t="s">
        <v>2127</v>
      </c>
      <c r="Y106" s="5" t="s">
        <v>2128</v>
      </c>
      <c r="Z106" s="5" t="s">
        <v>2129</v>
      </c>
      <c r="AA106" s="5"/>
      <c r="AB106" s="5" t="s">
        <v>1417</v>
      </c>
      <c r="AC106" s="62">
        <v>8</v>
      </c>
    </row>
    <row r="107" spans="1:29" hidden="1">
      <c r="A107" s="4">
        <v>2018</v>
      </c>
      <c r="B107" s="4" t="s">
        <v>44</v>
      </c>
      <c r="C107" s="3">
        <f t="shared" si="1"/>
        <v>106</v>
      </c>
      <c r="D107" s="55" t="s">
        <v>886</v>
      </c>
      <c r="E107" s="56" t="s">
        <v>2114</v>
      </c>
      <c r="F107" s="5" t="s">
        <v>232</v>
      </c>
      <c r="G107" s="5" t="s">
        <v>1430</v>
      </c>
      <c r="H107" s="5" t="s">
        <v>136</v>
      </c>
      <c r="I107" s="7">
        <v>5970149.253731343</v>
      </c>
      <c r="J107" s="57" t="s">
        <v>1411</v>
      </c>
      <c r="K107" s="7">
        <v>895522.38805970142</v>
      </c>
      <c r="L107" s="8">
        <v>48798</v>
      </c>
      <c r="M107" s="7">
        <v>2190000</v>
      </c>
      <c r="N107" s="7">
        <v>2537313.4328358206</v>
      </c>
      <c r="O107" s="7">
        <v>2415054</v>
      </c>
      <c r="P107" s="7">
        <v>2415054</v>
      </c>
      <c r="Q107" s="5" t="s">
        <v>606</v>
      </c>
      <c r="R107" s="5" t="s">
        <v>598</v>
      </c>
      <c r="S107" s="5" t="s">
        <v>616</v>
      </c>
      <c r="T107" s="5" t="s">
        <v>1406</v>
      </c>
      <c r="U107" s="5" t="s">
        <v>2130</v>
      </c>
      <c r="V107" s="5" t="s">
        <v>2131</v>
      </c>
      <c r="W107" s="5" t="s">
        <v>1994</v>
      </c>
      <c r="X107" s="5" t="s">
        <v>2132</v>
      </c>
      <c r="Y107" s="5" t="s">
        <v>2133</v>
      </c>
      <c r="Z107" s="5" t="s">
        <v>1994</v>
      </c>
      <c r="AA107" s="5"/>
      <c r="AB107" s="5" t="s">
        <v>2134</v>
      </c>
      <c r="AC107" s="62">
        <v>6.2</v>
      </c>
    </row>
    <row r="108" spans="1:29">
      <c r="A108" s="4">
        <v>2019</v>
      </c>
      <c r="B108" s="4" t="s">
        <v>44</v>
      </c>
      <c r="C108" s="3">
        <f t="shared" si="1"/>
        <v>107</v>
      </c>
      <c r="D108" s="55" t="s">
        <v>886</v>
      </c>
      <c r="E108" s="3" t="s">
        <v>632</v>
      </c>
      <c r="F108" s="5" t="s">
        <v>194</v>
      </c>
      <c r="G108" s="5" t="s">
        <v>1431</v>
      </c>
      <c r="H108" s="5" t="s">
        <v>148</v>
      </c>
      <c r="I108" s="7">
        <v>17910447.761194028</v>
      </c>
      <c r="J108" s="57" t="s">
        <v>1411</v>
      </c>
      <c r="K108" s="7">
        <v>2537313.4328358206</v>
      </c>
      <c r="L108" s="8">
        <v>46956</v>
      </c>
      <c r="M108" s="7">
        <v>3960000</v>
      </c>
      <c r="N108" s="7">
        <v>7462686</v>
      </c>
      <c r="O108" s="7">
        <v>7322128</v>
      </c>
      <c r="P108" s="7">
        <v>7322128</v>
      </c>
      <c r="Q108" s="39" t="s">
        <v>606</v>
      </c>
      <c r="R108" s="5" t="s">
        <v>598</v>
      </c>
      <c r="S108" s="6">
        <v>0</v>
      </c>
      <c r="T108" s="5" t="s">
        <v>1406</v>
      </c>
      <c r="U108" s="5" t="s">
        <v>2135</v>
      </c>
      <c r="V108" s="5" t="s">
        <v>2136</v>
      </c>
      <c r="W108" s="5" t="s">
        <v>1962</v>
      </c>
      <c r="X108" s="5" t="s">
        <v>2137</v>
      </c>
      <c r="Y108" s="5"/>
      <c r="Z108" s="5" t="s">
        <v>2138</v>
      </c>
      <c r="AA108" s="5"/>
      <c r="AB108" s="5" t="s">
        <v>2139</v>
      </c>
      <c r="AC108" s="62">
        <v>8.4</v>
      </c>
    </row>
    <row r="109" spans="1:29" ht="15" hidden="1">
      <c r="A109" s="4">
        <v>2017</v>
      </c>
      <c r="B109" s="4" t="s">
        <v>44</v>
      </c>
      <c r="C109" s="3">
        <f t="shared" si="1"/>
        <v>108</v>
      </c>
      <c r="D109" s="55" t="s">
        <v>975</v>
      </c>
      <c r="E109" s="3" t="s">
        <v>1896</v>
      </c>
      <c r="F109" s="5" t="s">
        <v>976</v>
      </c>
      <c r="G109" s="5" t="s">
        <v>1433</v>
      </c>
      <c r="H109" s="5" t="s">
        <v>131</v>
      </c>
      <c r="I109" s="7">
        <v>11940298.507462686</v>
      </c>
      <c r="J109" s="7">
        <v>4477611.940298507</v>
      </c>
      <c r="K109" s="7">
        <v>1585074.6268656717</v>
      </c>
      <c r="L109" s="41">
        <v>29752</v>
      </c>
      <c r="M109" s="42">
        <v>1950000</v>
      </c>
      <c r="N109" s="7">
        <v>4322388.0597014921</v>
      </c>
      <c r="O109" s="7">
        <v>4447734</v>
      </c>
      <c r="P109" s="7">
        <v>4447734</v>
      </c>
      <c r="Q109" s="5" t="s">
        <v>606</v>
      </c>
      <c r="R109" s="5" t="s">
        <v>598</v>
      </c>
      <c r="S109" s="5" t="s">
        <v>658</v>
      </c>
      <c r="T109" s="5" t="s">
        <v>1406</v>
      </c>
      <c r="U109" s="5" t="s">
        <v>2143</v>
      </c>
      <c r="V109" s="5" t="s">
        <v>2144</v>
      </c>
      <c r="W109" s="5" t="s">
        <v>2014</v>
      </c>
      <c r="X109" s="5" t="s">
        <v>2145</v>
      </c>
      <c r="Y109" s="10"/>
      <c r="Z109" s="5" t="s">
        <v>2146</v>
      </c>
      <c r="AA109" s="5"/>
      <c r="AB109" s="5" t="s">
        <v>2147</v>
      </c>
      <c r="AC109" s="62">
        <v>8</v>
      </c>
    </row>
    <row r="110" spans="1:29" hidden="1">
      <c r="A110" s="4">
        <v>2018</v>
      </c>
      <c r="B110" s="4" t="s">
        <v>44</v>
      </c>
      <c r="C110" s="3">
        <f t="shared" si="1"/>
        <v>109</v>
      </c>
      <c r="D110" s="55" t="s">
        <v>886</v>
      </c>
      <c r="E110" s="3" t="s">
        <v>2148</v>
      </c>
      <c r="F110" s="5" t="s">
        <v>420</v>
      </c>
      <c r="G110" s="5" t="s">
        <v>1431</v>
      </c>
      <c r="H110" s="5" t="s">
        <v>1404</v>
      </c>
      <c r="I110" s="7">
        <v>19402985</v>
      </c>
      <c r="J110" s="7">
        <v>2238805</v>
      </c>
      <c r="K110" s="7">
        <v>1798507</v>
      </c>
      <c r="L110" s="8">
        <v>37064</v>
      </c>
      <c r="M110" s="7">
        <v>2817583</v>
      </c>
      <c r="N110" s="7">
        <v>4902985</v>
      </c>
      <c r="O110" s="7">
        <v>5483241</v>
      </c>
      <c r="P110" s="7">
        <v>5483241</v>
      </c>
      <c r="Q110" s="39" t="s">
        <v>606</v>
      </c>
      <c r="R110" s="5" t="s">
        <v>598</v>
      </c>
      <c r="S110" s="5" t="s">
        <v>616</v>
      </c>
      <c r="T110" s="5" t="s">
        <v>1406</v>
      </c>
      <c r="U110" s="5" t="s">
        <v>2149</v>
      </c>
      <c r="V110" s="5" t="s">
        <v>2150</v>
      </c>
      <c r="W110" s="5" t="s">
        <v>1860</v>
      </c>
      <c r="X110" s="5" t="s">
        <v>2151</v>
      </c>
      <c r="Y110" s="10"/>
      <c r="Z110" s="5" t="s">
        <v>1860</v>
      </c>
      <c r="AA110" s="5"/>
      <c r="AB110" s="5" t="s">
        <v>2152</v>
      </c>
      <c r="AC110" s="62">
        <v>7.2</v>
      </c>
    </row>
    <row r="111" spans="1:29" hidden="1">
      <c r="A111" s="4">
        <v>2018</v>
      </c>
      <c r="B111" s="4" t="s">
        <v>44</v>
      </c>
      <c r="C111" s="3">
        <f t="shared" si="1"/>
        <v>110</v>
      </c>
      <c r="D111" s="55" t="s">
        <v>886</v>
      </c>
      <c r="E111" s="3" t="s">
        <v>2153</v>
      </c>
      <c r="F111" s="5" t="s">
        <v>397</v>
      </c>
      <c r="G111" s="5" t="s">
        <v>1434</v>
      </c>
      <c r="H111" s="5" t="s">
        <v>136</v>
      </c>
      <c r="I111" s="7">
        <v>4477611</v>
      </c>
      <c r="J111" s="7">
        <v>1194029</v>
      </c>
      <c r="K111" s="7">
        <v>3940298</v>
      </c>
      <c r="L111" s="8">
        <v>53019</v>
      </c>
      <c r="M111" s="7">
        <v>7070000</v>
      </c>
      <c r="N111" s="7">
        <v>10680597</v>
      </c>
      <c r="O111" s="7">
        <v>14798770</v>
      </c>
      <c r="P111" s="7">
        <v>14798770</v>
      </c>
      <c r="Q111" s="5" t="s">
        <v>606</v>
      </c>
      <c r="R111" s="5" t="s">
        <v>598</v>
      </c>
      <c r="S111" s="5" t="s">
        <v>616</v>
      </c>
      <c r="T111" s="5" t="s">
        <v>1406</v>
      </c>
      <c r="U111" s="5" t="s">
        <v>2154</v>
      </c>
      <c r="V111" s="39" t="s">
        <v>2155</v>
      </c>
      <c r="W111" s="39" t="s">
        <v>2156</v>
      </c>
      <c r="X111" s="39" t="s">
        <v>2157</v>
      </c>
      <c r="Y111" s="39" t="s">
        <v>2158</v>
      </c>
      <c r="Z111" s="5" t="s">
        <v>2159</v>
      </c>
      <c r="AA111" s="5"/>
      <c r="AB111" s="39" t="s">
        <v>2160</v>
      </c>
      <c r="AC111" s="62">
        <v>7.2</v>
      </c>
    </row>
    <row r="112" spans="1:29" hidden="1">
      <c r="A112" s="4">
        <v>2019</v>
      </c>
      <c r="B112" s="4" t="s">
        <v>44</v>
      </c>
      <c r="C112" s="3">
        <f t="shared" si="1"/>
        <v>111</v>
      </c>
      <c r="D112" s="55" t="s">
        <v>886</v>
      </c>
      <c r="E112" s="3" t="s">
        <v>623</v>
      </c>
      <c r="F112" s="5" t="s">
        <v>252</v>
      </c>
      <c r="G112" s="5" t="s">
        <v>1435</v>
      </c>
      <c r="H112" s="5" t="s">
        <v>253</v>
      </c>
      <c r="I112" s="7">
        <v>7462686.5671641789</v>
      </c>
      <c r="J112" s="57" t="s">
        <v>1411</v>
      </c>
      <c r="K112" s="7">
        <v>447761.19402985071</v>
      </c>
      <c r="L112" s="41" t="s">
        <v>1501</v>
      </c>
      <c r="M112" s="7">
        <v>977147</v>
      </c>
      <c r="N112" s="7">
        <v>1044776.1194029852</v>
      </c>
      <c r="O112" s="7">
        <v>1106083</v>
      </c>
      <c r="P112" s="7">
        <v>1106083</v>
      </c>
      <c r="Q112" s="5" t="s">
        <v>606</v>
      </c>
      <c r="R112" s="5" t="s">
        <v>703</v>
      </c>
      <c r="S112" s="5" t="s">
        <v>603</v>
      </c>
      <c r="T112" s="5" t="s">
        <v>1406</v>
      </c>
      <c r="U112" s="5" t="s">
        <v>2161</v>
      </c>
      <c r="V112" s="5" t="s">
        <v>2162</v>
      </c>
      <c r="W112" s="5" t="s">
        <v>2163</v>
      </c>
      <c r="X112" s="5" t="s">
        <v>2164</v>
      </c>
      <c r="Y112" s="10"/>
      <c r="Z112" s="5" t="s">
        <v>2163</v>
      </c>
      <c r="AA112" s="5"/>
      <c r="AB112" s="5" t="s">
        <v>2165</v>
      </c>
      <c r="AC112" s="62">
        <v>5.9</v>
      </c>
    </row>
    <row r="113" spans="1:29" hidden="1">
      <c r="A113" s="4">
        <v>2019</v>
      </c>
      <c r="B113" s="4" t="s">
        <v>44</v>
      </c>
      <c r="C113" s="3">
        <f t="shared" si="1"/>
        <v>112</v>
      </c>
      <c r="D113" s="55" t="s">
        <v>886</v>
      </c>
      <c r="E113" s="3" t="s">
        <v>2166</v>
      </c>
      <c r="F113" s="5" t="s">
        <v>228</v>
      </c>
      <c r="G113" s="5" t="s">
        <v>1436</v>
      </c>
      <c r="H113" s="5" t="s">
        <v>136</v>
      </c>
      <c r="I113" s="7">
        <v>4477611.940298507</v>
      </c>
      <c r="J113" s="57" t="s">
        <v>1411</v>
      </c>
      <c r="K113" s="7">
        <v>895522.38805970142</v>
      </c>
      <c r="L113" s="8">
        <v>36411</v>
      </c>
      <c r="M113" s="7">
        <v>1800000</v>
      </c>
      <c r="N113" s="7">
        <v>2686567.1641791044</v>
      </c>
      <c r="O113" s="7">
        <v>2704326</v>
      </c>
      <c r="P113" s="7">
        <v>2704326</v>
      </c>
      <c r="Q113" s="5" t="s">
        <v>606</v>
      </c>
      <c r="R113" s="5" t="s">
        <v>598</v>
      </c>
      <c r="S113" s="5" t="s">
        <v>616</v>
      </c>
      <c r="T113" s="5" t="s">
        <v>1406</v>
      </c>
      <c r="U113" s="5" t="s">
        <v>2167</v>
      </c>
      <c r="V113" s="5" t="s">
        <v>2168</v>
      </c>
      <c r="W113" s="5" t="s">
        <v>2169</v>
      </c>
      <c r="X113" s="5" t="s">
        <v>2170</v>
      </c>
      <c r="Y113" s="10"/>
      <c r="Z113" s="5" t="s">
        <v>2171</v>
      </c>
      <c r="AA113" s="5"/>
      <c r="AB113" s="5" t="s">
        <v>2172</v>
      </c>
      <c r="AC113" s="62">
        <v>8.1999999999999993</v>
      </c>
    </row>
    <row r="114" spans="1:29" hidden="1">
      <c r="A114" s="4">
        <v>2018</v>
      </c>
      <c r="B114" s="4" t="s">
        <v>44</v>
      </c>
      <c r="C114" s="3">
        <f t="shared" si="1"/>
        <v>113</v>
      </c>
      <c r="D114" s="55" t="s">
        <v>886</v>
      </c>
      <c r="E114" s="22" t="s">
        <v>2173</v>
      </c>
      <c r="F114" s="5" t="s">
        <v>153</v>
      </c>
      <c r="G114" s="39" t="s">
        <v>2174</v>
      </c>
      <c r="H114" s="5" t="s">
        <v>1403</v>
      </c>
      <c r="I114" s="7">
        <v>7500000</v>
      </c>
      <c r="J114" s="57" t="s">
        <v>1411</v>
      </c>
      <c r="K114" s="7">
        <v>19552238</v>
      </c>
      <c r="L114" s="8">
        <v>71757</v>
      </c>
      <c r="M114" s="7">
        <v>860000</v>
      </c>
      <c r="N114" s="7">
        <v>56567164</v>
      </c>
      <c r="O114" s="7">
        <v>56040680</v>
      </c>
      <c r="P114" s="7">
        <v>56040680</v>
      </c>
      <c r="Q114" s="5" t="s">
        <v>606</v>
      </c>
      <c r="R114" s="5" t="s">
        <v>598</v>
      </c>
      <c r="S114" s="5" t="s">
        <v>616</v>
      </c>
      <c r="T114" s="5" t="s">
        <v>1406</v>
      </c>
      <c r="U114" s="5" t="s">
        <v>2175</v>
      </c>
      <c r="V114" s="5" t="s">
        <v>2176</v>
      </c>
      <c r="W114" s="5" t="s">
        <v>1984</v>
      </c>
      <c r="X114" s="5" t="s">
        <v>2177</v>
      </c>
      <c r="Y114" s="10"/>
      <c r="Z114" s="5" t="s">
        <v>2178</v>
      </c>
      <c r="AA114" s="5"/>
      <c r="AB114" s="5" t="s">
        <v>2179</v>
      </c>
      <c r="AC114" s="62">
        <v>9.1</v>
      </c>
    </row>
    <row r="115" spans="1:29" hidden="1">
      <c r="A115" s="4">
        <v>2019</v>
      </c>
      <c r="B115" s="4" t="s">
        <v>44</v>
      </c>
      <c r="C115" s="3">
        <f t="shared" si="1"/>
        <v>114</v>
      </c>
      <c r="D115" s="55" t="s">
        <v>886</v>
      </c>
      <c r="E115" s="46" t="s">
        <v>2180</v>
      </c>
      <c r="F115" s="5" t="s">
        <v>248</v>
      </c>
      <c r="G115" s="5" t="s">
        <v>1437</v>
      </c>
      <c r="H115" s="5" t="s">
        <v>191</v>
      </c>
      <c r="I115" s="7">
        <v>1492537.3134328357</v>
      </c>
      <c r="J115" s="57" t="s">
        <v>1411</v>
      </c>
      <c r="K115" s="7">
        <v>447761.19402985071</v>
      </c>
      <c r="L115" s="41" t="s">
        <v>1501</v>
      </c>
      <c r="M115" s="7">
        <v>283380</v>
      </c>
      <c r="N115" s="7">
        <v>11940298.507462686</v>
      </c>
      <c r="O115" s="7">
        <v>1196360</v>
      </c>
      <c r="P115" s="7">
        <v>1196360</v>
      </c>
      <c r="Q115" s="5" t="s">
        <v>606</v>
      </c>
      <c r="R115" s="5" t="s">
        <v>598</v>
      </c>
      <c r="S115" s="5" t="s">
        <v>599</v>
      </c>
      <c r="T115" s="5" t="s">
        <v>1406</v>
      </c>
      <c r="U115" s="5" t="s">
        <v>2181</v>
      </c>
      <c r="V115" s="5" t="s">
        <v>248</v>
      </c>
      <c r="W115" s="5" t="s">
        <v>2182</v>
      </c>
      <c r="X115" s="5"/>
      <c r="Y115" s="5"/>
      <c r="Z115" s="5" t="s">
        <v>2183</v>
      </c>
      <c r="AA115" s="5" t="s">
        <v>2184</v>
      </c>
      <c r="AB115" s="5" t="s">
        <v>2185</v>
      </c>
      <c r="AC115" s="62">
        <v>8.6</v>
      </c>
    </row>
    <row r="116" spans="1:29" hidden="1">
      <c r="A116" s="4">
        <v>2018</v>
      </c>
      <c r="B116" s="4" t="s">
        <v>44</v>
      </c>
      <c r="C116" s="3">
        <f t="shared" si="1"/>
        <v>115</v>
      </c>
      <c r="D116" s="55" t="s">
        <v>886</v>
      </c>
      <c r="E116" s="56" t="s">
        <v>832</v>
      </c>
      <c r="F116" s="5" t="s">
        <v>463</v>
      </c>
      <c r="G116" s="5" t="s">
        <v>1438</v>
      </c>
      <c r="H116" s="5" t="s">
        <v>131</v>
      </c>
      <c r="I116" s="7">
        <v>5970149.253731343</v>
      </c>
      <c r="J116" s="7">
        <v>1492537.3134328357</v>
      </c>
      <c r="K116" s="7">
        <v>211940.29850746269</v>
      </c>
      <c r="L116" s="41" t="s">
        <v>1501</v>
      </c>
      <c r="M116" s="7">
        <v>458375</v>
      </c>
      <c r="N116" s="7">
        <v>579104.47761194024</v>
      </c>
      <c r="O116" s="7">
        <v>630896</v>
      </c>
      <c r="P116" s="7">
        <v>630896</v>
      </c>
      <c r="Q116" s="39" t="s">
        <v>606</v>
      </c>
      <c r="R116" s="5" t="s">
        <v>598</v>
      </c>
      <c r="S116" s="5" t="s">
        <v>616</v>
      </c>
      <c r="T116" s="5" t="s">
        <v>1406</v>
      </c>
      <c r="U116" s="5" t="s">
        <v>2186</v>
      </c>
      <c r="V116" s="5" t="s">
        <v>2187</v>
      </c>
      <c r="W116" s="5" t="s">
        <v>2188</v>
      </c>
      <c r="X116" s="5" t="s">
        <v>1891</v>
      </c>
      <c r="Y116" s="5" t="s">
        <v>2189</v>
      </c>
      <c r="Z116" s="5" t="s">
        <v>2190</v>
      </c>
      <c r="AA116" s="5"/>
      <c r="AB116" s="5" t="s">
        <v>2191</v>
      </c>
      <c r="AC116" s="62">
        <v>6.7</v>
      </c>
    </row>
    <row r="117" spans="1:29" hidden="1">
      <c r="A117" s="4">
        <v>2018</v>
      </c>
      <c r="B117" s="4" t="s">
        <v>44</v>
      </c>
      <c r="C117" s="3">
        <f t="shared" si="1"/>
        <v>116</v>
      </c>
      <c r="D117" s="55" t="s">
        <v>886</v>
      </c>
      <c r="E117" s="56" t="s">
        <v>604</v>
      </c>
      <c r="F117" s="5" t="s">
        <v>137</v>
      </c>
      <c r="G117" s="5" t="s">
        <v>1431</v>
      </c>
      <c r="H117" s="5" t="s">
        <v>136</v>
      </c>
      <c r="I117" s="7">
        <v>53000000</v>
      </c>
      <c r="J117" s="7">
        <v>12000000</v>
      </c>
      <c r="K117" s="7">
        <v>92400000</v>
      </c>
      <c r="L117" s="8">
        <v>17182</v>
      </c>
      <c r="M117" s="7">
        <v>194917</v>
      </c>
      <c r="N117" s="7">
        <v>256119403</v>
      </c>
      <c r="O117" s="7">
        <v>255832826</v>
      </c>
      <c r="P117" s="7">
        <v>255832826</v>
      </c>
      <c r="Q117" s="5" t="s">
        <v>606</v>
      </c>
      <c r="R117" s="5" t="s">
        <v>598</v>
      </c>
      <c r="S117" s="5" t="s">
        <v>616</v>
      </c>
      <c r="T117" s="5" t="s">
        <v>1406</v>
      </c>
      <c r="U117" s="5" t="s">
        <v>2192</v>
      </c>
      <c r="V117" s="5" t="s">
        <v>2193</v>
      </c>
      <c r="W117" s="5" t="s">
        <v>1974</v>
      </c>
      <c r="X117" s="5" t="s">
        <v>1952</v>
      </c>
      <c r="Y117" s="5" t="s">
        <v>2194</v>
      </c>
      <c r="Z117" s="5" t="s">
        <v>2195</v>
      </c>
      <c r="AA117" s="5"/>
      <c r="AB117" s="5" t="s">
        <v>2196</v>
      </c>
      <c r="AC117" s="65">
        <v>8.8000000000000007</v>
      </c>
    </row>
    <row r="118" spans="1:29" hidden="1">
      <c r="A118" s="4">
        <v>2018</v>
      </c>
      <c r="B118" s="4" t="s">
        <v>44</v>
      </c>
      <c r="C118" s="3">
        <f t="shared" si="1"/>
        <v>117</v>
      </c>
      <c r="D118" s="55" t="s">
        <v>886</v>
      </c>
      <c r="E118" s="3" t="s">
        <v>2197</v>
      </c>
      <c r="F118" s="5" t="s">
        <v>461</v>
      </c>
      <c r="G118" s="5" t="s">
        <v>1439</v>
      </c>
      <c r="H118" s="5" t="s">
        <v>1405</v>
      </c>
      <c r="I118" s="7">
        <v>1492537.3134328357</v>
      </c>
      <c r="J118" s="7">
        <v>1194029.8507462686</v>
      </c>
      <c r="K118" s="7">
        <v>228358.20895522388</v>
      </c>
      <c r="L118" s="41" t="s">
        <v>1501</v>
      </c>
      <c r="M118" s="7">
        <v>2743</v>
      </c>
      <c r="N118" s="7">
        <v>623880.59701492533</v>
      </c>
      <c r="O118" s="7">
        <v>678553</v>
      </c>
      <c r="P118" s="7">
        <v>678553</v>
      </c>
      <c r="Q118" s="39" t="s">
        <v>597</v>
      </c>
      <c r="R118" s="5" t="s">
        <v>598</v>
      </c>
      <c r="S118" s="5" t="s">
        <v>599</v>
      </c>
      <c r="T118" s="5" t="s">
        <v>1406</v>
      </c>
      <c r="U118" s="5" t="s">
        <v>2198</v>
      </c>
      <c r="V118" s="5" t="s">
        <v>2199</v>
      </c>
      <c r="W118" s="5" t="s">
        <v>2200</v>
      </c>
      <c r="X118" s="5" t="s">
        <v>2201</v>
      </c>
      <c r="Y118" s="5"/>
      <c r="Z118" s="5" t="s">
        <v>2202</v>
      </c>
      <c r="AA118" s="5"/>
      <c r="AB118" s="5" t="s">
        <v>2203</v>
      </c>
      <c r="AC118" s="62">
        <v>8.1</v>
      </c>
    </row>
    <row r="119" spans="1:29" hidden="1">
      <c r="A119" s="4">
        <v>2019</v>
      </c>
      <c r="B119" s="4" t="s">
        <v>44</v>
      </c>
      <c r="C119" s="3">
        <f t="shared" si="1"/>
        <v>118</v>
      </c>
      <c r="D119" s="55" t="s">
        <v>886</v>
      </c>
      <c r="E119" s="46" t="s">
        <v>2204</v>
      </c>
      <c r="F119" s="5" t="s">
        <v>250</v>
      </c>
      <c r="G119" s="5" t="s">
        <v>1440</v>
      </c>
      <c r="H119" s="5" t="s">
        <v>1404</v>
      </c>
      <c r="I119" s="7">
        <v>13432835.820895523</v>
      </c>
      <c r="J119" s="57" t="s">
        <v>1411</v>
      </c>
      <c r="K119" s="7">
        <v>447761.19402985071</v>
      </c>
      <c r="L119" s="41" t="s">
        <v>1501</v>
      </c>
      <c r="M119" s="7">
        <v>794007</v>
      </c>
      <c r="N119" s="7">
        <v>1194029.8507462686</v>
      </c>
      <c r="O119" s="7">
        <v>1162914</v>
      </c>
      <c r="P119" s="7">
        <v>1162914</v>
      </c>
      <c r="Q119" s="5" t="s">
        <v>602</v>
      </c>
      <c r="R119" s="5" t="s">
        <v>598</v>
      </c>
      <c r="S119" s="5" t="s">
        <v>603</v>
      </c>
      <c r="T119" s="5" t="s">
        <v>1406</v>
      </c>
      <c r="U119" s="5" t="s">
        <v>2205</v>
      </c>
      <c r="V119" s="5" t="s">
        <v>2206</v>
      </c>
      <c r="W119" s="5" t="s">
        <v>2095</v>
      </c>
      <c r="X119" s="5" t="s">
        <v>2194</v>
      </c>
      <c r="Y119" s="5"/>
      <c r="Z119" s="5" t="s">
        <v>2207</v>
      </c>
      <c r="AA119" s="5"/>
      <c r="AB119" s="5" t="s">
        <v>2208</v>
      </c>
      <c r="AC119" s="62">
        <v>7</v>
      </c>
    </row>
    <row r="120" spans="1:29" hidden="1">
      <c r="A120" s="4">
        <v>2018</v>
      </c>
      <c r="B120" s="4" t="s">
        <v>44</v>
      </c>
      <c r="C120" s="3">
        <f t="shared" si="1"/>
        <v>119</v>
      </c>
      <c r="D120" s="55" t="s">
        <v>886</v>
      </c>
      <c r="E120" s="56" t="s">
        <v>2209</v>
      </c>
      <c r="F120" s="5" t="s">
        <v>419</v>
      </c>
      <c r="G120" s="39" t="s">
        <v>2210</v>
      </c>
      <c r="H120" s="5" t="s">
        <v>148</v>
      </c>
      <c r="I120" s="7">
        <v>4477611</v>
      </c>
      <c r="J120" s="7">
        <v>2238805</v>
      </c>
      <c r="K120" s="7">
        <v>1776119</v>
      </c>
      <c r="L120" s="8">
        <v>53482</v>
      </c>
      <c r="M120" s="7">
        <v>49372</v>
      </c>
      <c r="N120" s="7">
        <v>4843283</v>
      </c>
      <c r="O120" s="7">
        <v>5504562</v>
      </c>
      <c r="P120" s="7">
        <v>5504562</v>
      </c>
      <c r="Q120" s="5" t="s">
        <v>606</v>
      </c>
      <c r="R120" s="5" t="s">
        <v>598</v>
      </c>
      <c r="S120" s="5" t="s">
        <v>616</v>
      </c>
      <c r="T120" s="5" t="s">
        <v>1406</v>
      </c>
      <c r="U120" s="5" t="s">
        <v>2211</v>
      </c>
      <c r="V120" s="39" t="s">
        <v>2212</v>
      </c>
      <c r="W120" s="5" t="s">
        <v>2213</v>
      </c>
      <c r="X120" s="5" t="s">
        <v>2214</v>
      </c>
      <c r="Y120" s="39" t="s">
        <v>2215</v>
      </c>
      <c r="Z120" s="39" t="s">
        <v>2216</v>
      </c>
      <c r="AA120" s="5"/>
      <c r="AB120" s="39" t="s">
        <v>1585</v>
      </c>
      <c r="AC120" s="62">
        <v>8.4</v>
      </c>
    </row>
    <row r="121" spans="1:29" hidden="1">
      <c r="A121" s="4">
        <v>2019</v>
      </c>
      <c r="B121" s="4" t="s">
        <v>44</v>
      </c>
      <c r="C121" s="3">
        <f t="shared" si="1"/>
        <v>120</v>
      </c>
      <c r="D121" s="55" t="s">
        <v>886</v>
      </c>
      <c r="E121" s="3" t="s">
        <v>604</v>
      </c>
      <c r="F121" s="5" t="s">
        <v>135</v>
      </c>
      <c r="G121" s="5" t="s">
        <v>1441</v>
      </c>
      <c r="H121" s="5" t="s">
        <v>136</v>
      </c>
      <c r="I121" s="7">
        <v>60000000</v>
      </c>
      <c r="J121" s="7">
        <v>35000000</v>
      </c>
      <c r="K121" s="7">
        <v>118000000</v>
      </c>
      <c r="L121" s="8">
        <v>14545</v>
      </c>
      <c r="M121" s="7">
        <v>77099702</v>
      </c>
      <c r="N121" s="7">
        <v>328507643</v>
      </c>
      <c r="O121" s="7">
        <v>326150303</v>
      </c>
      <c r="P121" s="7">
        <v>326150303</v>
      </c>
      <c r="Q121" s="5" t="s">
        <v>606</v>
      </c>
      <c r="R121" s="5" t="s">
        <v>703</v>
      </c>
      <c r="S121" s="5" t="s">
        <v>704</v>
      </c>
      <c r="T121" s="5" t="s">
        <v>1406</v>
      </c>
      <c r="U121" s="5" t="s">
        <v>2217</v>
      </c>
      <c r="V121" s="5" t="s">
        <v>2218</v>
      </c>
      <c r="W121" s="5" t="s">
        <v>2219</v>
      </c>
      <c r="X121" s="5" t="s">
        <v>1974</v>
      </c>
      <c r="Y121" s="5" t="s">
        <v>2220</v>
      </c>
      <c r="Z121" s="5" t="s">
        <v>2221</v>
      </c>
      <c r="AA121" s="5"/>
      <c r="AB121" s="5" t="s">
        <v>2222</v>
      </c>
      <c r="AC121" s="65">
        <v>8.5</v>
      </c>
    </row>
    <row r="122" spans="1:29" hidden="1">
      <c r="A122" s="4">
        <v>2018</v>
      </c>
      <c r="B122" s="4" t="s">
        <v>44</v>
      </c>
      <c r="C122" s="3">
        <f t="shared" si="1"/>
        <v>121</v>
      </c>
      <c r="D122" s="55" t="s">
        <v>886</v>
      </c>
      <c r="E122" s="3" t="s">
        <v>600</v>
      </c>
      <c r="F122" s="5" t="s">
        <v>143</v>
      </c>
      <c r="G122" s="5" t="s">
        <v>1442</v>
      </c>
      <c r="H122" s="5" t="s">
        <v>129</v>
      </c>
      <c r="I122" s="7">
        <v>15000000</v>
      </c>
      <c r="J122" s="57" t="s">
        <v>1411</v>
      </c>
      <c r="K122" s="7">
        <v>41641791</v>
      </c>
      <c r="L122" s="8">
        <v>109664</v>
      </c>
      <c r="M122" s="7">
        <v>39881317</v>
      </c>
      <c r="N122" s="7">
        <v>118656716</v>
      </c>
      <c r="O122" s="7">
        <v>115687407</v>
      </c>
      <c r="P122" s="7">
        <v>115687407</v>
      </c>
      <c r="Q122" s="5" t="s">
        <v>606</v>
      </c>
      <c r="R122" s="5" t="s">
        <v>598</v>
      </c>
      <c r="S122" s="5" t="s">
        <v>616</v>
      </c>
      <c r="T122" s="5" t="s">
        <v>1406</v>
      </c>
      <c r="U122" s="5" t="s">
        <v>2223</v>
      </c>
      <c r="V122" s="5" t="s">
        <v>2224</v>
      </c>
      <c r="W122" s="5" t="s">
        <v>1646</v>
      </c>
      <c r="X122" s="5" t="s">
        <v>2225</v>
      </c>
      <c r="Y122" s="5" t="s">
        <v>2226</v>
      </c>
      <c r="Z122" s="5" t="s">
        <v>2227</v>
      </c>
      <c r="AA122" s="5"/>
      <c r="AB122" s="5" t="s">
        <v>2228</v>
      </c>
      <c r="AC122" s="62">
        <v>9</v>
      </c>
    </row>
    <row r="123" spans="1:29" hidden="1">
      <c r="A123" s="4">
        <v>2019</v>
      </c>
      <c r="B123" s="4" t="s">
        <v>44</v>
      </c>
      <c r="C123" s="3">
        <f t="shared" si="1"/>
        <v>122</v>
      </c>
      <c r="D123" s="55" t="s">
        <v>886</v>
      </c>
      <c r="E123" s="3" t="s">
        <v>2229</v>
      </c>
      <c r="F123" s="5" t="s">
        <v>241</v>
      </c>
      <c r="G123" s="39" t="s">
        <v>1443</v>
      </c>
      <c r="H123" s="5" t="s">
        <v>191</v>
      </c>
      <c r="I123" s="7">
        <v>1492537.3134328357</v>
      </c>
      <c r="J123" s="57" t="s">
        <v>1411</v>
      </c>
      <c r="K123" s="7">
        <v>597014.92537313432</v>
      </c>
      <c r="L123" s="41" t="s">
        <v>1501</v>
      </c>
      <c r="M123" s="7">
        <v>450693</v>
      </c>
      <c r="N123" s="7">
        <v>1641791.0447761193</v>
      </c>
      <c r="O123" s="7">
        <v>1561731</v>
      </c>
      <c r="P123" s="7">
        <v>1561731</v>
      </c>
      <c r="Q123" s="5" t="s">
        <v>606</v>
      </c>
      <c r="R123" s="5" t="s">
        <v>598</v>
      </c>
      <c r="S123" s="5" t="s">
        <v>599</v>
      </c>
      <c r="T123" s="5" t="s">
        <v>1406</v>
      </c>
      <c r="U123" s="5" t="s">
        <v>2230</v>
      </c>
      <c r="V123" s="5" t="s">
        <v>241</v>
      </c>
      <c r="W123" s="5" t="s">
        <v>2231</v>
      </c>
      <c r="X123" s="5" t="s">
        <v>2232</v>
      </c>
      <c r="Y123" s="5"/>
      <c r="Z123" s="5" t="s">
        <v>2233</v>
      </c>
      <c r="AA123" s="5"/>
      <c r="AB123" s="5" t="s">
        <v>2234</v>
      </c>
      <c r="AC123" s="62">
        <v>9</v>
      </c>
    </row>
    <row r="124" spans="1:29" hidden="1">
      <c r="A124" s="4">
        <v>2018</v>
      </c>
      <c r="B124" s="4" t="s">
        <v>44</v>
      </c>
      <c r="C124" s="3">
        <f t="shared" si="1"/>
        <v>123</v>
      </c>
      <c r="D124" s="3" t="s">
        <v>886</v>
      </c>
      <c r="E124" s="3" t="s">
        <v>2235</v>
      </c>
      <c r="F124" s="5" t="s">
        <v>422</v>
      </c>
      <c r="G124" s="5" t="s">
        <v>1444</v>
      </c>
      <c r="H124" s="5" t="s">
        <v>148</v>
      </c>
      <c r="I124" s="7">
        <v>5970149</v>
      </c>
      <c r="J124" s="7">
        <v>2238805</v>
      </c>
      <c r="K124" s="7">
        <v>1595522</v>
      </c>
      <c r="L124" s="8">
        <v>19115</v>
      </c>
      <c r="M124" s="7">
        <v>1320000</v>
      </c>
      <c r="N124" s="7">
        <v>4349253</v>
      </c>
      <c r="O124" s="7">
        <v>4778869</v>
      </c>
      <c r="P124" s="7">
        <v>4778869</v>
      </c>
      <c r="Q124" s="5" t="s">
        <v>606</v>
      </c>
      <c r="R124" s="5" t="s">
        <v>598</v>
      </c>
      <c r="S124" s="5" t="s">
        <v>616</v>
      </c>
      <c r="T124" s="5" t="s">
        <v>1406</v>
      </c>
      <c r="U124" s="5" t="s">
        <v>2236</v>
      </c>
      <c r="V124" s="5" t="s">
        <v>2237</v>
      </c>
      <c r="W124" s="5" t="s">
        <v>1973</v>
      </c>
      <c r="X124" s="5" t="s">
        <v>2238</v>
      </c>
      <c r="Y124" s="5"/>
      <c r="Z124" s="5" t="s">
        <v>2239</v>
      </c>
      <c r="AA124" s="5" t="s">
        <v>2240</v>
      </c>
      <c r="AB124" s="5" t="s">
        <v>2241</v>
      </c>
      <c r="AC124" s="62">
        <v>8</v>
      </c>
    </row>
    <row r="125" spans="1:29" hidden="1">
      <c r="A125" s="4">
        <v>2018</v>
      </c>
      <c r="B125" s="4" t="s">
        <v>44</v>
      </c>
      <c r="C125" s="3">
        <f t="shared" si="1"/>
        <v>124</v>
      </c>
      <c r="D125" s="55" t="s">
        <v>886</v>
      </c>
      <c r="E125" s="3" t="s">
        <v>2242</v>
      </c>
      <c r="F125" s="5" t="s">
        <v>1024</v>
      </c>
      <c r="G125" s="5" t="s">
        <v>1445</v>
      </c>
      <c r="H125" s="5" t="s">
        <v>136</v>
      </c>
      <c r="I125" s="7">
        <v>1194029.8507462686</v>
      </c>
      <c r="J125" s="7">
        <v>746268.65671641787</v>
      </c>
      <c r="K125" s="7">
        <v>168656.71641791044</v>
      </c>
      <c r="L125" s="8">
        <v>918</v>
      </c>
      <c r="M125" s="7">
        <v>110000</v>
      </c>
      <c r="N125" s="7">
        <v>458208.95522388059</v>
      </c>
      <c r="O125" s="7">
        <v>469140</v>
      </c>
      <c r="P125" s="7">
        <v>469140</v>
      </c>
      <c r="Q125" s="39" t="s">
        <v>606</v>
      </c>
      <c r="R125" s="5" t="s">
        <v>598</v>
      </c>
      <c r="S125" s="5" t="s">
        <v>616</v>
      </c>
      <c r="T125" s="5" t="s">
        <v>1406</v>
      </c>
      <c r="U125" s="5" t="s">
        <v>2243</v>
      </c>
      <c r="V125" s="5" t="s">
        <v>2244</v>
      </c>
      <c r="W125" s="5" t="s">
        <v>2245</v>
      </c>
      <c r="X125" s="5" t="s">
        <v>2246</v>
      </c>
      <c r="Y125" s="5" t="s">
        <v>2247</v>
      </c>
      <c r="Z125" s="5" t="s">
        <v>2248</v>
      </c>
      <c r="AA125" s="5" t="s">
        <v>2249</v>
      </c>
      <c r="AB125" s="5" t="s">
        <v>1445</v>
      </c>
      <c r="AC125" s="62">
        <v>7.5</v>
      </c>
    </row>
    <row r="126" spans="1:29" hidden="1">
      <c r="A126" s="4">
        <v>2018</v>
      </c>
      <c r="B126" s="4" t="s">
        <v>44</v>
      </c>
      <c r="C126" s="3">
        <f t="shared" si="1"/>
        <v>125</v>
      </c>
      <c r="D126" s="55" t="s">
        <v>886</v>
      </c>
      <c r="E126" s="3" t="s">
        <v>2250</v>
      </c>
      <c r="F126" s="5" t="s">
        <v>387</v>
      </c>
      <c r="G126" s="5" t="s">
        <v>1446</v>
      </c>
      <c r="H126" s="5" t="s">
        <v>127</v>
      </c>
      <c r="I126" s="7">
        <v>4477611</v>
      </c>
      <c r="J126" s="7">
        <v>2238805</v>
      </c>
      <c r="K126" s="7">
        <v>10250746</v>
      </c>
      <c r="L126" s="8">
        <v>57471</v>
      </c>
      <c r="M126" s="7">
        <v>10070000</v>
      </c>
      <c r="N126" s="7">
        <v>2761194</v>
      </c>
      <c r="O126" s="7">
        <v>30355804</v>
      </c>
      <c r="P126" s="7">
        <v>30355804</v>
      </c>
      <c r="Q126" s="5" t="s">
        <v>606</v>
      </c>
      <c r="R126" s="5" t="s">
        <v>631</v>
      </c>
      <c r="S126" s="5" t="s">
        <v>603</v>
      </c>
      <c r="T126" s="5" t="s">
        <v>1406</v>
      </c>
      <c r="U126" s="5" t="s">
        <v>2251</v>
      </c>
      <c r="V126" s="5" t="s">
        <v>2252</v>
      </c>
      <c r="W126" s="5" t="s">
        <v>2253</v>
      </c>
      <c r="X126" s="5" t="s">
        <v>2254</v>
      </c>
      <c r="Y126" s="5"/>
      <c r="Z126" s="5" t="s">
        <v>2253</v>
      </c>
      <c r="AA126" s="5"/>
      <c r="AB126" s="5" t="s">
        <v>1970</v>
      </c>
      <c r="AC126" s="62">
        <v>8.1</v>
      </c>
    </row>
    <row r="127" spans="1:29" hidden="1">
      <c r="A127" s="4">
        <v>2019</v>
      </c>
      <c r="B127" s="4" t="s">
        <v>44</v>
      </c>
      <c r="C127" s="3">
        <f t="shared" si="1"/>
        <v>126</v>
      </c>
      <c r="D127" s="55" t="s">
        <v>886</v>
      </c>
      <c r="E127" s="3" t="s">
        <v>617</v>
      </c>
      <c r="F127" s="5" t="s">
        <v>242</v>
      </c>
      <c r="G127" s="5" t="s">
        <v>1410</v>
      </c>
      <c r="H127" s="5" t="s">
        <v>131</v>
      </c>
      <c r="I127" s="7">
        <v>1492537.3134328357</v>
      </c>
      <c r="J127" s="57" t="s">
        <v>1411</v>
      </c>
      <c r="K127" s="7">
        <v>447761.19402985071</v>
      </c>
      <c r="L127" s="8">
        <v>24672</v>
      </c>
      <c r="M127" s="7">
        <v>8594</v>
      </c>
      <c r="N127" s="7">
        <v>1492537.3134328357</v>
      </c>
      <c r="O127" s="7">
        <v>1487745</v>
      </c>
      <c r="P127" s="7">
        <v>1487745</v>
      </c>
      <c r="Q127" s="5" t="s">
        <v>606</v>
      </c>
      <c r="R127" s="5" t="s">
        <v>598</v>
      </c>
      <c r="S127" s="5" t="s">
        <v>616</v>
      </c>
      <c r="T127" s="5" t="s">
        <v>1406</v>
      </c>
      <c r="U127" s="5" t="s">
        <v>2255</v>
      </c>
      <c r="V127" s="5" t="s">
        <v>2256</v>
      </c>
      <c r="W127" s="5" t="s">
        <v>2257</v>
      </c>
      <c r="X127" s="5" t="s">
        <v>2258</v>
      </c>
      <c r="Y127" s="10"/>
      <c r="Z127" s="5" t="s">
        <v>2259</v>
      </c>
      <c r="AA127" s="5"/>
      <c r="AB127" s="5" t="s">
        <v>1948</v>
      </c>
      <c r="AC127" s="62">
        <v>8.1999999999999993</v>
      </c>
    </row>
    <row r="128" spans="1:29">
      <c r="A128" s="4">
        <v>2019</v>
      </c>
      <c r="B128" s="4" t="s">
        <v>44</v>
      </c>
      <c r="C128" s="3">
        <f t="shared" si="1"/>
        <v>127</v>
      </c>
      <c r="D128" s="55" t="s">
        <v>886</v>
      </c>
      <c r="E128" s="56" t="s">
        <v>800</v>
      </c>
      <c r="F128" s="5" t="s">
        <v>155</v>
      </c>
      <c r="G128" s="5" t="s">
        <v>1442</v>
      </c>
      <c r="H128" s="5" t="s">
        <v>131</v>
      </c>
      <c r="I128" s="7">
        <v>10500000</v>
      </c>
      <c r="J128" s="57" t="s">
        <v>1411</v>
      </c>
      <c r="K128" s="7">
        <v>18208955</v>
      </c>
      <c r="L128" s="8">
        <v>62074</v>
      </c>
      <c r="M128" s="7">
        <v>11550000</v>
      </c>
      <c r="N128" s="7">
        <v>48656716</v>
      </c>
      <c r="O128" s="7">
        <v>50885008</v>
      </c>
      <c r="P128" s="7">
        <v>50885008</v>
      </c>
      <c r="Q128" s="5" t="s">
        <v>606</v>
      </c>
      <c r="R128" s="5" t="s">
        <v>598</v>
      </c>
      <c r="S128" s="6">
        <v>0</v>
      </c>
      <c r="T128" s="5" t="s">
        <v>1406</v>
      </c>
      <c r="U128" s="5" t="s">
        <v>2260</v>
      </c>
      <c r="V128" s="5" t="s">
        <v>155</v>
      </c>
      <c r="W128" s="5" t="s">
        <v>2261</v>
      </c>
      <c r="X128" s="5"/>
      <c r="Y128" s="10"/>
      <c r="Z128" s="5" t="s">
        <v>2262</v>
      </c>
      <c r="AA128" s="5"/>
      <c r="AB128" s="5" t="s">
        <v>2263</v>
      </c>
      <c r="AC128" s="62">
        <v>9.3000000000000007</v>
      </c>
    </row>
    <row r="129" spans="1:29" hidden="1">
      <c r="A129" s="4">
        <v>2019</v>
      </c>
      <c r="B129" s="4" t="s">
        <v>44</v>
      </c>
      <c r="C129" s="3">
        <f t="shared" si="1"/>
        <v>128</v>
      </c>
      <c r="D129" s="55" t="s">
        <v>886</v>
      </c>
      <c r="E129" s="3" t="s">
        <v>800</v>
      </c>
      <c r="F129" s="5" t="s">
        <v>190</v>
      </c>
      <c r="G129" s="5" t="s">
        <v>1447</v>
      </c>
      <c r="H129" s="5" t="s">
        <v>191</v>
      </c>
      <c r="I129" s="7">
        <v>8955223.880597014</v>
      </c>
      <c r="J129" s="57" t="s">
        <v>1411</v>
      </c>
      <c r="K129" s="7">
        <v>2238805.9701492535</v>
      </c>
      <c r="L129" s="8">
        <v>23080</v>
      </c>
      <c r="M129" s="7">
        <v>3852893</v>
      </c>
      <c r="N129" s="7">
        <v>6716417.9104477614</v>
      </c>
      <c r="O129" s="7">
        <v>8091941</v>
      </c>
      <c r="P129" s="7">
        <v>8091941</v>
      </c>
      <c r="Q129" s="5" t="s">
        <v>606</v>
      </c>
      <c r="R129" s="5" t="s">
        <v>598</v>
      </c>
      <c r="S129" s="5" t="s">
        <v>616</v>
      </c>
      <c r="T129" s="5" t="s">
        <v>1406</v>
      </c>
      <c r="U129" s="5" t="s">
        <v>2264</v>
      </c>
      <c r="V129" s="5" t="s">
        <v>2265</v>
      </c>
      <c r="W129" s="5" t="s">
        <v>2266</v>
      </c>
      <c r="X129" s="5" t="s">
        <v>2267</v>
      </c>
      <c r="Y129" s="10"/>
      <c r="Z129" s="5" t="s">
        <v>2268</v>
      </c>
      <c r="AA129" s="5"/>
      <c r="AB129" s="5" t="s">
        <v>2269</v>
      </c>
      <c r="AC129" s="62">
        <v>8.8000000000000007</v>
      </c>
    </row>
    <row r="130" spans="1:29" hidden="1">
      <c r="A130" s="4">
        <v>2018</v>
      </c>
      <c r="B130" s="4" t="s">
        <v>44</v>
      </c>
      <c r="C130" s="3">
        <f t="shared" si="1"/>
        <v>129</v>
      </c>
      <c r="D130" s="55" t="s">
        <v>975</v>
      </c>
      <c r="E130" s="3" t="s">
        <v>975</v>
      </c>
      <c r="F130" s="5" t="s">
        <v>1028</v>
      </c>
      <c r="G130" s="5" t="s">
        <v>1448</v>
      </c>
      <c r="H130" s="5" t="s">
        <v>193</v>
      </c>
      <c r="I130" s="7">
        <v>11940298</v>
      </c>
      <c r="J130" s="7">
        <v>4477611</v>
      </c>
      <c r="K130" s="7">
        <v>11428358</v>
      </c>
      <c r="L130" s="8">
        <v>61528</v>
      </c>
      <c r="M130" s="7">
        <v>14718449</v>
      </c>
      <c r="N130" s="7">
        <v>30597014</v>
      </c>
      <c r="O130" s="7">
        <v>32449600</v>
      </c>
      <c r="P130" s="7">
        <v>32449600</v>
      </c>
      <c r="Q130" s="5" t="s">
        <v>597</v>
      </c>
      <c r="R130" s="5" t="s">
        <v>598</v>
      </c>
      <c r="S130" s="5" t="s">
        <v>616</v>
      </c>
      <c r="T130" s="5" t="s">
        <v>1406</v>
      </c>
      <c r="U130" s="5" t="s">
        <v>2270</v>
      </c>
      <c r="V130" s="5" t="s">
        <v>2271</v>
      </c>
      <c r="W130" s="5" t="s">
        <v>2272</v>
      </c>
      <c r="X130" s="5" t="s">
        <v>2273</v>
      </c>
      <c r="Y130" s="10"/>
      <c r="Z130" s="5" t="s">
        <v>2274</v>
      </c>
      <c r="AA130" s="5"/>
      <c r="AB130" s="5" t="s">
        <v>1948</v>
      </c>
      <c r="AC130" s="62">
        <v>5.9</v>
      </c>
    </row>
    <row r="131" spans="1:29" hidden="1">
      <c r="A131" s="4">
        <v>2019</v>
      </c>
      <c r="B131" s="4" t="s">
        <v>44</v>
      </c>
      <c r="C131" s="3">
        <f t="shared" si="1"/>
        <v>130</v>
      </c>
      <c r="D131" s="55" t="s">
        <v>886</v>
      </c>
      <c r="E131" s="3" t="s">
        <v>2275</v>
      </c>
      <c r="F131" s="5" t="s">
        <v>180</v>
      </c>
      <c r="G131" s="5" t="s">
        <v>2276</v>
      </c>
      <c r="H131" s="5" t="s">
        <v>131</v>
      </c>
      <c r="I131" s="7">
        <v>5970149</v>
      </c>
      <c r="J131" s="57" t="s">
        <v>1411</v>
      </c>
      <c r="K131" s="7">
        <v>3283582</v>
      </c>
      <c r="L131" s="8">
        <v>32822</v>
      </c>
      <c r="M131" s="7">
        <v>5210000</v>
      </c>
      <c r="N131" s="7">
        <v>9701492</v>
      </c>
      <c r="O131" s="7">
        <v>9626679</v>
      </c>
      <c r="P131" s="7">
        <v>9626679</v>
      </c>
      <c r="Q131" s="5" t="s">
        <v>606</v>
      </c>
      <c r="R131" s="5" t="s">
        <v>598</v>
      </c>
      <c r="S131" s="5" t="s">
        <v>616</v>
      </c>
      <c r="T131" s="5" t="s">
        <v>1406</v>
      </c>
      <c r="U131" s="5" t="s">
        <v>2277</v>
      </c>
      <c r="V131" s="5" t="s">
        <v>2278</v>
      </c>
      <c r="W131" s="5" t="s">
        <v>1963</v>
      </c>
      <c r="X131" s="5"/>
      <c r="Y131" s="10"/>
      <c r="Z131" s="5" t="s">
        <v>2279</v>
      </c>
      <c r="AA131" s="5"/>
      <c r="AB131" s="5" t="s">
        <v>2280</v>
      </c>
      <c r="AC131" s="62">
        <v>7.2</v>
      </c>
    </row>
    <row r="132" spans="1:29" hidden="1">
      <c r="A132" s="4">
        <v>2018</v>
      </c>
      <c r="B132" s="4" t="s">
        <v>44</v>
      </c>
      <c r="C132" s="3">
        <f t="shared" ref="C132:C195" si="2">C131+1</f>
        <v>131</v>
      </c>
      <c r="D132" s="55" t="s">
        <v>886</v>
      </c>
      <c r="E132" s="3" t="s">
        <v>854</v>
      </c>
      <c r="F132" s="5" t="s">
        <v>377</v>
      </c>
      <c r="G132" s="5" t="s">
        <v>1449</v>
      </c>
      <c r="H132" s="5" t="s">
        <v>127</v>
      </c>
      <c r="I132" s="7">
        <v>29850746</v>
      </c>
      <c r="J132" s="7">
        <v>5970149</v>
      </c>
      <c r="K132" s="7">
        <v>26865671</v>
      </c>
      <c r="L132" s="8">
        <v>109738</v>
      </c>
      <c r="M132" s="7">
        <v>3241628</v>
      </c>
      <c r="N132" s="7">
        <v>74626865</v>
      </c>
      <c r="O132" s="7">
        <v>74842075</v>
      </c>
      <c r="P132" s="7">
        <v>74842075</v>
      </c>
      <c r="Q132" s="5" t="s">
        <v>1397</v>
      </c>
      <c r="R132" s="5" t="s">
        <v>703</v>
      </c>
      <c r="S132" s="5" t="s">
        <v>607</v>
      </c>
      <c r="T132" s="5" t="s">
        <v>1406</v>
      </c>
      <c r="U132" s="5" t="s">
        <v>2281</v>
      </c>
      <c r="V132" s="5" t="s">
        <v>2282</v>
      </c>
      <c r="W132" s="5" t="s">
        <v>2283</v>
      </c>
      <c r="X132" s="5"/>
      <c r="Y132" s="10"/>
      <c r="Z132" s="5" t="s">
        <v>2284</v>
      </c>
      <c r="AA132" s="5"/>
      <c r="AB132" s="5" t="s">
        <v>2285</v>
      </c>
      <c r="AC132" s="62">
        <v>8.5</v>
      </c>
    </row>
    <row r="133" spans="1:29" hidden="1">
      <c r="A133" s="4">
        <v>2018</v>
      </c>
      <c r="B133" s="4" t="s">
        <v>44</v>
      </c>
      <c r="C133" s="3">
        <f t="shared" si="2"/>
        <v>132</v>
      </c>
      <c r="D133" s="55" t="s">
        <v>886</v>
      </c>
      <c r="E133" s="3" t="s">
        <v>2286</v>
      </c>
      <c r="F133" s="5" t="s">
        <v>53</v>
      </c>
      <c r="G133" s="5" t="s">
        <v>1428</v>
      </c>
      <c r="H133" s="5" t="s">
        <v>148</v>
      </c>
      <c r="I133" s="7">
        <v>6000000</v>
      </c>
      <c r="J133" s="57" t="s">
        <v>1411</v>
      </c>
      <c r="K133" s="7">
        <v>8955224</v>
      </c>
      <c r="L133" s="8">
        <v>2360</v>
      </c>
      <c r="M133" s="7">
        <v>6737049</v>
      </c>
      <c r="N133" s="7">
        <v>25820895</v>
      </c>
      <c r="O133" s="7">
        <v>28792065</v>
      </c>
      <c r="P133" s="7">
        <v>28792065</v>
      </c>
      <c r="Q133" s="5" t="s">
        <v>1397</v>
      </c>
      <c r="R133" s="5" t="s">
        <v>598</v>
      </c>
      <c r="S133" s="5" t="s">
        <v>616</v>
      </c>
      <c r="T133" s="5" t="s">
        <v>1406</v>
      </c>
      <c r="U133" s="5" t="s">
        <v>2287</v>
      </c>
      <c r="V133" s="5" t="s">
        <v>2288</v>
      </c>
      <c r="W133" s="5" t="s">
        <v>2289</v>
      </c>
      <c r="X133" s="5" t="s">
        <v>2290</v>
      </c>
      <c r="Y133" s="10"/>
      <c r="Z133" s="5" t="s">
        <v>2291</v>
      </c>
      <c r="AA133" s="5"/>
      <c r="AB133" s="5" t="s">
        <v>1911</v>
      </c>
      <c r="AC133" s="62">
        <v>8.5</v>
      </c>
    </row>
    <row r="134" spans="1:29">
      <c r="A134" s="4">
        <v>2019</v>
      </c>
      <c r="B134" s="4" t="s">
        <v>45</v>
      </c>
      <c r="C134" s="3">
        <f t="shared" si="2"/>
        <v>133</v>
      </c>
      <c r="D134" s="55" t="s">
        <v>886</v>
      </c>
      <c r="E134" s="3" t="s">
        <v>2055</v>
      </c>
      <c r="F134" s="5" t="s">
        <v>1038</v>
      </c>
      <c r="G134" s="5" t="s">
        <v>1450</v>
      </c>
      <c r="H134" s="5" t="s">
        <v>136</v>
      </c>
      <c r="I134" s="7">
        <v>3731343.2835820895</v>
      </c>
      <c r="J134" s="57" t="s">
        <v>1411</v>
      </c>
      <c r="K134" s="7">
        <v>1791044.7761194028</v>
      </c>
      <c r="L134" s="41">
        <v>37174</v>
      </c>
      <c r="M134" s="42">
        <v>14387</v>
      </c>
      <c r="N134" s="7">
        <v>4925373.1343283579</v>
      </c>
      <c r="O134" s="7">
        <v>4815816</v>
      </c>
      <c r="P134" s="7">
        <v>4815816</v>
      </c>
      <c r="Q134" s="5" t="s">
        <v>606</v>
      </c>
      <c r="R134" s="5" t="s">
        <v>598</v>
      </c>
      <c r="S134" s="6">
        <v>0</v>
      </c>
      <c r="T134" s="5" t="s">
        <v>1406</v>
      </c>
      <c r="U134" s="5" t="s">
        <v>2295</v>
      </c>
      <c r="V134" s="5" t="s">
        <v>2296</v>
      </c>
      <c r="W134" s="5" t="s">
        <v>1994</v>
      </c>
      <c r="X134" s="5" t="s">
        <v>1646</v>
      </c>
      <c r="Y134" s="5" t="s">
        <v>2297</v>
      </c>
      <c r="Z134" s="5" t="s">
        <v>2298</v>
      </c>
      <c r="AA134" s="5"/>
      <c r="AB134" s="5" t="s">
        <v>2299</v>
      </c>
      <c r="AC134" s="62">
        <v>6</v>
      </c>
    </row>
    <row r="135" spans="1:29" hidden="1">
      <c r="A135" s="4">
        <v>2017</v>
      </c>
      <c r="B135" s="4" t="s">
        <v>44</v>
      </c>
      <c r="C135" s="3">
        <f t="shared" si="2"/>
        <v>134</v>
      </c>
      <c r="D135" s="55" t="s">
        <v>1057</v>
      </c>
      <c r="E135" s="3" t="s">
        <v>1057</v>
      </c>
      <c r="F135" s="5" t="s">
        <v>1058</v>
      </c>
      <c r="G135" s="5" t="s">
        <v>653</v>
      </c>
      <c r="H135" s="5" t="s">
        <v>129</v>
      </c>
      <c r="I135" s="7">
        <v>150000000</v>
      </c>
      <c r="J135" s="57"/>
      <c r="K135" s="7"/>
      <c r="L135" s="8">
        <v>3328</v>
      </c>
      <c r="M135" s="7">
        <v>18469620</v>
      </c>
      <c r="N135" s="7"/>
      <c r="O135" s="7">
        <v>289329747</v>
      </c>
      <c r="P135" s="7">
        <v>334486852</v>
      </c>
      <c r="Q135" s="5" t="s">
        <v>606</v>
      </c>
      <c r="R135" s="5" t="s">
        <v>598</v>
      </c>
      <c r="S135" s="5" t="s">
        <v>658</v>
      </c>
      <c r="T135" s="5" t="s">
        <v>1393</v>
      </c>
      <c r="U135" s="39" t="s">
        <v>2304</v>
      </c>
      <c r="V135" s="39" t="s">
        <v>1058</v>
      </c>
      <c r="W135" s="39" t="s">
        <v>2305</v>
      </c>
      <c r="X135" s="39" t="s">
        <v>2306</v>
      </c>
      <c r="Y135" s="39" t="s">
        <v>2307</v>
      </c>
      <c r="Z135" s="39" t="s">
        <v>1547</v>
      </c>
      <c r="AA135" s="5"/>
      <c r="AB135" s="39" t="s">
        <v>2308</v>
      </c>
      <c r="AC135" s="59">
        <v>8.4</v>
      </c>
    </row>
    <row r="136" spans="1:29" hidden="1">
      <c r="A136" s="4">
        <v>2017</v>
      </c>
      <c r="B136" s="4" t="s">
        <v>44</v>
      </c>
      <c r="C136" s="3">
        <f t="shared" si="2"/>
        <v>135</v>
      </c>
      <c r="D136" s="55" t="s">
        <v>1059</v>
      </c>
      <c r="E136" s="3" t="s">
        <v>2309</v>
      </c>
      <c r="F136" s="5" t="s">
        <v>1060</v>
      </c>
      <c r="G136" s="5" t="s">
        <v>609</v>
      </c>
      <c r="H136" s="5" t="s">
        <v>129</v>
      </c>
      <c r="I136" s="7">
        <v>29850746.268656716</v>
      </c>
      <c r="J136" s="7">
        <v>8955223.880597014</v>
      </c>
      <c r="K136" s="7">
        <v>28955223.880597014</v>
      </c>
      <c r="L136" s="8">
        <v>2515</v>
      </c>
      <c r="M136" s="7">
        <v>13113024</v>
      </c>
      <c r="N136" s="7">
        <v>76567164.179104477</v>
      </c>
      <c r="O136" s="7">
        <v>106389853</v>
      </c>
      <c r="P136" s="7">
        <v>140783360</v>
      </c>
      <c r="Q136" s="5" t="s">
        <v>602</v>
      </c>
      <c r="R136" s="5" t="s">
        <v>598</v>
      </c>
      <c r="S136" s="5" t="s">
        <v>616</v>
      </c>
      <c r="T136" s="5" t="s">
        <v>1394</v>
      </c>
      <c r="U136" s="5" t="s">
        <v>2310</v>
      </c>
      <c r="V136" s="5" t="s">
        <v>1060</v>
      </c>
      <c r="W136" s="5" t="s">
        <v>2008</v>
      </c>
      <c r="X136" s="5"/>
      <c r="Y136" s="5"/>
      <c r="Z136" s="5" t="s">
        <v>2311</v>
      </c>
      <c r="AA136" s="5"/>
      <c r="AB136" s="5" t="s">
        <v>2312</v>
      </c>
      <c r="AC136" s="62">
        <v>8.4</v>
      </c>
    </row>
    <row r="137" spans="1:29" hidden="1">
      <c r="A137" s="4">
        <v>2017</v>
      </c>
      <c r="B137" s="4" t="s">
        <v>44</v>
      </c>
      <c r="C137" s="3">
        <f t="shared" si="2"/>
        <v>136</v>
      </c>
      <c r="D137" s="55" t="s">
        <v>1064</v>
      </c>
      <c r="E137" s="3" t="s">
        <v>1064</v>
      </c>
      <c r="F137" s="5" t="s">
        <v>1065</v>
      </c>
      <c r="G137" s="5" t="s">
        <v>764</v>
      </c>
      <c r="H137" s="5" t="s">
        <v>127</v>
      </c>
      <c r="I137" s="7">
        <v>60000000</v>
      </c>
      <c r="J137" s="57"/>
      <c r="K137" s="7"/>
      <c r="L137" s="8">
        <v>2077</v>
      </c>
      <c r="M137" s="7">
        <v>3704749</v>
      </c>
      <c r="N137" s="7"/>
      <c r="O137" s="7">
        <v>14727942</v>
      </c>
      <c r="P137" s="7">
        <v>24148488</v>
      </c>
      <c r="Q137" s="5" t="s">
        <v>606</v>
      </c>
      <c r="R137" s="5" t="s">
        <v>631</v>
      </c>
      <c r="S137" s="5" t="s">
        <v>612</v>
      </c>
      <c r="T137" s="5" t="s">
        <v>1392</v>
      </c>
      <c r="U137" s="39" t="s">
        <v>2313</v>
      </c>
      <c r="V137" s="39" t="s">
        <v>1065</v>
      </c>
      <c r="W137" s="39" t="s">
        <v>2314</v>
      </c>
      <c r="X137" s="39" t="s">
        <v>2315</v>
      </c>
      <c r="Y137" s="39" t="s">
        <v>2316</v>
      </c>
      <c r="Z137" s="39" t="s">
        <v>2317</v>
      </c>
      <c r="AA137" s="5"/>
      <c r="AB137" s="39" t="s">
        <v>2318</v>
      </c>
      <c r="AC137" s="59">
        <v>8.6</v>
      </c>
    </row>
    <row r="138" spans="1:29" hidden="1">
      <c r="A138" s="4">
        <v>2017</v>
      </c>
      <c r="B138" s="4" t="s">
        <v>44</v>
      </c>
      <c r="C138" s="3">
        <f t="shared" si="2"/>
        <v>137</v>
      </c>
      <c r="D138" s="55" t="s">
        <v>1066</v>
      </c>
      <c r="E138" s="3" t="s">
        <v>1066</v>
      </c>
      <c r="F138" s="5" t="s">
        <v>8</v>
      </c>
      <c r="G138" s="5" t="s">
        <v>1067</v>
      </c>
      <c r="H138" s="5" t="s">
        <v>129</v>
      </c>
      <c r="I138" s="7">
        <v>29850746.300000001</v>
      </c>
      <c r="J138" s="7">
        <v>14925373.1</v>
      </c>
      <c r="K138" s="7">
        <v>311044776</v>
      </c>
      <c r="L138" s="8">
        <v>53</v>
      </c>
      <c r="M138" s="7">
        <v>219022</v>
      </c>
      <c r="N138" s="7">
        <v>792537313</v>
      </c>
      <c r="O138" s="7">
        <v>832753071</v>
      </c>
      <c r="P138" s="7">
        <v>835474171</v>
      </c>
      <c r="Q138" s="5" t="s">
        <v>606</v>
      </c>
      <c r="R138" s="5" t="s">
        <v>598</v>
      </c>
      <c r="S138" s="5" t="s">
        <v>616</v>
      </c>
      <c r="T138" s="5" t="s">
        <v>1390</v>
      </c>
      <c r="U138" s="5" t="s">
        <v>2319</v>
      </c>
      <c r="V138" s="5" t="s">
        <v>2320</v>
      </c>
      <c r="W138" s="5" t="s">
        <v>2321</v>
      </c>
      <c r="X138" s="5"/>
      <c r="Y138" s="5"/>
      <c r="Z138" s="5" t="s">
        <v>2321</v>
      </c>
      <c r="AA138" s="5"/>
      <c r="AB138" s="5" t="s">
        <v>2322</v>
      </c>
      <c r="AC138" s="62">
        <v>9.6999999999999993</v>
      </c>
    </row>
    <row r="139" spans="1:29" hidden="1">
      <c r="A139" s="4">
        <v>2017</v>
      </c>
      <c r="B139" s="4" t="s">
        <v>44</v>
      </c>
      <c r="C139" s="3">
        <f t="shared" si="2"/>
        <v>138</v>
      </c>
      <c r="D139" s="55" t="s">
        <v>1068</v>
      </c>
      <c r="E139" s="3" t="s">
        <v>1068</v>
      </c>
      <c r="F139" s="5" t="s">
        <v>1069</v>
      </c>
      <c r="G139" s="5" t="s">
        <v>641</v>
      </c>
      <c r="H139" s="5" t="s">
        <v>129</v>
      </c>
      <c r="I139" s="7">
        <v>65671641</v>
      </c>
      <c r="J139" s="7">
        <v>11940298</v>
      </c>
      <c r="K139" s="7">
        <v>76865671</v>
      </c>
      <c r="L139" s="8">
        <v>67</v>
      </c>
      <c r="M139" s="7">
        <v>463883</v>
      </c>
      <c r="N139" s="7">
        <v>233134328</v>
      </c>
      <c r="O139" s="7">
        <v>247924803</v>
      </c>
      <c r="P139" s="7">
        <v>248805149</v>
      </c>
      <c r="Q139" s="5" t="s">
        <v>606</v>
      </c>
      <c r="R139" s="5" t="s">
        <v>598</v>
      </c>
      <c r="S139" s="5" t="s">
        <v>616</v>
      </c>
      <c r="T139" s="5" t="s">
        <v>1393</v>
      </c>
      <c r="U139" s="5" t="s">
        <v>2323</v>
      </c>
      <c r="V139" s="5" t="s">
        <v>2324</v>
      </c>
      <c r="W139" s="5" t="s">
        <v>2325</v>
      </c>
      <c r="X139" s="5"/>
      <c r="Y139" s="5"/>
      <c r="Z139" s="5" t="s">
        <v>2326</v>
      </c>
      <c r="AA139" s="5"/>
      <c r="AB139" s="5" t="s">
        <v>1948</v>
      </c>
      <c r="AC139" s="62">
        <v>7.7</v>
      </c>
    </row>
    <row r="140" spans="1:29" ht="15" hidden="1">
      <c r="A140" s="4">
        <v>2017</v>
      </c>
      <c r="B140" s="4" t="s">
        <v>44</v>
      </c>
      <c r="C140" s="3">
        <f t="shared" si="2"/>
        <v>139</v>
      </c>
      <c r="D140" s="55" t="s">
        <v>1070</v>
      </c>
      <c r="E140" s="3" t="s">
        <v>1070</v>
      </c>
      <c r="F140" s="5" t="s">
        <v>1071</v>
      </c>
      <c r="G140" s="5" t="s">
        <v>626</v>
      </c>
      <c r="H140" s="5" t="s">
        <v>154</v>
      </c>
      <c r="I140" s="7">
        <v>5970149.253731343</v>
      </c>
      <c r="J140" s="7">
        <v>11940298.507462686</v>
      </c>
      <c r="K140" s="7">
        <v>21194029.850746267</v>
      </c>
      <c r="L140" s="8">
        <v>46</v>
      </c>
      <c r="M140" s="7">
        <v>323207</v>
      </c>
      <c r="N140" s="7">
        <v>56417910.447761193</v>
      </c>
      <c r="O140" s="7">
        <v>58576718</v>
      </c>
      <c r="P140" s="7">
        <v>59263153</v>
      </c>
      <c r="Q140" s="5" t="s">
        <v>602</v>
      </c>
      <c r="R140" s="5" t="s">
        <v>598</v>
      </c>
      <c r="S140" s="5" t="s">
        <v>616</v>
      </c>
      <c r="T140" s="5" t="s">
        <v>1390</v>
      </c>
      <c r="U140" s="5" t="s">
        <v>2327</v>
      </c>
      <c r="V140" s="5" t="s">
        <v>1071</v>
      </c>
      <c r="W140" s="5" t="s">
        <v>2328</v>
      </c>
      <c r="X140" s="5" t="s">
        <v>2329</v>
      </c>
      <c r="Y140" s="5" t="s">
        <v>2330</v>
      </c>
      <c r="Z140" s="5" t="s">
        <v>2331</v>
      </c>
      <c r="AA140" s="5"/>
      <c r="AB140" s="5" t="s">
        <v>2332</v>
      </c>
      <c r="AC140" s="62">
        <v>8.6</v>
      </c>
    </row>
    <row r="141" spans="1:29" hidden="1">
      <c r="A141" s="4">
        <v>2017</v>
      </c>
      <c r="B141" s="4" t="s">
        <v>44</v>
      </c>
      <c r="C141" s="3">
        <f t="shared" si="2"/>
        <v>140</v>
      </c>
      <c r="D141" s="55" t="s">
        <v>1072</v>
      </c>
      <c r="E141" s="3" t="s">
        <v>1072</v>
      </c>
      <c r="F141" s="5" t="s">
        <v>1073</v>
      </c>
      <c r="G141" s="5" t="s">
        <v>626</v>
      </c>
      <c r="H141" s="5" t="s">
        <v>154</v>
      </c>
      <c r="I141" s="7">
        <v>20000000</v>
      </c>
      <c r="J141" s="57"/>
      <c r="K141" s="7"/>
      <c r="L141" s="8">
        <v>42</v>
      </c>
      <c r="M141" s="7">
        <v>224942</v>
      </c>
      <c r="N141" s="7"/>
      <c r="O141" s="7">
        <v>43301061</v>
      </c>
      <c r="P141" s="7">
        <v>43888531</v>
      </c>
      <c r="Q141" s="5" t="s">
        <v>606</v>
      </c>
      <c r="R141" s="5" t="s">
        <v>598</v>
      </c>
      <c r="S141" s="5" t="s">
        <v>616</v>
      </c>
      <c r="T141" s="5" t="s">
        <v>1390</v>
      </c>
      <c r="U141" s="39" t="s">
        <v>2333</v>
      </c>
      <c r="V141" s="39" t="s">
        <v>2334</v>
      </c>
      <c r="W141" s="39" t="s">
        <v>1639</v>
      </c>
      <c r="X141" s="39" t="s">
        <v>2335</v>
      </c>
      <c r="Y141" s="39" t="s">
        <v>2336</v>
      </c>
      <c r="Z141" s="39" t="s">
        <v>2337</v>
      </c>
      <c r="AA141" s="5"/>
      <c r="AB141" s="39" t="s">
        <v>2338</v>
      </c>
      <c r="AC141" s="59">
        <v>8.6</v>
      </c>
    </row>
    <row r="142" spans="1:29" hidden="1">
      <c r="A142" s="4">
        <v>2017</v>
      </c>
      <c r="B142" s="4" t="s">
        <v>44</v>
      </c>
      <c r="C142" s="3">
        <f t="shared" si="2"/>
        <v>141</v>
      </c>
      <c r="D142" s="55" t="s">
        <v>1074</v>
      </c>
      <c r="E142" s="22" t="s">
        <v>2339</v>
      </c>
      <c r="F142" s="5" t="s">
        <v>1075</v>
      </c>
      <c r="G142" s="5" t="s">
        <v>601</v>
      </c>
      <c r="H142" s="5" t="s">
        <v>131</v>
      </c>
      <c r="I142" s="7">
        <v>29850746.268656716</v>
      </c>
      <c r="J142" s="7">
        <v>14925373.134328358</v>
      </c>
      <c r="K142" s="7">
        <v>28208955.223880596</v>
      </c>
      <c r="L142" s="8">
        <v>51</v>
      </c>
      <c r="M142" s="7">
        <v>249933</v>
      </c>
      <c r="N142" s="7">
        <v>74776119.402985066</v>
      </c>
      <c r="O142" s="7">
        <v>82406221</v>
      </c>
      <c r="P142" s="7">
        <v>82891949</v>
      </c>
      <c r="Q142" s="5" t="s">
        <v>602</v>
      </c>
      <c r="R142" s="5" t="s">
        <v>598</v>
      </c>
      <c r="S142" s="5" t="s">
        <v>603</v>
      </c>
      <c r="T142" s="5" t="s">
        <v>1390</v>
      </c>
      <c r="U142" s="5" t="s">
        <v>2340</v>
      </c>
      <c r="V142" s="5" t="s">
        <v>1075</v>
      </c>
      <c r="W142" s="5" t="s">
        <v>2014</v>
      </c>
      <c r="X142" s="5" t="s">
        <v>2341</v>
      </c>
      <c r="Y142" s="5"/>
      <c r="Z142" s="5" t="s">
        <v>2342</v>
      </c>
      <c r="AA142" s="5" t="s">
        <v>2343</v>
      </c>
      <c r="AB142" s="5" t="s">
        <v>2344</v>
      </c>
      <c r="AC142" s="62">
        <v>7.1</v>
      </c>
    </row>
    <row r="143" spans="1:29" hidden="1">
      <c r="A143" s="4">
        <v>2017</v>
      </c>
      <c r="B143" s="4" t="s">
        <v>44</v>
      </c>
      <c r="C143" s="3">
        <f t="shared" si="2"/>
        <v>142</v>
      </c>
      <c r="D143" s="55" t="s">
        <v>1076</v>
      </c>
      <c r="E143" s="3" t="s">
        <v>1076</v>
      </c>
      <c r="F143" s="5" t="s">
        <v>1077</v>
      </c>
      <c r="G143" s="5" t="s">
        <v>626</v>
      </c>
      <c r="H143" s="5" t="s">
        <v>131</v>
      </c>
      <c r="I143" s="7">
        <v>23880597</v>
      </c>
      <c r="J143" s="7">
        <v>8955223</v>
      </c>
      <c r="K143" s="7">
        <v>56119402</v>
      </c>
      <c r="L143" s="8">
        <v>30</v>
      </c>
      <c r="M143" s="7">
        <v>160739</v>
      </c>
      <c r="N143" s="7">
        <v>145970149</v>
      </c>
      <c r="O143" s="7">
        <v>152549032</v>
      </c>
      <c r="P143" s="7">
        <v>153018738</v>
      </c>
      <c r="Q143" s="5" t="s">
        <v>606</v>
      </c>
      <c r="R143" s="5" t="s">
        <v>598</v>
      </c>
      <c r="S143" s="5" t="s">
        <v>616</v>
      </c>
      <c r="T143" s="5" t="s">
        <v>1390</v>
      </c>
      <c r="U143" s="5" t="s">
        <v>2345</v>
      </c>
      <c r="V143" s="5" t="s">
        <v>2346</v>
      </c>
      <c r="W143" s="5" t="s">
        <v>2045</v>
      </c>
      <c r="X143" s="5" t="s">
        <v>2025</v>
      </c>
      <c r="Y143" s="5"/>
      <c r="Z143" s="5" t="s">
        <v>2195</v>
      </c>
      <c r="AA143" s="5"/>
      <c r="AB143" s="5" t="s">
        <v>2196</v>
      </c>
      <c r="AC143" s="62">
        <v>8.6999999999999993</v>
      </c>
    </row>
    <row r="144" spans="1:29" hidden="1">
      <c r="A144" s="4">
        <v>2017</v>
      </c>
      <c r="B144" s="4" t="s">
        <v>44</v>
      </c>
      <c r="C144" s="3">
        <f t="shared" si="2"/>
        <v>143</v>
      </c>
      <c r="D144" s="55" t="s">
        <v>1080</v>
      </c>
      <c r="E144" s="3" t="s">
        <v>1080</v>
      </c>
      <c r="F144" s="5" t="s">
        <v>1081</v>
      </c>
      <c r="G144" s="5" t="s">
        <v>601</v>
      </c>
      <c r="H144" s="5" t="s">
        <v>129</v>
      </c>
      <c r="I144" s="7">
        <v>59701492</v>
      </c>
      <c r="J144" s="7">
        <v>11940298</v>
      </c>
      <c r="K144" s="7">
        <v>95373134</v>
      </c>
      <c r="L144" s="8">
        <v>245373134</v>
      </c>
      <c r="M144" s="7">
        <v>111979</v>
      </c>
      <c r="N144" s="7">
        <v>245373134</v>
      </c>
      <c r="O144" s="7">
        <v>255641470</v>
      </c>
      <c r="P144" s="7">
        <v>256004127</v>
      </c>
      <c r="Q144" s="5" t="s">
        <v>606</v>
      </c>
      <c r="R144" s="5" t="s">
        <v>598</v>
      </c>
      <c r="S144" s="5" t="s">
        <v>616</v>
      </c>
      <c r="T144" s="5" t="s">
        <v>1390</v>
      </c>
      <c r="U144" s="5" t="s">
        <v>2347</v>
      </c>
      <c r="V144" s="5" t="s">
        <v>2348</v>
      </c>
      <c r="W144" s="5" t="s">
        <v>2008</v>
      </c>
      <c r="X144" s="5"/>
      <c r="Y144" s="5"/>
      <c r="Z144" s="5" t="s">
        <v>2349</v>
      </c>
      <c r="AA144" s="5"/>
      <c r="AB144" s="5" t="s">
        <v>2350</v>
      </c>
      <c r="AC144" s="62">
        <v>8.4</v>
      </c>
    </row>
    <row r="145" spans="1:29" hidden="1">
      <c r="A145" s="4">
        <v>2017</v>
      </c>
      <c r="B145" s="4" t="s">
        <v>44</v>
      </c>
      <c r="C145" s="3">
        <f t="shared" si="2"/>
        <v>144</v>
      </c>
      <c r="D145" s="55" t="s">
        <v>1082</v>
      </c>
      <c r="E145" s="3" t="s">
        <v>1082</v>
      </c>
      <c r="F145" s="5" t="s">
        <v>1083</v>
      </c>
      <c r="G145" s="5" t="s">
        <v>601</v>
      </c>
      <c r="H145" s="5" t="s">
        <v>136</v>
      </c>
      <c r="I145" s="7">
        <v>10447761.194029851</v>
      </c>
      <c r="J145" s="7">
        <v>5970149.253731343</v>
      </c>
      <c r="K145" s="7">
        <v>11035820.895522388</v>
      </c>
      <c r="L145" s="8">
        <v>36</v>
      </c>
      <c r="M145" s="7">
        <v>135252</v>
      </c>
      <c r="N145" s="7">
        <v>29552238.805970147</v>
      </c>
      <c r="O145" s="7">
        <v>30658944</v>
      </c>
      <c r="P145" s="7">
        <v>30996614</v>
      </c>
      <c r="Q145" s="5" t="s">
        <v>606</v>
      </c>
      <c r="R145" s="5" t="s">
        <v>598</v>
      </c>
      <c r="S145" s="5" t="s">
        <v>616</v>
      </c>
      <c r="T145" s="5" t="s">
        <v>1390</v>
      </c>
      <c r="U145" s="5" t="s">
        <v>2351</v>
      </c>
      <c r="V145" s="5" t="s">
        <v>1083</v>
      </c>
      <c r="W145" s="5" t="s">
        <v>2352</v>
      </c>
      <c r="X145" s="5" t="s">
        <v>2122</v>
      </c>
      <c r="Y145" s="5"/>
      <c r="Z145" s="5" t="s">
        <v>2353</v>
      </c>
      <c r="AA145" s="5"/>
      <c r="AB145" s="5" t="s">
        <v>2354</v>
      </c>
      <c r="AC145" s="62">
        <v>8.9</v>
      </c>
    </row>
    <row r="146" spans="1:29" hidden="1">
      <c r="A146" s="4">
        <v>2017</v>
      </c>
      <c r="B146" s="4" t="s">
        <v>44</v>
      </c>
      <c r="C146" s="3">
        <f t="shared" si="2"/>
        <v>145</v>
      </c>
      <c r="D146" s="55" t="s">
        <v>1084</v>
      </c>
      <c r="E146" s="3" t="s">
        <v>1084</v>
      </c>
      <c r="F146" s="5" t="s">
        <v>1085</v>
      </c>
      <c r="G146" s="5" t="s">
        <v>601</v>
      </c>
      <c r="H146" s="5" t="s">
        <v>264</v>
      </c>
      <c r="I146" s="7">
        <v>10447761</v>
      </c>
      <c r="J146" s="7">
        <v>7462686</v>
      </c>
      <c r="K146" s="7">
        <v>24179104</v>
      </c>
      <c r="L146" s="8">
        <v>43</v>
      </c>
      <c r="M146" s="7">
        <v>115524</v>
      </c>
      <c r="N146" s="7">
        <v>64328358</v>
      </c>
      <c r="O146" s="7">
        <v>68409784</v>
      </c>
      <c r="P146" s="7">
        <v>68722321</v>
      </c>
      <c r="Q146" s="5" t="s">
        <v>606</v>
      </c>
      <c r="R146" s="5" t="s">
        <v>598</v>
      </c>
      <c r="S146" s="5" t="s">
        <v>616</v>
      </c>
      <c r="T146" s="5" t="s">
        <v>1390</v>
      </c>
      <c r="U146" s="5" t="s">
        <v>2355</v>
      </c>
      <c r="V146" s="5" t="s">
        <v>2356</v>
      </c>
      <c r="W146" s="5" t="s">
        <v>2357</v>
      </c>
      <c r="X146" s="5" t="s">
        <v>2132</v>
      </c>
      <c r="Y146" s="5"/>
      <c r="Z146" s="5" t="s">
        <v>2357</v>
      </c>
      <c r="AA146" s="5"/>
      <c r="AB146" s="5" t="s">
        <v>2358</v>
      </c>
      <c r="AC146" s="62">
        <v>9.1999999999999993</v>
      </c>
    </row>
    <row r="147" spans="1:29" hidden="1">
      <c r="A147" s="4">
        <v>2017</v>
      </c>
      <c r="B147" s="4" t="s">
        <v>44</v>
      </c>
      <c r="C147" s="3">
        <f t="shared" si="2"/>
        <v>146</v>
      </c>
      <c r="D147" s="55" t="s">
        <v>1080</v>
      </c>
      <c r="E147" s="3" t="s">
        <v>1080</v>
      </c>
      <c r="F147" s="5" t="s">
        <v>1086</v>
      </c>
      <c r="G147" s="5" t="s">
        <v>626</v>
      </c>
      <c r="H147" s="5" t="s">
        <v>129</v>
      </c>
      <c r="I147" s="7">
        <v>17910447.761194028</v>
      </c>
      <c r="J147" s="7">
        <v>8955223.880597014</v>
      </c>
      <c r="K147" s="7">
        <v>40895522.388059698</v>
      </c>
      <c r="L147" s="8">
        <v>55</v>
      </c>
      <c r="M147" s="7">
        <v>181705</v>
      </c>
      <c r="N147" s="7">
        <v>107164179.10447761</v>
      </c>
      <c r="O147" s="7">
        <v>109911139</v>
      </c>
      <c r="P147" s="7">
        <v>110203801</v>
      </c>
      <c r="Q147" s="5" t="s">
        <v>606</v>
      </c>
      <c r="R147" s="5" t="s">
        <v>598</v>
      </c>
      <c r="S147" s="5" t="s">
        <v>616</v>
      </c>
      <c r="T147" s="5" t="s">
        <v>1390</v>
      </c>
      <c r="U147" s="5" t="s">
        <v>2359</v>
      </c>
      <c r="V147" s="5" t="s">
        <v>1086</v>
      </c>
      <c r="W147" s="5" t="s">
        <v>1946</v>
      </c>
      <c r="X147" s="5"/>
      <c r="Y147" s="5"/>
      <c r="Z147" s="5" t="s">
        <v>1946</v>
      </c>
      <c r="AA147" s="5"/>
      <c r="AB147" s="5" t="s">
        <v>2360</v>
      </c>
      <c r="AC147" s="62">
        <v>7.4</v>
      </c>
    </row>
    <row r="148" spans="1:29" hidden="1">
      <c r="A148" s="4">
        <v>2017</v>
      </c>
      <c r="B148" s="4" t="s">
        <v>44</v>
      </c>
      <c r="C148" s="3">
        <f t="shared" si="2"/>
        <v>147</v>
      </c>
      <c r="D148" s="55" t="s">
        <v>1089</v>
      </c>
      <c r="E148" s="3" t="s">
        <v>1089</v>
      </c>
      <c r="F148" s="5" t="s">
        <v>1090</v>
      </c>
      <c r="G148" s="5" t="s">
        <v>601</v>
      </c>
      <c r="H148" s="5" t="s">
        <v>1404</v>
      </c>
      <c r="I148" s="7">
        <v>11940298.507462686</v>
      </c>
      <c r="J148" s="7">
        <v>2985074.6268656715</v>
      </c>
      <c r="K148" s="7">
        <v>122141791.04477611</v>
      </c>
      <c r="L148" s="41">
        <v>60692</v>
      </c>
      <c r="M148" s="42">
        <v>22180000</v>
      </c>
      <c r="N148" s="7">
        <v>32686567.164179105</v>
      </c>
      <c r="O148" s="7">
        <v>36585148</v>
      </c>
      <c r="P148" s="7">
        <v>36801704</v>
      </c>
      <c r="Q148" s="5" t="s">
        <v>606</v>
      </c>
      <c r="R148" s="5" t="s">
        <v>598</v>
      </c>
      <c r="S148" s="5" t="s">
        <v>616</v>
      </c>
      <c r="T148" s="5" t="s">
        <v>1390</v>
      </c>
      <c r="U148" s="5" t="s">
        <v>2361</v>
      </c>
      <c r="V148" s="5" t="s">
        <v>1090</v>
      </c>
      <c r="W148" s="5" t="s">
        <v>2362</v>
      </c>
      <c r="X148" s="5" t="s">
        <v>2363</v>
      </c>
      <c r="Y148" s="5"/>
      <c r="Z148" s="5" t="s">
        <v>2364</v>
      </c>
      <c r="AA148" s="5"/>
      <c r="AB148" s="5" t="s">
        <v>2365</v>
      </c>
      <c r="AC148" s="62">
        <v>8.1</v>
      </c>
    </row>
    <row r="149" spans="1:29" hidden="1">
      <c r="A149" s="4">
        <v>2017</v>
      </c>
      <c r="B149" s="4" t="s">
        <v>44</v>
      </c>
      <c r="C149" s="3">
        <f t="shared" si="2"/>
        <v>148</v>
      </c>
      <c r="D149" s="55" t="s">
        <v>1091</v>
      </c>
      <c r="E149" s="3" t="s">
        <v>1091</v>
      </c>
      <c r="F149" s="5" t="s">
        <v>1092</v>
      </c>
      <c r="G149" s="5" t="s">
        <v>626</v>
      </c>
      <c r="H149" s="5" t="s">
        <v>129</v>
      </c>
      <c r="I149" s="7">
        <v>7462686.5671641789</v>
      </c>
      <c r="J149" s="7">
        <v>2985074.6268656715</v>
      </c>
      <c r="K149" s="7">
        <v>2562089.5522388057</v>
      </c>
      <c r="L149" s="8">
        <v>33</v>
      </c>
      <c r="M149" s="7">
        <v>55307</v>
      </c>
      <c r="N149" s="7">
        <v>6984776.1194029851</v>
      </c>
      <c r="O149" s="7">
        <v>7618024</v>
      </c>
      <c r="P149" s="7">
        <v>7736408</v>
      </c>
      <c r="Q149" s="5" t="s">
        <v>606</v>
      </c>
      <c r="R149" s="5" t="s">
        <v>598</v>
      </c>
      <c r="S149" s="5" t="s">
        <v>616</v>
      </c>
      <c r="T149" s="5" t="s">
        <v>1390</v>
      </c>
      <c r="U149" s="5" t="s">
        <v>2366</v>
      </c>
      <c r="V149" s="5" t="s">
        <v>2367</v>
      </c>
      <c r="W149" s="5" t="s">
        <v>2019</v>
      </c>
      <c r="X149" s="5" t="s">
        <v>2188</v>
      </c>
      <c r="Y149" s="5" t="s">
        <v>2266</v>
      </c>
      <c r="Z149" s="5" t="s">
        <v>2368</v>
      </c>
      <c r="AA149" s="5"/>
      <c r="AB149" s="5" t="s">
        <v>2369</v>
      </c>
      <c r="AC149" s="62">
        <v>8.1999999999999993</v>
      </c>
    </row>
    <row r="150" spans="1:29" hidden="1">
      <c r="A150" s="4">
        <v>2017</v>
      </c>
      <c r="B150" s="4" t="s">
        <v>44</v>
      </c>
      <c r="C150" s="3">
        <f t="shared" si="2"/>
        <v>149</v>
      </c>
      <c r="D150" s="55" t="s">
        <v>1095</v>
      </c>
      <c r="E150" s="3" t="s">
        <v>1095</v>
      </c>
      <c r="F150" s="5" t="s">
        <v>1096</v>
      </c>
      <c r="G150" s="5" t="s">
        <v>601</v>
      </c>
      <c r="H150" s="5" t="s">
        <v>129</v>
      </c>
      <c r="I150" s="7">
        <v>11940298</v>
      </c>
      <c r="J150" s="7">
        <v>4477611</v>
      </c>
      <c r="K150" s="7">
        <v>10474626</v>
      </c>
      <c r="L150" s="8">
        <v>20</v>
      </c>
      <c r="M150" s="7">
        <v>54276</v>
      </c>
      <c r="N150" s="7">
        <v>16119402</v>
      </c>
      <c r="O150" s="7">
        <v>29836276</v>
      </c>
      <c r="P150" s="7">
        <v>29945246</v>
      </c>
      <c r="Q150" s="5" t="s">
        <v>606</v>
      </c>
      <c r="R150" s="5" t="s">
        <v>598</v>
      </c>
      <c r="S150" s="5" t="s">
        <v>607</v>
      </c>
      <c r="T150" s="5" t="s">
        <v>1390</v>
      </c>
      <c r="U150" s="5" t="s">
        <v>2370</v>
      </c>
      <c r="V150" s="5" t="s">
        <v>2371</v>
      </c>
      <c r="W150" s="5" t="s">
        <v>2372</v>
      </c>
      <c r="X150" s="5" t="s">
        <v>2373</v>
      </c>
      <c r="Y150" s="10"/>
      <c r="Z150" s="5" t="s">
        <v>2374</v>
      </c>
      <c r="AA150" s="5"/>
      <c r="AB150" s="5" t="s">
        <v>2375</v>
      </c>
      <c r="AC150" s="62">
        <v>7.9</v>
      </c>
    </row>
    <row r="151" spans="1:29" hidden="1">
      <c r="A151" s="4">
        <v>2017</v>
      </c>
      <c r="B151" s="4" t="s">
        <v>44</v>
      </c>
      <c r="C151" s="3">
        <f t="shared" si="2"/>
        <v>150</v>
      </c>
      <c r="D151" s="55" t="s">
        <v>1097</v>
      </c>
      <c r="E151" s="3" t="s">
        <v>1097</v>
      </c>
      <c r="F151" s="5" t="s">
        <v>1098</v>
      </c>
      <c r="G151" s="5" t="s">
        <v>601</v>
      </c>
      <c r="H151" s="5" t="s">
        <v>129</v>
      </c>
      <c r="I151" s="7">
        <v>14925373.134328358</v>
      </c>
      <c r="J151" s="7">
        <v>2985074.6268656715</v>
      </c>
      <c r="K151" s="7">
        <v>3342686.5671641789</v>
      </c>
      <c r="L151" s="8">
        <v>27</v>
      </c>
      <c r="M151" s="7">
        <v>23912</v>
      </c>
      <c r="N151" s="7">
        <v>9089402.9850746263</v>
      </c>
      <c r="O151" s="7">
        <v>9506524</v>
      </c>
      <c r="P151" s="7">
        <v>9560020</v>
      </c>
      <c r="Q151" s="5" t="s">
        <v>606</v>
      </c>
      <c r="R151" s="5" t="s">
        <v>598</v>
      </c>
      <c r="S151" s="5" t="s">
        <v>658</v>
      </c>
      <c r="T151" s="5" t="s">
        <v>1390</v>
      </c>
      <c r="U151" s="5" t="s">
        <v>2376</v>
      </c>
      <c r="V151" s="5" t="s">
        <v>2377</v>
      </c>
      <c r="W151" s="5" t="s">
        <v>2378</v>
      </c>
      <c r="X151" s="5" t="s">
        <v>2379</v>
      </c>
      <c r="Y151" s="10"/>
      <c r="Z151" s="5" t="s">
        <v>2380</v>
      </c>
      <c r="AA151" s="5"/>
      <c r="AB151" s="5" t="s">
        <v>1954</v>
      </c>
      <c r="AC151" s="62">
        <v>8.3000000000000007</v>
      </c>
    </row>
    <row r="152" spans="1:29" hidden="1">
      <c r="A152" s="4">
        <v>2017</v>
      </c>
      <c r="B152" s="4" t="s">
        <v>44</v>
      </c>
      <c r="C152" s="3">
        <f t="shared" si="2"/>
        <v>151</v>
      </c>
      <c r="D152" s="55" t="s">
        <v>1099</v>
      </c>
      <c r="E152" s="3" t="s">
        <v>1099</v>
      </c>
      <c r="F152" s="5" t="s">
        <v>1100</v>
      </c>
      <c r="G152" s="5" t="s">
        <v>626</v>
      </c>
      <c r="H152" s="5" t="s">
        <v>131</v>
      </c>
      <c r="I152" s="7">
        <v>8955223</v>
      </c>
      <c r="J152" s="7">
        <v>2238805</v>
      </c>
      <c r="K152" s="7">
        <v>908955</v>
      </c>
      <c r="L152" s="8">
        <v>6</v>
      </c>
      <c r="M152" s="7">
        <v>5942</v>
      </c>
      <c r="N152" s="7">
        <v>2480597</v>
      </c>
      <c r="O152" s="7">
        <v>2580320</v>
      </c>
      <c r="P152" s="7">
        <v>2632086</v>
      </c>
      <c r="Q152" s="5" t="s">
        <v>606</v>
      </c>
      <c r="R152" s="5" t="s">
        <v>598</v>
      </c>
      <c r="S152" s="5" t="s">
        <v>616</v>
      </c>
      <c r="T152" s="5" t="s">
        <v>1390</v>
      </c>
      <c r="U152" s="5" t="s">
        <v>2381</v>
      </c>
      <c r="V152" s="5" t="s">
        <v>2382</v>
      </c>
      <c r="W152" s="5" t="s">
        <v>2383</v>
      </c>
      <c r="X152" s="5" t="s">
        <v>2266</v>
      </c>
      <c r="Y152" s="10"/>
      <c r="Z152" s="5" t="s">
        <v>2384</v>
      </c>
      <c r="AA152" s="5"/>
      <c r="AB152" s="5" t="s">
        <v>2369</v>
      </c>
      <c r="AC152" s="62">
        <v>8.1999999999999993</v>
      </c>
    </row>
    <row r="153" spans="1:29" hidden="1">
      <c r="A153" s="4">
        <v>2017</v>
      </c>
      <c r="B153" s="4" t="s">
        <v>44</v>
      </c>
      <c r="C153" s="3">
        <f t="shared" si="2"/>
        <v>152</v>
      </c>
      <c r="D153" s="55" t="s">
        <v>1105</v>
      </c>
      <c r="E153" s="3" t="s">
        <v>1105</v>
      </c>
      <c r="F153" s="5" t="s">
        <v>1106</v>
      </c>
      <c r="G153" s="5" t="s">
        <v>626</v>
      </c>
      <c r="H153" s="5" t="s">
        <v>191</v>
      </c>
      <c r="I153" s="7">
        <v>447761.19402985071</v>
      </c>
      <c r="J153" s="7">
        <v>119402.98507462686</v>
      </c>
      <c r="K153" s="7">
        <v>8679104.4776119404</v>
      </c>
      <c r="L153" s="8">
        <v>11</v>
      </c>
      <c r="M153" s="7">
        <v>22222</v>
      </c>
      <c r="N153" s="7">
        <v>23283582.089552239</v>
      </c>
      <c r="O153" s="7">
        <v>25711603</v>
      </c>
      <c r="P153" s="7">
        <v>25733825</v>
      </c>
      <c r="Q153" s="5" t="s">
        <v>597</v>
      </c>
      <c r="R153" s="5" t="s">
        <v>598</v>
      </c>
      <c r="S153" s="5" t="s">
        <v>599</v>
      </c>
      <c r="T153" s="5" t="s">
        <v>1390</v>
      </c>
      <c r="U153" s="5" t="s">
        <v>2385</v>
      </c>
      <c r="V153" s="5" t="s">
        <v>1106</v>
      </c>
      <c r="W153" s="6" t="s">
        <v>1411</v>
      </c>
      <c r="X153" s="5"/>
      <c r="Y153" s="10"/>
      <c r="Z153" s="5" t="s">
        <v>2386</v>
      </c>
      <c r="AA153" s="5"/>
      <c r="AB153" s="5" t="s">
        <v>2387</v>
      </c>
      <c r="AC153" s="62">
        <v>9.1999999999999993</v>
      </c>
    </row>
    <row r="154" spans="1:29" hidden="1">
      <c r="A154" s="4">
        <v>2017</v>
      </c>
      <c r="B154" s="4" t="s">
        <v>44</v>
      </c>
      <c r="C154" s="3">
        <f t="shared" si="2"/>
        <v>153</v>
      </c>
      <c r="D154" s="55" t="s">
        <v>1107</v>
      </c>
      <c r="E154" s="3" t="s">
        <v>1107</v>
      </c>
      <c r="F154" s="5" t="s">
        <v>1108</v>
      </c>
      <c r="G154" s="5" t="s">
        <v>601</v>
      </c>
      <c r="H154" s="5" t="s">
        <v>129</v>
      </c>
      <c r="I154" s="7">
        <v>17910447</v>
      </c>
      <c r="J154" s="7">
        <v>2985074</v>
      </c>
      <c r="K154" s="7">
        <v>5985074</v>
      </c>
      <c r="L154" s="8">
        <v>4</v>
      </c>
      <c r="M154" s="7">
        <v>5122</v>
      </c>
      <c r="N154" s="7">
        <v>16119402</v>
      </c>
      <c r="O154" s="7">
        <v>17269548</v>
      </c>
      <c r="P154" s="7">
        <v>17283136</v>
      </c>
      <c r="Q154" s="5" t="s">
        <v>606</v>
      </c>
      <c r="R154" s="5" t="s">
        <v>598</v>
      </c>
      <c r="S154" s="5" t="s">
        <v>603</v>
      </c>
      <c r="T154" s="5" t="s">
        <v>1390</v>
      </c>
      <c r="U154" s="5" t="s">
        <v>2388</v>
      </c>
      <c r="V154" s="5" t="s">
        <v>2389</v>
      </c>
      <c r="W154" s="5" t="s">
        <v>2289</v>
      </c>
      <c r="X154" s="5" t="s">
        <v>1699</v>
      </c>
      <c r="Y154" s="10"/>
      <c r="Z154" s="5" t="s">
        <v>2390</v>
      </c>
      <c r="AA154" s="5"/>
      <c r="AB154" s="5" t="s">
        <v>2048</v>
      </c>
      <c r="AC154" s="62">
        <v>7.9</v>
      </c>
    </row>
    <row r="155" spans="1:29" hidden="1">
      <c r="A155" s="4">
        <v>2017</v>
      </c>
      <c r="B155" s="4" t="s">
        <v>44</v>
      </c>
      <c r="C155" s="3">
        <f t="shared" si="2"/>
        <v>154</v>
      </c>
      <c r="D155" s="55" t="s">
        <v>1126</v>
      </c>
      <c r="E155" s="3" t="s">
        <v>2391</v>
      </c>
      <c r="F155" s="5" t="s">
        <v>1138</v>
      </c>
      <c r="G155" s="5" t="s">
        <v>2392</v>
      </c>
      <c r="H155" s="5" t="s">
        <v>131</v>
      </c>
      <c r="I155" s="7">
        <v>447761.19402985071</v>
      </c>
      <c r="J155" s="7">
        <v>298507.46268656716</v>
      </c>
      <c r="K155" s="7">
        <v>1277611.9402985075</v>
      </c>
      <c r="L155" s="41">
        <v>6214</v>
      </c>
      <c r="M155" s="42">
        <v>280000</v>
      </c>
      <c r="N155" s="7">
        <v>3483582.0895522386</v>
      </c>
      <c r="O155" s="7">
        <v>3741863</v>
      </c>
      <c r="P155" s="7">
        <v>3741863</v>
      </c>
      <c r="Q155" s="5" t="s">
        <v>606</v>
      </c>
      <c r="R155" s="5" t="s">
        <v>598</v>
      </c>
      <c r="S155" s="5" t="s">
        <v>612</v>
      </c>
      <c r="T155" s="5" t="s">
        <v>2984</v>
      </c>
      <c r="U155" s="5" t="s">
        <v>2393</v>
      </c>
      <c r="V155" s="5" t="s">
        <v>1138</v>
      </c>
      <c r="W155" s="5" t="s">
        <v>2394</v>
      </c>
      <c r="X155" s="5" t="s">
        <v>2395</v>
      </c>
      <c r="Y155" s="10"/>
      <c r="Z155" s="5" t="s">
        <v>2396</v>
      </c>
      <c r="AA155" s="5"/>
      <c r="AB155" s="5" t="s">
        <v>2392</v>
      </c>
      <c r="AC155" s="62">
        <v>9.1999999999999993</v>
      </c>
    </row>
    <row r="156" spans="1:29" hidden="1">
      <c r="A156" s="4">
        <v>2017</v>
      </c>
      <c r="B156" s="4" t="s">
        <v>44</v>
      </c>
      <c r="C156" s="3">
        <f t="shared" si="2"/>
        <v>155</v>
      </c>
      <c r="D156" s="55" t="s">
        <v>1126</v>
      </c>
      <c r="E156" s="56" t="s">
        <v>2397</v>
      </c>
      <c r="F156" s="5" t="s">
        <v>1161</v>
      </c>
      <c r="G156" s="5" t="s">
        <v>1415</v>
      </c>
      <c r="H156" s="5" t="s">
        <v>129</v>
      </c>
      <c r="I156" s="7">
        <v>2985074.6268656715</v>
      </c>
      <c r="J156" s="57" t="s">
        <v>1411</v>
      </c>
      <c r="K156" s="7"/>
      <c r="L156" s="8">
        <v>11051</v>
      </c>
      <c r="M156" s="7">
        <v>1410000</v>
      </c>
      <c r="N156" s="7"/>
      <c r="O156" s="7">
        <v>6120728</v>
      </c>
      <c r="P156" s="7">
        <v>6120728</v>
      </c>
      <c r="Q156" s="5" t="s">
        <v>610</v>
      </c>
      <c r="R156" s="5" t="s">
        <v>631</v>
      </c>
      <c r="S156" s="5" t="s">
        <v>607</v>
      </c>
      <c r="T156" s="5" t="s">
        <v>2984</v>
      </c>
      <c r="U156" s="5" t="s">
        <v>2398</v>
      </c>
      <c r="V156" s="5" t="s">
        <v>2399</v>
      </c>
      <c r="W156" s="39" t="s">
        <v>2400</v>
      </c>
      <c r="X156" s="39" t="s">
        <v>2401</v>
      </c>
      <c r="Y156" s="80" t="s">
        <v>2402</v>
      </c>
      <c r="Z156" s="39" t="s">
        <v>2403</v>
      </c>
      <c r="AA156" s="5"/>
      <c r="AB156" s="5" t="s">
        <v>2404</v>
      </c>
      <c r="AC156" s="59">
        <v>8</v>
      </c>
    </row>
    <row r="157" spans="1:29" hidden="1">
      <c r="A157" s="4">
        <v>2018</v>
      </c>
      <c r="B157" s="4" t="s">
        <v>44</v>
      </c>
      <c r="C157" s="3">
        <f t="shared" si="2"/>
        <v>156</v>
      </c>
      <c r="D157" s="55" t="s">
        <v>1126</v>
      </c>
      <c r="E157" s="3" t="s">
        <v>2064</v>
      </c>
      <c r="F157" s="5" t="s">
        <v>1163</v>
      </c>
      <c r="G157" s="5" t="s">
        <v>2405</v>
      </c>
      <c r="H157" s="5" t="s">
        <v>127</v>
      </c>
      <c r="I157" s="7">
        <v>2985074</v>
      </c>
      <c r="J157" s="7">
        <v>1194029</v>
      </c>
      <c r="K157" s="7">
        <v>3714925</v>
      </c>
      <c r="L157" s="8">
        <v>49354</v>
      </c>
      <c r="M157" s="7">
        <v>153225</v>
      </c>
      <c r="N157" s="7">
        <v>10079104</v>
      </c>
      <c r="O157" s="7">
        <v>11264408</v>
      </c>
      <c r="P157" s="7">
        <v>11264408</v>
      </c>
      <c r="Q157" s="5" t="s">
        <v>602</v>
      </c>
      <c r="R157" s="5" t="s">
        <v>631</v>
      </c>
      <c r="S157" s="5" t="s">
        <v>612</v>
      </c>
      <c r="T157" s="5" t="s">
        <v>2984</v>
      </c>
      <c r="U157" s="5" t="s">
        <v>2406</v>
      </c>
      <c r="V157" s="5" t="s">
        <v>2407</v>
      </c>
      <c r="W157" s="5" t="s">
        <v>2408</v>
      </c>
      <c r="X157" s="5" t="s">
        <v>2409</v>
      </c>
      <c r="Y157" s="5"/>
      <c r="Z157" s="5" t="s">
        <v>1744</v>
      </c>
      <c r="AA157" s="5"/>
      <c r="AB157" s="5" t="s">
        <v>1746</v>
      </c>
      <c r="AC157" s="62">
        <v>8.4</v>
      </c>
    </row>
    <row r="158" spans="1:29" hidden="1">
      <c r="A158" s="4">
        <v>2017</v>
      </c>
      <c r="B158" s="4" t="s">
        <v>44</v>
      </c>
      <c r="C158" s="3">
        <f t="shared" si="2"/>
        <v>157</v>
      </c>
      <c r="D158" s="55" t="s">
        <v>1126</v>
      </c>
      <c r="E158" s="56" t="s">
        <v>668</v>
      </c>
      <c r="F158" s="5" t="s">
        <v>1178</v>
      </c>
      <c r="G158" s="5" t="s">
        <v>2410</v>
      </c>
      <c r="H158" s="5" t="s">
        <v>127</v>
      </c>
      <c r="I158" s="7">
        <v>2985074.6268656715</v>
      </c>
      <c r="J158" s="7">
        <v>1492537.3134328357</v>
      </c>
      <c r="K158" s="7">
        <v>1671343.2835820895</v>
      </c>
      <c r="L158" s="8">
        <v>8751</v>
      </c>
      <c r="M158" s="7">
        <v>49286</v>
      </c>
      <c r="N158" s="7">
        <v>4556716.4179104473</v>
      </c>
      <c r="O158" s="7">
        <v>4884807</v>
      </c>
      <c r="P158" s="7">
        <v>4884807</v>
      </c>
      <c r="Q158" s="5" t="s">
        <v>606</v>
      </c>
      <c r="R158" s="5" t="s">
        <v>631</v>
      </c>
      <c r="S158" s="5" t="s">
        <v>612</v>
      </c>
      <c r="T158" s="5" t="s">
        <v>2984</v>
      </c>
      <c r="U158" s="5" t="s">
        <v>2411</v>
      </c>
      <c r="V158" s="5" t="s">
        <v>2412</v>
      </c>
      <c r="W158" s="5" t="s">
        <v>2413</v>
      </c>
      <c r="X158" s="5" t="s">
        <v>2414</v>
      </c>
      <c r="Y158" s="5" t="s">
        <v>2415</v>
      </c>
      <c r="Z158" s="39" t="s">
        <v>2416</v>
      </c>
      <c r="AA158" s="39" t="s">
        <v>1744</v>
      </c>
      <c r="AB158" s="5" t="s">
        <v>1746</v>
      </c>
      <c r="AC158" s="62">
        <v>8.6</v>
      </c>
    </row>
    <row r="159" spans="1:29" hidden="1">
      <c r="A159" s="4">
        <v>2018</v>
      </c>
      <c r="B159" s="4" t="s">
        <v>44</v>
      </c>
      <c r="C159" s="3">
        <f t="shared" si="2"/>
        <v>158</v>
      </c>
      <c r="D159" s="55" t="s">
        <v>1126</v>
      </c>
      <c r="E159" s="3" t="s">
        <v>2397</v>
      </c>
      <c r="F159" s="5" t="s">
        <v>409</v>
      </c>
      <c r="G159" s="5" t="s">
        <v>2276</v>
      </c>
      <c r="H159" s="5" t="s">
        <v>129</v>
      </c>
      <c r="I159" s="7">
        <v>14925373</v>
      </c>
      <c r="J159" s="7">
        <v>5522388</v>
      </c>
      <c r="K159" s="7">
        <v>3305970</v>
      </c>
      <c r="L159" s="8">
        <v>44945</v>
      </c>
      <c r="M159" s="7">
        <v>6465642</v>
      </c>
      <c r="N159" s="7">
        <v>8992537</v>
      </c>
      <c r="O159" s="7">
        <v>10079961</v>
      </c>
      <c r="P159" s="7">
        <v>10079961</v>
      </c>
      <c r="Q159" s="5" t="s">
        <v>606</v>
      </c>
      <c r="R159" s="5" t="s">
        <v>598</v>
      </c>
      <c r="S159" s="5" t="s">
        <v>616</v>
      </c>
      <c r="T159" s="5" t="s">
        <v>2984</v>
      </c>
      <c r="U159" s="5" t="s">
        <v>2417</v>
      </c>
      <c r="V159" s="5" t="s">
        <v>2418</v>
      </c>
      <c r="W159" s="5" t="s">
        <v>2328</v>
      </c>
      <c r="X159" s="5"/>
      <c r="Y159" s="5" t="s">
        <v>2419</v>
      </c>
      <c r="Z159" s="5" t="s">
        <v>2420</v>
      </c>
      <c r="AA159" s="5"/>
      <c r="AB159" s="5" t="s">
        <v>1488</v>
      </c>
      <c r="AC159" s="62">
        <v>7.9</v>
      </c>
    </row>
    <row r="160" spans="1:29" hidden="1">
      <c r="A160" s="4">
        <v>2018</v>
      </c>
      <c r="B160" s="4" t="s">
        <v>44</v>
      </c>
      <c r="C160" s="3">
        <f t="shared" si="2"/>
        <v>159</v>
      </c>
      <c r="D160" s="55" t="s">
        <v>1126</v>
      </c>
      <c r="E160" s="3" t="s">
        <v>2421</v>
      </c>
      <c r="F160" s="5" t="s">
        <v>388</v>
      </c>
      <c r="G160" s="5" t="s">
        <v>2422</v>
      </c>
      <c r="H160" s="5" t="s">
        <v>136</v>
      </c>
      <c r="I160" s="7">
        <v>4477611</v>
      </c>
      <c r="J160" s="7">
        <v>2238805</v>
      </c>
      <c r="K160" s="7">
        <v>8679104</v>
      </c>
      <c r="L160" s="8">
        <v>12122</v>
      </c>
      <c r="M160" s="7">
        <v>7460000</v>
      </c>
      <c r="N160" s="7">
        <v>23432835</v>
      </c>
      <c r="O160" s="7">
        <v>26796280</v>
      </c>
      <c r="P160" s="7">
        <v>26796280</v>
      </c>
      <c r="Q160" s="5" t="s">
        <v>606</v>
      </c>
      <c r="R160" s="5" t="s">
        <v>598</v>
      </c>
      <c r="S160" s="5" t="s">
        <v>603</v>
      </c>
      <c r="T160" s="5" t="s">
        <v>2984</v>
      </c>
      <c r="U160" s="5" t="s">
        <v>2423</v>
      </c>
      <c r="V160" s="5" t="s">
        <v>2424</v>
      </c>
      <c r="W160" s="5" t="s">
        <v>2425</v>
      </c>
      <c r="X160" s="5" t="s">
        <v>2426</v>
      </c>
      <c r="Y160" s="5"/>
      <c r="Z160" s="5" t="s">
        <v>2427</v>
      </c>
      <c r="AA160" s="5"/>
      <c r="AB160" s="5" t="s">
        <v>2422</v>
      </c>
      <c r="AC160" s="62">
        <v>7.6</v>
      </c>
    </row>
    <row r="161" spans="1:29" hidden="1">
      <c r="A161" s="4">
        <v>2018</v>
      </c>
      <c r="B161" s="4" t="s">
        <v>44</v>
      </c>
      <c r="C161" s="3">
        <f t="shared" si="2"/>
        <v>160</v>
      </c>
      <c r="D161" s="55" t="s">
        <v>1126</v>
      </c>
      <c r="E161" s="3" t="s">
        <v>2209</v>
      </c>
      <c r="F161" s="5" t="s">
        <v>395</v>
      </c>
      <c r="G161" s="5" t="s">
        <v>1414</v>
      </c>
      <c r="H161" s="5" t="s">
        <v>148</v>
      </c>
      <c r="I161" s="7">
        <v>3731343</v>
      </c>
      <c r="J161" s="7">
        <v>2238805</v>
      </c>
      <c r="K161" s="7">
        <v>5592537</v>
      </c>
      <c r="L161" s="8">
        <v>64645</v>
      </c>
      <c r="M161" s="7">
        <v>9920000</v>
      </c>
      <c r="N161" s="7">
        <v>15074626</v>
      </c>
      <c r="O161" s="7">
        <v>17241380</v>
      </c>
      <c r="P161" s="7">
        <v>17241380</v>
      </c>
      <c r="Q161" s="5" t="s">
        <v>606</v>
      </c>
      <c r="R161" s="5" t="s">
        <v>598</v>
      </c>
      <c r="S161" s="5" t="s">
        <v>616</v>
      </c>
      <c r="T161" s="5" t="s">
        <v>2984</v>
      </c>
      <c r="U161" s="5" t="s">
        <v>2428</v>
      </c>
      <c r="V161" s="5" t="s">
        <v>2429</v>
      </c>
      <c r="W161" s="5" t="s">
        <v>2430</v>
      </c>
      <c r="X161" s="5" t="s">
        <v>2431</v>
      </c>
      <c r="Y161" s="5"/>
      <c r="Z161" s="5" t="s">
        <v>2432</v>
      </c>
      <c r="AA161" s="5"/>
      <c r="AB161" s="5" t="s">
        <v>2433</v>
      </c>
      <c r="AC161" s="62">
        <v>8.3000000000000007</v>
      </c>
    </row>
    <row r="162" spans="1:29" hidden="1">
      <c r="A162" s="4">
        <v>2017</v>
      </c>
      <c r="B162" s="4" t="s">
        <v>44</v>
      </c>
      <c r="C162" s="3">
        <f t="shared" si="2"/>
        <v>161</v>
      </c>
      <c r="D162" s="55" t="s">
        <v>1126</v>
      </c>
      <c r="E162" s="3" t="s">
        <v>863</v>
      </c>
      <c r="F162" s="5" t="s">
        <v>446</v>
      </c>
      <c r="G162" s="5" t="s">
        <v>2434</v>
      </c>
      <c r="H162" s="5" t="s">
        <v>131</v>
      </c>
      <c r="I162" s="7">
        <v>8955223.880597014</v>
      </c>
      <c r="J162" s="7">
        <v>1194029.8507462686</v>
      </c>
      <c r="K162" s="7">
        <v>358208.95522388059</v>
      </c>
      <c r="L162" s="8">
        <v>7655</v>
      </c>
      <c r="M162" s="7">
        <v>8323</v>
      </c>
      <c r="N162" s="7">
        <v>992537.31343283574</v>
      </c>
      <c r="O162" s="7">
        <v>1034623</v>
      </c>
      <c r="P162" s="7">
        <v>1034623</v>
      </c>
      <c r="Q162" s="5" t="s">
        <v>597</v>
      </c>
      <c r="R162" s="5" t="s">
        <v>598</v>
      </c>
      <c r="S162" s="5" t="s">
        <v>658</v>
      </c>
      <c r="T162" s="5" t="s">
        <v>2984</v>
      </c>
      <c r="U162" s="5" t="s">
        <v>2435</v>
      </c>
      <c r="V162" s="39" t="s">
        <v>2436</v>
      </c>
      <c r="W162" s="5" t="s">
        <v>2437</v>
      </c>
      <c r="X162" s="5" t="s">
        <v>2438</v>
      </c>
      <c r="Y162" s="5" t="s">
        <v>2439</v>
      </c>
      <c r="Z162" s="5" t="s">
        <v>2440</v>
      </c>
      <c r="AA162" s="5"/>
      <c r="AB162" s="5" t="s">
        <v>2441</v>
      </c>
      <c r="AC162" s="62">
        <v>7.6</v>
      </c>
    </row>
    <row r="163" spans="1:29" hidden="1">
      <c r="A163" s="4">
        <v>2017</v>
      </c>
      <c r="B163" s="4" t="s">
        <v>44</v>
      </c>
      <c r="C163" s="3">
        <f t="shared" si="2"/>
        <v>162</v>
      </c>
      <c r="D163" s="55" t="s">
        <v>1126</v>
      </c>
      <c r="E163" s="56" t="s">
        <v>1095</v>
      </c>
      <c r="F163" s="5" t="s">
        <v>1199</v>
      </c>
      <c r="G163" s="5" t="s">
        <v>1417</v>
      </c>
      <c r="H163" s="5" t="s">
        <v>131</v>
      </c>
      <c r="I163" s="7">
        <v>8955223.8800000008</v>
      </c>
      <c r="J163" s="7">
        <v>2238805.9700000002</v>
      </c>
      <c r="K163" s="7">
        <v>4051343.28</v>
      </c>
      <c r="L163" s="8">
        <v>4272</v>
      </c>
      <c r="M163" s="7">
        <v>1860000</v>
      </c>
      <c r="N163" s="7">
        <v>10971343.300000001</v>
      </c>
      <c r="O163" s="7">
        <v>11037772</v>
      </c>
      <c r="P163" s="7">
        <v>11037772</v>
      </c>
      <c r="Q163" s="5" t="s">
        <v>597</v>
      </c>
      <c r="R163" s="5" t="s">
        <v>598</v>
      </c>
      <c r="S163" s="5" t="s">
        <v>707</v>
      </c>
      <c r="T163" s="5" t="s">
        <v>2984</v>
      </c>
      <c r="U163" s="5" t="s">
        <v>2442</v>
      </c>
      <c r="V163" s="5" t="s">
        <v>2443</v>
      </c>
      <c r="W163" s="5" t="s">
        <v>2444</v>
      </c>
      <c r="X163" s="5" t="s">
        <v>2445</v>
      </c>
      <c r="Y163" s="5" t="s">
        <v>2446</v>
      </c>
      <c r="Z163" s="5" t="s">
        <v>2447</v>
      </c>
      <c r="AA163" s="5"/>
      <c r="AB163" s="5" t="s">
        <v>2448</v>
      </c>
      <c r="AC163" s="59">
        <v>9.1</v>
      </c>
    </row>
    <row r="164" spans="1:29" hidden="1">
      <c r="A164" s="4">
        <v>2017</v>
      </c>
      <c r="B164" s="4" t="s">
        <v>44</v>
      </c>
      <c r="C164" s="3">
        <f t="shared" si="2"/>
        <v>163</v>
      </c>
      <c r="D164" s="55" t="s">
        <v>1126</v>
      </c>
      <c r="E164" s="3" t="s">
        <v>1126</v>
      </c>
      <c r="F164" s="5" t="s">
        <v>1204</v>
      </c>
      <c r="G164" s="5" t="s">
        <v>2449</v>
      </c>
      <c r="H164" s="5" t="s">
        <v>127</v>
      </c>
      <c r="I164" s="7">
        <v>4477611.940298507</v>
      </c>
      <c r="J164" s="7">
        <v>1194029.8507462686</v>
      </c>
      <c r="K164" s="7">
        <v>2664776.1194029851</v>
      </c>
      <c r="L164" s="8">
        <v>4871</v>
      </c>
      <c r="M164" s="7">
        <v>570000</v>
      </c>
      <c r="N164" s="7">
        <v>7264776.1194029851</v>
      </c>
      <c r="O164" s="7">
        <v>1110000</v>
      </c>
      <c r="P164" s="7">
        <v>1110000</v>
      </c>
      <c r="Q164" s="5" t="s">
        <v>606</v>
      </c>
      <c r="R164" s="5" t="s">
        <v>631</v>
      </c>
      <c r="S164" s="5" t="s">
        <v>616</v>
      </c>
      <c r="T164" s="5" t="s">
        <v>2984</v>
      </c>
      <c r="U164" s="5" t="s">
        <v>2450</v>
      </c>
      <c r="V164" s="5" t="s">
        <v>1204</v>
      </c>
      <c r="W164" s="5" t="s">
        <v>2451</v>
      </c>
      <c r="X164" s="5" t="s">
        <v>2409</v>
      </c>
      <c r="Y164" s="5" t="s">
        <v>2452</v>
      </c>
      <c r="Z164" s="5" t="s">
        <v>2453</v>
      </c>
      <c r="AA164" s="5"/>
      <c r="AB164" s="5" t="s">
        <v>2454</v>
      </c>
      <c r="AC164" s="62">
        <v>8.5</v>
      </c>
    </row>
    <row r="165" spans="1:29" hidden="1">
      <c r="A165" s="4">
        <v>2017</v>
      </c>
      <c r="B165" s="4" t="s">
        <v>44</v>
      </c>
      <c r="C165" s="3">
        <f t="shared" si="2"/>
        <v>164</v>
      </c>
      <c r="D165" s="55" t="s">
        <v>1126</v>
      </c>
      <c r="E165" s="56" t="s">
        <v>1111</v>
      </c>
      <c r="F165" s="5" t="s">
        <v>1208</v>
      </c>
      <c r="G165" s="5" t="s">
        <v>2455</v>
      </c>
      <c r="H165" s="5" t="s">
        <v>127</v>
      </c>
      <c r="I165" s="7">
        <v>1492537</v>
      </c>
      <c r="J165" s="7">
        <v>2238805</v>
      </c>
      <c r="K165" s="7">
        <v>5395522</v>
      </c>
      <c r="L165" s="8">
        <v>14290</v>
      </c>
      <c r="M165" s="7">
        <v>1690000</v>
      </c>
      <c r="N165" s="7">
        <v>14552238</v>
      </c>
      <c r="O165" s="7">
        <v>15988889</v>
      </c>
      <c r="P165" s="7">
        <v>15988889</v>
      </c>
      <c r="Q165" s="5" t="s">
        <v>606</v>
      </c>
      <c r="R165" s="5" t="s">
        <v>598</v>
      </c>
      <c r="S165" s="5" t="s">
        <v>616</v>
      </c>
      <c r="T165" s="5" t="s">
        <v>2984</v>
      </c>
      <c r="U165" s="5" t="s">
        <v>2456</v>
      </c>
      <c r="V165" s="5" t="s">
        <v>2457</v>
      </c>
      <c r="W165" s="5" t="s">
        <v>2458</v>
      </c>
      <c r="X165" s="5" t="s">
        <v>2459</v>
      </c>
      <c r="Y165" s="5"/>
      <c r="Z165" s="5" t="s">
        <v>2458</v>
      </c>
      <c r="AA165" s="5"/>
      <c r="AB165" s="5" t="s">
        <v>2460</v>
      </c>
      <c r="AC165" s="62">
        <v>8.6</v>
      </c>
    </row>
    <row r="166" spans="1:29" hidden="1">
      <c r="A166" s="17">
        <v>2017</v>
      </c>
      <c r="B166" s="4" t="s">
        <v>44</v>
      </c>
      <c r="C166" s="3">
        <f t="shared" si="2"/>
        <v>165</v>
      </c>
      <c r="D166" s="55" t="s">
        <v>1126</v>
      </c>
      <c r="E166" s="56" t="s">
        <v>2461</v>
      </c>
      <c r="F166" s="18" t="s">
        <v>1215</v>
      </c>
      <c r="G166" s="5" t="s">
        <v>1658</v>
      </c>
      <c r="H166" s="18" t="s">
        <v>1404</v>
      </c>
      <c r="I166" s="19">
        <v>7462686.5671641789</v>
      </c>
      <c r="J166" s="19">
        <v>2985074.6268656715</v>
      </c>
      <c r="K166" s="19">
        <v>2834179.1044776118</v>
      </c>
      <c r="L166" s="8">
        <v>48475</v>
      </c>
      <c r="M166" s="7">
        <v>5690000</v>
      </c>
      <c r="N166" s="19">
        <v>7680860.5341246286</v>
      </c>
      <c r="O166" s="19">
        <v>8595808</v>
      </c>
      <c r="P166" s="19">
        <v>8595808</v>
      </c>
      <c r="Q166" s="5" t="s">
        <v>606</v>
      </c>
      <c r="R166" s="5" t="s">
        <v>598</v>
      </c>
      <c r="S166" s="5" t="s">
        <v>616</v>
      </c>
      <c r="T166" s="5" t="s">
        <v>2984</v>
      </c>
      <c r="U166" s="5" t="s">
        <v>2462</v>
      </c>
      <c r="V166" s="5" t="s">
        <v>2463</v>
      </c>
      <c r="W166" s="5" t="s">
        <v>1647</v>
      </c>
      <c r="X166" s="5" t="s">
        <v>1561</v>
      </c>
      <c r="Y166" s="5" t="s">
        <v>2383</v>
      </c>
      <c r="Z166" s="5" t="s">
        <v>2464</v>
      </c>
      <c r="AA166" s="5"/>
      <c r="AB166" s="5" t="s">
        <v>2465</v>
      </c>
      <c r="AC166" s="64">
        <v>8.4</v>
      </c>
    </row>
    <row r="167" spans="1:29" hidden="1">
      <c r="A167" s="4">
        <v>2017</v>
      </c>
      <c r="B167" s="4" t="s">
        <v>44</v>
      </c>
      <c r="C167" s="3">
        <f t="shared" si="2"/>
        <v>166</v>
      </c>
      <c r="D167" s="55" t="s">
        <v>1126</v>
      </c>
      <c r="E167" s="3" t="s">
        <v>824</v>
      </c>
      <c r="F167" s="5" t="s">
        <v>424</v>
      </c>
      <c r="G167" s="39" t="s">
        <v>1501</v>
      </c>
      <c r="H167" s="5" t="s">
        <v>136</v>
      </c>
      <c r="I167" s="7">
        <v>4477611.940298507</v>
      </c>
      <c r="J167" s="7">
        <v>746268.65671641787</v>
      </c>
      <c r="K167" s="7">
        <v>1337313.4328358208</v>
      </c>
      <c r="L167" s="41" t="s">
        <v>1501</v>
      </c>
      <c r="M167" s="7">
        <v>2292772</v>
      </c>
      <c r="N167" s="7">
        <v>3644776.1194029851</v>
      </c>
      <c r="O167" s="7">
        <v>3791880</v>
      </c>
      <c r="P167" s="7">
        <v>3791880</v>
      </c>
      <c r="Q167" s="5" t="s">
        <v>606</v>
      </c>
      <c r="R167" s="5" t="s">
        <v>598</v>
      </c>
      <c r="S167" s="5" t="s">
        <v>612</v>
      </c>
      <c r="T167" s="5" t="s">
        <v>2984</v>
      </c>
      <c r="U167" s="5" t="s">
        <v>2466</v>
      </c>
      <c r="V167" s="5" t="s">
        <v>2467</v>
      </c>
      <c r="W167" s="5" t="s">
        <v>1824</v>
      </c>
      <c r="X167" s="5" t="s">
        <v>2468</v>
      </c>
      <c r="Y167" s="5" t="s">
        <v>2469</v>
      </c>
      <c r="Z167" s="5" t="s">
        <v>2470</v>
      </c>
      <c r="AA167" s="5"/>
      <c r="AB167" s="5" t="s">
        <v>2471</v>
      </c>
      <c r="AC167" s="62">
        <v>8.4</v>
      </c>
    </row>
    <row r="168" spans="1:29" hidden="1">
      <c r="A168" s="4">
        <v>2017</v>
      </c>
      <c r="B168" s="4" t="s">
        <v>44</v>
      </c>
      <c r="C168" s="3">
        <f t="shared" si="2"/>
        <v>167</v>
      </c>
      <c r="D168" s="55" t="s">
        <v>1126</v>
      </c>
      <c r="E168" s="3" t="s">
        <v>1061</v>
      </c>
      <c r="F168" s="5" t="s">
        <v>1220</v>
      </c>
      <c r="G168" s="5" t="s">
        <v>2476</v>
      </c>
      <c r="H168" s="5" t="s">
        <v>127</v>
      </c>
      <c r="I168" s="7">
        <v>1044776.1194029851</v>
      </c>
      <c r="J168" s="7">
        <v>447761.19402985071</v>
      </c>
      <c r="K168" s="7">
        <v>1358208.9552238805</v>
      </c>
      <c r="L168" s="41">
        <v>5959</v>
      </c>
      <c r="M168" s="42">
        <v>1860000</v>
      </c>
      <c r="N168" s="7">
        <v>3702985.0746268658</v>
      </c>
      <c r="O168" s="7">
        <v>3660871</v>
      </c>
      <c r="P168" s="7">
        <v>3660871</v>
      </c>
      <c r="Q168" s="5" t="s">
        <v>606</v>
      </c>
      <c r="R168" s="5" t="s">
        <v>598</v>
      </c>
      <c r="S168" s="5" t="s">
        <v>616</v>
      </c>
      <c r="T168" s="5" t="s">
        <v>2984</v>
      </c>
      <c r="U168" s="5" t="s">
        <v>2477</v>
      </c>
      <c r="V168" s="5" t="s">
        <v>1220</v>
      </c>
      <c r="W168" s="5" t="s">
        <v>2478</v>
      </c>
      <c r="X168" s="5" t="s">
        <v>2479</v>
      </c>
      <c r="Y168" s="5" t="s">
        <v>2480</v>
      </c>
      <c r="Z168" s="5" t="s">
        <v>2481</v>
      </c>
      <c r="AA168" s="5"/>
      <c r="AB168" s="5" t="s">
        <v>2482</v>
      </c>
      <c r="AC168" s="62">
        <v>8.4</v>
      </c>
    </row>
    <row r="169" spans="1:29" hidden="1">
      <c r="A169" s="4">
        <v>2018</v>
      </c>
      <c r="B169" s="4" t="s">
        <v>44</v>
      </c>
      <c r="C169" s="3">
        <f t="shared" si="2"/>
        <v>168</v>
      </c>
      <c r="D169" s="55" t="s">
        <v>1126</v>
      </c>
      <c r="E169" s="3" t="s">
        <v>2148</v>
      </c>
      <c r="F169" s="5" t="s">
        <v>379</v>
      </c>
      <c r="G169" s="5" t="s">
        <v>2455</v>
      </c>
      <c r="H169" s="5" t="s">
        <v>131</v>
      </c>
      <c r="I169" s="7">
        <v>11194029</v>
      </c>
      <c r="J169" s="7">
        <v>4477611</v>
      </c>
      <c r="K169" s="7">
        <v>18656716</v>
      </c>
      <c r="L169" s="8">
        <v>67157</v>
      </c>
      <c r="M169" s="7">
        <v>15041365</v>
      </c>
      <c r="N169" s="7">
        <v>49850746</v>
      </c>
      <c r="O169" s="7">
        <v>56235548</v>
      </c>
      <c r="P169" s="7">
        <v>56235548</v>
      </c>
      <c r="Q169" s="5" t="s">
        <v>606</v>
      </c>
      <c r="R169" s="5" t="s">
        <v>598</v>
      </c>
      <c r="S169" s="5" t="s">
        <v>616</v>
      </c>
      <c r="T169" s="5" t="s">
        <v>2984</v>
      </c>
      <c r="U169" s="5" t="s">
        <v>2483</v>
      </c>
      <c r="V169" s="5" t="s">
        <v>2484</v>
      </c>
      <c r="W169" s="5" t="s">
        <v>2220</v>
      </c>
      <c r="X169" s="5" t="s">
        <v>2485</v>
      </c>
      <c r="Y169" s="5"/>
      <c r="Z169" s="5" t="s">
        <v>2486</v>
      </c>
      <c r="AA169" s="5"/>
      <c r="AB169" s="5" t="s">
        <v>2487</v>
      </c>
      <c r="AC169" s="62">
        <v>8.4</v>
      </c>
    </row>
    <row r="170" spans="1:29" hidden="1">
      <c r="A170" s="4">
        <v>2017</v>
      </c>
      <c r="B170" s="4" t="s">
        <v>44</v>
      </c>
      <c r="C170" s="3">
        <f t="shared" si="2"/>
        <v>169</v>
      </c>
      <c r="D170" s="55" t="s">
        <v>1126</v>
      </c>
      <c r="E170" s="56" t="s">
        <v>2488</v>
      </c>
      <c r="F170" s="5" t="s">
        <v>1232</v>
      </c>
      <c r="G170" s="5" t="s">
        <v>2489</v>
      </c>
      <c r="H170" s="5" t="s">
        <v>148</v>
      </c>
      <c r="I170" s="7">
        <v>4477611</v>
      </c>
      <c r="J170" s="7">
        <v>1492537</v>
      </c>
      <c r="K170" s="7">
        <v>1355223</v>
      </c>
      <c r="L170" s="8">
        <v>10215</v>
      </c>
      <c r="M170" s="7">
        <v>1420000</v>
      </c>
      <c r="N170" s="7">
        <v>3697014</v>
      </c>
      <c r="O170" s="7">
        <v>3957193</v>
      </c>
      <c r="P170" s="7">
        <v>3957193</v>
      </c>
      <c r="Q170" s="5" t="s">
        <v>606</v>
      </c>
      <c r="R170" s="5" t="s">
        <v>598</v>
      </c>
      <c r="S170" s="5" t="s">
        <v>603</v>
      </c>
      <c r="T170" s="5" t="s">
        <v>2984</v>
      </c>
      <c r="U170" s="5" t="s">
        <v>2490</v>
      </c>
      <c r="V170" s="5" t="s">
        <v>2491</v>
      </c>
      <c r="W170" s="5" t="s">
        <v>2492</v>
      </c>
      <c r="X170" s="5" t="s">
        <v>2493</v>
      </c>
      <c r="Y170" s="10"/>
      <c r="Z170" s="5" t="s">
        <v>2494</v>
      </c>
      <c r="AA170" s="5"/>
      <c r="AB170" s="5" t="s">
        <v>2495</v>
      </c>
      <c r="AC170" s="62">
        <v>8.4</v>
      </c>
    </row>
    <row r="171" spans="1:29" hidden="1">
      <c r="A171" s="4">
        <v>2018</v>
      </c>
      <c r="B171" s="4" t="s">
        <v>44</v>
      </c>
      <c r="C171" s="3">
        <f t="shared" si="2"/>
        <v>170</v>
      </c>
      <c r="D171" s="55" t="s">
        <v>1126</v>
      </c>
      <c r="E171" s="3" t="s">
        <v>2496</v>
      </c>
      <c r="F171" s="5" t="s">
        <v>1244</v>
      </c>
      <c r="G171" s="5" t="s">
        <v>1442</v>
      </c>
      <c r="H171" s="5" t="s">
        <v>129</v>
      </c>
      <c r="I171" s="7">
        <v>8955223</v>
      </c>
      <c r="J171" s="7">
        <v>1666666</v>
      </c>
      <c r="K171" s="7">
        <v>2026865</v>
      </c>
      <c r="L171" s="8">
        <v>46863</v>
      </c>
      <c r="M171" s="7">
        <v>42352</v>
      </c>
      <c r="N171" s="7">
        <v>5525373</v>
      </c>
      <c r="O171" s="7">
        <v>6168544</v>
      </c>
      <c r="P171" s="7">
        <v>6168544</v>
      </c>
      <c r="Q171" s="5" t="s">
        <v>606</v>
      </c>
      <c r="R171" s="5" t="s">
        <v>598</v>
      </c>
      <c r="S171" s="5" t="s">
        <v>616</v>
      </c>
      <c r="T171" s="5" t="s">
        <v>2984</v>
      </c>
      <c r="U171" s="5" t="s">
        <v>2497</v>
      </c>
      <c r="V171" s="5" t="s">
        <v>2498</v>
      </c>
      <c r="W171" s="5" t="s">
        <v>2499</v>
      </c>
      <c r="X171" s="5" t="s">
        <v>2500</v>
      </c>
      <c r="Y171" s="10"/>
      <c r="Z171" s="5" t="s">
        <v>2501</v>
      </c>
      <c r="AA171" s="5"/>
      <c r="AB171" s="5" t="s">
        <v>2502</v>
      </c>
      <c r="AC171" s="62">
        <v>6.7</v>
      </c>
    </row>
    <row r="172" spans="1:29" hidden="1">
      <c r="A172" s="4">
        <v>2017</v>
      </c>
      <c r="B172" s="4" t="s">
        <v>44</v>
      </c>
      <c r="C172" s="3">
        <f t="shared" si="2"/>
        <v>171</v>
      </c>
      <c r="D172" s="55" t="s">
        <v>1126</v>
      </c>
      <c r="E172" s="3" t="s">
        <v>2503</v>
      </c>
      <c r="F172" s="5" t="s">
        <v>450</v>
      </c>
      <c r="G172" s="5" t="s">
        <v>2504</v>
      </c>
      <c r="H172" s="5" t="s">
        <v>127</v>
      </c>
      <c r="I172" s="7">
        <v>7462686.5671641789</v>
      </c>
      <c r="J172" s="7">
        <v>1194029.8507462686</v>
      </c>
      <c r="K172" s="7">
        <v>316417.91044776118</v>
      </c>
      <c r="L172" s="41" t="s">
        <v>1501</v>
      </c>
      <c r="M172" s="7">
        <v>423431</v>
      </c>
      <c r="N172" s="7">
        <v>862686.56716417905</v>
      </c>
      <c r="O172" s="7">
        <v>933589</v>
      </c>
      <c r="P172" s="7">
        <v>933589</v>
      </c>
      <c r="Q172" s="5" t="s">
        <v>606</v>
      </c>
      <c r="R172" s="5" t="s">
        <v>631</v>
      </c>
      <c r="S172" s="5" t="s">
        <v>612</v>
      </c>
      <c r="T172" s="5" t="s">
        <v>2984</v>
      </c>
      <c r="U172" s="5" t="s">
        <v>2505</v>
      </c>
      <c r="V172" s="5" t="s">
        <v>2506</v>
      </c>
      <c r="W172" s="5" t="s">
        <v>2507</v>
      </c>
      <c r="X172" s="5" t="s">
        <v>2508</v>
      </c>
      <c r="Y172" s="26"/>
      <c r="Z172" s="5" t="s">
        <v>2509</v>
      </c>
      <c r="AA172" s="5"/>
      <c r="AB172" s="5" t="s">
        <v>2510</v>
      </c>
      <c r="AC172" s="62">
        <v>7.4</v>
      </c>
    </row>
    <row r="173" spans="1:29" hidden="1">
      <c r="A173" s="4">
        <v>2017</v>
      </c>
      <c r="B173" s="4" t="s">
        <v>44</v>
      </c>
      <c r="C173" s="3">
        <f t="shared" si="2"/>
        <v>172</v>
      </c>
      <c r="D173" s="55" t="s">
        <v>1126</v>
      </c>
      <c r="E173" s="3" t="s">
        <v>865</v>
      </c>
      <c r="F173" s="5" t="s">
        <v>427</v>
      </c>
      <c r="G173" s="39" t="s">
        <v>1501</v>
      </c>
      <c r="H173" s="5" t="s">
        <v>148</v>
      </c>
      <c r="I173" s="7">
        <v>4477611.940298507</v>
      </c>
      <c r="J173" s="7">
        <v>1194029.8507462686</v>
      </c>
      <c r="K173" s="7">
        <v>986567.1641791045</v>
      </c>
      <c r="L173" s="8">
        <v>50095</v>
      </c>
      <c r="M173" s="7">
        <v>2080000</v>
      </c>
      <c r="N173" s="7">
        <v>2689552.2388059702</v>
      </c>
      <c r="O173" s="7">
        <v>3026917</v>
      </c>
      <c r="P173" s="7">
        <v>3026917</v>
      </c>
      <c r="Q173" s="5" t="s">
        <v>606</v>
      </c>
      <c r="R173" s="5" t="s">
        <v>598</v>
      </c>
      <c r="S173" s="5" t="s">
        <v>616</v>
      </c>
      <c r="T173" s="5" t="s">
        <v>2984</v>
      </c>
      <c r="U173" s="5" t="s">
        <v>2511</v>
      </c>
      <c r="V173" s="5" t="s">
        <v>2512</v>
      </c>
      <c r="W173" s="5" t="s">
        <v>2513</v>
      </c>
      <c r="X173" s="5"/>
      <c r="Y173" s="26"/>
      <c r="Z173" s="5" t="s">
        <v>2513</v>
      </c>
      <c r="AA173" s="5"/>
      <c r="AB173" s="5" t="s">
        <v>2514</v>
      </c>
      <c r="AC173" s="62">
        <v>7.4</v>
      </c>
    </row>
    <row r="174" spans="1:29" hidden="1">
      <c r="A174" s="4">
        <v>2017</v>
      </c>
      <c r="B174" s="4" t="s">
        <v>44</v>
      </c>
      <c r="C174" s="3">
        <f t="shared" si="2"/>
        <v>173</v>
      </c>
      <c r="D174" s="55" t="s">
        <v>1126</v>
      </c>
      <c r="E174" s="3" t="s">
        <v>2515</v>
      </c>
      <c r="F174" s="5" t="s">
        <v>430</v>
      </c>
      <c r="G174" s="5" t="s">
        <v>2516</v>
      </c>
      <c r="H174" s="5" t="s">
        <v>136</v>
      </c>
      <c r="I174" s="7">
        <v>4477611.940298507</v>
      </c>
      <c r="J174" s="7">
        <v>1194029.8507462686</v>
      </c>
      <c r="K174" s="7">
        <v>916417.91044776118</v>
      </c>
      <c r="L174" s="8">
        <v>25545</v>
      </c>
      <c r="M174" s="7">
        <v>1790000</v>
      </c>
      <c r="N174" s="7">
        <v>2498507.4626865671</v>
      </c>
      <c r="O174" s="7">
        <v>2814977</v>
      </c>
      <c r="P174" s="7">
        <v>2814977</v>
      </c>
      <c r="Q174" s="5" t="s">
        <v>606</v>
      </c>
      <c r="R174" s="5" t="s">
        <v>598</v>
      </c>
      <c r="S174" s="5" t="s">
        <v>616</v>
      </c>
      <c r="T174" s="5" t="s">
        <v>2984</v>
      </c>
      <c r="U174" s="5" t="s">
        <v>2517</v>
      </c>
      <c r="V174" s="5" t="s">
        <v>2518</v>
      </c>
      <c r="W174" s="5" t="s">
        <v>2253</v>
      </c>
      <c r="X174" s="5" t="s">
        <v>1921</v>
      </c>
      <c r="Y174" s="5" t="s">
        <v>2519</v>
      </c>
      <c r="Z174" s="5" t="s">
        <v>2520</v>
      </c>
      <c r="AA174" s="5"/>
      <c r="AB174" s="5" t="s">
        <v>2521</v>
      </c>
      <c r="AC174" s="62">
        <v>7.9</v>
      </c>
    </row>
    <row r="175" spans="1:29" hidden="1">
      <c r="A175" s="4">
        <v>2017</v>
      </c>
      <c r="B175" s="4" t="s">
        <v>44</v>
      </c>
      <c r="C175" s="3">
        <f t="shared" si="2"/>
        <v>174</v>
      </c>
      <c r="D175" s="55" t="s">
        <v>1126</v>
      </c>
      <c r="E175" s="56" t="s">
        <v>1099</v>
      </c>
      <c r="F175" s="5" t="s">
        <v>1255</v>
      </c>
      <c r="G175" s="5" t="s">
        <v>2522</v>
      </c>
      <c r="H175" s="5" t="s">
        <v>131</v>
      </c>
      <c r="I175" s="7">
        <v>4477611.940298507</v>
      </c>
      <c r="J175" s="7">
        <v>2238805.9701492535</v>
      </c>
      <c r="K175" s="7">
        <v>2142985.0746268658</v>
      </c>
      <c r="L175" s="8">
        <v>37431</v>
      </c>
      <c r="M175" s="7">
        <v>4550000</v>
      </c>
      <c r="N175" s="7">
        <v>5842537.313432836</v>
      </c>
      <c r="O175" s="7">
        <v>5921481</v>
      </c>
      <c r="P175" s="7">
        <v>5921481</v>
      </c>
      <c r="Q175" s="5" t="s">
        <v>606</v>
      </c>
      <c r="R175" s="5" t="s">
        <v>598</v>
      </c>
      <c r="S175" s="5" t="s">
        <v>612</v>
      </c>
      <c r="T175" s="5" t="s">
        <v>2984</v>
      </c>
      <c r="U175" s="5" t="s">
        <v>2523</v>
      </c>
      <c r="V175" s="5" t="s">
        <v>1255</v>
      </c>
      <c r="W175" s="5" t="s">
        <v>2164</v>
      </c>
      <c r="X175" s="5"/>
      <c r="Y175" s="5"/>
      <c r="Z175" s="5" t="s">
        <v>2524</v>
      </c>
      <c r="AA175" s="5"/>
      <c r="AB175" s="5" t="s">
        <v>2525</v>
      </c>
      <c r="AC175" s="62">
        <v>7.7</v>
      </c>
    </row>
    <row r="176" spans="1:29" hidden="1">
      <c r="A176" s="17">
        <v>2017</v>
      </c>
      <c r="B176" s="4" t="s">
        <v>44</v>
      </c>
      <c r="C176" s="3">
        <f t="shared" si="2"/>
        <v>175</v>
      </c>
      <c r="D176" s="55" t="s">
        <v>1126</v>
      </c>
      <c r="E176" s="16" t="s">
        <v>1066</v>
      </c>
      <c r="F176" s="18" t="s">
        <v>1256</v>
      </c>
      <c r="G176" s="5" t="s">
        <v>2526</v>
      </c>
      <c r="H176" s="18" t="s">
        <v>127</v>
      </c>
      <c r="I176" s="19">
        <v>1492537.3134328357</v>
      </c>
      <c r="J176" s="19">
        <v>746268.65671641787</v>
      </c>
      <c r="K176" s="19">
        <v>2224626.8656716417</v>
      </c>
      <c r="L176" s="8">
        <v>6811</v>
      </c>
      <c r="M176" s="7">
        <v>590000</v>
      </c>
      <c r="N176" s="19">
        <v>6065074.626865671</v>
      </c>
      <c r="O176" s="19">
        <v>6000000</v>
      </c>
      <c r="P176" s="19">
        <v>6000000</v>
      </c>
      <c r="Q176" s="5" t="s">
        <v>606</v>
      </c>
      <c r="R176" s="5" t="s">
        <v>631</v>
      </c>
      <c r="S176" s="5" t="s">
        <v>612</v>
      </c>
      <c r="T176" s="5" t="s">
        <v>2984</v>
      </c>
      <c r="U176" s="5" t="s">
        <v>2527</v>
      </c>
      <c r="V176" s="39" t="s">
        <v>1411</v>
      </c>
      <c r="W176" s="5" t="s">
        <v>2528</v>
      </c>
      <c r="X176" s="5" t="s">
        <v>2408</v>
      </c>
      <c r="Y176" s="5" t="s">
        <v>2529</v>
      </c>
      <c r="Z176" s="5" t="s">
        <v>2530</v>
      </c>
      <c r="AA176" s="5"/>
      <c r="AB176" s="5" t="s">
        <v>2531</v>
      </c>
      <c r="AC176" s="64">
        <v>8.8000000000000007</v>
      </c>
    </row>
    <row r="177" spans="1:29" hidden="1">
      <c r="A177" s="4">
        <v>2017</v>
      </c>
      <c r="B177" s="4" t="s">
        <v>44</v>
      </c>
      <c r="C177" s="3">
        <f t="shared" si="2"/>
        <v>176</v>
      </c>
      <c r="D177" s="55" t="s">
        <v>1126</v>
      </c>
      <c r="E177" s="3" t="s">
        <v>826</v>
      </c>
      <c r="F177" s="5" t="s">
        <v>466</v>
      </c>
      <c r="G177" s="5" t="s">
        <v>2532</v>
      </c>
      <c r="H177" s="5" t="s">
        <v>136</v>
      </c>
      <c r="I177" s="7">
        <v>1492537.3134328357</v>
      </c>
      <c r="J177" s="7">
        <v>746268.65671641787</v>
      </c>
      <c r="K177" s="7">
        <v>188059.70149253731</v>
      </c>
      <c r="L177" s="41" t="s">
        <v>1501</v>
      </c>
      <c r="M177" s="7">
        <v>268002</v>
      </c>
      <c r="N177" s="7">
        <v>514925.37313432834</v>
      </c>
      <c r="O177" s="7">
        <v>544914</v>
      </c>
      <c r="P177" s="7">
        <v>544914</v>
      </c>
      <c r="Q177" s="5" t="s">
        <v>606</v>
      </c>
      <c r="R177" s="5" t="s">
        <v>598</v>
      </c>
      <c r="S177" s="5" t="s">
        <v>616</v>
      </c>
      <c r="T177" s="5" t="s">
        <v>2984</v>
      </c>
      <c r="U177" s="5" t="s">
        <v>2533</v>
      </c>
      <c r="V177" s="39" t="s">
        <v>2534</v>
      </c>
      <c r="W177" s="5" t="s">
        <v>2535</v>
      </c>
      <c r="X177" s="5" t="s">
        <v>2245</v>
      </c>
      <c r="Y177" s="5"/>
      <c r="Z177" s="5" t="s">
        <v>2536</v>
      </c>
      <c r="AA177" s="5"/>
      <c r="AB177" s="5" t="s">
        <v>2537</v>
      </c>
      <c r="AC177" s="62">
        <v>7.9</v>
      </c>
    </row>
    <row r="178" spans="1:29" hidden="1">
      <c r="A178" s="4">
        <v>2017</v>
      </c>
      <c r="B178" s="4" t="s">
        <v>44</v>
      </c>
      <c r="C178" s="3">
        <f t="shared" si="2"/>
        <v>177</v>
      </c>
      <c r="D178" s="55" t="s">
        <v>1126</v>
      </c>
      <c r="E178" s="56" t="s">
        <v>1896</v>
      </c>
      <c r="F178" s="5" t="s">
        <v>1265</v>
      </c>
      <c r="G178" s="5" t="s">
        <v>2504</v>
      </c>
      <c r="H178" s="5" t="s">
        <v>148</v>
      </c>
      <c r="I178" s="7">
        <v>4477611</v>
      </c>
      <c r="J178" s="7">
        <v>1492537</v>
      </c>
      <c r="K178" s="7">
        <v>1240298</v>
      </c>
      <c r="L178" s="8">
        <v>22756</v>
      </c>
      <c r="M178" s="7">
        <v>2210000</v>
      </c>
      <c r="N178" s="7">
        <v>3383582</v>
      </c>
      <c r="O178" s="7">
        <v>3667477</v>
      </c>
      <c r="P178" s="7">
        <v>3667477</v>
      </c>
      <c r="Q178" s="5" t="s">
        <v>606</v>
      </c>
      <c r="R178" s="5" t="s">
        <v>598</v>
      </c>
      <c r="S178" s="5" t="s">
        <v>616</v>
      </c>
      <c r="T178" s="5" t="s">
        <v>2984</v>
      </c>
      <c r="U178" s="5" t="s">
        <v>2538</v>
      </c>
      <c r="V178" s="39" t="s">
        <v>2539</v>
      </c>
      <c r="W178" s="5" t="s">
        <v>2540</v>
      </c>
      <c r="X178" s="5" t="s">
        <v>2541</v>
      </c>
      <c r="Y178" s="5"/>
      <c r="Z178" s="5" t="s">
        <v>2501</v>
      </c>
      <c r="AA178" s="5"/>
      <c r="AB178" s="5" t="s">
        <v>2504</v>
      </c>
      <c r="AC178" s="62">
        <v>8</v>
      </c>
    </row>
    <row r="179" spans="1:29" hidden="1">
      <c r="A179" s="4">
        <v>2017</v>
      </c>
      <c r="B179" s="4" t="s">
        <v>44</v>
      </c>
      <c r="C179" s="3">
        <f t="shared" si="2"/>
        <v>178</v>
      </c>
      <c r="D179" s="3" t="s">
        <v>1267</v>
      </c>
      <c r="E179" s="3" t="s">
        <v>1267</v>
      </c>
      <c r="F179" s="5" t="s">
        <v>1268</v>
      </c>
      <c r="G179" s="5" t="s">
        <v>626</v>
      </c>
      <c r="H179" s="5" t="s">
        <v>131</v>
      </c>
      <c r="I179" s="7">
        <v>14925373</v>
      </c>
      <c r="J179" s="7">
        <v>11940298</v>
      </c>
      <c r="K179" s="7">
        <v>76865671</v>
      </c>
      <c r="L179" s="8">
        <v>35</v>
      </c>
      <c r="M179" s="7">
        <v>338604</v>
      </c>
      <c r="N179" s="7">
        <v>198507462</v>
      </c>
      <c r="O179" s="7">
        <v>225197313</v>
      </c>
      <c r="P179" s="7">
        <v>227089269</v>
      </c>
      <c r="Q179" s="5" t="s">
        <v>606</v>
      </c>
      <c r="R179" s="5" t="s">
        <v>598</v>
      </c>
      <c r="S179" s="5" t="s">
        <v>658</v>
      </c>
      <c r="T179" s="5" t="s">
        <v>1390</v>
      </c>
      <c r="U179" s="5" t="s">
        <v>2542</v>
      </c>
      <c r="V179" s="5" t="s">
        <v>2543</v>
      </c>
      <c r="W179" s="5" t="s">
        <v>1656</v>
      </c>
      <c r="X179" s="5" t="s">
        <v>2544</v>
      </c>
      <c r="Y179" s="5"/>
      <c r="Z179" s="5" t="s">
        <v>1695</v>
      </c>
      <c r="AA179" s="5"/>
      <c r="AB179" s="5" t="s">
        <v>2545</v>
      </c>
      <c r="AC179" s="62">
        <v>9</v>
      </c>
    </row>
    <row r="180" spans="1:29" hidden="1">
      <c r="A180" s="4">
        <v>2017</v>
      </c>
      <c r="B180" s="4" t="s">
        <v>44</v>
      </c>
      <c r="C180" s="3">
        <f t="shared" si="2"/>
        <v>179</v>
      </c>
      <c r="D180" s="3" t="s">
        <v>1269</v>
      </c>
      <c r="E180" s="3" t="s">
        <v>1269</v>
      </c>
      <c r="F180" s="5" t="s">
        <v>1270</v>
      </c>
      <c r="G180" s="5" t="s">
        <v>626</v>
      </c>
      <c r="H180" s="5" t="s">
        <v>136</v>
      </c>
      <c r="I180" s="7">
        <v>4477611</v>
      </c>
      <c r="J180" s="7">
        <v>7462686</v>
      </c>
      <c r="K180" s="7">
        <v>104029850</v>
      </c>
      <c r="L180" s="8">
        <v>24</v>
      </c>
      <c r="M180" s="7">
        <v>180920</v>
      </c>
      <c r="N180" s="7">
        <v>267611940</v>
      </c>
      <c r="O180" s="7">
        <v>306710033</v>
      </c>
      <c r="P180" s="7">
        <v>307547824</v>
      </c>
      <c r="Q180" s="5" t="s">
        <v>606</v>
      </c>
      <c r="R180" s="5" t="s">
        <v>598</v>
      </c>
      <c r="S180" s="5" t="s">
        <v>616</v>
      </c>
      <c r="T180" s="5" t="s">
        <v>1390</v>
      </c>
      <c r="U180" s="5" t="s">
        <v>2546</v>
      </c>
      <c r="V180" s="5" t="s">
        <v>2547</v>
      </c>
      <c r="W180" s="5" t="s">
        <v>2095</v>
      </c>
      <c r="X180" s="5" t="s">
        <v>2548</v>
      </c>
      <c r="Y180" s="5"/>
      <c r="Z180" s="5" t="s">
        <v>2549</v>
      </c>
      <c r="AA180" s="5"/>
      <c r="AB180" s="5" t="s">
        <v>2369</v>
      </c>
      <c r="AC180" s="62">
        <v>9.1</v>
      </c>
    </row>
    <row r="181" spans="1:29" hidden="1">
      <c r="A181" s="4">
        <v>2017</v>
      </c>
      <c r="B181" s="4" t="s">
        <v>44</v>
      </c>
      <c r="C181" s="3">
        <f t="shared" si="2"/>
        <v>180</v>
      </c>
      <c r="D181" s="3" t="s">
        <v>1272</v>
      </c>
      <c r="E181" s="3" t="s">
        <v>1272</v>
      </c>
      <c r="F181" s="5" t="s">
        <v>1273</v>
      </c>
      <c r="G181" s="5" t="s">
        <v>601</v>
      </c>
      <c r="H181" s="5" t="s">
        <v>129</v>
      </c>
      <c r="I181" s="7">
        <v>14925373</v>
      </c>
      <c r="J181" s="7">
        <v>4477611</v>
      </c>
      <c r="K181" s="7">
        <v>13728358</v>
      </c>
      <c r="L181" s="8">
        <v>2</v>
      </c>
      <c r="M181" s="7">
        <v>5296</v>
      </c>
      <c r="N181" s="7">
        <v>36716417</v>
      </c>
      <c r="O181" s="7">
        <v>39951588</v>
      </c>
      <c r="P181" s="7">
        <v>39965792</v>
      </c>
      <c r="Q181" s="5" t="s">
        <v>606</v>
      </c>
      <c r="R181" s="5" t="s">
        <v>598</v>
      </c>
      <c r="S181" s="5" t="s">
        <v>658</v>
      </c>
      <c r="T181" s="5" t="s">
        <v>1390</v>
      </c>
      <c r="U181" s="5" t="s">
        <v>2550</v>
      </c>
      <c r="V181" s="5" t="s">
        <v>2551</v>
      </c>
      <c r="W181" s="5" t="s">
        <v>2507</v>
      </c>
      <c r="X181" s="5" t="s">
        <v>2372</v>
      </c>
      <c r="Y181" s="5"/>
      <c r="Z181" s="5" t="s">
        <v>2552</v>
      </c>
      <c r="AA181" s="5"/>
      <c r="AB181" s="5" t="s">
        <v>2553</v>
      </c>
      <c r="AC181" s="62">
        <v>8.5</v>
      </c>
    </row>
    <row r="182" spans="1:29" ht="15" hidden="1">
      <c r="A182" s="4">
        <v>2017</v>
      </c>
      <c r="B182" s="4" t="s">
        <v>44</v>
      </c>
      <c r="C182" s="3">
        <f t="shared" si="2"/>
        <v>181</v>
      </c>
      <c r="D182" s="55" t="s">
        <v>1126</v>
      </c>
      <c r="E182" s="3" t="s">
        <v>1089</v>
      </c>
      <c r="F182" s="5" t="s">
        <v>1274</v>
      </c>
      <c r="G182" s="5" t="s">
        <v>2554</v>
      </c>
      <c r="H182" s="5" t="s">
        <v>127</v>
      </c>
      <c r="I182" s="7">
        <v>4477611.940298507</v>
      </c>
      <c r="J182" s="7">
        <v>1492537.3134328357</v>
      </c>
      <c r="K182" s="7">
        <v>5356716.4179104473</v>
      </c>
      <c r="L182" s="41">
        <v>26748</v>
      </c>
      <c r="M182" s="42">
        <v>760000</v>
      </c>
      <c r="N182" s="7">
        <v>14449253.731343282</v>
      </c>
      <c r="O182" s="7">
        <v>15874097</v>
      </c>
      <c r="P182" s="7">
        <v>15874097</v>
      </c>
      <c r="Q182" s="5" t="s">
        <v>606</v>
      </c>
      <c r="R182" s="5" t="s">
        <v>631</v>
      </c>
      <c r="S182" s="5" t="s">
        <v>612</v>
      </c>
      <c r="T182" s="5" t="s">
        <v>2984</v>
      </c>
      <c r="U182" s="5" t="s">
        <v>2555</v>
      </c>
      <c r="V182" s="5" t="s">
        <v>2556</v>
      </c>
      <c r="W182" s="5" t="s">
        <v>2557</v>
      </c>
      <c r="X182" s="5"/>
      <c r="Y182" s="5"/>
      <c r="Z182" s="5" t="s">
        <v>2558</v>
      </c>
      <c r="AA182" s="5"/>
      <c r="AB182" s="5" t="s">
        <v>2559</v>
      </c>
      <c r="AC182" s="62">
        <v>8.9</v>
      </c>
    </row>
    <row r="183" spans="1:29" hidden="1">
      <c r="A183" s="4">
        <v>2017</v>
      </c>
      <c r="B183" s="4" t="s">
        <v>44</v>
      </c>
      <c r="C183" s="3">
        <f t="shared" si="2"/>
        <v>182</v>
      </c>
      <c r="D183" s="55" t="s">
        <v>1126</v>
      </c>
      <c r="E183" s="3" t="s">
        <v>2309</v>
      </c>
      <c r="F183" s="5" t="s">
        <v>1279</v>
      </c>
      <c r="G183" s="5" t="s">
        <v>2560</v>
      </c>
      <c r="H183" s="5" t="s">
        <v>136</v>
      </c>
      <c r="I183" s="7">
        <v>11940298</v>
      </c>
      <c r="J183" s="7">
        <v>8955223</v>
      </c>
      <c r="K183" s="7">
        <v>12029850</v>
      </c>
      <c r="L183" s="8">
        <v>110319</v>
      </c>
      <c r="M183" s="7">
        <v>46732917</v>
      </c>
      <c r="N183" s="7">
        <v>308507462</v>
      </c>
      <c r="O183" s="7">
        <v>334536622</v>
      </c>
      <c r="P183" s="7">
        <v>334536622</v>
      </c>
      <c r="Q183" s="5" t="s">
        <v>606</v>
      </c>
      <c r="R183" s="5" t="s">
        <v>598</v>
      </c>
      <c r="S183" s="5" t="s">
        <v>616</v>
      </c>
      <c r="T183" s="5" t="s">
        <v>2984</v>
      </c>
      <c r="U183" s="5" t="s">
        <v>2561</v>
      </c>
      <c r="V183" s="5" t="s">
        <v>1279</v>
      </c>
      <c r="W183" s="5" t="s">
        <v>2562</v>
      </c>
      <c r="X183" s="5" t="s">
        <v>2563</v>
      </c>
      <c r="Y183" s="5" t="s">
        <v>1974</v>
      </c>
      <c r="Z183" s="5" t="s">
        <v>2564</v>
      </c>
      <c r="AA183" s="5" t="s">
        <v>2565</v>
      </c>
      <c r="AB183" s="27" t="s">
        <v>2560</v>
      </c>
      <c r="AC183" s="62">
        <v>9.1</v>
      </c>
    </row>
    <row r="184" spans="1:29" hidden="1">
      <c r="A184" s="4">
        <v>2017</v>
      </c>
      <c r="B184" s="4" t="s">
        <v>44</v>
      </c>
      <c r="C184" s="3">
        <f t="shared" si="2"/>
        <v>183</v>
      </c>
      <c r="D184" s="55" t="s">
        <v>1126</v>
      </c>
      <c r="E184" s="56" t="s">
        <v>874</v>
      </c>
      <c r="F184" s="5" t="s">
        <v>1282</v>
      </c>
      <c r="G184" s="5" t="s">
        <v>2566</v>
      </c>
      <c r="H184" s="5" t="s">
        <v>129</v>
      </c>
      <c r="I184" s="7">
        <v>29850746</v>
      </c>
      <c r="J184" s="7">
        <v>7462686</v>
      </c>
      <c r="K184" s="7">
        <v>5535820</v>
      </c>
      <c r="L184" s="8">
        <v>87906</v>
      </c>
      <c r="M184" s="7">
        <v>11150837</v>
      </c>
      <c r="N184" s="7">
        <v>14925373</v>
      </c>
      <c r="O184" s="7">
        <v>18339343</v>
      </c>
      <c r="P184" s="7">
        <v>18339343</v>
      </c>
      <c r="Q184" s="5" t="s">
        <v>602</v>
      </c>
      <c r="R184" s="5" t="s">
        <v>598</v>
      </c>
      <c r="S184" s="5" t="s">
        <v>616</v>
      </c>
      <c r="T184" s="5" t="s">
        <v>2984</v>
      </c>
      <c r="U184" s="5" t="s">
        <v>2567</v>
      </c>
      <c r="V184" s="5" t="s">
        <v>2568</v>
      </c>
      <c r="W184" s="5" t="s">
        <v>2569</v>
      </c>
      <c r="X184" s="5" t="s">
        <v>2570</v>
      </c>
      <c r="Y184" s="5"/>
      <c r="Z184" s="5" t="s">
        <v>2571</v>
      </c>
      <c r="AA184" s="5"/>
      <c r="AB184" s="5" t="s">
        <v>2572</v>
      </c>
      <c r="AC184" s="62">
        <v>7.7</v>
      </c>
    </row>
    <row r="185" spans="1:29" hidden="1">
      <c r="A185" s="4">
        <v>2017</v>
      </c>
      <c r="B185" s="4" t="s">
        <v>44</v>
      </c>
      <c r="C185" s="3">
        <f t="shared" si="2"/>
        <v>184</v>
      </c>
      <c r="D185" s="55" t="s">
        <v>1126</v>
      </c>
      <c r="E185" s="56" t="s">
        <v>2573</v>
      </c>
      <c r="F185" s="5" t="s">
        <v>1283</v>
      </c>
      <c r="G185" s="5" t="s">
        <v>1428</v>
      </c>
      <c r="H185" s="5" t="s">
        <v>136</v>
      </c>
      <c r="I185" s="7">
        <v>5970149.253731343</v>
      </c>
      <c r="J185" s="7">
        <v>1492537.3134328357</v>
      </c>
      <c r="K185" s="7">
        <v>1679253.7313432836</v>
      </c>
      <c r="L185" s="8">
        <v>27254</v>
      </c>
      <c r="M185" s="7">
        <v>2741992</v>
      </c>
      <c r="N185" s="7">
        <v>4578059.7014925368</v>
      </c>
      <c r="O185" s="7">
        <v>4681992</v>
      </c>
      <c r="P185" s="7">
        <v>4681992</v>
      </c>
      <c r="Q185" s="5" t="s">
        <v>1398</v>
      </c>
      <c r="R185" s="5" t="s">
        <v>598</v>
      </c>
      <c r="S185" s="5" t="s">
        <v>616</v>
      </c>
      <c r="T185" s="5" t="s">
        <v>2984</v>
      </c>
      <c r="U185" s="5" t="s">
        <v>2574</v>
      </c>
      <c r="V185" s="5" t="s">
        <v>1283</v>
      </c>
      <c r="W185" s="5" t="s">
        <v>2169</v>
      </c>
      <c r="X185" s="5"/>
      <c r="Y185" s="5"/>
      <c r="Z185" s="5" t="s">
        <v>2169</v>
      </c>
      <c r="AA185" s="5"/>
      <c r="AB185" s="5" t="s">
        <v>2575</v>
      </c>
      <c r="AC185" s="62">
        <v>7.6</v>
      </c>
    </row>
    <row r="186" spans="1:29" hidden="1">
      <c r="A186" s="4">
        <v>2018</v>
      </c>
      <c r="B186" s="4" t="s">
        <v>44</v>
      </c>
      <c r="C186" s="3">
        <f t="shared" si="2"/>
        <v>185</v>
      </c>
      <c r="D186" s="55" t="s">
        <v>1126</v>
      </c>
      <c r="E186" s="3" t="s">
        <v>2496</v>
      </c>
      <c r="F186" s="5" t="s">
        <v>366</v>
      </c>
      <c r="G186" s="5" t="s">
        <v>1916</v>
      </c>
      <c r="H186" s="5" t="s">
        <v>131</v>
      </c>
      <c r="I186" s="7">
        <v>14925373</v>
      </c>
      <c r="J186" s="7">
        <v>4477611</v>
      </c>
      <c r="K186" s="7">
        <v>39552238</v>
      </c>
      <c r="L186" s="8">
        <v>57349</v>
      </c>
      <c r="M186" s="7">
        <v>37050000</v>
      </c>
      <c r="N186" s="7">
        <v>104029850</v>
      </c>
      <c r="O186" s="7">
        <v>119035160</v>
      </c>
      <c r="P186" s="7">
        <v>119035160</v>
      </c>
      <c r="Q186" s="5" t="s">
        <v>602</v>
      </c>
      <c r="R186" s="5" t="s">
        <v>598</v>
      </c>
      <c r="S186" s="5" t="s">
        <v>658</v>
      </c>
      <c r="T186" s="5" t="s">
        <v>2984</v>
      </c>
      <c r="U186" s="5" t="s">
        <v>2576</v>
      </c>
      <c r="V186" s="5" t="s">
        <v>2577</v>
      </c>
      <c r="W186" s="5" t="s">
        <v>1633</v>
      </c>
      <c r="X186" s="5" t="s">
        <v>1573</v>
      </c>
      <c r="Y186" s="5"/>
      <c r="Z186" s="5" t="s">
        <v>2578</v>
      </c>
      <c r="AA186" s="5"/>
      <c r="AB186" s="5" t="s">
        <v>2579</v>
      </c>
      <c r="AC186" s="62">
        <v>8.6</v>
      </c>
    </row>
    <row r="187" spans="1:29" hidden="1">
      <c r="A187" s="4">
        <v>2017</v>
      </c>
      <c r="B187" s="4" t="s">
        <v>44</v>
      </c>
      <c r="C187" s="3">
        <f t="shared" si="2"/>
        <v>186</v>
      </c>
      <c r="D187" s="55" t="s">
        <v>1126</v>
      </c>
      <c r="E187" s="3" t="s">
        <v>2515</v>
      </c>
      <c r="F187" s="5" t="s">
        <v>1288</v>
      </c>
      <c r="G187" s="39" t="s">
        <v>1501</v>
      </c>
      <c r="H187" s="5" t="s">
        <v>131</v>
      </c>
      <c r="I187" s="7">
        <v>1194029.8507462686</v>
      </c>
      <c r="J187" s="7">
        <v>746268.65671641787</v>
      </c>
      <c r="K187" s="7">
        <v>179104.4776119403</v>
      </c>
      <c r="L187" s="41" t="s">
        <v>1501</v>
      </c>
      <c r="M187" s="42" t="s">
        <v>1501</v>
      </c>
      <c r="N187" s="7">
        <v>489552.23880597012</v>
      </c>
      <c r="O187" s="7">
        <v>512000</v>
      </c>
      <c r="P187" s="7">
        <v>512000</v>
      </c>
      <c r="Q187" s="5" t="s">
        <v>606</v>
      </c>
      <c r="R187" s="5" t="s">
        <v>598</v>
      </c>
      <c r="S187" s="5" t="s">
        <v>616</v>
      </c>
      <c r="T187" s="5" t="s">
        <v>2984</v>
      </c>
      <c r="U187" s="5" t="s">
        <v>2580</v>
      </c>
      <c r="V187" s="5" t="s">
        <v>2581</v>
      </c>
      <c r="W187" s="5" t="s">
        <v>2582</v>
      </c>
      <c r="X187" s="5" t="s">
        <v>2583</v>
      </c>
      <c r="Y187" s="5" t="s">
        <v>2584</v>
      </c>
      <c r="Z187" s="5" t="s">
        <v>2585</v>
      </c>
      <c r="AA187" s="5"/>
      <c r="AB187" s="5" t="s">
        <v>2586</v>
      </c>
      <c r="AC187" s="63" t="s">
        <v>1665</v>
      </c>
    </row>
    <row r="188" spans="1:29" hidden="1">
      <c r="A188" s="4">
        <v>2017</v>
      </c>
      <c r="B188" s="4" t="s">
        <v>44</v>
      </c>
      <c r="C188" s="3">
        <f t="shared" si="2"/>
        <v>187</v>
      </c>
      <c r="D188" s="55" t="s">
        <v>1126</v>
      </c>
      <c r="E188" s="56" t="s">
        <v>1093</v>
      </c>
      <c r="F188" s="5" t="s">
        <v>1289</v>
      </c>
      <c r="G188" s="5" t="s">
        <v>1428</v>
      </c>
      <c r="H188" s="5" t="s">
        <v>136</v>
      </c>
      <c r="I188" s="7">
        <v>13333333</v>
      </c>
      <c r="J188" s="7">
        <v>7462686</v>
      </c>
      <c r="K188" s="7">
        <v>5270149</v>
      </c>
      <c r="L188" s="41">
        <v>46411</v>
      </c>
      <c r="M188" s="42">
        <v>772788</v>
      </c>
      <c r="N188" s="7">
        <v>14217910</v>
      </c>
      <c r="O188" s="7">
        <v>14897163</v>
      </c>
      <c r="P188" s="7">
        <v>14897163</v>
      </c>
      <c r="Q188" s="5" t="s">
        <v>606</v>
      </c>
      <c r="R188" s="5" t="s">
        <v>598</v>
      </c>
      <c r="S188" s="5" t="s">
        <v>616</v>
      </c>
      <c r="T188" s="5" t="s">
        <v>2984</v>
      </c>
      <c r="U188" s="5" t="s">
        <v>2587</v>
      </c>
      <c r="V188" s="5" t="s">
        <v>2588</v>
      </c>
      <c r="W188" s="5" t="s">
        <v>2589</v>
      </c>
      <c r="X188" s="5" t="s">
        <v>1541</v>
      </c>
      <c r="Y188" s="5"/>
      <c r="Z188" s="5" t="s">
        <v>2589</v>
      </c>
      <c r="AA188" s="5"/>
      <c r="AB188" s="5" t="s">
        <v>2590</v>
      </c>
      <c r="AC188" s="62">
        <v>7.5</v>
      </c>
    </row>
    <row r="189" spans="1:29" hidden="1">
      <c r="A189" s="4">
        <v>2017</v>
      </c>
      <c r="B189" s="4" t="s">
        <v>44</v>
      </c>
      <c r="C189" s="3">
        <f t="shared" si="2"/>
        <v>188</v>
      </c>
      <c r="D189" s="55" t="s">
        <v>1126</v>
      </c>
      <c r="E189" s="56" t="s">
        <v>2022</v>
      </c>
      <c r="F189" s="5" t="s">
        <v>1291</v>
      </c>
      <c r="G189" s="5" t="s">
        <v>1428</v>
      </c>
      <c r="H189" s="5" t="s">
        <v>127</v>
      </c>
      <c r="I189" s="7">
        <v>2238805.9700000002</v>
      </c>
      <c r="J189" s="7">
        <v>1492537.31</v>
      </c>
      <c r="K189" s="7">
        <v>4552388.0599999996</v>
      </c>
      <c r="L189" s="8">
        <v>24230</v>
      </c>
      <c r="M189" s="7">
        <v>3780000</v>
      </c>
      <c r="N189" s="7">
        <v>12307164.199999999</v>
      </c>
      <c r="O189" s="7">
        <v>13006233</v>
      </c>
      <c r="P189" s="7">
        <v>13006233</v>
      </c>
      <c r="Q189" s="5" t="s">
        <v>606</v>
      </c>
      <c r="R189" s="5" t="s">
        <v>631</v>
      </c>
      <c r="S189" s="5" t="s">
        <v>612</v>
      </c>
      <c r="T189" s="5" t="s">
        <v>2984</v>
      </c>
      <c r="U189" s="5" t="s">
        <v>2591</v>
      </c>
      <c r="V189" s="39" t="s">
        <v>2592</v>
      </c>
      <c r="W189" s="5" t="s">
        <v>2593</v>
      </c>
      <c r="X189" s="5" t="s">
        <v>2594</v>
      </c>
      <c r="Y189" s="5" t="s">
        <v>2595</v>
      </c>
      <c r="Z189" s="5" t="s">
        <v>2596</v>
      </c>
      <c r="AA189" s="5"/>
      <c r="AB189" s="5" t="s">
        <v>1449</v>
      </c>
      <c r="AC189" s="62">
        <v>8.3000000000000007</v>
      </c>
    </row>
    <row r="190" spans="1:29" hidden="1">
      <c r="A190" s="4">
        <v>2017</v>
      </c>
      <c r="B190" s="4" t="s">
        <v>44</v>
      </c>
      <c r="C190" s="3">
        <f t="shared" si="2"/>
        <v>189</v>
      </c>
      <c r="D190" s="55" t="s">
        <v>1126</v>
      </c>
      <c r="E190" s="56" t="s">
        <v>2603</v>
      </c>
      <c r="F190" s="5" t="s">
        <v>1294</v>
      </c>
      <c r="G190" s="5" t="s">
        <v>1410</v>
      </c>
      <c r="H190" s="5" t="s">
        <v>148</v>
      </c>
      <c r="I190" s="7">
        <v>11940298</v>
      </c>
      <c r="J190" s="7">
        <v>2985074</v>
      </c>
      <c r="K190" s="7">
        <v>6546268</v>
      </c>
      <c r="L190" s="8">
        <v>64062</v>
      </c>
      <c r="M190" s="7">
        <v>790000</v>
      </c>
      <c r="N190" s="7">
        <v>26865671</v>
      </c>
      <c r="O190" s="7">
        <v>18764048</v>
      </c>
      <c r="P190" s="7">
        <v>18764048</v>
      </c>
      <c r="Q190" s="5" t="s">
        <v>606</v>
      </c>
      <c r="R190" s="5" t="s">
        <v>598</v>
      </c>
      <c r="S190" s="5" t="s">
        <v>616</v>
      </c>
      <c r="T190" s="5" t="s">
        <v>2984</v>
      </c>
      <c r="U190" s="5" t="s">
        <v>2604</v>
      </c>
      <c r="V190" s="5" t="s">
        <v>2605</v>
      </c>
      <c r="W190" s="5" t="s">
        <v>2357</v>
      </c>
      <c r="X190" s="5" t="s">
        <v>2606</v>
      </c>
      <c r="Y190" s="5"/>
      <c r="Z190" s="5" t="s">
        <v>2607</v>
      </c>
      <c r="AA190" s="5"/>
      <c r="AB190" s="5" t="s">
        <v>1948</v>
      </c>
      <c r="AC190" s="62">
        <v>8</v>
      </c>
    </row>
    <row r="191" spans="1:29" hidden="1">
      <c r="A191" s="4">
        <v>2017</v>
      </c>
      <c r="B191" s="4" t="s">
        <v>44</v>
      </c>
      <c r="C191" s="3">
        <f t="shared" si="2"/>
        <v>190</v>
      </c>
      <c r="D191" s="55" t="s">
        <v>1126</v>
      </c>
      <c r="E191" s="56" t="s">
        <v>2608</v>
      </c>
      <c r="F191" s="5" t="s">
        <v>1296</v>
      </c>
      <c r="G191" s="5" t="s">
        <v>2609</v>
      </c>
      <c r="H191" s="5" t="s">
        <v>129</v>
      </c>
      <c r="I191" s="7">
        <v>7462686.5700000003</v>
      </c>
      <c r="J191" s="7">
        <v>14992537.310000001</v>
      </c>
      <c r="K191" s="7">
        <v>3583134.33</v>
      </c>
      <c r="L191" s="8">
        <v>4316</v>
      </c>
      <c r="M191" s="7">
        <v>1580000</v>
      </c>
      <c r="N191" s="7">
        <v>9729104.4800000004</v>
      </c>
      <c r="O191" s="7">
        <v>9782949</v>
      </c>
      <c r="P191" s="7">
        <v>9782949</v>
      </c>
      <c r="Q191" s="5" t="s">
        <v>597</v>
      </c>
      <c r="R191" s="5" t="s">
        <v>598</v>
      </c>
      <c r="S191" s="5" t="s">
        <v>599</v>
      </c>
      <c r="T191" s="5" t="s">
        <v>2984</v>
      </c>
      <c r="U191" s="5" t="s">
        <v>2610</v>
      </c>
      <c r="V191" s="5" t="s">
        <v>1296</v>
      </c>
      <c r="W191" s="5" t="s">
        <v>2611</v>
      </c>
      <c r="X191" s="5" t="s">
        <v>2612</v>
      </c>
      <c r="Y191" s="5" t="s">
        <v>2613</v>
      </c>
      <c r="Z191" s="5" t="s">
        <v>2614</v>
      </c>
      <c r="AA191" s="5"/>
      <c r="AB191" s="5" t="s">
        <v>2465</v>
      </c>
      <c r="AC191" s="62">
        <v>8.6</v>
      </c>
    </row>
    <row r="192" spans="1:29" hidden="1">
      <c r="A192" s="4">
        <v>2017</v>
      </c>
      <c r="B192" s="4" t="s">
        <v>44</v>
      </c>
      <c r="C192" s="3">
        <f t="shared" si="2"/>
        <v>191</v>
      </c>
      <c r="D192" s="55" t="s">
        <v>1126</v>
      </c>
      <c r="E192" s="56" t="s">
        <v>2615</v>
      </c>
      <c r="F192" s="5" t="s">
        <v>1302</v>
      </c>
      <c r="G192" s="5" t="s">
        <v>1658</v>
      </c>
      <c r="H192" s="5" t="s">
        <v>131</v>
      </c>
      <c r="I192" s="7">
        <v>1492537</v>
      </c>
      <c r="J192" s="7">
        <v>746268</v>
      </c>
      <c r="K192" s="7">
        <v>5928358</v>
      </c>
      <c r="L192" s="8">
        <v>19177</v>
      </c>
      <c r="M192" s="7">
        <v>5090000</v>
      </c>
      <c r="N192" s="7">
        <v>15970149</v>
      </c>
      <c r="O192" s="7">
        <v>16444489</v>
      </c>
      <c r="P192" s="7">
        <v>16444489</v>
      </c>
      <c r="Q192" s="5" t="s">
        <v>606</v>
      </c>
      <c r="R192" s="5" t="s">
        <v>598</v>
      </c>
      <c r="S192" s="5" t="s">
        <v>616</v>
      </c>
      <c r="T192" s="5" t="s">
        <v>2984</v>
      </c>
      <c r="U192" s="5" t="s">
        <v>2616</v>
      </c>
      <c r="V192" s="5" t="s">
        <v>2617</v>
      </c>
      <c r="W192" s="5" t="s">
        <v>2618</v>
      </c>
      <c r="X192" s="5" t="s">
        <v>2619</v>
      </c>
      <c r="Y192" s="5"/>
      <c r="Z192" s="5" t="s">
        <v>2620</v>
      </c>
      <c r="AA192" s="5"/>
      <c r="AB192" s="5" t="s">
        <v>1658</v>
      </c>
      <c r="AC192" s="62">
        <v>8.4</v>
      </c>
    </row>
    <row r="193" spans="1:29" hidden="1">
      <c r="A193" s="4">
        <v>2017</v>
      </c>
      <c r="B193" s="4" t="s">
        <v>44</v>
      </c>
      <c r="C193" s="3">
        <f t="shared" si="2"/>
        <v>192</v>
      </c>
      <c r="D193" s="55" t="s">
        <v>1126</v>
      </c>
      <c r="E193" s="46" t="s">
        <v>2621</v>
      </c>
      <c r="F193" s="5" t="s">
        <v>1303</v>
      </c>
      <c r="G193" s="39" t="s">
        <v>2622</v>
      </c>
      <c r="H193" s="5" t="s">
        <v>131</v>
      </c>
      <c r="I193" s="7">
        <v>11940298.5</v>
      </c>
      <c r="J193" s="7">
        <v>295074.63</v>
      </c>
      <c r="K193" s="7">
        <v>4094029.85</v>
      </c>
      <c r="L193" s="41">
        <v>51459</v>
      </c>
      <c r="M193" s="42">
        <v>7450000</v>
      </c>
      <c r="N193" s="7">
        <v>11088059.699999999</v>
      </c>
      <c r="O193" s="7">
        <v>11170000</v>
      </c>
      <c r="P193" s="7">
        <v>11170000</v>
      </c>
      <c r="Q193" s="5" t="s">
        <v>606</v>
      </c>
      <c r="R193" s="5" t="s">
        <v>598</v>
      </c>
      <c r="S193" s="5" t="s">
        <v>658</v>
      </c>
      <c r="T193" s="5" t="s">
        <v>2984</v>
      </c>
      <c r="U193" s="5" t="s">
        <v>2623</v>
      </c>
      <c r="V193" s="5" t="s">
        <v>2624</v>
      </c>
      <c r="W193" s="5" t="s">
        <v>1905</v>
      </c>
      <c r="X193" s="5" t="s">
        <v>2625</v>
      </c>
      <c r="Y193" s="5" t="s">
        <v>1861</v>
      </c>
      <c r="Z193" s="5" t="s">
        <v>2626</v>
      </c>
      <c r="AA193" s="5"/>
      <c r="AB193" s="39" t="s">
        <v>2627</v>
      </c>
      <c r="AC193" s="62">
        <v>8.1999999999999993</v>
      </c>
    </row>
    <row r="194" spans="1:29" hidden="1">
      <c r="A194" s="4">
        <v>2017</v>
      </c>
      <c r="B194" s="4" t="s">
        <v>44</v>
      </c>
      <c r="C194" s="3">
        <f t="shared" si="2"/>
        <v>193</v>
      </c>
      <c r="D194" s="55" t="s">
        <v>1126</v>
      </c>
      <c r="E194" s="46" t="s">
        <v>1272</v>
      </c>
      <c r="F194" s="5" t="s">
        <v>1308</v>
      </c>
      <c r="G194" s="52" t="s">
        <v>2628</v>
      </c>
      <c r="H194" s="5" t="s">
        <v>136</v>
      </c>
      <c r="I194" s="7">
        <v>5970149.253731343</v>
      </c>
      <c r="J194" s="7">
        <v>1492537.3134328357</v>
      </c>
      <c r="K194" s="7">
        <v>2813582.0895522386</v>
      </c>
      <c r="L194" s="8">
        <v>23540</v>
      </c>
      <c r="M194" s="7">
        <v>4380000</v>
      </c>
      <c r="N194" s="7">
        <v>7670746.2686567158</v>
      </c>
      <c r="O194" s="7">
        <v>8242805</v>
      </c>
      <c r="P194" s="7">
        <v>8242805</v>
      </c>
      <c r="Q194" s="5" t="s">
        <v>606</v>
      </c>
      <c r="R194" s="5" t="s">
        <v>598</v>
      </c>
      <c r="S194" s="5" t="s">
        <v>616</v>
      </c>
      <c r="T194" s="5" t="s">
        <v>2984</v>
      </c>
      <c r="U194" s="5" t="s">
        <v>2629</v>
      </c>
      <c r="V194" s="5" t="s">
        <v>1308</v>
      </c>
      <c r="W194" s="5" t="s">
        <v>2630</v>
      </c>
      <c r="X194" s="5" t="s">
        <v>2631</v>
      </c>
      <c r="Y194" s="5" t="s">
        <v>2632</v>
      </c>
      <c r="Z194" s="5" t="s">
        <v>2633</v>
      </c>
      <c r="AA194" s="5"/>
      <c r="AB194" s="5" t="s">
        <v>2634</v>
      </c>
      <c r="AC194" s="62">
        <v>8.1</v>
      </c>
    </row>
    <row r="195" spans="1:29" hidden="1">
      <c r="A195" s="4">
        <v>2017</v>
      </c>
      <c r="B195" s="4" t="s">
        <v>44</v>
      </c>
      <c r="C195" s="3">
        <f t="shared" si="2"/>
        <v>194</v>
      </c>
      <c r="D195" s="3" t="s">
        <v>1126</v>
      </c>
      <c r="E195" s="56" t="s">
        <v>2635</v>
      </c>
      <c r="F195" s="5" t="s">
        <v>1311</v>
      </c>
      <c r="G195" s="5" t="s">
        <v>1428</v>
      </c>
      <c r="H195" s="5" t="s">
        <v>191</v>
      </c>
      <c r="I195" s="7">
        <v>1492537.3134328357</v>
      </c>
      <c r="J195" s="7">
        <v>1492537.3134328357</v>
      </c>
      <c r="K195" s="7">
        <v>1684029.8507462686</v>
      </c>
      <c r="L195" s="8">
        <v>14710</v>
      </c>
      <c r="M195" s="7">
        <v>62577</v>
      </c>
      <c r="N195" s="7">
        <v>4591194.0298507465</v>
      </c>
      <c r="O195" s="7">
        <v>4886088</v>
      </c>
      <c r="P195" s="7">
        <v>4886088</v>
      </c>
      <c r="Q195" s="5" t="s">
        <v>597</v>
      </c>
      <c r="R195" s="5" t="s">
        <v>598</v>
      </c>
      <c r="S195" s="5" t="s">
        <v>599</v>
      </c>
      <c r="T195" s="5" t="s">
        <v>2984</v>
      </c>
      <c r="U195" s="5" t="s">
        <v>2636</v>
      </c>
      <c r="V195" s="5" t="s">
        <v>2637</v>
      </c>
      <c r="W195" s="5" t="s">
        <v>2638</v>
      </c>
      <c r="X195" s="5" t="s">
        <v>2639</v>
      </c>
      <c r="Y195" s="5"/>
      <c r="Z195" s="5" t="s">
        <v>2639</v>
      </c>
      <c r="AA195" s="5"/>
      <c r="AB195" s="5" t="s">
        <v>2640</v>
      </c>
      <c r="AC195" s="62">
        <v>9.1999999999999993</v>
      </c>
    </row>
    <row r="196" spans="1:29" hidden="1">
      <c r="A196" s="4">
        <v>2018</v>
      </c>
      <c r="B196" s="4" t="s">
        <v>44</v>
      </c>
      <c r="C196" s="3">
        <f t="shared" ref="C196:C211" si="3">C195+1</f>
        <v>195</v>
      </c>
      <c r="D196" s="55" t="s">
        <v>1126</v>
      </c>
      <c r="E196" s="3" t="s">
        <v>2641</v>
      </c>
      <c r="F196" s="5" t="s">
        <v>411</v>
      </c>
      <c r="G196" s="5" t="s">
        <v>2642</v>
      </c>
      <c r="H196" s="5" t="s">
        <v>131</v>
      </c>
      <c r="I196" s="7">
        <v>11940298</v>
      </c>
      <c r="J196" s="7">
        <v>2985074</v>
      </c>
      <c r="K196" s="7">
        <v>2616417</v>
      </c>
      <c r="L196" s="8">
        <v>25357</v>
      </c>
      <c r="M196" s="7">
        <v>7372</v>
      </c>
      <c r="N196" s="7">
        <v>7134328</v>
      </c>
      <c r="O196" s="7">
        <v>8051388</v>
      </c>
      <c r="P196" s="7">
        <v>8051388</v>
      </c>
      <c r="Q196" s="5" t="s">
        <v>606</v>
      </c>
      <c r="R196" s="5" t="s">
        <v>598</v>
      </c>
      <c r="S196" s="5" t="s">
        <v>616</v>
      </c>
      <c r="T196" s="5" t="s">
        <v>2984</v>
      </c>
      <c r="U196" s="5" t="s">
        <v>2643</v>
      </c>
      <c r="V196" s="5" t="s">
        <v>2644</v>
      </c>
      <c r="W196" s="5" t="s">
        <v>2645</v>
      </c>
      <c r="X196" s="5" t="s">
        <v>2646</v>
      </c>
      <c r="Y196" s="5"/>
      <c r="Z196" s="5" t="s">
        <v>2647</v>
      </c>
      <c r="AA196" s="5"/>
      <c r="AB196" s="5" t="s">
        <v>2369</v>
      </c>
      <c r="AC196" s="62">
        <v>8.1</v>
      </c>
    </row>
    <row r="197" spans="1:29" hidden="1">
      <c r="A197" s="4">
        <v>2017</v>
      </c>
      <c r="B197" s="4" t="s">
        <v>44</v>
      </c>
      <c r="C197" s="3">
        <f t="shared" si="3"/>
        <v>196</v>
      </c>
      <c r="D197" s="3" t="s">
        <v>1126</v>
      </c>
      <c r="E197" s="56" t="s">
        <v>2648</v>
      </c>
      <c r="F197" s="5" t="s">
        <v>1317</v>
      </c>
      <c r="G197" s="5" t="s">
        <v>2575</v>
      </c>
      <c r="H197" s="5" t="s">
        <v>131</v>
      </c>
      <c r="I197" s="7">
        <v>4477611.9400000004</v>
      </c>
      <c r="J197" s="7">
        <v>1492537.31</v>
      </c>
      <c r="K197" s="7">
        <v>3301791.04</v>
      </c>
      <c r="L197" s="8">
        <v>24815</v>
      </c>
      <c r="M197" s="7">
        <v>980000</v>
      </c>
      <c r="N197" s="7">
        <v>8980895.5199999996</v>
      </c>
      <c r="O197" s="7">
        <v>9949926</v>
      </c>
      <c r="P197" s="7">
        <v>9949926</v>
      </c>
      <c r="Q197" s="5" t="s">
        <v>606</v>
      </c>
      <c r="R197" s="5" t="s">
        <v>598</v>
      </c>
      <c r="S197" s="5" t="s">
        <v>616</v>
      </c>
      <c r="T197" s="5" t="s">
        <v>2984</v>
      </c>
      <c r="U197" s="5" t="s">
        <v>2649</v>
      </c>
      <c r="V197" s="5" t="s">
        <v>2650</v>
      </c>
      <c r="W197" s="5" t="s">
        <v>2651</v>
      </c>
      <c r="X197" s="5" t="s">
        <v>2652</v>
      </c>
      <c r="Y197" s="5" t="s">
        <v>2653</v>
      </c>
      <c r="Z197" s="5" t="s">
        <v>2654</v>
      </c>
      <c r="AA197" s="5"/>
      <c r="AB197" s="5" t="s">
        <v>2655</v>
      </c>
      <c r="AC197" s="62">
        <v>9.1999999999999993</v>
      </c>
    </row>
    <row r="198" spans="1:29" hidden="1">
      <c r="A198" s="4">
        <v>2017</v>
      </c>
      <c r="B198" s="4" t="s">
        <v>44</v>
      </c>
      <c r="C198" s="3">
        <f t="shared" si="3"/>
        <v>197</v>
      </c>
      <c r="D198" s="55" t="s">
        <v>1126</v>
      </c>
      <c r="E198" s="3" t="s">
        <v>2656</v>
      </c>
      <c r="F198" s="5" t="s">
        <v>1320</v>
      </c>
      <c r="G198" s="39" t="s">
        <v>2657</v>
      </c>
      <c r="H198" s="5" t="s">
        <v>129</v>
      </c>
      <c r="I198" s="7">
        <v>14925373.134328358</v>
      </c>
      <c r="J198" s="7">
        <v>7462686.5671641789</v>
      </c>
      <c r="K198" s="7">
        <v>21492537.313432835</v>
      </c>
      <c r="L198" s="41">
        <v>95005</v>
      </c>
      <c r="M198" s="42">
        <v>24520000</v>
      </c>
      <c r="N198" s="7">
        <v>57164179.104477607</v>
      </c>
      <c r="O198" s="7">
        <v>60600360</v>
      </c>
      <c r="P198" s="7">
        <v>60600360</v>
      </c>
      <c r="Q198" s="5" t="s">
        <v>606</v>
      </c>
      <c r="R198" s="5" t="s">
        <v>598</v>
      </c>
      <c r="S198" s="5" t="s">
        <v>658</v>
      </c>
      <c r="T198" s="5" t="s">
        <v>2984</v>
      </c>
      <c r="U198" s="5" t="s">
        <v>2658</v>
      </c>
      <c r="V198" s="5" t="s">
        <v>2659</v>
      </c>
      <c r="W198" s="5" t="s">
        <v>2660</v>
      </c>
      <c r="X198" s="5" t="s">
        <v>2661</v>
      </c>
      <c r="Y198" s="5"/>
      <c r="Z198" s="5" t="s">
        <v>1649</v>
      </c>
      <c r="AA198" s="5"/>
      <c r="AB198" s="39" t="s">
        <v>2662</v>
      </c>
      <c r="AC198" s="62">
        <v>9.1</v>
      </c>
    </row>
    <row r="199" spans="1:29" hidden="1">
      <c r="A199" s="4">
        <v>2017</v>
      </c>
      <c r="B199" s="4" t="s">
        <v>44</v>
      </c>
      <c r="C199" s="3">
        <f t="shared" si="3"/>
        <v>198</v>
      </c>
      <c r="D199" s="55" t="s">
        <v>1126</v>
      </c>
      <c r="E199" s="56" t="s">
        <v>2663</v>
      </c>
      <c r="F199" s="5" t="s">
        <v>1325</v>
      </c>
      <c r="G199" s="5" t="s">
        <v>2664</v>
      </c>
      <c r="H199" s="5" t="s">
        <v>129</v>
      </c>
      <c r="I199" s="7">
        <v>4477611.940298507</v>
      </c>
      <c r="J199" s="7">
        <v>1492537.3134328357</v>
      </c>
      <c r="K199" s="7">
        <v>1691940.2985074627</v>
      </c>
      <c r="L199" s="8">
        <v>33691</v>
      </c>
      <c r="M199" s="7">
        <v>2820000</v>
      </c>
      <c r="N199" s="7">
        <v>4612835.8208955219</v>
      </c>
      <c r="O199" s="7">
        <v>5029820</v>
      </c>
      <c r="P199" s="7">
        <v>5029820</v>
      </c>
      <c r="Q199" s="5" t="s">
        <v>606</v>
      </c>
      <c r="R199" s="5" t="s">
        <v>598</v>
      </c>
      <c r="S199" s="5" t="s">
        <v>616</v>
      </c>
      <c r="T199" s="5" t="s">
        <v>2984</v>
      </c>
      <c r="U199" s="5" t="s">
        <v>2665</v>
      </c>
      <c r="V199" s="5" t="s">
        <v>2666</v>
      </c>
      <c r="W199" s="5" t="s">
        <v>1891</v>
      </c>
      <c r="X199" s="5" t="s">
        <v>2667</v>
      </c>
      <c r="Y199" s="5" t="s">
        <v>2668</v>
      </c>
      <c r="Z199" s="5" t="s">
        <v>2669</v>
      </c>
      <c r="AA199" s="5"/>
      <c r="AB199" s="5" t="s">
        <v>2670</v>
      </c>
      <c r="AC199" s="62">
        <v>7.9</v>
      </c>
    </row>
    <row r="200" spans="1:29">
      <c r="A200" s="4">
        <v>2017</v>
      </c>
      <c r="B200" s="4" t="s">
        <v>44</v>
      </c>
      <c r="C200" s="3">
        <f t="shared" si="3"/>
        <v>199</v>
      </c>
      <c r="D200" s="55" t="s">
        <v>1126</v>
      </c>
      <c r="E200" s="3" t="s">
        <v>2671</v>
      </c>
      <c r="F200" s="5" t="s">
        <v>1326</v>
      </c>
      <c r="G200" s="5" t="s">
        <v>2525</v>
      </c>
      <c r="H200" s="5" t="s">
        <v>136</v>
      </c>
      <c r="I200" s="7">
        <v>2985074.6268656715</v>
      </c>
      <c r="J200" s="7">
        <v>1194029.8507462686</v>
      </c>
      <c r="K200" s="7">
        <v>455223.88059701491</v>
      </c>
      <c r="L200" s="41" t="s">
        <v>1501</v>
      </c>
      <c r="M200" s="7">
        <v>195282</v>
      </c>
      <c r="N200" s="7">
        <v>1241791.0447761193</v>
      </c>
      <c r="O200" s="7">
        <v>1327225</v>
      </c>
      <c r="P200" s="7">
        <v>1327225</v>
      </c>
      <c r="Q200" s="39" t="s">
        <v>606</v>
      </c>
      <c r="R200" s="5" t="s">
        <v>598</v>
      </c>
      <c r="S200" s="6">
        <v>0</v>
      </c>
      <c r="T200" s="5" t="s">
        <v>2984</v>
      </c>
      <c r="U200" s="5" t="s">
        <v>2672</v>
      </c>
      <c r="V200" s="5" t="s">
        <v>2673</v>
      </c>
      <c r="W200" s="5" t="s">
        <v>2674</v>
      </c>
      <c r="X200" s="5" t="s">
        <v>2675</v>
      </c>
      <c r="Y200" s="5" t="s">
        <v>2676</v>
      </c>
      <c r="Z200" s="5" t="s">
        <v>2677</v>
      </c>
      <c r="AA200" s="5"/>
      <c r="AB200" s="5" t="s">
        <v>2678</v>
      </c>
      <c r="AC200" s="62">
        <v>8</v>
      </c>
    </row>
    <row r="201" spans="1:29" hidden="1">
      <c r="A201" s="4">
        <v>2017</v>
      </c>
      <c r="B201" s="4" t="s">
        <v>44</v>
      </c>
      <c r="C201" s="3">
        <f t="shared" si="3"/>
        <v>200</v>
      </c>
      <c r="D201" s="55" t="s">
        <v>1126</v>
      </c>
      <c r="E201" s="56" t="s">
        <v>1084</v>
      </c>
      <c r="F201" s="5" t="s">
        <v>1327</v>
      </c>
      <c r="G201" s="5" t="s">
        <v>1658</v>
      </c>
      <c r="H201" s="5" t="s">
        <v>129</v>
      </c>
      <c r="I201" s="7">
        <v>29850746</v>
      </c>
      <c r="J201" s="7">
        <v>8955223</v>
      </c>
      <c r="K201" s="7">
        <v>17164179</v>
      </c>
      <c r="L201" s="8">
        <v>45552</v>
      </c>
      <c r="M201" s="7">
        <v>12995928</v>
      </c>
      <c r="N201" s="7">
        <v>45970149</v>
      </c>
      <c r="O201" s="7">
        <v>48069252</v>
      </c>
      <c r="P201" s="7">
        <v>48069252</v>
      </c>
      <c r="Q201" s="5" t="s">
        <v>606</v>
      </c>
      <c r="R201" s="5" t="s">
        <v>598</v>
      </c>
      <c r="S201" s="5" t="s">
        <v>616</v>
      </c>
      <c r="T201" s="5" t="s">
        <v>2984</v>
      </c>
      <c r="U201" s="5" t="s">
        <v>2679</v>
      </c>
      <c r="V201" s="5" t="s">
        <v>2680</v>
      </c>
      <c r="W201" s="39" t="s">
        <v>2681</v>
      </c>
      <c r="X201" s="5" t="s">
        <v>2682</v>
      </c>
      <c r="Y201" s="39" t="s">
        <v>1984</v>
      </c>
      <c r="Z201" s="5" t="s">
        <v>2683</v>
      </c>
      <c r="AA201" s="5"/>
      <c r="AB201" s="5" t="s">
        <v>2684</v>
      </c>
      <c r="AC201" s="62">
        <v>8.6</v>
      </c>
    </row>
    <row r="202" spans="1:29" hidden="1">
      <c r="A202" s="4">
        <v>2017</v>
      </c>
      <c r="B202" s="4" t="s">
        <v>44</v>
      </c>
      <c r="C202" s="3">
        <f t="shared" si="3"/>
        <v>201</v>
      </c>
      <c r="D202" s="55" t="s">
        <v>1126</v>
      </c>
      <c r="E202" s="56" t="s">
        <v>2685</v>
      </c>
      <c r="F202" s="5" t="s">
        <v>1332</v>
      </c>
      <c r="G202" s="5" t="s">
        <v>2686</v>
      </c>
      <c r="H202" s="5" t="s">
        <v>131</v>
      </c>
      <c r="I202" s="7">
        <v>7462686.5671641789</v>
      </c>
      <c r="J202" s="7">
        <v>1492537.3134328357</v>
      </c>
      <c r="K202" s="7">
        <v>1391343.2835820895</v>
      </c>
      <c r="L202" s="8">
        <v>32654</v>
      </c>
      <c r="M202" s="7">
        <v>3308567</v>
      </c>
      <c r="N202" s="7">
        <v>3793283.5820895522</v>
      </c>
      <c r="O202" s="7">
        <v>4964366</v>
      </c>
      <c r="P202" s="7">
        <v>4964366</v>
      </c>
      <c r="Q202" s="5" t="s">
        <v>606</v>
      </c>
      <c r="R202" s="5" t="s">
        <v>598</v>
      </c>
      <c r="S202" s="5" t="s">
        <v>616</v>
      </c>
      <c r="T202" s="5" t="s">
        <v>2984</v>
      </c>
      <c r="U202" s="5" t="s">
        <v>2687</v>
      </c>
      <c r="V202" s="5" t="s">
        <v>2688</v>
      </c>
      <c r="W202" s="5" t="s">
        <v>2019</v>
      </c>
      <c r="X202" s="5" t="s">
        <v>2459</v>
      </c>
      <c r="Y202" s="5" t="s">
        <v>2689</v>
      </c>
      <c r="Z202" s="5" t="s">
        <v>2690</v>
      </c>
      <c r="AA202" s="5"/>
      <c r="AB202" s="5" t="s">
        <v>2691</v>
      </c>
      <c r="AC202" s="62">
        <v>7.2</v>
      </c>
    </row>
    <row r="203" spans="1:29" hidden="1">
      <c r="A203" s="4">
        <v>2017</v>
      </c>
      <c r="B203" s="4" t="s">
        <v>44</v>
      </c>
      <c r="C203" s="3">
        <f t="shared" si="3"/>
        <v>202</v>
      </c>
      <c r="D203" s="55" t="s">
        <v>1126</v>
      </c>
      <c r="E203" s="56" t="s">
        <v>2692</v>
      </c>
      <c r="F203" s="5" t="s">
        <v>1333</v>
      </c>
      <c r="G203" s="5" t="s">
        <v>1494</v>
      </c>
      <c r="H203" s="5" t="s">
        <v>148</v>
      </c>
      <c r="I203" s="7">
        <v>7462686.5671641789</v>
      </c>
      <c r="J203" s="7">
        <v>7462686.5671641789</v>
      </c>
      <c r="K203" s="7">
        <v>6322238.8059701491</v>
      </c>
      <c r="L203" s="41">
        <v>35687</v>
      </c>
      <c r="M203" s="42">
        <v>219973</v>
      </c>
      <c r="N203" s="7">
        <v>17014925.373134326</v>
      </c>
      <c r="O203" s="7">
        <v>18019652</v>
      </c>
      <c r="P203" s="7">
        <v>18019652</v>
      </c>
      <c r="Q203" s="5" t="s">
        <v>602</v>
      </c>
      <c r="R203" s="5" t="s">
        <v>598</v>
      </c>
      <c r="S203" s="5" t="s">
        <v>616</v>
      </c>
      <c r="T203" s="5" t="s">
        <v>2984</v>
      </c>
      <c r="U203" s="5" t="s">
        <v>2693</v>
      </c>
      <c r="V203" s="39" t="s">
        <v>2694</v>
      </c>
      <c r="W203" s="5" t="s">
        <v>2431</v>
      </c>
      <c r="X203" s="5" t="s">
        <v>2695</v>
      </c>
      <c r="Y203" s="5"/>
      <c r="Z203" s="5" t="s">
        <v>1806</v>
      </c>
      <c r="AA203" s="5" t="s">
        <v>1807</v>
      </c>
      <c r="AB203" s="5" t="s">
        <v>2344</v>
      </c>
      <c r="AC203" s="62">
        <v>9</v>
      </c>
    </row>
    <row r="204" spans="1:29" hidden="1">
      <c r="A204" s="4">
        <v>2018</v>
      </c>
      <c r="B204" s="4" t="s">
        <v>44</v>
      </c>
      <c r="C204" s="3">
        <f t="shared" si="3"/>
        <v>203</v>
      </c>
      <c r="D204" s="55" t="s">
        <v>1126</v>
      </c>
      <c r="E204" s="3" t="s">
        <v>2275</v>
      </c>
      <c r="F204" s="5" t="s">
        <v>410</v>
      </c>
      <c r="G204" s="5" t="s">
        <v>1916</v>
      </c>
      <c r="H204" s="5" t="s">
        <v>1403</v>
      </c>
      <c r="I204" s="7">
        <v>2985074</v>
      </c>
      <c r="J204" s="7">
        <v>2238805</v>
      </c>
      <c r="K204" s="7">
        <v>3063333</v>
      </c>
      <c r="L204" s="8">
        <v>24773</v>
      </c>
      <c r="M204" s="7">
        <v>1610</v>
      </c>
      <c r="N204" s="7">
        <v>7479104</v>
      </c>
      <c r="O204" s="7">
        <v>8512220</v>
      </c>
      <c r="P204" s="7">
        <v>8512220</v>
      </c>
      <c r="Q204" s="5" t="s">
        <v>606</v>
      </c>
      <c r="R204" s="5" t="s">
        <v>598</v>
      </c>
      <c r="S204" s="5" t="s">
        <v>616</v>
      </c>
      <c r="T204" s="5" t="s">
        <v>2984</v>
      </c>
      <c r="U204" s="5" t="s">
        <v>2700</v>
      </c>
      <c r="V204" s="5" t="s">
        <v>2701</v>
      </c>
      <c r="W204" s="5" t="s">
        <v>2564</v>
      </c>
      <c r="X204" s="5" t="s">
        <v>2702</v>
      </c>
      <c r="Y204" s="5"/>
      <c r="Z204" s="5" t="s">
        <v>2703</v>
      </c>
      <c r="AA204" s="5"/>
      <c r="AB204" s="5" t="s">
        <v>2704</v>
      </c>
      <c r="AC204" s="62">
        <v>8.1999999999999993</v>
      </c>
    </row>
    <row r="205" spans="1:29" hidden="1">
      <c r="A205" s="4">
        <v>2017</v>
      </c>
      <c r="B205" s="4" t="s">
        <v>44</v>
      </c>
      <c r="C205" s="3">
        <f t="shared" si="3"/>
        <v>204</v>
      </c>
      <c r="D205" s="55" t="s">
        <v>1126</v>
      </c>
      <c r="E205" s="56" t="s">
        <v>1095</v>
      </c>
      <c r="F205" s="5" t="s">
        <v>1339</v>
      </c>
      <c r="G205" s="5" t="s">
        <v>2575</v>
      </c>
      <c r="H205" s="5" t="s">
        <v>136</v>
      </c>
      <c r="I205" s="7">
        <v>7462686.5700000003</v>
      </c>
      <c r="J205" s="7">
        <v>2238805.9700000002</v>
      </c>
      <c r="K205" s="7">
        <v>3528507.46</v>
      </c>
      <c r="L205" s="8">
        <v>36935</v>
      </c>
      <c r="M205" s="7">
        <v>5430000</v>
      </c>
      <c r="N205" s="7">
        <v>9583880.5999999996</v>
      </c>
      <c r="O205" s="7">
        <v>10238078</v>
      </c>
      <c r="P205" s="7">
        <v>10238078</v>
      </c>
      <c r="Q205" s="5" t="s">
        <v>606</v>
      </c>
      <c r="R205" s="5" t="s">
        <v>703</v>
      </c>
      <c r="S205" s="5" t="s">
        <v>603</v>
      </c>
      <c r="T205" s="5" t="s">
        <v>2984</v>
      </c>
      <c r="U205" s="5" t="s">
        <v>2705</v>
      </c>
      <c r="V205" s="5" t="s">
        <v>2706</v>
      </c>
      <c r="W205" s="5" t="s">
        <v>2707</v>
      </c>
      <c r="X205" s="5" t="s">
        <v>2170</v>
      </c>
      <c r="Y205" s="5" t="s">
        <v>2254</v>
      </c>
      <c r="Z205" s="5" t="s">
        <v>2708</v>
      </c>
      <c r="AA205" s="5"/>
      <c r="AB205" s="5" t="s">
        <v>2709</v>
      </c>
      <c r="AC205" s="62">
        <v>8.1</v>
      </c>
    </row>
    <row r="206" spans="1:29" hidden="1">
      <c r="A206" s="4">
        <v>2018</v>
      </c>
      <c r="B206" s="4" t="s">
        <v>44</v>
      </c>
      <c r="C206" s="3">
        <f t="shared" si="3"/>
        <v>205</v>
      </c>
      <c r="D206" s="55" t="s">
        <v>1126</v>
      </c>
      <c r="E206" s="3" t="s">
        <v>2710</v>
      </c>
      <c r="F206" s="5" t="s">
        <v>418</v>
      </c>
      <c r="G206" s="5" t="s">
        <v>2664</v>
      </c>
      <c r="H206" s="5" t="s">
        <v>136</v>
      </c>
      <c r="I206" s="7">
        <v>7462686</v>
      </c>
      <c r="J206" s="7">
        <v>1492537</v>
      </c>
      <c r="K206" s="7">
        <v>1880597</v>
      </c>
      <c r="L206" s="8">
        <v>30895</v>
      </c>
      <c r="M206" s="7">
        <v>82699</v>
      </c>
      <c r="N206" s="7">
        <v>5125373</v>
      </c>
      <c r="O206" s="7">
        <v>5748970</v>
      </c>
      <c r="P206" s="7">
        <v>5748970</v>
      </c>
      <c r="Q206" s="5" t="s">
        <v>606</v>
      </c>
      <c r="R206" s="5" t="s">
        <v>598</v>
      </c>
      <c r="S206" s="5" t="s">
        <v>616</v>
      </c>
      <c r="T206" s="5" t="s">
        <v>2984</v>
      </c>
      <c r="U206" s="5" t="s">
        <v>2711</v>
      </c>
      <c r="V206" s="5" t="s">
        <v>2712</v>
      </c>
      <c r="W206" s="5" t="s">
        <v>2170</v>
      </c>
      <c r="X206" s="5" t="s">
        <v>2713</v>
      </c>
      <c r="Y206" s="5"/>
      <c r="Z206" s="5" t="s">
        <v>2714</v>
      </c>
      <c r="AA206" s="5"/>
      <c r="AB206" s="5" t="s">
        <v>2670</v>
      </c>
      <c r="AC206" s="62">
        <v>8.3000000000000007</v>
      </c>
    </row>
    <row r="207" spans="1:29" hidden="1">
      <c r="A207" s="4">
        <v>2017</v>
      </c>
      <c r="B207" s="4" t="s">
        <v>44</v>
      </c>
      <c r="C207" s="3">
        <f t="shared" si="3"/>
        <v>206</v>
      </c>
      <c r="D207" s="55" t="s">
        <v>1126</v>
      </c>
      <c r="E207" s="56" t="s">
        <v>2022</v>
      </c>
      <c r="F207" s="5" t="s">
        <v>1342</v>
      </c>
      <c r="G207" s="5" t="s">
        <v>2715</v>
      </c>
      <c r="H207" s="5" t="s">
        <v>129</v>
      </c>
      <c r="I207" s="7">
        <v>7462686.5671641789</v>
      </c>
      <c r="J207" s="7">
        <v>2238805.9701492535</v>
      </c>
      <c r="K207" s="7">
        <v>1538208.9552238805</v>
      </c>
      <c r="L207" s="8">
        <v>26127</v>
      </c>
      <c r="M207" s="7">
        <v>1530000</v>
      </c>
      <c r="N207" s="7">
        <v>4193731.343283582</v>
      </c>
      <c r="O207" s="7">
        <v>4433919</v>
      </c>
      <c r="P207" s="7">
        <v>4433919</v>
      </c>
      <c r="Q207" s="5" t="s">
        <v>606</v>
      </c>
      <c r="R207" s="5" t="s">
        <v>598</v>
      </c>
      <c r="S207" s="5" t="s">
        <v>658</v>
      </c>
      <c r="T207" s="5" t="s">
        <v>2984</v>
      </c>
      <c r="U207" s="5" t="s">
        <v>2716</v>
      </c>
      <c r="V207" s="5" t="s">
        <v>1342</v>
      </c>
      <c r="W207" s="5" t="s">
        <v>2717</v>
      </c>
      <c r="X207" s="5" t="s">
        <v>2718</v>
      </c>
      <c r="Y207" s="5"/>
      <c r="Z207" s="5" t="s">
        <v>2719</v>
      </c>
      <c r="AA207" s="5"/>
      <c r="AB207" s="5" t="s">
        <v>2720</v>
      </c>
      <c r="AC207" s="59">
        <v>7.8</v>
      </c>
    </row>
    <row r="208" spans="1:29" hidden="1">
      <c r="A208" s="4">
        <v>2017</v>
      </c>
      <c r="B208" s="4" t="s">
        <v>44</v>
      </c>
      <c r="C208" s="3">
        <f t="shared" si="3"/>
        <v>207</v>
      </c>
      <c r="D208" s="55" t="s">
        <v>1126</v>
      </c>
      <c r="E208" s="56" t="s">
        <v>2721</v>
      </c>
      <c r="F208" s="5" t="s">
        <v>1347</v>
      </c>
      <c r="G208" s="5" t="s">
        <v>2722</v>
      </c>
      <c r="H208" s="5" t="s">
        <v>129</v>
      </c>
      <c r="I208" s="7">
        <v>14925373</v>
      </c>
      <c r="J208" s="7">
        <v>4477611</v>
      </c>
      <c r="K208" s="7">
        <v>16119402</v>
      </c>
      <c r="L208" s="8">
        <v>63028</v>
      </c>
      <c r="M208" s="7">
        <v>24270000</v>
      </c>
      <c r="N208" s="7">
        <v>43134328</v>
      </c>
      <c r="O208" s="7">
        <v>45698504</v>
      </c>
      <c r="P208" s="7">
        <v>45698504</v>
      </c>
      <c r="Q208" s="5" t="s">
        <v>606</v>
      </c>
      <c r="R208" s="5" t="s">
        <v>598</v>
      </c>
      <c r="S208" s="5" t="s">
        <v>616</v>
      </c>
      <c r="T208" s="5" t="s">
        <v>2984</v>
      </c>
      <c r="U208" s="5" t="s">
        <v>2723</v>
      </c>
      <c r="V208" s="5" t="s">
        <v>2724</v>
      </c>
      <c r="W208" s="5" t="s">
        <v>2283</v>
      </c>
      <c r="X208" s="5" t="s">
        <v>2725</v>
      </c>
      <c r="Y208" s="5"/>
      <c r="Z208" s="5" t="s">
        <v>2726</v>
      </c>
      <c r="AA208" s="5"/>
      <c r="AB208" s="5" t="s">
        <v>2722</v>
      </c>
      <c r="AC208" s="62">
        <v>8.1999999999999993</v>
      </c>
    </row>
    <row r="209" spans="1:29" hidden="1">
      <c r="A209" s="4">
        <v>2017</v>
      </c>
      <c r="B209" s="4" t="s">
        <v>45</v>
      </c>
      <c r="C209" s="3">
        <f t="shared" si="3"/>
        <v>208</v>
      </c>
      <c r="D209" s="55" t="s">
        <v>1126</v>
      </c>
      <c r="E209" s="56" t="s">
        <v>2603</v>
      </c>
      <c r="F209" s="5" t="s">
        <v>1351</v>
      </c>
      <c r="G209" s="5" t="s">
        <v>2728</v>
      </c>
      <c r="H209" s="5" t="s">
        <v>127</v>
      </c>
      <c r="I209" s="7">
        <v>10447761.194029851</v>
      </c>
      <c r="J209" s="7">
        <v>2238805.9701492535</v>
      </c>
      <c r="K209" s="7">
        <v>2307462.686567164</v>
      </c>
      <c r="L209" s="8">
        <v>33909</v>
      </c>
      <c r="M209" s="7">
        <v>4580967</v>
      </c>
      <c r="N209" s="7">
        <v>6290746.2686567167</v>
      </c>
      <c r="O209" s="7">
        <v>6651494</v>
      </c>
      <c r="P209" s="7">
        <v>6651494</v>
      </c>
      <c r="Q209" s="5" t="s">
        <v>606</v>
      </c>
      <c r="R209" s="5" t="s">
        <v>703</v>
      </c>
      <c r="S209" s="5" t="s">
        <v>612</v>
      </c>
      <c r="T209" s="5" t="s">
        <v>2984</v>
      </c>
      <c r="U209" s="5" t="s">
        <v>2729</v>
      </c>
      <c r="V209" s="5" t="s">
        <v>1351</v>
      </c>
      <c r="W209" s="5" t="s">
        <v>1646</v>
      </c>
      <c r="X209" s="5" t="s">
        <v>2563</v>
      </c>
      <c r="Y209" s="5" t="s">
        <v>2730</v>
      </c>
      <c r="Z209" s="5" t="s">
        <v>2731</v>
      </c>
      <c r="AA209" s="5"/>
      <c r="AB209" s="5" t="s">
        <v>2365</v>
      </c>
      <c r="AC209" s="62">
        <v>8.4</v>
      </c>
    </row>
    <row r="210" spans="1:29" hidden="1">
      <c r="A210" s="4">
        <v>2017</v>
      </c>
      <c r="B210" s="4" t="s">
        <v>45</v>
      </c>
      <c r="C210" s="3">
        <f t="shared" si="3"/>
        <v>209</v>
      </c>
      <c r="D210" s="55" t="s">
        <v>1082</v>
      </c>
      <c r="E210" s="3" t="s">
        <v>1082</v>
      </c>
      <c r="F210" s="5" t="s">
        <v>1356</v>
      </c>
      <c r="G210" s="5" t="s">
        <v>1357</v>
      </c>
      <c r="H210" s="5" t="s">
        <v>129</v>
      </c>
      <c r="I210" s="7">
        <v>14925373</v>
      </c>
      <c r="J210" s="7">
        <v>7462686</v>
      </c>
      <c r="K210" s="7">
        <v>20895522</v>
      </c>
      <c r="L210" s="8">
        <v>58455</v>
      </c>
      <c r="M210" s="7">
        <v>24538631</v>
      </c>
      <c r="N210" s="7">
        <v>55522388</v>
      </c>
      <c r="O210" s="7">
        <v>58807172</v>
      </c>
      <c r="P210" s="7">
        <v>58807172</v>
      </c>
      <c r="Q210" s="5" t="s">
        <v>606</v>
      </c>
      <c r="R210" s="5" t="s">
        <v>598</v>
      </c>
      <c r="S210" s="5" t="s">
        <v>616</v>
      </c>
      <c r="T210" s="5" t="s">
        <v>1390</v>
      </c>
      <c r="U210" s="5" t="s">
        <v>2732</v>
      </c>
      <c r="V210" s="5" t="s">
        <v>2733</v>
      </c>
      <c r="W210" s="5" t="s">
        <v>2727</v>
      </c>
      <c r="X210" s="5" t="s">
        <v>2734</v>
      </c>
      <c r="Y210" s="5"/>
      <c r="Z210" s="5" t="s">
        <v>2298</v>
      </c>
      <c r="AA210" s="5"/>
      <c r="AB210" s="5" t="s">
        <v>2735</v>
      </c>
      <c r="AC210" s="62">
        <v>9</v>
      </c>
    </row>
    <row r="211" spans="1:29" hidden="1">
      <c r="A211" s="4">
        <v>2017</v>
      </c>
      <c r="B211" s="4" t="s">
        <v>46</v>
      </c>
      <c r="C211" s="3">
        <f t="shared" si="3"/>
        <v>210</v>
      </c>
      <c r="D211" s="55" t="s">
        <v>1097</v>
      </c>
      <c r="E211" s="3" t="s">
        <v>2737</v>
      </c>
      <c r="F211" s="5" t="s">
        <v>58</v>
      </c>
      <c r="G211" s="5" t="s">
        <v>1377</v>
      </c>
      <c r="H211" s="5" t="s">
        <v>131</v>
      </c>
      <c r="I211" s="7">
        <v>5970149.253731343</v>
      </c>
      <c r="J211" s="7">
        <v>2985074.6268656715</v>
      </c>
      <c r="K211" s="7">
        <v>1386567.1641791044</v>
      </c>
      <c r="L211" s="41">
        <v>23831</v>
      </c>
      <c r="M211" s="42">
        <v>18228</v>
      </c>
      <c r="N211" s="7">
        <v>3782089.5522388057</v>
      </c>
      <c r="O211" s="7">
        <v>4013033</v>
      </c>
      <c r="P211" s="7">
        <v>4013033</v>
      </c>
      <c r="Q211" s="5" t="s">
        <v>606</v>
      </c>
      <c r="R211" s="5" t="s">
        <v>598</v>
      </c>
      <c r="S211" s="5" t="s">
        <v>616</v>
      </c>
      <c r="T211" s="5" t="s">
        <v>1390</v>
      </c>
      <c r="U211" s="5" t="s">
        <v>2738</v>
      </c>
      <c r="V211" s="5" t="s">
        <v>2739</v>
      </c>
      <c r="W211" s="5" t="s">
        <v>2740</v>
      </c>
      <c r="X211" s="5" t="s">
        <v>2426</v>
      </c>
      <c r="Y211" s="5" t="s">
        <v>2741</v>
      </c>
      <c r="Z211" s="5" t="s">
        <v>2742</v>
      </c>
      <c r="AA211" s="5"/>
      <c r="AB211" s="5" t="s">
        <v>2743</v>
      </c>
      <c r="AC211" s="62">
        <v>7.4</v>
      </c>
    </row>
    <row r="212" spans="1:29" hidden="1">
      <c r="A212" s="4">
        <v>2019</v>
      </c>
      <c r="B212" s="4" t="s">
        <v>44</v>
      </c>
      <c r="C212" s="3">
        <f>C211+1</f>
        <v>211</v>
      </c>
      <c r="D212" s="55" t="s">
        <v>604</v>
      </c>
      <c r="E212" s="3" t="s">
        <v>604</v>
      </c>
      <c r="F212" s="5" t="s">
        <v>2751</v>
      </c>
      <c r="G212" s="5" t="s">
        <v>601</v>
      </c>
      <c r="H212" s="5" t="s">
        <v>129</v>
      </c>
      <c r="I212" s="7">
        <v>45000000</v>
      </c>
      <c r="J212" s="57" t="s">
        <v>1411</v>
      </c>
      <c r="K212" s="7">
        <v>8059701</v>
      </c>
      <c r="L212" s="41" t="s">
        <v>1501</v>
      </c>
      <c r="M212" s="7">
        <v>2795657</v>
      </c>
      <c r="N212" s="7">
        <v>22686567</v>
      </c>
      <c r="O212" s="7">
        <v>22687180</v>
      </c>
      <c r="P212" s="7">
        <v>22687180</v>
      </c>
      <c r="Q212" s="5" t="s">
        <v>666</v>
      </c>
      <c r="R212" s="5" t="s">
        <v>2752</v>
      </c>
      <c r="S212" s="5" t="s">
        <v>603</v>
      </c>
      <c r="T212" s="5" t="s">
        <v>1390</v>
      </c>
      <c r="U212" s="5" t="s">
        <v>2753</v>
      </c>
      <c r="V212" s="5" t="s">
        <v>2754</v>
      </c>
      <c r="W212" s="5" t="s">
        <v>2008</v>
      </c>
      <c r="X212" s="5"/>
      <c r="Y212" s="5"/>
      <c r="Z212" s="5" t="s">
        <v>2755</v>
      </c>
      <c r="AA212" s="5"/>
      <c r="AB212" s="5" t="s">
        <v>2670</v>
      </c>
      <c r="AC212" s="62">
        <v>7.8</v>
      </c>
    </row>
  </sheetData>
  <autoFilter ref="A1:AC212" xr:uid="{CA2C208D-61D7-4388-B53F-F12C7F39EF79}">
    <filterColumn colId="18">
      <filters>
        <filter val="0"/>
      </filters>
    </filterColumn>
  </autoFilter>
  <conditionalFormatting sqref="F82:F212">
    <cfRule type="duplicateValues" dxfId="8" priority="2"/>
  </conditionalFormatting>
  <conditionalFormatting sqref="V185">
    <cfRule type="duplicateValues" dxfId="7" priority="1"/>
  </conditionalFormatting>
  <hyperlinks>
    <hyperlink ref="Z94" r:id="rId1" tooltip="https://baike.baidu.com/item/%E7%BD%97%E6%B4%8B" xr:uid="{AC0D1786-2329-4B51-B62D-2BAC29B8BCDD}"/>
    <hyperlink ref="W105" r:id="rId2" tooltip="https://baike.baidu.com/item/%E4%BA%95%E6%9F%8F%E7%84%B6/3974108" xr:uid="{946A843E-BCA3-4A79-A758-1777E0992392}"/>
    <hyperlink ref="W125" r:id="rId3" tooltip="https://baike.baidu.com/item/%E5%91%A8%E8%8B%B1%E7%94%B7" xr:uid="{5519079C-D5CA-47C5-9CD2-6D15635724E0}"/>
    <hyperlink ref="Z125" r:id="rId4" tooltip="https://baike.baidu.com/item/%E5%91%A8%E8%8B%B1%E7%94%B7" xr:uid="{7A216D60-57B0-4938-9C7D-41CBC15F3607}"/>
    <hyperlink ref="W169" r:id="rId5" tooltip="https://baike.baidu.com/item/%E5%BE%90%E5%B3%A5/2966629" xr:uid="{2F8EF1AA-A3CE-41BD-86CF-A0641E12DFF8}"/>
    <hyperlink ref="Z190" r:id="rId6" tooltip="https://baike.baidu.com/item/%E8%A2%81%E5%8D%AB%E4%B8%9C/6711412" xr:uid="{473BEB2A-12F4-4865-AE44-F30824389F23}"/>
    <hyperlink ref="W202" r:id="rId7" tooltip="https://baike.baidu.com/item/%E6%AE%B5%E5%A5%95%E5%AE%8F/6910242" xr:uid="{B5EB3106-75CD-4626-BB6C-5A295B945F69}"/>
  </hyperlinks>
  <pageMargins left="0.7" right="0.7" top="0.75" bottom="0.75" header="0.3" footer="0.3"/>
  <pageSetup paperSize="9"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E871-CFB4-4402-A95A-3DB07372FC82}">
  <sheetPr filterMode="1"/>
  <dimension ref="A1:AD212"/>
  <sheetViews>
    <sheetView topLeftCell="R111" workbookViewId="0">
      <selection activeCell="X217" sqref="X217"/>
    </sheetView>
  </sheetViews>
  <sheetFormatPr defaultRowHeight="14.6" outlineLevelCol="1"/>
  <cols>
    <col min="1" max="1" width="8.69140625" customWidth="1"/>
    <col min="2" max="2" width="11.84375" customWidth="1"/>
    <col min="3" max="3" width="5.3828125" customWidth="1"/>
    <col min="4" max="4" width="11.3828125" hidden="1" customWidth="1" outlineLevel="1"/>
    <col min="5" max="5" width="15" bestFit="1" customWidth="1" collapsed="1"/>
    <col min="6" max="6" width="33.53515625" bestFit="1" customWidth="1"/>
    <col min="7" max="7" width="45.15234375" customWidth="1"/>
    <col min="8" max="8" width="20.23046875" customWidth="1"/>
    <col min="9" max="9" width="11.53515625" bestFit="1" customWidth="1"/>
    <col min="10" max="10" width="10.53515625" bestFit="1" customWidth="1"/>
    <col min="11" max="11" width="15.3828125" hidden="1" customWidth="1" outlineLevel="1"/>
    <col min="12" max="12" width="10.53515625" bestFit="1" customWidth="1" collapsed="1"/>
    <col min="13" max="13" width="11.53515625" bestFit="1" customWidth="1"/>
    <col min="14" max="14" width="14.23046875" customWidth="1" outlineLevel="1"/>
    <col min="15" max="15" width="14.15234375" customWidth="1"/>
    <col min="16" max="17" width="12.84375" customWidth="1"/>
    <col min="18" max="18" width="29.3828125" bestFit="1" customWidth="1"/>
    <col min="19" max="19" width="28" hidden="1" customWidth="1" outlineLevel="1"/>
    <col min="20" max="20" width="46.53515625" hidden="1" customWidth="1" outlineLevel="1"/>
    <col min="21" max="21" width="28.84375" hidden="1" customWidth="1" outlineLevel="1"/>
    <col min="22" max="22" width="18.84375" customWidth="1" collapsed="1"/>
    <col min="23" max="23" width="20.53515625" customWidth="1"/>
    <col min="24" max="24" width="15.3828125" customWidth="1"/>
    <col min="25" max="26" width="15.3828125" hidden="1" customWidth="1" outlineLevel="1"/>
    <col min="27" max="27" width="15.3828125" customWidth="1" collapsed="1"/>
    <col min="28" max="28" width="15.3828125" hidden="1" customWidth="1" outlineLevel="1"/>
    <col min="29" max="29" width="35.3828125" customWidth="1" collapsed="1"/>
    <col min="30" max="30" width="12.69140625" bestFit="1" customWidth="1"/>
  </cols>
  <sheetData>
    <row r="1" spans="1:30" s="91" customFormat="1" ht="43.75">
      <c r="A1" s="82" t="s">
        <v>0</v>
      </c>
      <c r="B1" s="82" t="s">
        <v>1457</v>
      </c>
      <c r="C1" s="82" t="s">
        <v>1458</v>
      </c>
      <c r="D1" s="82" t="s">
        <v>573</v>
      </c>
      <c r="E1" s="84" t="s">
        <v>1459</v>
      </c>
      <c r="F1" s="85" t="s">
        <v>1460</v>
      </c>
      <c r="G1" s="84" t="s">
        <v>586</v>
      </c>
      <c r="H1" s="84" t="s">
        <v>123</v>
      </c>
      <c r="I1" s="86" t="s">
        <v>1461</v>
      </c>
      <c r="J1" s="86" t="s">
        <v>1462</v>
      </c>
      <c r="K1" s="82" t="s">
        <v>1463</v>
      </c>
      <c r="L1" s="87" t="s">
        <v>587</v>
      </c>
      <c r="M1" s="87" t="s">
        <v>588</v>
      </c>
      <c r="N1" s="85" t="s">
        <v>1464</v>
      </c>
      <c r="O1" s="85" t="s">
        <v>589</v>
      </c>
      <c r="P1" s="85" t="s">
        <v>590</v>
      </c>
      <c r="Q1" s="82" t="s">
        <v>3021</v>
      </c>
      <c r="R1" s="84" t="s">
        <v>591</v>
      </c>
      <c r="S1" s="89" t="s">
        <v>592</v>
      </c>
      <c r="T1" s="89" t="s">
        <v>593</v>
      </c>
      <c r="U1" s="89" t="s">
        <v>1385</v>
      </c>
      <c r="V1" s="89" t="s">
        <v>1465</v>
      </c>
      <c r="W1" s="89" t="s">
        <v>1466</v>
      </c>
      <c r="X1" s="90" t="s">
        <v>1467</v>
      </c>
      <c r="Y1" s="90" t="s">
        <v>1468</v>
      </c>
      <c r="Z1" s="90" t="s">
        <v>1469</v>
      </c>
      <c r="AA1" s="90" t="s">
        <v>1470</v>
      </c>
      <c r="AB1" s="89" t="s">
        <v>1471</v>
      </c>
      <c r="AC1" s="90" t="s">
        <v>1472</v>
      </c>
      <c r="AD1" s="85" t="s">
        <v>1473</v>
      </c>
    </row>
    <row r="2" spans="1:30">
      <c r="A2" s="4">
        <v>2019</v>
      </c>
      <c r="B2" s="4" t="s">
        <v>44</v>
      </c>
      <c r="C2" s="4">
        <v>1</v>
      </c>
      <c r="D2" s="96" t="s">
        <v>600</v>
      </c>
      <c r="E2" s="4" t="s">
        <v>600</v>
      </c>
      <c r="F2" s="5" t="s">
        <v>390</v>
      </c>
      <c r="G2" s="5" t="s">
        <v>601</v>
      </c>
      <c r="H2" s="5" t="s">
        <v>129</v>
      </c>
      <c r="I2" s="7">
        <v>1600000</v>
      </c>
      <c r="J2" s="57"/>
      <c r="K2" s="7"/>
      <c r="L2" s="8">
        <v>17</v>
      </c>
      <c r="M2" s="7">
        <v>50583</v>
      </c>
      <c r="N2" s="7"/>
      <c r="O2" s="7">
        <v>22268448</v>
      </c>
      <c r="P2" s="7">
        <v>22369964</v>
      </c>
      <c r="Q2" s="92">
        <f>P2-O2</f>
        <v>101516</v>
      </c>
      <c r="R2" s="97" t="s">
        <v>602</v>
      </c>
      <c r="S2" s="5" t="s">
        <v>598</v>
      </c>
      <c r="T2" s="10" t="s">
        <v>603</v>
      </c>
      <c r="U2" s="10" t="s">
        <v>1390</v>
      </c>
      <c r="V2" s="5" t="s">
        <v>1479</v>
      </c>
      <c r="W2" s="5" t="s">
        <v>1480</v>
      </c>
      <c r="X2" s="5" t="s">
        <v>1481</v>
      </c>
      <c r="Y2" s="5"/>
      <c r="Z2" s="5"/>
      <c r="AA2" s="5" t="s">
        <v>1482</v>
      </c>
      <c r="AB2" s="5"/>
      <c r="AC2" s="39" t="s">
        <v>1483</v>
      </c>
      <c r="AD2" s="61">
        <v>5.6</v>
      </c>
    </row>
    <row r="3" spans="1:30">
      <c r="A3" s="4">
        <v>2019</v>
      </c>
      <c r="B3" s="4" t="s">
        <v>44</v>
      </c>
      <c r="C3" s="4">
        <f>C2+1</f>
        <v>2</v>
      </c>
      <c r="D3" s="96" t="s">
        <v>604</v>
      </c>
      <c r="E3" s="4" t="s">
        <v>604</v>
      </c>
      <c r="F3" s="5" t="s">
        <v>128</v>
      </c>
      <c r="G3" s="5" t="s">
        <v>605</v>
      </c>
      <c r="H3" s="5" t="s">
        <v>129</v>
      </c>
      <c r="I3" s="7">
        <v>50000000</v>
      </c>
      <c r="J3" s="7">
        <v>3000000</v>
      </c>
      <c r="K3" s="7">
        <v>253000000</v>
      </c>
      <c r="L3" s="8">
        <v>129</v>
      </c>
      <c r="M3" s="7">
        <v>1685287</v>
      </c>
      <c r="N3" s="7">
        <v>694626865</v>
      </c>
      <c r="O3" s="7">
        <v>683059335</v>
      </c>
      <c r="P3" s="7">
        <v>688934822</v>
      </c>
      <c r="Q3" s="92">
        <f t="shared" ref="Q3:Q66" si="0">P3-O3</f>
        <v>5875487</v>
      </c>
      <c r="R3" s="5" t="s">
        <v>606</v>
      </c>
      <c r="S3" s="5" t="s">
        <v>598</v>
      </c>
      <c r="T3" s="5" t="s">
        <v>607</v>
      </c>
      <c r="U3" s="5" t="s">
        <v>1390</v>
      </c>
      <c r="V3" s="5" t="s">
        <v>1484</v>
      </c>
      <c r="W3" s="5" t="s">
        <v>1485</v>
      </c>
      <c r="X3" s="5" t="s">
        <v>1486</v>
      </c>
      <c r="Y3" s="5"/>
      <c r="Z3" s="5"/>
      <c r="AA3" s="5" t="s">
        <v>1487</v>
      </c>
      <c r="AB3" s="5"/>
      <c r="AC3" s="5" t="s">
        <v>1488</v>
      </c>
      <c r="AD3" s="62">
        <v>9.1999999999999993</v>
      </c>
    </row>
    <row r="4" spans="1:30">
      <c r="A4" s="4">
        <v>2019</v>
      </c>
      <c r="B4" s="4" t="s">
        <v>44</v>
      </c>
      <c r="C4" s="4">
        <f t="shared" ref="C4:C67" si="1">C3+1</f>
        <v>3</v>
      </c>
      <c r="D4" s="96" t="s">
        <v>608</v>
      </c>
      <c r="E4" s="4" t="s">
        <v>608</v>
      </c>
      <c r="F4" s="5" t="s">
        <v>173</v>
      </c>
      <c r="G4" s="5" t="s">
        <v>609</v>
      </c>
      <c r="H4" s="5" t="s">
        <v>127</v>
      </c>
      <c r="I4" s="7">
        <v>7462686</v>
      </c>
      <c r="J4" s="57" t="s">
        <v>1411</v>
      </c>
      <c r="K4" s="7">
        <v>6417910</v>
      </c>
      <c r="L4" s="8">
        <v>67</v>
      </c>
      <c r="M4" s="7">
        <v>2733367</v>
      </c>
      <c r="N4" s="7">
        <v>18507462</v>
      </c>
      <c r="O4" s="7">
        <v>18521816</v>
      </c>
      <c r="P4" s="7">
        <v>18653041</v>
      </c>
      <c r="Q4" s="92">
        <f t="shared" si="0"/>
        <v>131225</v>
      </c>
      <c r="R4" s="5" t="s">
        <v>610</v>
      </c>
      <c r="S4" s="5" t="s">
        <v>611</v>
      </c>
      <c r="T4" s="5" t="s">
        <v>612</v>
      </c>
      <c r="U4" s="5" t="s">
        <v>1386</v>
      </c>
      <c r="V4" s="5" t="s">
        <v>1490</v>
      </c>
      <c r="W4" s="5" t="s">
        <v>1491</v>
      </c>
      <c r="X4" s="5" t="s">
        <v>1492</v>
      </c>
      <c r="Y4" s="5"/>
      <c r="Z4" s="5"/>
      <c r="AA4" s="5" t="s">
        <v>1493</v>
      </c>
      <c r="AB4" s="5"/>
      <c r="AC4" s="5" t="s">
        <v>1494</v>
      </c>
      <c r="AD4" s="62">
        <v>6</v>
      </c>
    </row>
    <row r="5" spans="1:30">
      <c r="A5" s="4">
        <v>2019</v>
      </c>
      <c r="B5" s="4" t="s">
        <v>44</v>
      </c>
      <c r="C5" s="4">
        <f t="shared" si="1"/>
        <v>4</v>
      </c>
      <c r="D5" s="96" t="s">
        <v>613</v>
      </c>
      <c r="E5" s="4" t="s">
        <v>613</v>
      </c>
      <c r="F5" s="5" t="s">
        <v>614</v>
      </c>
      <c r="G5" s="5" t="s">
        <v>1407</v>
      </c>
      <c r="H5" s="5" t="s">
        <v>127</v>
      </c>
      <c r="I5" s="7">
        <v>25800000</v>
      </c>
      <c r="J5" s="57"/>
      <c r="K5" s="7"/>
      <c r="L5" s="8">
        <v>60570</v>
      </c>
      <c r="M5" s="7">
        <v>3880000</v>
      </c>
      <c r="N5" s="7"/>
      <c r="O5" s="7">
        <v>4957041</v>
      </c>
      <c r="P5" s="7">
        <v>4957041</v>
      </c>
      <c r="Q5" s="7">
        <f t="shared" si="0"/>
        <v>0</v>
      </c>
      <c r="R5" s="39" t="s">
        <v>606</v>
      </c>
      <c r="S5" s="5" t="s">
        <v>598</v>
      </c>
      <c r="T5" s="5" t="s">
        <v>599</v>
      </c>
      <c r="U5" s="5" t="s">
        <v>1406</v>
      </c>
      <c r="V5" s="5" t="s">
        <v>1495</v>
      </c>
      <c r="W5" s="5" t="s">
        <v>1496</v>
      </c>
      <c r="X5" s="5" t="s">
        <v>1497</v>
      </c>
      <c r="Y5" s="5"/>
      <c r="Z5" s="5"/>
      <c r="AA5" s="5" t="s">
        <v>1498</v>
      </c>
      <c r="AB5" s="5"/>
      <c r="AC5" s="39" t="s">
        <v>1499</v>
      </c>
      <c r="AD5" s="59">
        <v>4.4000000000000004</v>
      </c>
    </row>
    <row r="6" spans="1:30">
      <c r="A6" s="4">
        <v>2019</v>
      </c>
      <c r="B6" s="4" t="s">
        <v>44</v>
      </c>
      <c r="C6" s="4">
        <f t="shared" si="1"/>
        <v>5</v>
      </c>
      <c r="D6" s="96" t="s">
        <v>615</v>
      </c>
      <c r="E6" s="4" t="s">
        <v>615</v>
      </c>
      <c r="F6" s="5" t="s">
        <v>539</v>
      </c>
      <c r="G6" s="5" t="s">
        <v>1500</v>
      </c>
      <c r="H6" s="5" t="s">
        <v>131</v>
      </c>
      <c r="I6" s="7">
        <v>134000</v>
      </c>
      <c r="J6" s="57"/>
      <c r="K6" s="7"/>
      <c r="L6" s="41" t="s">
        <v>1501</v>
      </c>
      <c r="M6" s="7">
        <v>45000</v>
      </c>
      <c r="N6" s="7"/>
      <c r="O6" s="7">
        <v>250000</v>
      </c>
      <c r="P6" s="7">
        <v>250000</v>
      </c>
      <c r="Q6" s="7">
        <f t="shared" si="0"/>
        <v>0</v>
      </c>
      <c r="R6" s="5" t="s">
        <v>606</v>
      </c>
      <c r="S6" s="5" t="s">
        <v>598</v>
      </c>
      <c r="T6" s="5" t="s">
        <v>616</v>
      </c>
      <c r="U6" s="5" t="s">
        <v>1406</v>
      </c>
      <c r="V6" s="5" t="s">
        <v>1502</v>
      </c>
      <c r="W6" s="5" t="s">
        <v>1503</v>
      </c>
      <c r="X6" s="5" t="s">
        <v>1504</v>
      </c>
      <c r="Y6" s="5"/>
      <c r="Z6" s="5"/>
      <c r="AA6" s="5" t="s">
        <v>1505</v>
      </c>
      <c r="AB6" s="5"/>
      <c r="AC6" s="5" t="s">
        <v>1506</v>
      </c>
      <c r="AD6" s="59">
        <v>7.9</v>
      </c>
    </row>
    <row r="7" spans="1:30">
      <c r="A7" s="4">
        <v>2019</v>
      </c>
      <c r="B7" s="4" t="s">
        <v>44</v>
      </c>
      <c r="C7" s="4">
        <f t="shared" si="1"/>
        <v>6</v>
      </c>
      <c r="D7" s="96" t="s">
        <v>617</v>
      </c>
      <c r="E7" s="4" t="s">
        <v>617</v>
      </c>
      <c r="F7" s="5" t="s">
        <v>399</v>
      </c>
      <c r="G7" s="5" t="s">
        <v>618</v>
      </c>
      <c r="H7" s="5" t="s">
        <v>131</v>
      </c>
      <c r="I7" s="7">
        <v>12000000</v>
      </c>
      <c r="J7" s="57"/>
      <c r="K7" s="7"/>
      <c r="L7" s="8">
        <v>47</v>
      </c>
      <c r="M7" s="7">
        <v>2000000</v>
      </c>
      <c r="N7" s="7"/>
      <c r="O7" s="7">
        <v>11552069</v>
      </c>
      <c r="P7" s="7">
        <v>11966647</v>
      </c>
      <c r="Q7" s="92">
        <f t="shared" si="0"/>
        <v>414578</v>
      </c>
      <c r="R7" s="5" t="s">
        <v>606</v>
      </c>
      <c r="S7" s="5" t="s">
        <v>598</v>
      </c>
      <c r="T7" s="5" t="s">
        <v>616</v>
      </c>
      <c r="U7" s="5" t="s">
        <v>1390</v>
      </c>
      <c r="V7" s="5" t="s">
        <v>1507</v>
      </c>
      <c r="W7" s="5" t="s">
        <v>1508</v>
      </c>
      <c r="X7" s="5" t="s">
        <v>1509</v>
      </c>
      <c r="Y7" s="5"/>
      <c r="Z7" s="5"/>
      <c r="AA7" s="5" t="s">
        <v>1510</v>
      </c>
      <c r="AB7" s="5"/>
      <c r="AC7" s="39" t="s">
        <v>1511</v>
      </c>
      <c r="AD7" s="59">
        <v>7.6</v>
      </c>
    </row>
    <row r="8" spans="1:30">
      <c r="A8" s="4">
        <v>2019</v>
      </c>
      <c r="B8" s="4" t="s">
        <v>44</v>
      </c>
      <c r="C8" s="4">
        <f t="shared" si="1"/>
        <v>7</v>
      </c>
      <c r="D8" s="96" t="s">
        <v>619</v>
      </c>
      <c r="E8" s="4" t="s">
        <v>619</v>
      </c>
      <c r="F8" s="5" t="s">
        <v>620</v>
      </c>
      <c r="G8" s="5" t="s">
        <v>601</v>
      </c>
      <c r="H8" s="5" t="s">
        <v>1404</v>
      </c>
      <c r="I8" s="7">
        <v>12000000</v>
      </c>
      <c r="J8" s="57"/>
      <c r="K8" s="7"/>
      <c r="L8" s="8">
        <v>12</v>
      </c>
      <c r="M8" s="7">
        <v>168740</v>
      </c>
      <c r="N8" s="7"/>
      <c r="O8" s="7">
        <v>269611</v>
      </c>
      <c r="P8" s="7">
        <v>345900</v>
      </c>
      <c r="Q8" s="92">
        <f t="shared" si="0"/>
        <v>76289</v>
      </c>
      <c r="R8" s="5" t="s">
        <v>606</v>
      </c>
      <c r="S8" s="5" t="s">
        <v>598</v>
      </c>
      <c r="T8" s="5" t="s">
        <v>616</v>
      </c>
      <c r="U8" s="5" t="s">
        <v>1394</v>
      </c>
      <c r="V8" s="5" t="s">
        <v>1512</v>
      </c>
      <c r="W8" s="5" t="s">
        <v>620</v>
      </c>
      <c r="X8" s="5" t="s">
        <v>1513</v>
      </c>
      <c r="Y8" s="5"/>
      <c r="Z8" s="5"/>
      <c r="AA8" s="5" t="s">
        <v>1514</v>
      </c>
      <c r="AB8" s="5"/>
      <c r="AC8" s="39" t="s">
        <v>1515</v>
      </c>
      <c r="AD8" s="59">
        <v>8</v>
      </c>
    </row>
    <row r="9" spans="1:30" hidden="1">
      <c r="A9" s="4">
        <v>2019</v>
      </c>
      <c r="B9" s="4" t="s">
        <v>44</v>
      </c>
      <c r="C9" s="4">
        <f t="shared" si="1"/>
        <v>8</v>
      </c>
      <c r="D9" s="96" t="s">
        <v>621</v>
      </c>
      <c r="E9" s="4" t="s">
        <v>621</v>
      </c>
      <c r="F9" s="5" t="s">
        <v>343</v>
      </c>
      <c r="G9" s="5" t="s">
        <v>622</v>
      </c>
      <c r="H9" s="5" t="s">
        <v>131</v>
      </c>
      <c r="I9" s="7">
        <v>1200000</v>
      </c>
      <c r="J9" s="57"/>
      <c r="K9" s="7"/>
      <c r="L9" s="8">
        <v>3</v>
      </c>
      <c r="M9" s="7">
        <v>3207</v>
      </c>
      <c r="N9" s="7"/>
      <c r="O9" s="7">
        <v>0</v>
      </c>
      <c r="P9" s="7">
        <v>10364</v>
      </c>
      <c r="Q9" s="92">
        <f t="shared" si="0"/>
        <v>10364</v>
      </c>
      <c r="R9" s="5" t="s">
        <v>606</v>
      </c>
      <c r="S9" s="5" t="s">
        <v>598</v>
      </c>
      <c r="T9" s="5" t="s">
        <v>616</v>
      </c>
      <c r="U9" s="5" t="s">
        <v>1390</v>
      </c>
      <c r="V9" s="5" t="s">
        <v>1516</v>
      </c>
      <c r="W9" s="5" t="s">
        <v>1517</v>
      </c>
      <c r="X9" s="5" t="s">
        <v>1518</v>
      </c>
      <c r="Y9" s="5"/>
      <c r="Z9" s="5"/>
      <c r="AA9" s="5" t="s">
        <v>1519</v>
      </c>
      <c r="AB9" s="5"/>
      <c r="AC9" s="39" t="s">
        <v>1520</v>
      </c>
      <c r="AD9" s="98" t="s">
        <v>1521</v>
      </c>
    </row>
    <row r="10" spans="1:30" ht="15">
      <c r="A10" s="4">
        <v>2019</v>
      </c>
      <c r="B10" s="4" t="s">
        <v>44</v>
      </c>
      <c r="C10" s="4">
        <f t="shared" si="1"/>
        <v>9</v>
      </c>
      <c r="D10" s="96" t="s">
        <v>623</v>
      </c>
      <c r="E10" s="4" t="s">
        <v>623</v>
      </c>
      <c r="F10" s="5" t="s">
        <v>392</v>
      </c>
      <c r="G10" s="5" t="s">
        <v>601</v>
      </c>
      <c r="H10" s="5" t="s">
        <v>129</v>
      </c>
      <c r="I10" s="7">
        <v>28000000</v>
      </c>
      <c r="J10" s="57"/>
      <c r="K10" s="7"/>
      <c r="L10" s="8">
        <v>61</v>
      </c>
      <c r="M10" s="7">
        <v>92663</v>
      </c>
      <c r="N10" s="7"/>
      <c r="O10" s="7">
        <v>19572493</v>
      </c>
      <c r="P10" s="7">
        <v>19781947</v>
      </c>
      <c r="Q10" s="92">
        <f t="shared" si="0"/>
        <v>209454</v>
      </c>
      <c r="R10" s="5" t="s">
        <v>606</v>
      </c>
      <c r="S10" s="5" t="s">
        <v>598</v>
      </c>
      <c r="T10" s="5">
        <v>0</v>
      </c>
      <c r="U10" s="5" t="s">
        <v>1390</v>
      </c>
      <c r="V10" s="5" t="s">
        <v>1522</v>
      </c>
      <c r="W10" s="5" t="s">
        <v>1523</v>
      </c>
      <c r="X10" s="5" t="s">
        <v>1524</v>
      </c>
      <c r="Y10" s="5"/>
      <c r="Z10" s="5"/>
      <c r="AA10" s="5" t="s">
        <v>1525</v>
      </c>
      <c r="AB10" s="5"/>
      <c r="AC10" s="39" t="s">
        <v>1483</v>
      </c>
      <c r="AD10" s="98">
        <v>9</v>
      </c>
    </row>
    <row r="11" spans="1:30">
      <c r="A11" s="4">
        <v>2019</v>
      </c>
      <c r="B11" s="4" t="s">
        <v>44</v>
      </c>
      <c r="C11" s="4">
        <f t="shared" si="1"/>
        <v>10</v>
      </c>
      <c r="D11" s="96" t="s">
        <v>623</v>
      </c>
      <c r="E11" s="4" t="s">
        <v>623</v>
      </c>
      <c r="F11" s="5" t="s">
        <v>382</v>
      </c>
      <c r="G11" s="5" t="s">
        <v>624</v>
      </c>
      <c r="H11" s="5" t="s">
        <v>131</v>
      </c>
      <c r="I11" s="7">
        <v>7500000</v>
      </c>
      <c r="J11" s="57"/>
      <c r="K11" s="7"/>
      <c r="L11" s="8">
        <v>24</v>
      </c>
      <c r="M11" s="7">
        <v>26746</v>
      </c>
      <c r="N11" s="7"/>
      <c r="O11" s="7">
        <v>41619365</v>
      </c>
      <c r="P11" s="7">
        <v>42140730</v>
      </c>
      <c r="Q11" s="92">
        <f t="shared" si="0"/>
        <v>521365</v>
      </c>
      <c r="R11" s="5" t="s">
        <v>606</v>
      </c>
      <c r="S11" s="5" t="s">
        <v>598</v>
      </c>
      <c r="T11" s="5" t="s">
        <v>616</v>
      </c>
      <c r="U11" s="5" t="s">
        <v>1390</v>
      </c>
      <c r="V11" s="5" t="s">
        <v>1526</v>
      </c>
      <c r="W11" s="5" t="s">
        <v>1527</v>
      </c>
      <c r="X11" s="5" t="s">
        <v>1528</v>
      </c>
      <c r="Y11" s="5" t="s">
        <v>1529</v>
      </c>
      <c r="Z11" s="5" t="s">
        <v>1530</v>
      </c>
      <c r="AA11" s="5" t="s">
        <v>1531</v>
      </c>
      <c r="AB11" s="5"/>
      <c r="AC11" s="39" t="s">
        <v>1532</v>
      </c>
      <c r="AD11" s="59">
        <v>2.6</v>
      </c>
    </row>
    <row r="12" spans="1:30">
      <c r="A12" s="4">
        <v>2019</v>
      </c>
      <c r="B12" s="4" t="s">
        <v>44</v>
      </c>
      <c r="C12" s="4">
        <f t="shared" si="1"/>
        <v>11</v>
      </c>
      <c r="D12" s="96" t="s">
        <v>625</v>
      </c>
      <c r="E12" s="4" t="s">
        <v>1533</v>
      </c>
      <c r="F12" s="5" t="s">
        <v>209</v>
      </c>
      <c r="G12" s="5" t="s">
        <v>601</v>
      </c>
      <c r="H12" s="5" t="s">
        <v>1403</v>
      </c>
      <c r="I12" s="7">
        <v>14925373.134328358</v>
      </c>
      <c r="J12" s="57" t="s">
        <v>1411</v>
      </c>
      <c r="K12" s="7">
        <v>1492537.3134328357</v>
      </c>
      <c r="L12" s="8">
        <v>19</v>
      </c>
      <c r="M12" s="7">
        <v>36590</v>
      </c>
      <c r="N12" s="7">
        <v>4179104.4776119408</v>
      </c>
      <c r="O12" s="7">
        <v>4066011</v>
      </c>
      <c r="P12" s="7">
        <v>4140502</v>
      </c>
      <c r="Q12" s="92">
        <f t="shared" si="0"/>
        <v>74491</v>
      </c>
      <c r="R12" s="5" t="s">
        <v>606</v>
      </c>
      <c r="S12" s="5" t="s">
        <v>598</v>
      </c>
      <c r="T12" s="5" t="s">
        <v>616</v>
      </c>
      <c r="U12" s="5" t="s">
        <v>1390</v>
      </c>
      <c r="V12" s="5" t="s">
        <v>1534</v>
      </c>
      <c r="W12" s="5" t="s">
        <v>1535</v>
      </c>
      <c r="X12" s="5" t="s">
        <v>1536</v>
      </c>
      <c r="Y12" s="5"/>
      <c r="Z12" s="5"/>
      <c r="AA12" s="5" t="s">
        <v>1537</v>
      </c>
      <c r="AB12" s="5"/>
      <c r="AC12" s="5" t="s">
        <v>1538</v>
      </c>
      <c r="AD12" s="62">
        <v>8.4</v>
      </c>
    </row>
    <row r="13" spans="1:30" ht="15">
      <c r="A13" s="4">
        <v>2019</v>
      </c>
      <c r="B13" s="4" t="s">
        <v>44</v>
      </c>
      <c r="C13" s="4">
        <f t="shared" si="1"/>
        <v>12</v>
      </c>
      <c r="D13" s="96" t="s">
        <v>625</v>
      </c>
      <c r="E13" s="4" t="s">
        <v>625</v>
      </c>
      <c r="F13" s="5" t="s">
        <v>172</v>
      </c>
      <c r="G13" s="5" t="s">
        <v>626</v>
      </c>
      <c r="H13" s="5" t="s">
        <v>131</v>
      </c>
      <c r="I13" s="7">
        <v>4500000</v>
      </c>
      <c r="J13" s="57" t="s">
        <v>1411</v>
      </c>
      <c r="K13" s="7">
        <v>6119403</v>
      </c>
      <c r="L13" s="8">
        <v>33178</v>
      </c>
      <c r="M13" s="7">
        <v>4267156</v>
      </c>
      <c r="N13" s="7">
        <v>18059701</v>
      </c>
      <c r="O13" s="7">
        <v>18914072</v>
      </c>
      <c r="P13" s="7">
        <v>19005956</v>
      </c>
      <c r="Q13" s="92">
        <f t="shared" si="0"/>
        <v>91884</v>
      </c>
      <c r="R13" s="5" t="s">
        <v>606</v>
      </c>
      <c r="S13" s="5" t="s">
        <v>598</v>
      </c>
      <c r="T13" s="5" t="s">
        <v>616</v>
      </c>
      <c r="U13" s="5" t="s">
        <v>1390</v>
      </c>
      <c r="V13" s="5" t="s">
        <v>1539</v>
      </c>
      <c r="W13" s="5" t="s">
        <v>1540</v>
      </c>
      <c r="X13" s="5" t="s">
        <v>1541</v>
      </c>
      <c r="Y13" s="5"/>
      <c r="Z13" s="5"/>
      <c r="AA13" s="5" t="s">
        <v>1542</v>
      </c>
      <c r="AB13" s="5"/>
      <c r="AC13" s="5" t="s">
        <v>1543</v>
      </c>
      <c r="AD13" s="62">
        <v>5.0999999999999996</v>
      </c>
    </row>
    <row r="14" spans="1:30">
      <c r="A14" s="4">
        <v>2019</v>
      </c>
      <c r="B14" s="4" t="s">
        <v>44</v>
      </c>
      <c r="C14" s="4">
        <f t="shared" si="1"/>
        <v>13</v>
      </c>
      <c r="D14" s="96" t="s">
        <v>625</v>
      </c>
      <c r="E14" s="4" t="s">
        <v>625</v>
      </c>
      <c r="F14" s="5" t="s">
        <v>371</v>
      </c>
      <c r="G14" s="5" t="s">
        <v>601</v>
      </c>
      <c r="H14" s="5" t="s">
        <v>129</v>
      </c>
      <c r="I14" s="7">
        <v>44500000</v>
      </c>
      <c r="J14" s="57"/>
      <c r="K14" s="7"/>
      <c r="L14" s="8">
        <v>53</v>
      </c>
      <c r="M14" s="7">
        <v>9650987</v>
      </c>
      <c r="N14" s="7"/>
      <c r="O14" s="7">
        <v>90941185</v>
      </c>
      <c r="P14" s="7">
        <v>91462581</v>
      </c>
      <c r="Q14" s="92">
        <f t="shared" si="0"/>
        <v>521396</v>
      </c>
      <c r="R14" s="5" t="s">
        <v>606</v>
      </c>
      <c r="S14" s="5" t="s">
        <v>598</v>
      </c>
      <c r="T14" s="5" t="s">
        <v>603</v>
      </c>
      <c r="U14" s="5" t="s">
        <v>1390</v>
      </c>
      <c r="V14" s="5" t="s">
        <v>1544</v>
      </c>
      <c r="W14" s="5" t="s">
        <v>1545</v>
      </c>
      <c r="X14" s="5" t="s">
        <v>1546</v>
      </c>
      <c r="Y14" s="5"/>
      <c r="Z14" s="5"/>
      <c r="AA14" s="5" t="s">
        <v>1547</v>
      </c>
      <c r="AB14" s="5"/>
      <c r="AC14" s="39" t="s">
        <v>1548</v>
      </c>
      <c r="AD14" s="59">
        <v>8.1</v>
      </c>
    </row>
    <row r="15" spans="1:30">
      <c r="A15" s="4">
        <v>2019</v>
      </c>
      <c r="B15" s="4" t="s">
        <v>44</v>
      </c>
      <c r="C15" s="4">
        <f t="shared" si="1"/>
        <v>14</v>
      </c>
      <c r="D15" s="96" t="s">
        <v>628</v>
      </c>
      <c r="E15" s="4" t="s">
        <v>628</v>
      </c>
      <c r="F15" s="5" t="s">
        <v>351</v>
      </c>
      <c r="G15" s="39" t="s">
        <v>870</v>
      </c>
      <c r="H15" s="5" t="s">
        <v>129</v>
      </c>
      <c r="I15" s="7">
        <v>35000000</v>
      </c>
      <c r="J15" s="57"/>
      <c r="K15" s="7"/>
      <c r="L15" s="41" t="s">
        <v>1501</v>
      </c>
      <c r="M15" s="7">
        <v>10925253</v>
      </c>
      <c r="N15" s="7"/>
      <c r="O15" s="7">
        <v>54000000</v>
      </c>
      <c r="P15" s="7">
        <v>90100000</v>
      </c>
      <c r="Q15" s="92">
        <f t="shared" si="0"/>
        <v>36100000</v>
      </c>
      <c r="R15" s="5" t="s">
        <v>606</v>
      </c>
      <c r="S15" s="5" t="s">
        <v>598</v>
      </c>
      <c r="T15" s="5" t="s">
        <v>607</v>
      </c>
      <c r="U15" s="5" t="s">
        <v>1390</v>
      </c>
      <c r="V15" s="39" t="s">
        <v>1553</v>
      </c>
      <c r="W15" s="39" t="s">
        <v>351</v>
      </c>
      <c r="X15" s="99" t="s">
        <v>1554</v>
      </c>
      <c r="Y15" s="99" t="s">
        <v>1555</v>
      </c>
      <c r="Z15" s="99" t="s">
        <v>1556</v>
      </c>
      <c r="AA15" s="39" t="s">
        <v>1557</v>
      </c>
      <c r="AB15" s="5"/>
      <c r="AC15" s="39" t="s">
        <v>1558</v>
      </c>
      <c r="AD15" s="59">
        <v>6.5</v>
      </c>
    </row>
    <row r="16" spans="1:30" ht="15">
      <c r="A16" s="4">
        <v>2019</v>
      </c>
      <c r="B16" s="4" t="s">
        <v>44</v>
      </c>
      <c r="C16" s="4">
        <f t="shared" si="1"/>
        <v>15</v>
      </c>
      <c r="D16" s="96" t="s">
        <v>632</v>
      </c>
      <c r="E16" s="4" t="s">
        <v>1559</v>
      </c>
      <c r="F16" s="5" t="s">
        <v>633</v>
      </c>
      <c r="G16" s="5" t="s">
        <v>634</v>
      </c>
      <c r="H16" s="5" t="s">
        <v>127</v>
      </c>
      <c r="I16" s="7">
        <v>7462686.5671641789</v>
      </c>
      <c r="J16" s="7">
        <v>4477611.940298507</v>
      </c>
      <c r="K16" s="7">
        <v>27462686.567164179</v>
      </c>
      <c r="L16" s="41">
        <v>17372</v>
      </c>
      <c r="M16" s="7">
        <v>59300000</v>
      </c>
      <c r="N16" s="7">
        <v>72686567.164179102</v>
      </c>
      <c r="O16" s="7">
        <v>77072065</v>
      </c>
      <c r="P16" s="7">
        <v>77072065</v>
      </c>
      <c r="Q16" s="7">
        <f t="shared" si="0"/>
        <v>0</v>
      </c>
      <c r="R16" s="5" t="s">
        <v>606</v>
      </c>
      <c r="S16" s="5" t="s">
        <v>631</v>
      </c>
      <c r="T16" s="5" t="s">
        <v>612</v>
      </c>
      <c r="U16" s="5" t="s">
        <v>1386</v>
      </c>
      <c r="V16" s="45" t="s">
        <v>1560</v>
      </c>
      <c r="W16" s="5" t="s">
        <v>633</v>
      </c>
      <c r="X16" s="5" t="s">
        <v>1561</v>
      </c>
      <c r="Y16" s="5" t="s">
        <v>1562</v>
      </c>
      <c r="Z16" s="10"/>
      <c r="AA16" s="5" t="s">
        <v>1563</v>
      </c>
      <c r="AB16" s="5"/>
      <c r="AC16" s="5" t="s">
        <v>1564</v>
      </c>
      <c r="AD16" s="62">
        <v>9.1</v>
      </c>
    </row>
    <row r="17" spans="1:30">
      <c r="A17" s="4">
        <v>2019</v>
      </c>
      <c r="B17" s="4" t="s">
        <v>44</v>
      </c>
      <c r="C17" s="4">
        <f t="shared" si="1"/>
        <v>16</v>
      </c>
      <c r="D17" s="96" t="s">
        <v>639</v>
      </c>
      <c r="E17" s="4" t="s">
        <v>639</v>
      </c>
      <c r="F17" s="5" t="s">
        <v>142</v>
      </c>
      <c r="G17" s="5" t="s">
        <v>626</v>
      </c>
      <c r="H17" s="5" t="s">
        <v>131</v>
      </c>
      <c r="I17" s="7">
        <v>12000000</v>
      </c>
      <c r="J17" s="57"/>
      <c r="K17" s="7"/>
      <c r="L17" s="41">
        <v>121643</v>
      </c>
      <c r="M17" s="42">
        <v>5560000</v>
      </c>
      <c r="N17" s="7"/>
      <c r="O17" s="7">
        <v>127897924</v>
      </c>
      <c r="P17" s="7">
        <v>127897924</v>
      </c>
      <c r="Q17" s="7">
        <f t="shared" si="0"/>
        <v>0</v>
      </c>
      <c r="R17" s="5" t="s">
        <v>606</v>
      </c>
      <c r="S17" s="5" t="s">
        <v>598</v>
      </c>
      <c r="T17" s="5" t="s">
        <v>603</v>
      </c>
      <c r="U17" s="5" t="s">
        <v>1390</v>
      </c>
      <c r="V17" s="39" t="s">
        <v>1565</v>
      </c>
      <c r="W17" s="39" t="s">
        <v>1566</v>
      </c>
      <c r="X17" s="99" t="s">
        <v>1546</v>
      </c>
      <c r="Y17" s="99" t="s">
        <v>1567</v>
      </c>
      <c r="Z17" s="99" t="s">
        <v>1568</v>
      </c>
      <c r="AA17" s="99" t="s">
        <v>1546</v>
      </c>
      <c r="AB17" s="39" t="s">
        <v>1569</v>
      </c>
      <c r="AC17" s="50" t="s">
        <v>1570</v>
      </c>
      <c r="AD17" s="59">
        <v>9.4</v>
      </c>
    </row>
    <row r="18" spans="1:30">
      <c r="A18" s="4">
        <v>2019</v>
      </c>
      <c r="B18" s="4" t="s">
        <v>44</v>
      </c>
      <c r="C18" s="4">
        <f t="shared" si="1"/>
        <v>17</v>
      </c>
      <c r="D18" s="96" t="s">
        <v>640</v>
      </c>
      <c r="E18" s="4" t="s">
        <v>640</v>
      </c>
      <c r="F18" s="5" t="s">
        <v>138</v>
      </c>
      <c r="G18" s="5" t="s">
        <v>641</v>
      </c>
      <c r="H18" s="5" t="s">
        <v>131</v>
      </c>
      <c r="I18" s="7">
        <v>56400000</v>
      </c>
      <c r="J18" s="57"/>
      <c r="K18" s="7"/>
      <c r="L18" s="8">
        <v>150</v>
      </c>
      <c r="M18" s="7">
        <v>98500000</v>
      </c>
      <c r="N18" s="7"/>
      <c r="O18" s="7">
        <v>244889313</v>
      </c>
      <c r="P18" s="7">
        <v>245179530</v>
      </c>
      <c r="Q18" s="92">
        <f t="shared" si="0"/>
        <v>290217</v>
      </c>
      <c r="R18" s="100" t="s">
        <v>597</v>
      </c>
      <c r="S18" s="5" t="s">
        <v>598</v>
      </c>
      <c r="T18" s="5" t="s">
        <v>707</v>
      </c>
      <c r="U18" s="5" t="s">
        <v>1393</v>
      </c>
      <c r="V18" s="39" t="s">
        <v>1571</v>
      </c>
      <c r="W18" s="39" t="s">
        <v>1572</v>
      </c>
      <c r="X18" s="99" t="s">
        <v>1573</v>
      </c>
      <c r="Y18" s="99" t="s">
        <v>1574</v>
      </c>
      <c r="Z18" s="99" t="s">
        <v>1575</v>
      </c>
      <c r="AA18" s="39" t="s">
        <v>1576</v>
      </c>
      <c r="AB18" s="5"/>
      <c r="AC18" s="50" t="s">
        <v>1577</v>
      </c>
      <c r="AD18" s="59">
        <v>9.4</v>
      </c>
    </row>
    <row r="19" spans="1:30">
      <c r="A19" s="4">
        <v>2019</v>
      </c>
      <c r="B19" s="4" t="s">
        <v>44</v>
      </c>
      <c r="C19" s="4">
        <f t="shared" si="1"/>
        <v>18</v>
      </c>
      <c r="D19" s="96" t="s">
        <v>640</v>
      </c>
      <c r="E19" s="4" t="s">
        <v>640</v>
      </c>
      <c r="F19" s="5" t="s">
        <v>1578</v>
      </c>
      <c r="G19" s="5" t="s">
        <v>626</v>
      </c>
      <c r="H19" s="5" t="s">
        <v>131</v>
      </c>
      <c r="I19" s="7">
        <v>10900000</v>
      </c>
      <c r="J19" s="57"/>
      <c r="K19" s="7"/>
      <c r="L19" s="8">
        <v>2</v>
      </c>
      <c r="M19" s="7">
        <v>296516000</v>
      </c>
      <c r="N19" s="7"/>
      <c r="O19" s="7">
        <v>451176640</v>
      </c>
      <c r="P19" s="7">
        <v>451183392</v>
      </c>
      <c r="Q19" s="92">
        <f t="shared" si="0"/>
        <v>6752</v>
      </c>
      <c r="R19" s="5" t="s">
        <v>606</v>
      </c>
      <c r="S19" s="5" t="s">
        <v>598</v>
      </c>
      <c r="T19" s="5" t="s">
        <v>616</v>
      </c>
      <c r="U19" s="5" t="s">
        <v>1406</v>
      </c>
      <c r="V19" s="5" t="s">
        <v>1579</v>
      </c>
      <c r="W19" s="39" t="s">
        <v>1580</v>
      </c>
      <c r="X19" s="50" t="s">
        <v>1581</v>
      </c>
      <c r="Y19" s="50" t="s">
        <v>1582</v>
      </c>
      <c r="Z19" s="50" t="s">
        <v>1583</v>
      </c>
      <c r="AA19" s="39" t="s">
        <v>1584</v>
      </c>
      <c r="AB19" s="5"/>
      <c r="AC19" s="50" t="s">
        <v>1585</v>
      </c>
      <c r="AD19" s="59">
        <v>9.6</v>
      </c>
    </row>
    <row r="20" spans="1:30">
      <c r="A20" s="4">
        <v>2019</v>
      </c>
      <c r="B20" s="4" t="s">
        <v>44</v>
      </c>
      <c r="C20" s="4">
        <f t="shared" si="1"/>
        <v>19</v>
      </c>
      <c r="D20" s="4" t="s">
        <v>645</v>
      </c>
      <c r="E20" s="101" t="s">
        <v>1586</v>
      </c>
      <c r="F20" s="5" t="s">
        <v>445</v>
      </c>
      <c r="G20" s="39" t="s">
        <v>2997</v>
      </c>
      <c r="H20" s="5" t="s">
        <v>131</v>
      </c>
      <c r="I20" s="7">
        <v>1000000</v>
      </c>
      <c r="J20" s="57"/>
      <c r="K20" s="7"/>
      <c r="L20" s="41">
        <v>25926</v>
      </c>
      <c r="M20" s="7">
        <v>780400</v>
      </c>
      <c r="N20" s="7"/>
      <c r="O20" s="7">
        <v>1079373</v>
      </c>
      <c r="P20" s="7">
        <v>1079373</v>
      </c>
      <c r="Q20" s="7">
        <f t="shared" si="0"/>
        <v>0</v>
      </c>
      <c r="R20" s="39" t="s">
        <v>606</v>
      </c>
      <c r="S20" s="5" t="s">
        <v>598</v>
      </c>
      <c r="T20" s="5">
        <v>0</v>
      </c>
      <c r="U20" s="5" t="s">
        <v>1390</v>
      </c>
      <c r="V20" s="39" t="s">
        <v>1587</v>
      </c>
      <c r="W20" s="39" t="s">
        <v>1588</v>
      </c>
      <c r="X20" s="50" t="s">
        <v>1589</v>
      </c>
      <c r="Y20" s="50" t="s">
        <v>1590</v>
      </c>
      <c r="Z20" s="10"/>
      <c r="AA20" s="39" t="s">
        <v>1591</v>
      </c>
      <c r="AB20" s="5"/>
      <c r="AC20" s="99" t="s">
        <v>1501</v>
      </c>
      <c r="AD20" s="59">
        <v>7.8</v>
      </c>
    </row>
    <row r="21" spans="1:30" ht="15">
      <c r="A21" s="4">
        <v>2019</v>
      </c>
      <c r="B21" s="4" t="s">
        <v>44</v>
      </c>
      <c r="C21" s="4">
        <f t="shared" si="1"/>
        <v>20</v>
      </c>
      <c r="D21" s="96" t="s">
        <v>646</v>
      </c>
      <c r="E21" s="4" t="s">
        <v>646</v>
      </c>
      <c r="F21" s="5" t="s">
        <v>6</v>
      </c>
      <c r="G21" s="5" t="s">
        <v>601</v>
      </c>
      <c r="H21" s="5" t="s">
        <v>127</v>
      </c>
      <c r="I21" s="7">
        <v>20000000</v>
      </c>
      <c r="J21" s="57"/>
      <c r="K21" s="7"/>
      <c r="L21" s="8">
        <v>135</v>
      </c>
      <c r="M21" s="7">
        <v>1164810</v>
      </c>
      <c r="N21" s="7"/>
      <c r="O21" s="7">
        <v>738818536</v>
      </c>
      <c r="P21" s="7">
        <v>742514069</v>
      </c>
      <c r="Q21" s="92">
        <f t="shared" si="0"/>
        <v>3695533</v>
      </c>
      <c r="R21" s="5" t="s">
        <v>606</v>
      </c>
      <c r="S21" s="5" t="s">
        <v>631</v>
      </c>
      <c r="T21" s="5" t="s">
        <v>603</v>
      </c>
      <c r="U21" s="5" t="s">
        <v>1390</v>
      </c>
      <c r="V21" s="5" t="s">
        <v>1592</v>
      </c>
      <c r="W21" s="39" t="s">
        <v>1593</v>
      </c>
      <c r="X21" s="39" t="s">
        <v>1594</v>
      </c>
      <c r="Y21" s="39" t="s">
        <v>1561</v>
      </c>
      <c r="Z21" s="39" t="s">
        <v>1595</v>
      </c>
      <c r="AA21" s="39" t="s">
        <v>1596</v>
      </c>
      <c r="AB21" s="5"/>
      <c r="AC21" s="50" t="s">
        <v>1597</v>
      </c>
      <c r="AD21" s="59">
        <v>9.6</v>
      </c>
    </row>
    <row r="22" spans="1:30">
      <c r="A22" s="4">
        <v>2019</v>
      </c>
      <c r="B22" s="4" t="s">
        <v>44</v>
      </c>
      <c r="C22" s="4">
        <f t="shared" si="1"/>
        <v>21</v>
      </c>
      <c r="D22" s="96" t="s">
        <v>647</v>
      </c>
      <c r="E22" s="4" t="s">
        <v>647</v>
      </c>
      <c r="F22" s="5" t="s">
        <v>174</v>
      </c>
      <c r="G22" s="39" t="s">
        <v>1598</v>
      </c>
      <c r="H22" s="5" t="s">
        <v>131</v>
      </c>
      <c r="I22" s="7">
        <v>44500000</v>
      </c>
      <c r="J22" s="57"/>
      <c r="K22" s="7"/>
      <c r="L22" s="41">
        <v>130842</v>
      </c>
      <c r="M22" s="7">
        <v>15095649</v>
      </c>
      <c r="N22" s="7"/>
      <c r="O22" s="7">
        <v>16923672</v>
      </c>
      <c r="P22" s="7">
        <v>16923672</v>
      </c>
      <c r="Q22" s="7">
        <f t="shared" si="0"/>
        <v>0</v>
      </c>
      <c r="R22" s="5" t="s">
        <v>606</v>
      </c>
      <c r="S22" s="5" t="s">
        <v>703</v>
      </c>
      <c r="T22" s="5" t="s">
        <v>607</v>
      </c>
      <c r="U22" s="5" t="s">
        <v>1390</v>
      </c>
      <c r="V22" s="39" t="s">
        <v>1599</v>
      </c>
      <c r="W22" s="39" t="s">
        <v>1600</v>
      </c>
      <c r="X22" s="99" t="s">
        <v>1601</v>
      </c>
      <c r="Y22" s="99" t="s">
        <v>1602</v>
      </c>
      <c r="Z22" s="99" t="s">
        <v>1603</v>
      </c>
      <c r="AA22" s="39" t="s">
        <v>1604</v>
      </c>
      <c r="AB22" s="5"/>
      <c r="AC22" s="50" t="s">
        <v>1605</v>
      </c>
      <c r="AD22" s="59">
        <v>5.8</v>
      </c>
    </row>
    <row r="23" spans="1:30">
      <c r="A23" s="4">
        <v>2019</v>
      </c>
      <c r="B23" s="4" t="s">
        <v>44</v>
      </c>
      <c r="C23" s="4">
        <f t="shared" si="1"/>
        <v>22</v>
      </c>
      <c r="D23" s="96" t="s">
        <v>647</v>
      </c>
      <c r="E23" s="4" t="s">
        <v>647</v>
      </c>
      <c r="F23" s="5" t="s">
        <v>648</v>
      </c>
      <c r="G23" s="5" t="s">
        <v>626</v>
      </c>
      <c r="H23" s="5" t="s">
        <v>131</v>
      </c>
      <c r="I23" s="7">
        <v>4500000</v>
      </c>
      <c r="J23" s="57"/>
      <c r="K23" s="7"/>
      <c r="L23" s="8">
        <v>13</v>
      </c>
      <c r="M23" s="7">
        <v>182300</v>
      </c>
      <c r="N23" s="7"/>
      <c r="O23" s="7">
        <v>1222532</v>
      </c>
      <c r="P23" s="7">
        <v>1265949</v>
      </c>
      <c r="Q23" s="92">
        <f t="shared" si="0"/>
        <v>43417</v>
      </c>
      <c r="R23" s="5" t="s">
        <v>606</v>
      </c>
      <c r="S23" s="5" t="s">
        <v>598</v>
      </c>
      <c r="T23" s="5" t="s">
        <v>616</v>
      </c>
      <c r="U23" s="5" t="s">
        <v>1390</v>
      </c>
      <c r="V23" s="39" t="s">
        <v>1606</v>
      </c>
      <c r="W23" s="39" t="s">
        <v>1607</v>
      </c>
      <c r="X23" s="50" t="s">
        <v>1608</v>
      </c>
      <c r="Y23" s="99" t="s">
        <v>1609</v>
      </c>
      <c r="Z23" s="99" t="s">
        <v>1610</v>
      </c>
      <c r="AA23" s="39" t="s">
        <v>1611</v>
      </c>
      <c r="AB23" s="5"/>
      <c r="AC23" s="50" t="s">
        <v>1612</v>
      </c>
      <c r="AD23" s="59">
        <v>8.6</v>
      </c>
    </row>
    <row r="24" spans="1:30">
      <c r="A24" s="4">
        <v>2019</v>
      </c>
      <c r="B24" s="4" t="s">
        <v>44</v>
      </c>
      <c r="C24" s="4">
        <f t="shared" si="1"/>
        <v>23</v>
      </c>
      <c r="D24" s="96" t="s">
        <v>649</v>
      </c>
      <c r="E24" s="101" t="s">
        <v>1050</v>
      </c>
      <c r="F24" s="5" t="s">
        <v>432</v>
      </c>
      <c r="G24" s="39" t="s">
        <v>1613</v>
      </c>
      <c r="H24" s="5" t="s">
        <v>129</v>
      </c>
      <c r="I24" s="7">
        <v>22000000</v>
      </c>
      <c r="J24" s="57"/>
      <c r="K24" s="7"/>
      <c r="L24" s="41">
        <v>40704</v>
      </c>
      <c r="M24" s="7">
        <v>1804810</v>
      </c>
      <c r="N24" s="7"/>
      <c r="O24" s="7">
        <v>2577213</v>
      </c>
      <c r="P24" s="7">
        <v>2577213</v>
      </c>
      <c r="Q24" s="7">
        <f t="shared" si="0"/>
        <v>0</v>
      </c>
      <c r="R24" s="39" t="s">
        <v>606</v>
      </c>
      <c r="S24" s="5" t="s">
        <v>598</v>
      </c>
      <c r="T24" s="5" t="s">
        <v>616</v>
      </c>
      <c r="U24" s="5" t="s">
        <v>1390</v>
      </c>
      <c r="V24" s="39" t="s">
        <v>1614</v>
      </c>
      <c r="W24" s="39" t="s">
        <v>1615</v>
      </c>
      <c r="X24" s="99" t="s">
        <v>1616</v>
      </c>
      <c r="Y24" s="99" t="s">
        <v>1617</v>
      </c>
      <c r="Z24" s="10"/>
      <c r="AA24" s="39" t="s">
        <v>1618</v>
      </c>
      <c r="AB24" s="5"/>
      <c r="AC24" s="50" t="s">
        <v>1619</v>
      </c>
      <c r="AD24" s="59">
        <v>7</v>
      </c>
    </row>
    <row r="25" spans="1:30">
      <c r="A25" s="4">
        <v>2019</v>
      </c>
      <c r="B25" s="4" t="s">
        <v>44</v>
      </c>
      <c r="C25" s="4">
        <f t="shared" si="1"/>
        <v>24</v>
      </c>
      <c r="D25" s="96" t="s">
        <v>650</v>
      </c>
      <c r="E25" s="4" t="s">
        <v>650</v>
      </c>
      <c r="F25" s="5" t="s">
        <v>216</v>
      </c>
      <c r="G25" s="5" t="s">
        <v>601</v>
      </c>
      <c r="H25" s="5" t="s">
        <v>131</v>
      </c>
      <c r="I25" s="7">
        <v>2200000</v>
      </c>
      <c r="J25" s="57"/>
      <c r="K25" s="7"/>
      <c r="L25" s="8">
        <v>13</v>
      </c>
      <c r="M25" s="7">
        <v>2633997</v>
      </c>
      <c r="N25" s="7"/>
      <c r="O25" s="7">
        <v>3440000</v>
      </c>
      <c r="P25" s="7">
        <v>3458555</v>
      </c>
      <c r="Q25" s="92">
        <f t="shared" si="0"/>
        <v>18555</v>
      </c>
      <c r="R25" s="5" t="s">
        <v>606</v>
      </c>
      <c r="S25" s="5" t="s">
        <v>598</v>
      </c>
      <c r="T25" s="5" t="s">
        <v>616</v>
      </c>
      <c r="U25" s="5" t="s">
        <v>1390</v>
      </c>
      <c r="V25" s="39" t="s">
        <v>1620</v>
      </c>
      <c r="W25" s="39" t="s">
        <v>1621</v>
      </c>
      <c r="X25" s="50" t="s">
        <v>1622</v>
      </c>
      <c r="Y25" s="50" t="s">
        <v>1623</v>
      </c>
      <c r="Z25" s="99" t="s">
        <v>1624</v>
      </c>
      <c r="AA25" s="39" t="s">
        <v>1622</v>
      </c>
      <c r="AB25" s="5"/>
      <c r="AC25" s="99" t="s">
        <v>1501</v>
      </c>
      <c r="AD25" s="59">
        <v>7.5</v>
      </c>
    </row>
    <row r="26" spans="1:30">
      <c r="A26" s="4">
        <v>2019</v>
      </c>
      <c r="B26" s="4" t="s">
        <v>44</v>
      </c>
      <c r="C26" s="4">
        <f t="shared" si="1"/>
        <v>25</v>
      </c>
      <c r="D26" s="96" t="s">
        <v>651</v>
      </c>
      <c r="E26" s="4" t="s">
        <v>651</v>
      </c>
      <c r="F26" s="5" t="s">
        <v>652</v>
      </c>
      <c r="G26" s="5" t="s">
        <v>653</v>
      </c>
      <c r="H26" s="5" t="s">
        <v>127</v>
      </c>
      <c r="I26" s="7">
        <v>75000000</v>
      </c>
      <c r="J26" s="57"/>
      <c r="K26" s="7"/>
      <c r="L26" s="8">
        <v>4248</v>
      </c>
      <c r="M26" s="7">
        <v>20612100</v>
      </c>
      <c r="N26" s="7"/>
      <c r="O26" s="7">
        <v>127170053</v>
      </c>
      <c r="P26" s="7">
        <v>187886443</v>
      </c>
      <c r="Q26" s="92">
        <f t="shared" si="0"/>
        <v>60716390</v>
      </c>
      <c r="R26" s="5" t="s">
        <v>606</v>
      </c>
      <c r="S26" s="5" t="s">
        <v>631</v>
      </c>
      <c r="T26" s="5" t="s">
        <v>612</v>
      </c>
      <c r="U26" s="5" t="s">
        <v>1392</v>
      </c>
      <c r="V26" s="39" t="s">
        <v>1625</v>
      </c>
      <c r="W26" s="39" t="s">
        <v>652</v>
      </c>
      <c r="X26" s="50" t="s">
        <v>1626</v>
      </c>
      <c r="Y26" s="50" t="s">
        <v>1627</v>
      </c>
      <c r="Z26" s="10"/>
      <c r="AA26" s="39" t="s">
        <v>1628</v>
      </c>
      <c r="AB26" s="5"/>
      <c r="AC26" s="50" t="s">
        <v>1629</v>
      </c>
      <c r="AD26" s="59">
        <v>9.3000000000000007</v>
      </c>
    </row>
    <row r="27" spans="1:30">
      <c r="A27" s="4">
        <v>2019</v>
      </c>
      <c r="B27" s="4" t="s">
        <v>44</v>
      </c>
      <c r="C27" s="4">
        <f t="shared" si="1"/>
        <v>26</v>
      </c>
      <c r="D27" s="96" t="s">
        <v>654</v>
      </c>
      <c r="E27" s="4" t="s">
        <v>654</v>
      </c>
      <c r="F27" s="5" t="s">
        <v>141</v>
      </c>
      <c r="G27" s="5" t="s">
        <v>601</v>
      </c>
      <c r="H27" s="5" t="s">
        <v>127</v>
      </c>
      <c r="I27" s="7">
        <v>89000000</v>
      </c>
      <c r="J27" s="57"/>
      <c r="K27" s="7"/>
      <c r="L27" s="8">
        <v>102</v>
      </c>
      <c r="M27" s="7">
        <v>31120924</v>
      </c>
      <c r="N27" s="7"/>
      <c r="O27" s="7">
        <v>163172247</v>
      </c>
      <c r="P27" s="7">
        <v>163659404</v>
      </c>
      <c r="Q27" s="92">
        <f t="shared" si="0"/>
        <v>487157</v>
      </c>
      <c r="R27" s="5" t="s">
        <v>597</v>
      </c>
      <c r="S27" s="5" t="s">
        <v>598</v>
      </c>
      <c r="T27" s="5" t="s">
        <v>707</v>
      </c>
      <c r="U27" s="5" t="s">
        <v>1390</v>
      </c>
      <c r="V27" s="39" t="s">
        <v>1630</v>
      </c>
      <c r="W27" s="39" t="s">
        <v>1631</v>
      </c>
      <c r="X27" s="99" t="s">
        <v>1632</v>
      </c>
      <c r="Y27" s="99" t="s">
        <v>1633</v>
      </c>
      <c r="Z27" s="99" t="s">
        <v>1634</v>
      </c>
      <c r="AA27" s="39" t="s">
        <v>1635</v>
      </c>
      <c r="AB27" s="5"/>
      <c r="AC27" s="50" t="s">
        <v>1636</v>
      </c>
      <c r="AD27" s="59">
        <v>9.4</v>
      </c>
    </row>
    <row r="28" spans="1:30">
      <c r="A28" s="4">
        <v>2019</v>
      </c>
      <c r="B28" s="4" t="s">
        <v>44</v>
      </c>
      <c r="C28" s="4">
        <f t="shared" si="1"/>
        <v>27</v>
      </c>
      <c r="D28" s="96" t="s">
        <v>657</v>
      </c>
      <c r="E28" s="4" t="s">
        <v>657</v>
      </c>
      <c r="F28" s="5" t="s">
        <v>130</v>
      </c>
      <c r="G28" s="5" t="s">
        <v>605</v>
      </c>
      <c r="H28" s="5" t="s">
        <v>131</v>
      </c>
      <c r="I28" s="7">
        <v>18000000</v>
      </c>
      <c r="J28" s="57"/>
      <c r="K28" s="7"/>
      <c r="L28" s="8">
        <v>83</v>
      </c>
      <c r="M28" s="7">
        <v>101146119</v>
      </c>
      <c r="N28" s="7"/>
      <c r="O28" s="7">
        <v>463094610</v>
      </c>
      <c r="P28" s="7">
        <v>465418019</v>
      </c>
      <c r="Q28" s="92">
        <f t="shared" si="0"/>
        <v>2323409</v>
      </c>
      <c r="R28" s="5" t="s">
        <v>597</v>
      </c>
      <c r="S28" s="5" t="s">
        <v>598</v>
      </c>
      <c r="T28" s="5" t="s">
        <v>658</v>
      </c>
      <c r="U28" s="5" t="s">
        <v>1390</v>
      </c>
      <c r="V28" s="39" t="s">
        <v>1637</v>
      </c>
      <c r="W28" s="39" t="s">
        <v>1638</v>
      </c>
      <c r="X28" s="99" t="s">
        <v>1639</v>
      </c>
      <c r="Y28" s="50" t="s">
        <v>1640</v>
      </c>
      <c r="Z28" s="99" t="s">
        <v>1641</v>
      </c>
      <c r="AA28" s="39" t="s">
        <v>1642</v>
      </c>
      <c r="AB28" s="5"/>
      <c r="AC28" s="50" t="s">
        <v>1494</v>
      </c>
      <c r="AD28" s="59">
        <v>9.6999999999999993</v>
      </c>
    </row>
    <row r="29" spans="1:30">
      <c r="A29" s="4">
        <v>2019</v>
      </c>
      <c r="B29" s="4" t="s">
        <v>44</v>
      </c>
      <c r="C29" s="4">
        <f t="shared" si="1"/>
        <v>28</v>
      </c>
      <c r="D29" s="96" t="s">
        <v>659</v>
      </c>
      <c r="E29" s="4" t="s">
        <v>659</v>
      </c>
      <c r="F29" s="5" t="s">
        <v>402</v>
      </c>
      <c r="G29" s="39" t="s">
        <v>1643</v>
      </c>
      <c r="H29" s="5" t="s">
        <v>129</v>
      </c>
      <c r="I29" s="7">
        <v>27000000</v>
      </c>
      <c r="J29" s="57"/>
      <c r="K29" s="7"/>
      <c r="L29" s="41">
        <v>62631</v>
      </c>
      <c r="M29" s="7">
        <v>7563904</v>
      </c>
      <c r="N29" s="7"/>
      <c r="O29" s="7">
        <v>11573104</v>
      </c>
      <c r="P29" s="7">
        <v>11573104</v>
      </c>
      <c r="Q29" s="7">
        <f t="shared" si="0"/>
        <v>0</v>
      </c>
      <c r="R29" s="5" t="s">
        <v>606</v>
      </c>
      <c r="S29" s="5" t="s">
        <v>598</v>
      </c>
      <c r="T29" s="5" t="s">
        <v>603</v>
      </c>
      <c r="U29" s="5" t="s">
        <v>1406</v>
      </c>
      <c r="V29" s="39" t="s">
        <v>1644</v>
      </c>
      <c r="W29" s="39" t="s">
        <v>1645</v>
      </c>
      <c r="X29" s="99" t="s">
        <v>1646</v>
      </c>
      <c r="Y29" s="99" t="s">
        <v>1647</v>
      </c>
      <c r="Z29" s="50" t="s">
        <v>1648</v>
      </c>
      <c r="AA29" s="39" t="s">
        <v>1649</v>
      </c>
      <c r="AB29" s="5"/>
      <c r="AC29" s="50" t="s">
        <v>1577</v>
      </c>
      <c r="AD29" s="59">
        <v>7.5</v>
      </c>
    </row>
    <row r="30" spans="1:30">
      <c r="A30" s="4">
        <v>2019</v>
      </c>
      <c r="B30" s="4" t="s">
        <v>44</v>
      </c>
      <c r="C30" s="4">
        <f t="shared" si="1"/>
        <v>29</v>
      </c>
      <c r="D30" s="96" t="s">
        <v>660</v>
      </c>
      <c r="E30" s="4" t="s">
        <v>660</v>
      </c>
      <c r="F30" s="5" t="s">
        <v>132</v>
      </c>
      <c r="G30" s="5" t="s">
        <v>601</v>
      </c>
      <c r="H30" s="5" t="s">
        <v>131</v>
      </c>
      <c r="I30" s="7">
        <v>60000000</v>
      </c>
      <c r="J30" s="57"/>
      <c r="K30" s="7"/>
      <c r="L30" s="8">
        <v>47</v>
      </c>
      <c r="M30" s="7">
        <v>102353091</v>
      </c>
      <c r="N30" s="7"/>
      <c r="O30" s="7">
        <v>416947720</v>
      </c>
      <c r="P30" s="7">
        <v>417654292</v>
      </c>
      <c r="Q30" s="92">
        <f t="shared" si="0"/>
        <v>706572</v>
      </c>
      <c r="R30" s="5" t="s">
        <v>597</v>
      </c>
      <c r="S30" s="5" t="s">
        <v>598</v>
      </c>
      <c r="T30" s="5" t="s">
        <v>599</v>
      </c>
      <c r="U30" s="5" t="s">
        <v>1390</v>
      </c>
      <c r="V30" s="39" t="s">
        <v>1650</v>
      </c>
      <c r="W30" s="39" t="s">
        <v>1651</v>
      </c>
      <c r="X30" s="50" t="s">
        <v>1652</v>
      </c>
      <c r="Y30" s="99" t="s">
        <v>1641</v>
      </c>
      <c r="Z30" s="99" t="s">
        <v>1574</v>
      </c>
      <c r="AA30" s="39" t="s">
        <v>1649</v>
      </c>
      <c r="AB30" s="5"/>
      <c r="AC30" s="50" t="s">
        <v>1577</v>
      </c>
      <c r="AD30" s="59">
        <v>9.4</v>
      </c>
    </row>
    <row r="31" spans="1:30">
      <c r="A31" s="4">
        <v>2019</v>
      </c>
      <c r="B31" s="4" t="s">
        <v>44</v>
      </c>
      <c r="C31" s="4">
        <f t="shared" si="1"/>
        <v>30</v>
      </c>
      <c r="D31" s="96" t="s">
        <v>661</v>
      </c>
      <c r="E31" s="4" t="s">
        <v>1653</v>
      </c>
      <c r="F31" s="5" t="s">
        <v>57</v>
      </c>
      <c r="G31" s="5" t="s">
        <v>1408</v>
      </c>
      <c r="H31" s="5" t="s">
        <v>131</v>
      </c>
      <c r="I31" s="7">
        <v>44776119</v>
      </c>
      <c r="J31" s="7">
        <v>8955223</v>
      </c>
      <c r="K31" s="7">
        <v>28208955</v>
      </c>
      <c r="L31" s="8">
        <v>70359</v>
      </c>
      <c r="M31" s="7">
        <v>39959722</v>
      </c>
      <c r="N31" s="7">
        <v>74477611</v>
      </c>
      <c r="O31" s="7">
        <v>97033612</v>
      </c>
      <c r="P31" s="7">
        <v>97033612</v>
      </c>
      <c r="Q31" s="7">
        <f t="shared" si="0"/>
        <v>0</v>
      </c>
      <c r="R31" s="5" t="s">
        <v>602</v>
      </c>
      <c r="S31" s="5" t="s">
        <v>598</v>
      </c>
      <c r="T31" s="5" t="s">
        <v>603</v>
      </c>
      <c r="U31" s="5" t="s">
        <v>1390</v>
      </c>
      <c r="V31" s="5" t="s">
        <v>1654</v>
      </c>
      <c r="W31" s="5" t="s">
        <v>1655</v>
      </c>
      <c r="X31" s="5" t="s">
        <v>1656</v>
      </c>
      <c r="Y31" s="5" t="s">
        <v>1657</v>
      </c>
      <c r="Z31" s="5"/>
      <c r="AA31" s="5" t="s">
        <v>1642</v>
      </c>
      <c r="AB31" s="5"/>
      <c r="AC31" s="5" t="s">
        <v>1658</v>
      </c>
      <c r="AD31" s="62">
        <v>7.5</v>
      </c>
    </row>
    <row r="32" spans="1:30" hidden="1">
      <c r="A32" s="4">
        <v>2019</v>
      </c>
      <c r="B32" s="4" t="s">
        <v>44</v>
      </c>
      <c r="C32" s="4">
        <f t="shared" si="1"/>
        <v>31</v>
      </c>
      <c r="D32" s="96" t="s">
        <v>662</v>
      </c>
      <c r="E32" s="4" t="s">
        <v>662</v>
      </c>
      <c r="F32" s="5" t="s">
        <v>663</v>
      </c>
      <c r="G32" s="5" t="s">
        <v>664</v>
      </c>
      <c r="H32" s="5" t="s">
        <v>127</v>
      </c>
      <c r="I32" s="7">
        <v>50000000</v>
      </c>
      <c r="J32" s="57"/>
      <c r="K32" s="7"/>
      <c r="L32" s="8">
        <v>2844</v>
      </c>
      <c r="M32" s="7">
        <v>2901335</v>
      </c>
      <c r="N32" s="7"/>
      <c r="O32" s="7">
        <v>3890797</v>
      </c>
      <c r="P32" s="7">
        <v>9692046</v>
      </c>
      <c r="Q32" s="92">
        <f t="shared" si="0"/>
        <v>5801249</v>
      </c>
      <c r="R32" s="5" t="s">
        <v>606</v>
      </c>
      <c r="S32" s="5" t="s">
        <v>631</v>
      </c>
      <c r="T32" s="5" t="s">
        <v>612</v>
      </c>
      <c r="U32" s="5" t="s">
        <v>1392</v>
      </c>
      <c r="V32" s="39" t="s">
        <v>1659</v>
      </c>
      <c r="W32" s="39" t="s">
        <v>663</v>
      </c>
      <c r="X32" s="39" t="s">
        <v>1660</v>
      </c>
      <c r="Y32" s="39" t="s">
        <v>1661</v>
      </c>
      <c r="Z32" s="39" t="s">
        <v>1662</v>
      </c>
      <c r="AA32" s="39" t="s">
        <v>1663</v>
      </c>
      <c r="AB32" s="5"/>
      <c r="AC32" s="39" t="s">
        <v>1664</v>
      </c>
      <c r="AD32" s="98" t="s">
        <v>1665</v>
      </c>
    </row>
    <row r="33" spans="1:30">
      <c r="A33" s="4">
        <v>2019</v>
      </c>
      <c r="B33" s="4" t="s">
        <v>44</v>
      </c>
      <c r="C33" s="4">
        <f t="shared" si="1"/>
        <v>32</v>
      </c>
      <c r="D33" s="96" t="s">
        <v>665</v>
      </c>
      <c r="E33" s="4" t="s">
        <v>665</v>
      </c>
      <c r="F33" s="5" t="s">
        <v>401</v>
      </c>
      <c r="G33" s="39" t="s">
        <v>1666</v>
      </c>
      <c r="H33" s="5" t="s">
        <v>127</v>
      </c>
      <c r="I33" s="7">
        <v>20000000</v>
      </c>
      <c r="J33" s="57"/>
      <c r="K33" s="7"/>
      <c r="L33" s="41">
        <v>13085</v>
      </c>
      <c r="M33" s="7">
        <v>2687165</v>
      </c>
      <c r="N33" s="7"/>
      <c r="O33" s="7">
        <v>11687938</v>
      </c>
      <c r="P33" s="7">
        <v>11687938</v>
      </c>
      <c r="Q33" s="7">
        <f t="shared" si="0"/>
        <v>0</v>
      </c>
      <c r="R33" s="5" t="s">
        <v>666</v>
      </c>
      <c r="S33" s="5" t="s">
        <v>631</v>
      </c>
      <c r="T33" s="5" t="s">
        <v>603</v>
      </c>
      <c r="U33" s="5" t="s">
        <v>1392</v>
      </c>
      <c r="V33" s="39" t="s">
        <v>1667</v>
      </c>
      <c r="W33" s="39" t="s">
        <v>1667</v>
      </c>
      <c r="X33" s="39" t="s">
        <v>1668</v>
      </c>
      <c r="Y33" s="5"/>
      <c r="Z33" s="5"/>
      <c r="AA33" s="39" t="s">
        <v>1669</v>
      </c>
      <c r="AB33" s="5"/>
      <c r="AC33" s="39" t="s">
        <v>1666</v>
      </c>
      <c r="AD33" s="59">
        <v>8.8000000000000007</v>
      </c>
    </row>
    <row r="34" spans="1:30">
      <c r="A34" s="4">
        <v>2019</v>
      </c>
      <c r="B34" s="4" t="s">
        <v>44</v>
      </c>
      <c r="C34" s="4">
        <f t="shared" si="1"/>
        <v>33</v>
      </c>
      <c r="D34" s="96" t="s">
        <v>667</v>
      </c>
      <c r="E34" s="4" t="s">
        <v>667</v>
      </c>
      <c r="F34" s="5" t="s">
        <v>162</v>
      </c>
      <c r="G34" s="5" t="s">
        <v>605</v>
      </c>
      <c r="H34" s="5" t="s">
        <v>131</v>
      </c>
      <c r="I34" s="7">
        <v>1120000</v>
      </c>
      <c r="J34" s="57"/>
      <c r="K34" s="7"/>
      <c r="L34" s="8">
        <v>29</v>
      </c>
      <c r="M34" s="7">
        <v>9838348</v>
      </c>
      <c r="N34" s="7"/>
      <c r="O34" s="7">
        <v>31098062</v>
      </c>
      <c r="P34" s="7">
        <v>31188607</v>
      </c>
      <c r="Q34" s="92">
        <f t="shared" si="0"/>
        <v>90545</v>
      </c>
      <c r="R34" s="5" t="s">
        <v>606</v>
      </c>
      <c r="S34" s="5" t="s">
        <v>598</v>
      </c>
      <c r="T34" s="5" t="s">
        <v>616</v>
      </c>
      <c r="U34" s="5" t="s">
        <v>1390</v>
      </c>
      <c r="V34" s="39" t="s">
        <v>1670</v>
      </c>
      <c r="W34" s="39" t="s">
        <v>1671</v>
      </c>
      <c r="X34" s="39" t="s">
        <v>1672</v>
      </c>
      <c r="Y34" s="39" t="s">
        <v>1673</v>
      </c>
      <c r="Z34" s="39" t="s">
        <v>1674</v>
      </c>
      <c r="AA34" s="39" t="s">
        <v>1675</v>
      </c>
      <c r="AB34" s="5"/>
      <c r="AC34" s="39" t="s">
        <v>1676</v>
      </c>
      <c r="AD34" s="59">
        <v>8.8000000000000007</v>
      </c>
    </row>
    <row r="35" spans="1:30">
      <c r="A35" s="4">
        <v>2019</v>
      </c>
      <c r="B35" s="4" t="s">
        <v>44</v>
      </c>
      <c r="C35" s="4">
        <f t="shared" si="1"/>
        <v>34</v>
      </c>
      <c r="D35" s="96" t="s">
        <v>667</v>
      </c>
      <c r="E35" s="4" t="s">
        <v>667</v>
      </c>
      <c r="F35" s="5" t="s">
        <v>139</v>
      </c>
      <c r="G35" s="5" t="s">
        <v>601</v>
      </c>
      <c r="H35" s="5" t="s">
        <v>131</v>
      </c>
      <c r="I35" s="7">
        <v>18000000</v>
      </c>
      <c r="J35" s="57"/>
      <c r="K35" s="7"/>
      <c r="L35" s="8">
        <v>88</v>
      </c>
      <c r="M35" s="7">
        <v>82199097</v>
      </c>
      <c r="N35" s="7"/>
      <c r="O35" s="7">
        <v>228079374</v>
      </c>
      <c r="P35" s="7">
        <v>230001031</v>
      </c>
      <c r="Q35" s="92">
        <f t="shared" si="0"/>
        <v>1921657</v>
      </c>
      <c r="R35" s="5" t="s">
        <v>602</v>
      </c>
      <c r="S35" s="5" t="s">
        <v>598</v>
      </c>
      <c r="T35" s="5" t="s">
        <v>616</v>
      </c>
      <c r="U35" s="5" t="s">
        <v>1390</v>
      </c>
      <c r="V35" s="39" t="s">
        <v>1677</v>
      </c>
      <c r="W35" s="39" t="s">
        <v>1678</v>
      </c>
      <c r="X35" s="39" t="s">
        <v>1679</v>
      </c>
      <c r="Y35" s="39" t="s">
        <v>1680</v>
      </c>
      <c r="Z35" s="39" t="s">
        <v>1681</v>
      </c>
      <c r="AA35" s="39" t="s">
        <v>1682</v>
      </c>
      <c r="AB35" s="5"/>
      <c r="AC35" s="39" t="s">
        <v>1683</v>
      </c>
      <c r="AD35" s="59">
        <v>9.4</v>
      </c>
    </row>
    <row r="36" spans="1:30">
      <c r="A36" s="4">
        <v>2019</v>
      </c>
      <c r="B36" s="4" t="s">
        <v>44</v>
      </c>
      <c r="C36" s="4">
        <f t="shared" si="1"/>
        <v>35</v>
      </c>
      <c r="D36" s="96" t="s">
        <v>668</v>
      </c>
      <c r="E36" s="4" t="s">
        <v>668</v>
      </c>
      <c r="F36" s="5" t="s">
        <v>150</v>
      </c>
      <c r="G36" s="5" t="s">
        <v>669</v>
      </c>
      <c r="H36" s="5" t="s">
        <v>131</v>
      </c>
      <c r="I36" s="7">
        <v>14000000</v>
      </c>
      <c r="J36" s="57" t="s">
        <v>1411</v>
      </c>
      <c r="K36" s="7">
        <v>23134328</v>
      </c>
      <c r="L36" s="8">
        <v>51754</v>
      </c>
      <c r="M36" s="7">
        <v>5860000</v>
      </c>
      <c r="N36" s="7">
        <v>66865672</v>
      </c>
      <c r="O36" s="7">
        <v>68330000</v>
      </c>
      <c r="P36" s="7">
        <v>68364730</v>
      </c>
      <c r="Q36" s="92">
        <f t="shared" si="0"/>
        <v>34730</v>
      </c>
      <c r="R36" s="5" t="s">
        <v>606</v>
      </c>
      <c r="S36" s="5" t="s">
        <v>631</v>
      </c>
      <c r="T36" s="5" t="s">
        <v>603</v>
      </c>
      <c r="U36" s="5" t="s">
        <v>1390</v>
      </c>
      <c r="V36" s="5" t="s">
        <v>1685</v>
      </c>
      <c r="W36" s="5" t="s">
        <v>1686</v>
      </c>
      <c r="X36" s="5" t="s">
        <v>1687</v>
      </c>
      <c r="Y36" s="5" t="s">
        <v>1688</v>
      </c>
      <c r="Z36" s="5"/>
      <c r="AA36" s="5" t="s">
        <v>1689</v>
      </c>
      <c r="AB36" s="5"/>
      <c r="AC36" s="5" t="s">
        <v>812</v>
      </c>
      <c r="AD36" s="62">
        <v>9.3000000000000007</v>
      </c>
    </row>
    <row r="37" spans="1:30">
      <c r="A37" s="4">
        <v>2019</v>
      </c>
      <c r="B37" s="4" t="s">
        <v>44</v>
      </c>
      <c r="C37" s="4">
        <f t="shared" si="1"/>
        <v>36</v>
      </c>
      <c r="D37" s="96" t="s">
        <v>675</v>
      </c>
      <c r="E37" s="4" t="s">
        <v>675</v>
      </c>
      <c r="F37" s="5" t="s">
        <v>167</v>
      </c>
      <c r="G37" s="5" t="s">
        <v>626</v>
      </c>
      <c r="H37" s="5" t="s">
        <v>131</v>
      </c>
      <c r="I37" s="7">
        <v>100000000</v>
      </c>
      <c r="J37" s="57"/>
      <c r="K37" s="7"/>
      <c r="L37" s="41">
        <v>75831</v>
      </c>
      <c r="M37" s="42">
        <v>9490000</v>
      </c>
      <c r="N37" s="7"/>
      <c r="O37" s="7">
        <v>23417137</v>
      </c>
      <c r="P37" s="7">
        <v>23417137</v>
      </c>
      <c r="Q37" s="7">
        <f t="shared" si="0"/>
        <v>0</v>
      </c>
      <c r="R37" s="5" t="s">
        <v>606</v>
      </c>
      <c r="S37" s="5" t="s">
        <v>598</v>
      </c>
      <c r="T37" s="5" t="s">
        <v>616</v>
      </c>
      <c r="U37" s="5" t="s">
        <v>1390</v>
      </c>
      <c r="V37" s="39" t="s">
        <v>1690</v>
      </c>
      <c r="W37" s="39" t="s">
        <v>1691</v>
      </c>
      <c r="X37" s="39" t="s">
        <v>1692</v>
      </c>
      <c r="Y37" s="39" t="s">
        <v>1693</v>
      </c>
      <c r="Z37" s="39" t="s">
        <v>1694</v>
      </c>
      <c r="AA37" s="39" t="s">
        <v>1695</v>
      </c>
      <c r="AB37" s="5"/>
      <c r="AC37" s="39" t="s">
        <v>1494</v>
      </c>
      <c r="AD37" s="59">
        <v>8.5</v>
      </c>
    </row>
    <row r="38" spans="1:30">
      <c r="A38" s="4">
        <v>2019</v>
      </c>
      <c r="B38" s="4" t="s">
        <v>44</v>
      </c>
      <c r="C38" s="4">
        <f t="shared" si="1"/>
        <v>37</v>
      </c>
      <c r="D38" s="4" t="s">
        <v>676</v>
      </c>
      <c r="E38" s="4" t="s">
        <v>1696</v>
      </c>
      <c r="F38" s="5" t="s">
        <v>192</v>
      </c>
      <c r="G38" s="5" t="s">
        <v>1409</v>
      </c>
      <c r="H38" s="5" t="s">
        <v>193</v>
      </c>
      <c r="I38" s="7">
        <v>895522.38805970142</v>
      </c>
      <c r="J38" s="57" t="s">
        <v>1411</v>
      </c>
      <c r="K38" s="7">
        <v>1791044.7761194028</v>
      </c>
      <c r="L38" s="8">
        <v>13036</v>
      </c>
      <c r="M38" s="7">
        <v>1170000</v>
      </c>
      <c r="N38" s="7">
        <v>5522388.0597014921</v>
      </c>
      <c r="O38" s="7">
        <v>7489619</v>
      </c>
      <c r="P38" s="7">
        <v>7489619</v>
      </c>
      <c r="Q38" s="7">
        <f t="shared" si="0"/>
        <v>0</v>
      </c>
      <c r="R38" s="5" t="s">
        <v>606</v>
      </c>
      <c r="S38" s="5" t="s">
        <v>598</v>
      </c>
      <c r="T38" s="5" t="s">
        <v>616</v>
      </c>
      <c r="U38" s="5" t="s">
        <v>1406</v>
      </c>
      <c r="V38" s="5" t="s">
        <v>1697</v>
      </c>
      <c r="W38" s="5" t="s">
        <v>1698</v>
      </c>
      <c r="X38" s="5" t="s">
        <v>1699</v>
      </c>
      <c r="Y38" s="5" t="s">
        <v>1693</v>
      </c>
      <c r="Z38" s="5" t="s">
        <v>1694</v>
      </c>
      <c r="AA38" s="5" t="s">
        <v>1700</v>
      </c>
      <c r="AB38" s="5"/>
      <c r="AC38" s="5" t="s">
        <v>1701</v>
      </c>
      <c r="AD38" s="62">
        <v>7.9</v>
      </c>
    </row>
    <row r="39" spans="1:30">
      <c r="A39" s="4">
        <v>2019</v>
      </c>
      <c r="B39" s="4" t="s">
        <v>44</v>
      </c>
      <c r="C39" s="4">
        <f t="shared" si="1"/>
        <v>38</v>
      </c>
      <c r="D39" s="96" t="s">
        <v>676</v>
      </c>
      <c r="E39" s="56" t="s">
        <v>675</v>
      </c>
      <c r="F39" s="5" t="s">
        <v>140</v>
      </c>
      <c r="G39" s="39" t="s">
        <v>1417</v>
      </c>
      <c r="H39" s="5" t="s">
        <v>131</v>
      </c>
      <c r="I39" s="7">
        <v>250000000</v>
      </c>
      <c r="J39" s="57"/>
      <c r="K39" s="7"/>
      <c r="L39" s="41">
        <v>108128</v>
      </c>
      <c r="M39" s="41" t="s">
        <v>1501</v>
      </c>
      <c r="N39" s="7"/>
      <c r="O39" s="7">
        <v>198756793</v>
      </c>
      <c r="P39" s="7">
        <v>198756793</v>
      </c>
      <c r="Q39" s="7">
        <f t="shared" si="0"/>
        <v>0</v>
      </c>
      <c r="R39" s="5" t="s">
        <v>606</v>
      </c>
      <c r="S39" s="5" t="s">
        <v>598</v>
      </c>
      <c r="T39" s="5" t="s">
        <v>616</v>
      </c>
      <c r="U39" s="5" t="s">
        <v>1406</v>
      </c>
      <c r="V39" s="5" t="s">
        <v>1702</v>
      </c>
      <c r="W39" s="5" t="s">
        <v>1703</v>
      </c>
      <c r="X39" s="39" t="s">
        <v>1704</v>
      </c>
      <c r="Y39" s="39" t="s">
        <v>1575</v>
      </c>
      <c r="Z39" s="99" t="s">
        <v>1705</v>
      </c>
      <c r="AA39" s="39" t="s">
        <v>1706</v>
      </c>
      <c r="AB39" s="5"/>
      <c r="AC39" s="39" t="s">
        <v>1707</v>
      </c>
      <c r="AD39" s="59">
        <v>9.4</v>
      </c>
    </row>
    <row r="40" spans="1:30">
      <c r="A40" s="4">
        <v>2019</v>
      </c>
      <c r="B40" s="4" t="s">
        <v>44</v>
      </c>
      <c r="C40" s="4">
        <f t="shared" si="1"/>
        <v>39</v>
      </c>
      <c r="D40" s="96" t="s">
        <v>676</v>
      </c>
      <c r="E40" s="101" t="s">
        <v>1708</v>
      </c>
      <c r="F40" s="5" t="s">
        <v>187</v>
      </c>
      <c r="G40" s="39" t="s">
        <v>1417</v>
      </c>
      <c r="H40" s="5" t="s">
        <v>127</v>
      </c>
      <c r="I40" s="7">
        <v>350000000</v>
      </c>
      <c r="J40" s="57"/>
      <c r="K40" s="7"/>
      <c r="L40" s="41">
        <v>26219</v>
      </c>
      <c r="M40" s="42">
        <v>2130000</v>
      </c>
      <c r="N40" s="7"/>
      <c r="O40" s="7">
        <v>8307698</v>
      </c>
      <c r="P40" s="7">
        <v>8307698</v>
      </c>
      <c r="Q40" s="7">
        <f t="shared" si="0"/>
        <v>0</v>
      </c>
      <c r="R40" s="5" t="s">
        <v>666</v>
      </c>
      <c r="S40" s="5" t="s">
        <v>598</v>
      </c>
      <c r="T40" s="5" t="s">
        <v>603</v>
      </c>
      <c r="U40" s="5" t="s">
        <v>1406</v>
      </c>
      <c r="V40" s="58" t="s">
        <v>2995</v>
      </c>
      <c r="W40" s="5" t="s">
        <v>1709</v>
      </c>
      <c r="X40" s="95" t="s">
        <v>2008</v>
      </c>
      <c r="Y40" s="5"/>
      <c r="Z40" s="10"/>
      <c r="AA40" s="58" t="s">
        <v>3024</v>
      </c>
      <c r="AB40" s="5"/>
      <c r="AC40" s="58" t="s">
        <v>1417</v>
      </c>
      <c r="AD40" s="94">
        <v>6.9</v>
      </c>
    </row>
    <row r="41" spans="1:30">
      <c r="A41" s="4">
        <v>2019</v>
      </c>
      <c r="B41" s="4" t="s">
        <v>44</v>
      </c>
      <c r="C41" s="4">
        <f t="shared" si="1"/>
        <v>40</v>
      </c>
      <c r="D41" s="96" t="s">
        <v>676</v>
      </c>
      <c r="E41" s="56" t="s">
        <v>673</v>
      </c>
      <c r="F41" s="5" t="s">
        <v>179</v>
      </c>
      <c r="G41" s="39" t="s">
        <v>1710</v>
      </c>
      <c r="H41" s="5" t="s">
        <v>131</v>
      </c>
      <c r="I41" s="7">
        <v>300000000</v>
      </c>
      <c r="J41" s="57"/>
      <c r="K41" s="7"/>
      <c r="L41" s="41">
        <v>105653</v>
      </c>
      <c r="M41" s="42">
        <v>8540000</v>
      </c>
      <c r="N41" s="7"/>
      <c r="O41" s="7">
        <v>10102949</v>
      </c>
      <c r="P41" s="7">
        <v>10102949</v>
      </c>
      <c r="Q41" s="7">
        <f t="shared" si="0"/>
        <v>0</v>
      </c>
      <c r="R41" s="5" t="s">
        <v>606</v>
      </c>
      <c r="S41" s="5" t="s">
        <v>598</v>
      </c>
      <c r="T41" s="5" t="s">
        <v>603</v>
      </c>
      <c r="U41" s="5" t="s">
        <v>1406</v>
      </c>
      <c r="V41" s="39" t="s">
        <v>1711</v>
      </c>
      <c r="W41" s="39" t="s">
        <v>1712</v>
      </c>
      <c r="X41" s="39" t="s">
        <v>1639</v>
      </c>
      <c r="Y41" s="39" t="s">
        <v>1713</v>
      </c>
      <c r="Z41" s="10"/>
      <c r="AA41" s="39" t="s">
        <v>1714</v>
      </c>
      <c r="AB41" s="5"/>
      <c r="AC41" s="39" t="s">
        <v>1710</v>
      </c>
      <c r="AD41" s="59">
        <v>7.8</v>
      </c>
    </row>
    <row r="42" spans="1:30">
      <c r="A42" s="4">
        <v>2019</v>
      </c>
      <c r="B42" s="4" t="s">
        <v>44</v>
      </c>
      <c r="C42" s="4">
        <f t="shared" si="1"/>
        <v>41</v>
      </c>
      <c r="D42" s="96" t="s">
        <v>676</v>
      </c>
      <c r="E42" s="4" t="s">
        <v>1715</v>
      </c>
      <c r="F42" s="5" t="s">
        <v>231</v>
      </c>
      <c r="G42" s="5" t="s">
        <v>1410</v>
      </c>
      <c r="H42" s="5" t="s">
        <v>131</v>
      </c>
      <c r="I42" s="7">
        <v>5970149.253731343</v>
      </c>
      <c r="J42" s="57" t="s">
        <v>1411</v>
      </c>
      <c r="K42" s="7">
        <v>895522.38805970142</v>
      </c>
      <c r="L42" s="41" t="s">
        <v>1501</v>
      </c>
      <c r="M42" s="7">
        <v>1929242</v>
      </c>
      <c r="N42" s="7">
        <v>2537313.4328358206</v>
      </c>
      <c r="O42" s="7">
        <v>2504008</v>
      </c>
      <c r="P42" s="7">
        <v>2504008</v>
      </c>
      <c r="Q42" s="7">
        <f t="shared" si="0"/>
        <v>0</v>
      </c>
      <c r="R42" s="5" t="s">
        <v>606</v>
      </c>
      <c r="S42" s="5" t="s">
        <v>598</v>
      </c>
      <c r="T42" s="5" t="s">
        <v>616</v>
      </c>
      <c r="U42" s="5" t="s">
        <v>1406</v>
      </c>
      <c r="V42" s="5" t="s">
        <v>1716</v>
      </c>
      <c r="W42" s="5" t="s">
        <v>1717</v>
      </c>
      <c r="X42" s="5" t="s">
        <v>1718</v>
      </c>
      <c r="Y42" s="5" t="s">
        <v>1719</v>
      </c>
      <c r="Z42" s="5"/>
      <c r="AA42" s="5" t="s">
        <v>1720</v>
      </c>
      <c r="AB42" s="5"/>
      <c r="AC42" s="5" t="s">
        <v>1721</v>
      </c>
      <c r="AD42" s="62">
        <v>6.8</v>
      </c>
    </row>
    <row r="43" spans="1:30">
      <c r="A43" s="4">
        <v>2019</v>
      </c>
      <c r="B43" s="4" t="s">
        <v>44</v>
      </c>
      <c r="C43" s="4">
        <f t="shared" si="1"/>
        <v>42</v>
      </c>
      <c r="D43" s="96" t="s">
        <v>676</v>
      </c>
      <c r="E43" s="56" t="s">
        <v>769</v>
      </c>
      <c r="F43" s="5" t="s">
        <v>151</v>
      </c>
      <c r="G43" s="39" t="s">
        <v>605</v>
      </c>
      <c r="H43" s="5" t="s">
        <v>131</v>
      </c>
      <c r="I43" s="7">
        <v>7000000</v>
      </c>
      <c r="J43" s="57" t="s">
        <v>1411</v>
      </c>
      <c r="K43" s="7">
        <v>20895522</v>
      </c>
      <c r="L43" s="8">
        <v>75043</v>
      </c>
      <c r="M43" s="7">
        <v>21695510</v>
      </c>
      <c r="N43" s="7">
        <v>61044776</v>
      </c>
      <c r="O43" s="7">
        <v>60006412</v>
      </c>
      <c r="P43" s="7">
        <v>60006412</v>
      </c>
      <c r="Q43" s="7">
        <f t="shared" si="0"/>
        <v>0</v>
      </c>
      <c r="R43" s="5" t="s">
        <v>606</v>
      </c>
      <c r="S43" s="5" t="s">
        <v>598</v>
      </c>
      <c r="T43" s="5" t="s">
        <v>616</v>
      </c>
      <c r="U43" s="5" t="s">
        <v>1406</v>
      </c>
      <c r="V43" s="5" t="s">
        <v>1722</v>
      </c>
      <c r="W43" s="5" t="s">
        <v>1723</v>
      </c>
      <c r="X43" s="5" t="s">
        <v>1724</v>
      </c>
      <c r="Y43" s="5" t="s">
        <v>1725</v>
      </c>
      <c r="Z43" s="5"/>
      <c r="AA43" s="5" t="s">
        <v>1726</v>
      </c>
      <c r="AB43" s="5"/>
      <c r="AC43" s="5" t="s">
        <v>1417</v>
      </c>
      <c r="AD43" s="62">
        <v>8.6999999999999993</v>
      </c>
    </row>
    <row r="44" spans="1:30">
      <c r="A44" s="4">
        <v>2019</v>
      </c>
      <c r="B44" s="4" t="s">
        <v>44</v>
      </c>
      <c r="C44" s="4">
        <f t="shared" si="1"/>
        <v>43</v>
      </c>
      <c r="D44" s="96" t="s">
        <v>676</v>
      </c>
      <c r="E44" s="4" t="s">
        <v>807</v>
      </c>
      <c r="F44" s="5" t="s">
        <v>227</v>
      </c>
      <c r="G44" s="5" t="s">
        <v>1412</v>
      </c>
      <c r="H44" s="5" t="s">
        <v>148</v>
      </c>
      <c r="I44" s="7">
        <v>2985074.6268656715</v>
      </c>
      <c r="J44" s="57" t="s">
        <v>1411</v>
      </c>
      <c r="K44" s="7">
        <v>746268.65671641787</v>
      </c>
      <c r="L44" s="8">
        <v>43445</v>
      </c>
      <c r="M44" s="7">
        <v>1604943</v>
      </c>
      <c r="N44" s="7">
        <v>2238805.9701492535</v>
      </c>
      <c r="O44" s="7">
        <v>2709986</v>
      </c>
      <c r="P44" s="7">
        <v>2709986</v>
      </c>
      <c r="Q44" s="7">
        <f t="shared" si="0"/>
        <v>0</v>
      </c>
      <c r="R44" s="5" t="s">
        <v>606</v>
      </c>
      <c r="S44" s="5" t="s">
        <v>598</v>
      </c>
      <c r="T44" s="5" t="s">
        <v>616</v>
      </c>
      <c r="U44" s="5" t="s">
        <v>1406</v>
      </c>
      <c r="V44" s="5" t="s">
        <v>1729</v>
      </c>
      <c r="W44" s="5" t="s">
        <v>1730</v>
      </c>
      <c r="X44" s="5" t="s">
        <v>1731</v>
      </c>
      <c r="Y44" s="5" t="s">
        <v>1732</v>
      </c>
      <c r="Z44" s="5" t="s">
        <v>1733</v>
      </c>
      <c r="AA44" s="5" t="s">
        <v>1734</v>
      </c>
      <c r="AB44" s="5" t="s">
        <v>1735</v>
      </c>
      <c r="AC44" s="5" t="s">
        <v>1412</v>
      </c>
      <c r="AD44" s="62">
        <v>7.5</v>
      </c>
    </row>
    <row r="45" spans="1:30">
      <c r="A45" s="4">
        <v>2019</v>
      </c>
      <c r="B45" s="4" t="s">
        <v>44</v>
      </c>
      <c r="C45" s="4">
        <f t="shared" si="1"/>
        <v>44</v>
      </c>
      <c r="D45" s="96" t="s">
        <v>676</v>
      </c>
      <c r="E45" s="4" t="s">
        <v>621</v>
      </c>
      <c r="F45" s="5" t="s">
        <v>219</v>
      </c>
      <c r="G45" s="5" t="s">
        <v>1413</v>
      </c>
      <c r="H45" s="5" t="s">
        <v>127</v>
      </c>
      <c r="I45" s="7">
        <v>2985074.6268656715</v>
      </c>
      <c r="J45" s="57" t="s">
        <v>1411</v>
      </c>
      <c r="K45" s="7">
        <v>895522.38805970142</v>
      </c>
      <c r="L45" s="8">
        <v>12490</v>
      </c>
      <c r="M45" s="7">
        <v>1020000</v>
      </c>
      <c r="N45" s="7">
        <v>2835820.8955223882</v>
      </c>
      <c r="O45" s="7">
        <v>3190549</v>
      </c>
      <c r="P45" s="7">
        <v>3190549</v>
      </c>
      <c r="Q45" s="7">
        <f t="shared" si="0"/>
        <v>0</v>
      </c>
      <c r="R45" s="5" t="s">
        <v>666</v>
      </c>
      <c r="S45" s="5" t="s">
        <v>631</v>
      </c>
      <c r="T45" s="5" t="s">
        <v>603</v>
      </c>
      <c r="U45" s="5" t="s">
        <v>1406</v>
      </c>
      <c r="V45" s="5" t="s">
        <v>1738</v>
      </c>
      <c r="W45" s="5" t="s">
        <v>1739</v>
      </c>
      <c r="X45" s="39" t="s">
        <v>1411</v>
      </c>
      <c r="Y45" s="5"/>
      <c r="Z45" s="5"/>
      <c r="AA45" s="5" t="s">
        <v>1740</v>
      </c>
      <c r="AB45" s="5"/>
      <c r="AC45" s="5" t="s">
        <v>1741</v>
      </c>
      <c r="AD45" s="62">
        <v>7.4</v>
      </c>
    </row>
    <row r="46" spans="1:30">
      <c r="A46" s="4">
        <v>2019</v>
      </c>
      <c r="B46" s="4" t="s">
        <v>44</v>
      </c>
      <c r="C46" s="4">
        <f t="shared" si="1"/>
        <v>45</v>
      </c>
      <c r="D46" s="96" t="s">
        <v>676</v>
      </c>
      <c r="E46" s="4" t="s">
        <v>676</v>
      </c>
      <c r="F46" s="5" t="s">
        <v>212</v>
      </c>
      <c r="G46" s="5" t="s">
        <v>1414</v>
      </c>
      <c r="H46" s="5" t="s">
        <v>127</v>
      </c>
      <c r="I46" s="7">
        <v>1492537.3134328357</v>
      </c>
      <c r="J46" s="57" t="s">
        <v>1411</v>
      </c>
      <c r="K46" s="7">
        <v>1194029.8507462686</v>
      </c>
      <c r="L46" s="8">
        <v>31708</v>
      </c>
      <c r="M46" s="7">
        <v>2640832</v>
      </c>
      <c r="N46" s="7">
        <v>3582089.5522388057</v>
      </c>
      <c r="O46" s="7">
        <v>3939436</v>
      </c>
      <c r="P46" s="7">
        <v>3939436</v>
      </c>
      <c r="Q46" s="7">
        <f t="shared" si="0"/>
        <v>0</v>
      </c>
      <c r="R46" s="5" t="s">
        <v>606</v>
      </c>
      <c r="S46" s="5" t="s">
        <v>631</v>
      </c>
      <c r="T46" s="5" t="s">
        <v>612</v>
      </c>
      <c r="U46" s="5" t="s">
        <v>1406</v>
      </c>
      <c r="V46" s="5" t="s">
        <v>1742</v>
      </c>
      <c r="W46" s="5" t="s">
        <v>1743</v>
      </c>
      <c r="X46" s="5" t="s">
        <v>1411</v>
      </c>
      <c r="Y46" s="5"/>
      <c r="Z46" s="5"/>
      <c r="AA46" s="5" t="s">
        <v>1744</v>
      </c>
      <c r="AB46" s="5" t="s">
        <v>1745</v>
      </c>
      <c r="AC46" s="5" t="s">
        <v>1746</v>
      </c>
      <c r="AD46" s="62">
        <v>8.6999999999999993</v>
      </c>
    </row>
    <row r="47" spans="1:30">
      <c r="A47" s="4">
        <v>2019</v>
      </c>
      <c r="B47" s="4" t="s">
        <v>44</v>
      </c>
      <c r="C47" s="4">
        <f t="shared" si="1"/>
        <v>46</v>
      </c>
      <c r="D47" s="96" t="s">
        <v>676</v>
      </c>
      <c r="E47" s="101" t="s">
        <v>1749</v>
      </c>
      <c r="F47" s="5" t="s">
        <v>758</v>
      </c>
      <c r="G47" s="39" t="s">
        <v>1613</v>
      </c>
      <c r="H47" s="5" t="s">
        <v>129</v>
      </c>
      <c r="I47" s="7">
        <v>3582089.5522388099</v>
      </c>
      <c r="J47" s="57"/>
      <c r="K47" s="7"/>
      <c r="L47" s="8">
        <v>68060</v>
      </c>
      <c r="M47" s="7">
        <v>16321896</v>
      </c>
      <c r="N47" s="7"/>
      <c r="O47" s="7">
        <v>37092694</v>
      </c>
      <c r="P47" s="7">
        <v>37092694</v>
      </c>
      <c r="Q47" s="7">
        <f t="shared" si="0"/>
        <v>0</v>
      </c>
      <c r="R47" s="39" t="s">
        <v>606</v>
      </c>
      <c r="S47" s="5" t="s">
        <v>598</v>
      </c>
      <c r="T47" s="39" t="s">
        <v>616</v>
      </c>
      <c r="U47" s="5" t="s">
        <v>1406</v>
      </c>
      <c r="V47" s="5" t="s">
        <v>1750</v>
      </c>
      <c r="W47" s="39" t="s">
        <v>1751</v>
      </c>
      <c r="X47" s="39" t="s">
        <v>1646</v>
      </c>
      <c r="Y47" s="39" t="s">
        <v>1752</v>
      </c>
      <c r="Z47" s="10"/>
      <c r="AA47" s="39" t="s">
        <v>1753</v>
      </c>
      <c r="AB47" s="5"/>
      <c r="AC47" s="39" t="s">
        <v>1612</v>
      </c>
      <c r="AD47" s="59">
        <v>8.9</v>
      </c>
    </row>
    <row r="48" spans="1:30">
      <c r="A48" s="4">
        <v>2019</v>
      </c>
      <c r="B48" s="4" t="s">
        <v>44</v>
      </c>
      <c r="C48" s="4">
        <f t="shared" si="1"/>
        <v>47</v>
      </c>
      <c r="D48" s="96" t="s">
        <v>676</v>
      </c>
      <c r="E48" s="101" t="s">
        <v>1754</v>
      </c>
      <c r="F48" s="5" t="s">
        <v>156</v>
      </c>
      <c r="G48" s="39" t="s">
        <v>1755</v>
      </c>
      <c r="H48" s="5" t="s">
        <v>127</v>
      </c>
      <c r="I48" s="7">
        <v>1492537.3134328399</v>
      </c>
      <c r="J48" s="57"/>
      <c r="K48" s="7"/>
      <c r="L48" s="8">
        <v>98464</v>
      </c>
      <c r="M48" s="7">
        <v>12110000</v>
      </c>
      <c r="N48" s="7"/>
      <c r="O48" s="7">
        <v>44553752</v>
      </c>
      <c r="P48" s="7">
        <v>44553752</v>
      </c>
      <c r="Q48" s="7">
        <f t="shared" si="0"/>
        <v>0</v>
      </c>
      <c r="R48" s="5" t="s">
        <v>666</v>
      </c>
      <c r="S48" s="5" t="s">
        <v>631</v>
      </c>
      <c r="T48" s="5" t="s">
        <v>603</v>
      </c>
      <c r="U48" s="5" t="s">
        <v>1406</v>
      </c>
      <c r="V48" s="5" t="s">
        <v>1756</v>
      </c>
      <c r="W48" s="39" t="s">
        <v>1757</v>
      </c>
      <c r="X48" s="39" t="s">
        <v>1758</v>
      </c>
      <c r="Y48" s="39" t="s">
        <v>1759</v>
      </c>
      <c r="Z48" s="10"/>
      <c r="AA48" s="39" t="s">
        <v>1760</v>
      </c>
      <c r="AB48" s="5"/>
      <c r="AC48" s="39" t="s">
        <v>1761</v>
      </c>
      <c r="AD48" s="59">
        <v>9.3000000000000007</v>
      </c>
    </row>
    <row r="49" spans="1:30">
      <c r="A49" s="4">
        <v>2019</v>
      </c>
      <c r="B49" s="4" t="s">
        <v>44</v>
      </c>
      <c r="C49" s="4">
        <f t="shared" si="1"/>
        <v>48</v>
      </c>
      <c r="D49" s="96" t="s">
        <v>676</v>
      </c>
      <c r="E49" s="101" t="s">
        <v>1762</v>
      </c>
      <c r="F49" s="5" t="s">
        <v>177</v>
      </c>
      <c r="G49" s="39" t="s">
        <v>2998</v>
      </c>
      <c r="H49" s="5" t="s">
        <v>131</v>
      </c>
      <c r="I49" s="7">
        <v>11940298.507462701</v>
      </c>
      <c r="J49" s="57"/>
      <c r="K49" s="7"/>
      <c r="L49" s="8">
        <v>49408</v>
      </c>
      <c r="M49" s="7">
        <v>8510000</v>
      </c>
      <c r="N49" s="7"/>
      <c r="O49" s="7">
        <v>13994187</v>
      </c>
      <c r="P49" s="7">
        <v>13994187</v>
      </c>
      <c r="Q49" s="7">
        <f t="shared" si="0"/>
        <v>0</v>
      </c>
      <c r="R49" s="39" t="s">
        <v>606</v>
      </c>
      <c r="S49" s="5" t="s">
        <v>598</v>
      </c>
      <c r="T49" s="5" t="s">
        <v>616</v>
      </c>
      <c r="U49" s="5" t="s">
        <v>1406</v>
      </c>
      <c r="V49" s="5" t="s">
        <v>1763</v>
      </c>
      <c r="W49" s="39" t="s">
        <v>1764</v>
      </c>
      <c r="X49" s="39" t="s">
        <v>1765</v>
      </c>
      <c r="Y49" s="39" t="s">
        <v>1766</v>
      </c>
      <c r="Z49" s="99" t="s">
        <v>1767</v>
      </c>
      <c r="AA49" s="39" t="s">
        <v>1768</v>
      </c>
      <c r="AB49" s="39" t="s">
        <v>1769</v>
      </c>
      <c r="AC49" s="39" t="s">
        <v>1501</v>
      </c>
      <c r="AD49" s="59">
        <v>8.3000000000000007</v>
      </c>
    </row>
    <row r="50" spans="1:30">
      <c r="A50" s="4">
        <v>2019</v>
      </c>
      <c r="B50" s="4" t="s">
        <v>44</v>
      </c>
      <c r="C50" s="4">
        <f t="shared" si="1"/>
        <v>49</v>
      </c>
      <c r="D50" s="96" t="s">
        <v>676</v>
      </c>
      <c r="E50" s="101" t="s">
        <v>1770</v>
      </c>
      <c r="F50" s="5" t="s">
        <v>189</v>
      </c>
      <c r="G50" s="39" t="s">
        <v>1585</v>
      </c>
      <c r="H50" s="39" t="s">
        <v>1404</v>
      </c>
      <c r="I50" s="7">
        <v>14925373.134328401</v>
      </c>
      <c r="J50" s="57"/>
      <c r="K50" s="7"/>
      <c r="L50" s="8">
        <v>93636</v>
      </c>
      <c r="M50" s="7">
        <v>6470000</v>
      </c>
      <c r="N50" s="7"/>
      <c r="O50" s="7">
        <v>8230634</v>
      </c>
      <c r="P50" s="7">
        <v>8230634</v>
      </c>
      <c r="Q50" s="7">
        <f t="shared" si="0"/>
        <v>0</v>
      </c>
      <c r="R50" s="5" t="s">
        <v>606</v>
      </c>
      <c r="S50" s="5" t="s">
        <v>598</v>
      </c>
      <c r="T50" s="5" t="s">
        <v>616</v>
      </c>
      <c r="U50" s="5" t="s">
        <v>1406</v>
      </c>
      <c r="V50" s="5" t="s">
        <v>1771</v>
      </c>
      <c r="W50" s="39" t="s">
        <v>1772</v>
      </c>
      <c r="X50" s="39" t="s">
        <v>1773</v>
      </c>
      <c r="Y50" s="39" t="s">
        <v>1774</v>
      </c>
      <c r="Z50" s="99" t="s">
        <v>1775</v>
      </c>
      <c r="AA50" s="39" t="s">
        <v>1776</v>
      </c>
      <c r="AB50" s="10"/>
      <c r="AC50" s="39" t="s">
        <v>1585</v>
      </c>
      <c r="AD50" s="59">
        <v>8.6</v>
      </c>
    </row>
    <row r="51" spans="1:30">
      <c r="A51" s="4">
        <v>2019</v>
      </c>
      <c r="B51" s="4" t="s">
        <v>44</v>
      </c>
      <c r="C51" s="4">
        <f t="shared" si="1"/>
        <v>50</v>
      </c>
      <c r="D51" s="96" t="s">
        <v>676</v>
      </c>
      <c r="E51" s="101" t="s">
        <v>675</v>
      </c>
      <c r="F51" s="5" t="s">
        <v>164</v>
      </c>
      <c r="G51" s="39" t="s">
        <v>2999</v>
      </c>
      <c r="H51" s="5" t="s">
        <v>148</v>
      </c>
      <c r="I51" s="7">
        <v>2985074.6268656701</v>
      </c>
      <c r="J51" s="57"/>
      <c r="K51" s="7"/>
      <c r="L51" s="8">
        <v>54753</v>
      </c>
      <c r="M51" s="7">
        <v>6390000</v>
      </c>
      <c r="N51" s="7"/>
      <c r="O51" s="7">
        <v>27410000</v>
      </c>
      <c r="P51" s="7">
        <v>27410000</v>
      </c>
      <c r="Q51" s="7">
        <f t="shared" si="0"/>
        <v>0</v>
      </c>
      <c r="R51" s="5" t="s">
        <v>606</v>
      </c>
      <c r="S51" s="5" t="s">
        <v>598</v>
      </c>
      <c r="T51" s="5" t="s">
        <v>616</v>
      </c>
      <c r="U51" s="5" t="s">
        <v>1406</v>
      </c>
      <c r="V51" s="5" t="s">
        <v>1777</v>
      </c>
      <c r="W51" s="39" t="s">
        <v>1778</v>
      </c>
      <c r="X51" s="39" t="s">
        <v>1568</v>
      </c>
      <c r="Y51" s="39" t="s">
        <v>1779</v>
      </c>
      <c r="Z51" s="99" t="s">
        <v>1780</v>
      </c>
      <c r="AA51" s="39" t="s">
        <v>1781</v>
      </c>
      <c r="AB51" s="39" t="s">
        <v>1782</v>
      </c>
      <c r="AC51" s="39" t="s">
        <v>1501</v>
      </c>
      <c r="AD51" s="59">
        <v>8.9</v>
      </c>
    </row>
    <row r="52" spans="1:30">
      <c r="A52" s="4">
        <v>2019</v>
      </c>
      <c r="B52" s="4" t="s">
        <v>44</v>
      </c>
      <c r="C52" s="4">
        <f t="shared" si="1"/>
        <v>51</v>
      </c>
      <c r="D52" s="96" t="s">
        <v>676</v>
      </c>
      <c r="E52" s="101" t="s">
        <v>650</v>
      </c>
      <c r="F52" s="5" t="s">
        <v>175</v>
      </c>
      <c r="G52" s="39" t="s">
        <v>1494</v>
      </c>
      <c r="H52" s="5" t="s">
        <v>131</v>
      </c>
      <c r="I52" s="7">
        <v>2985074.6268656701</v>
      </c>
      <c r="J52" s="57"/>
      <c r="K52" s="7"/>
      <c r="L52" s="8">
        <v>56551</v>
      </c>
      <c r="M52" s="7">
        <v>6240000</v>
      </c>
      <c r="N52" s="7"/>
      <c r="O52" s="7">
        <v>16841504</v>
      </c>
      <c r="P52" s="7">
        <v>16841504</v>
      </c>
      <c r="Q52" s="7">
        <f t="shared" si="0"/>
        <v>0</v>
      </c>
      <c r="R52" s="5" t="s">
        <v>597</v>
      </c>
      <c r="S52" s="5" t="s">
        <v>598</v>
      </c>
      <c r="T52" s="5" t="s">
        <v>658</v>
      </c>
      <c r="U52" s="5" t="s">
        <v>1406</v>
      </c>
      <c r="V52" s="5" t="s">
        <v>1783</v>
      </c>
      <c r="W52" s="39" t="s">
        <v>1784</v>
      </c>
      <c r="X52" s="39" t="s">
        <v>1785</v>
      </c>
      <c r="Y52" s="39" t="s">
        <v>1786</v>
      </c>
      <c r="Z52" s="99" t="s">
        <v>1787</v>
      </c>
      <c r="AA52" s="39" t="s">
        <v>1788</v>
      </c>
      <c r="AB52" s="39" t="s">
        <v>1789</v>
      </c>
      <c r="AC52" s="39" t="s">
        <v>1577</v>
      </c>
      <c r="AD52" s="59">
        <v>9.1</v>
      </c>
    </row>
    <row r="53" spans="1:30">
      <c r="A53" s="4">
        <v>2019</v>
      </c>
      <c r="B53" s="4" t="s">
        <v>44</v>
      </c>
      <c r="C53" s="4">
        <f t="shared" si="1"/>
        <v>52</v>
      </c>
      <c r="D53" s="96" t="s">
        <v>676</v>
      </c>
      <c r="E53" s="101" t="s">
        <v>1792</v>
      </c>
      <c r="F53" s="5" t="s">
        <v>217</v>
      </c>
      <c r="G53" s="39" t="s">
        <v>1793</v>
      </c>
      <c r="H53" s="5" t="s">
        <v>129</v>
      </c>
      <c r="I53" s="7">
        <v>44776119.402985103</v>
      </c>
      <c r="J53" s="57"/>
      <c r="K53" s="7"/>
      <c r="L53" s="8">
        <v>68172</v>
      </c>
      <c r="M53" s="7">
        <v>2958191</v>
      </c>
      <c r="N53" s="7"/>
      <c r="O53" s="7">
        <v>3283238</v>
      </c>
      <c r="P53" s="7">
        <v>3283238</v>
      </c>
      <c r="Q53" s="7">
        <f t="shared" si="0"/>
        <v>0</v>
      </c>
      <c r="R53" s="5" t="s">
        <v>606</v>
      </c>
      <c r="S53" s="5" t="s">
        <v>598</v>
      </c>
      <c r="T53" s="5" t="s">
        <v>616</v>
      </c>
      <c r="U53" s="5" t="s">
        <v>1406</v>
      </c>
      <c r="V53" s="5" t="s">
        <v>1794</v>
      </c>
      <c r="W53" s="39" t="s">
        <v>1795</v>
      </c>
      <c r="X53" s="39" t="s">
        <v>1796</v>
      </c>
      <c r="Y53" s="39" t="s">
        <v>1797</v>
      </c>
      <c r="Z53" s="99" t="s">
        <v>1798</v>
      </c>
      <c r="AA53" s="39" t="s">
        <v>1799</v>
      </c>
      <c r="AB53" s="5"/>
      <c r="AC53" s="39" t="s">
        <v>1800</v>
      </c>
      <c r="AD53" s="59">
        <v>7.4</v>
      </c>
    </row>
    <row r="54" spans="1:30" ht="15">
      <c r="A54" s="4">
        <v>2019</v>
      </c>
      <c r="B54" s="4" t="s">
        <v>44</v>
      </c>
      <c r="C54" s="4">
        <f t="shared" si="1"/>
        <v>53</v>
      </c>
      <c r="D54" s="96" t="s">
        <v>676</v>
      </c>
      <c r="E54" s="4" t="s">
        <v>632</v>
      </c>
      <c r="F54" s="5" t="s">
        <v>207</v>
      </c>
      <c r="G54" s="5" t="s">
        <v>1415</v>
      </c>
      <c r="H54" s="5" t="s">
        <v>131</v>
      </c>
      <c r="I54" s="7">
        <v>7462686.5671641789</v>
      </c>
      <c r="J54" s="57" t="s">
        <v>1411</v>
      </c>
      <c r="K54" s="7">
        <v>1492537.3134328357</v>
      </c>
      <c r="L54" s="8">
        <v>37338</v>
      </c>
      <c r="M54" s="7">
        <v>2950000</v>
      </c>
      <c r="N54" s="7">
        <v>4477611.940298507</v>
      </c>
      <c r="O54" s="7">
        <v>4303111</v>
      </c>
      <c r="P54" s="7">
        <v>4303111</v>
      </c>
      <c r="Q54" s="7">
        <f t="shared" si="0"/>
        <v>0</v>
      </c>
      <c r="R54" s="5" t="s">
        <v>606</v>
      </c>
      <c r="S54" s="5" t="s">
        <v>598</v>
      </c>
      <c r="T54" s="5" t="s">
        <v>616</v>
      </c>
      <c r="U54" s="5" t="s">
        <v>1406</v>
      </c>
      <c r="V54" s="5" t="s">
        <v>1801</v>
      </c>
      <c r="W54" s="5" t="s">
        <v>1802</v>
      </c>
      <c r="X54" s="5" t="s">
        <v>1803</v>
      </c>
      <c r="Y54" s="5" t="s">
        <v>1804</v>
      </c>
      <c r="Z54" s="5" t="s">
        <v>1805</v>
      </c>
      <c r="AA54" s="5" t="s">
        <v>1806</v>
      </c>
      <c r="AB54" s="5" t="s">
        <v>1807</v>
      </c>
      <c r="AC54" s="5" t="s">
        <v>1808</v>
      </c>
      <c r="AD54" s="62">
        <v>7.5</v>
      </c>
    </row>
    <row r="55" spans="1:30">
      <c r="A55" s="4">
        <v>2019</v>
      </c>
      <c r="B55" s="4" t="s">
        <v>44</v>
      </c>
      <c r="C55" s="4">
        <f t="shared" si="1"/>
        <v>54</v>
      </c>
      <c r="D55" s="96" t="s">
        <v>676</v>
      </c>
      <c r="E55" s="101" t="s">
        <v>1812</v>
      </c>
      <c r="F55" s="5" t="s">
        <v>256</v>
      </c>
      <c r="G55" s="39" t="s">
        <v>1813</v>
      </c>
      <c r="H55" s="5" t="s">
        <v>148</v>
      </c>
      <c r="I55" s="7">
        <v>2985074.6268656701</v>
      </c>
      <c r="J55" s="57"/>
      <c r="K55" s="7"/>
      <c r="L55" s="8">
        <v>34638</v>
      </c>
      <c r="M55" s="7">
        <v>760000</v>
      </c>
      <c r="N55" s="7"/>
      <c r="O55" s="7">
        <v>810000</v>
      </c>
      <c r="P55" s="7">
        <v>810000</v>
      </c>
      <c r="Q55" s="7">
        <f t="shared" si="0"/>
        <v>0</v>
      </c>
      <c r="R55" s="5" t="s">
        <v>606</v>
      </c>
      <c r="S55" s="5" t="s">
        <v>598</v>
      </c>
      <c r="T55" s="5" t="s">
        <v>616</v>
      </c>
      <c r="U55" s="5" t="s">
        <v>1406</v>
      </c>
      <c r="V55" s="5" t="s">
        <v>1814</v>
      </c>
      <c r="W55" s="39" t="s">
        <v>1815</v>
      </c>
      <c r="X55" s="39" t="s">
        <v>1797</v>
      </c>
      <c r="Y55" s="39" t="s">
        <v>1816</v>
      </c>
      <c r="Z55" s="99" t="s">
        <v>1817</v>
      </c>
      <c r="AA55" s="39" t="s">
        <v>1818</v>
      </c>
      <c r="AB55" s="5"/>
      <c r="AC55" s="39" t="s">
        <v>1819</v>
      </c>
      <c r="AD55" s="59">
        <v>7.7</v>
      </c>
    </row>
    <row r="56" spans="1:30">
      <c r="A56" s="4">
        <v>2019</v>
      </c>
      <c r="B56" s="4" t="s">
        <v>44</v>
      </c>
      <c r="C56" s="4">
        <f t="shared" si="1"/>
        <v>55</v>
      </c>
      <c r="D56" s="96" t="s">
        <v>676</v>
      </c>
      <c r="E56" s="4" t="s">
        <v>807</v>
      </c>
      <c r="F56" s="5" t="s">
        <v>225</v>
      </c>
      <c r="G56" s="5" t="s">
        <v>1416</v>
      </c>
      <c r="H56" s="5" t="s">
        <v>129</v>
      </c>
      <c r="I56" s="7">
        <v>749625.18740629684</v>
      </c>
      <c r="J56" s="57" t="s">
        <v>1411</v>
      </c>
      <c r="K56" s="7">
        <v>895522.38805970142</v>
      </c>
      <c r="L56" s="8">
        <v>10660</v>
      </c>
      <c r="M56" s="7">
        <v>399170</v>
      </c>
      <c r="N56" s="7">
        <v>2537313.4328358206</v>
      </c>
      <c r="O56" s="7">
        <v>2883905</v>
      </c>
      <c r="P56" s="7">
        <v>2883905</v>
      </c>
      <c r="Q56" s="7">
        <f t="shared" si="0"/>
        <v>0</v>
      </c>
      <c r="R56" s="5" t="s">
        <v>597</v>
      </c>
      <c r="S56" s="5" t="s">
        <v>598</v>
      </c>
      <c r="T56" s="5" t="s">
        <v>658</v>
      </c>
      <c r="U56" s="5" t="s">
        <v>1406</v>
      </c>
      <c r="V56" s="5" t="s">
        <v>1821</v>
      </c>
      <c r="W56" s="5" t="s">
        <v>1822</v>
      </c>
      <c r="X56" s="5" t="s">
        <v>1823</v>
      </c>
      <c r="Y56" s="5" t="s">
        <v>1824</v>
      </c>
      <c r="Z56" s="10"/>
      <c r="AA56" s="5" t="s">
        <v>1825</v>
      </c>
      <c r="AB56" s="5"/>
      <c r="AC56" s="5" t="s">
        <v>1826</v>
      </c>
      <c r="AD56" s="62">
        <v>8.4</v>
      </c>
    </row>
    <row r="57" spans="1:30">
      <c r="A57" s="4">
        <v>2019</v>
      </c>
      <c r="B57" s="4" t="s">
        <v>44</v>
      </c>
      <c r="C57" s="4">
        <f t="shared" si="1"/>
        <v>56</v>
      </c>
      <c r="D57" s="96" t="s">
        <v>747</v>
      </c>
      <c r="E57" s="4" t="s">
        <v>747</v>
      </c>
      <c r="F57" s="5" t="s">
        <v>186</v>
      </c>
      <c r="G57" s="5" t="s">
        <v>605</v>
      </c>
      <c r="H57" s="5" t="s">
        <v>129</v>
      </c>
      <c r="I57" s="7">
        <v>35820895.522388101</v>
      </c>
      <c r="J57" s="57"/>
      <c r="K57" s="7"/>
      <c r="L57" s="8">
        <v>54139</v>
      </c>
      <c r="M57" s="7">
        <v>150481</v>
      </c>
      <c r="N57" s="7"/>
      <c r="O57" s="7">
        <v>8568978</v>
      </c>
      <c r="P57" s="7">
        <v>8719459</v>
      </c>
      <c r="Q57" s="92">
        <f t="shared" si="0"/>
        <v>150481</v>
      </c>
      <c r="R57" s="5" t="s">
        <v>606</v>
      </c>
      <c r="S57" s="5" t="s">
        <v>598</v>
      </c>
      <c r="T57" s="5" t="s">
        <v>616</v>
      </c>
      <c r="U57" s="5" t="s">
        <v>1390</v>
      </c>
      <c r="V57" s="5" t="s">
        <v>1829</v>
      </c>
      <c r="W57" s="39" t="s">
        <v>1830</v>
      </c>
      <c r="X57" s="39" t="s">
        <v>1831</v>
      </c>
      <c r="Y57" s="39" t="s">
        <v>1528</v>
      </c>
      <c r="Z57" s="99" t="s">
        <v>1832</v>
      </c>
      <c r="AA57" s="39" t="s">
        <v>1833</v>
      </c>
      <c r="AB57" s="5"/>
      <c r="AC57" s="39" t="s">
        <v>1834</v>
      </c>
      <c r="AD57" s="59">
        <v>8.4</v>
      </c>
    </row>
    <row r="58" spans="1:30" hidden="1">
      <c r="A58" s="4">
        <v>2019</v>
      </c>
      <c r="B58" s="4" t="s">
        <v>44</v>
      </c>
      <c r="C58" s="4">
        <f t="shared" si="1"/>
        <v>57</v>
      </c>
      <c r="D58" s="96" t="s">
        <v>676</v>
      </c>
      <c r="E58" s="4" t="s">
        <v>1837</v>
      </c>
      <c r="F58" s="5" t="s">
        <v>211</v>
      </c>
      <c r="G58" s="5" t="s">
        <v>1417</v>
      </c>
      <c r="H58" s="5" t="s">
        <v>131</v>
      </c>
      <c r="I58" s="7">
        <v>2985074.6268656715</v>
      </c>
      <c r="J58" s="57" t="s">
        <v>1411</v>
      </c>
      <c r="K58" s="7">
        <v>1044776.1194029852</v>
      </c>
      <c r="L58" s="41" t="s">
        <v>1501</v>
      </c>
      <c r="M58" s="7">
        <v>125544</v>
      </c>
      <c r="N58" s="7">
        <v>3134328.3582089553</v>
      </c>
      <c r="O58" s="7">
        <v>3963494</v>
      </c>
      <c r="P58" s="7">
        <v>3963494</v>
      </c>
      <c r="Q58" s="7">
        <f t="shared" si="0"/>
        <v>0</v>
      </c>
      <c r="R58" s="5" t="s">
        <v>597</v>
      </c>
      <c r="S58" s="5" t="s">
        <v>598</v>
      </c>
      <c r="T58" s="5" t="s">
        <v>707</v>
      </c>
      <c r="U58" s="5" t="s">
        <v>1406</v>
      </c>
      <c r="V58" s="5" t="s">
        <v>1838</v>
      </c>
      <c r="W58" s="5" t="s">
        <v>1839</v>
      </c>
      <c r="X58" s="5" t="s">
        <v>1840</v>
      </c>
      <c r="Y58" s="5"/>
      <c r="Z58" s="10"/>
      <c r="AA58" s="5" t="s">
        <v>1841</v>
      </c>
      <c r="AB58" s="5" t="s">
        <v>1842</v>
      </c>
      <c r="AC58" s="5" t="s">
        <v>1843</v>
      </c>
      <c r="AD58" s="98" t="s">
        <v>1665</v>
      </c>
    </row>
    <row r="59" spans="1:30" hidden="1">
      <c r="A59" s="4">
        <v>2019</v>
      </c>
      <c r="B59" s="4" t="s">
        <v>44</v>
      </c>
      <c r="C59" s="4">
        <f t="shared" si="1"/>
        <v>58</v>
      </c>
      <c r="D59" s="96" t="s">
        <v>676</v>
      </c>
      <c r="E59" s="46" t="s">
        <v>1845</v>
      </c>
      <c r="F59" s="5" t="s">
        <v>261</v>
      </c>
      <c r="G59" s="39" t="s">
        <v>3000</v>
      </c>
      <c r="H59" s="5" t="s">
        <v>127</v>
      </c>
      <c r="I59" s="7">
        <v>100000000</v>
      </c>
      <c r="J59" s="57"/>
      <c r="K59" s="7"/>
      <c r="L59" s="41" t="s">
        <v>1501</v>
      </c>
      <c r="M59" s="7">
        <v>24397</v>
      </c>
      <c r="N59" s="7"/>
      <c r="O59" s="7">
        <v>713335</v>
      </c>
      <c r="P59" s="7">
        <v>713335</v>
      </c>
      <c r="Q59" s="7">
        <f t="shared" si="0"/>
        <v>0</v>
      </c>
      <c r="R59" s="5" t="s">
        <v>606</v>
      </c>
      <c r="S59" s="5" t="s">
        <v>631</v>
      </c>
      <c r="T59" s="5" t="s">
        <v>612</v>
      </c>
      <c r="U59" s="5" t="s">
        <v>1406</v>
      </c>
      <c r="V59" s="5" t="s">
        <v>1846</v>
      </c>
      <c r="W59" s="39" t="s">
        <v>1847</v>
      </c>
      <c r="X59" s="39" t="s">
        <v>1411</v>
      </c>
      <c r="Y59" s="5"/>
      <c r="Z59" s="10"/>
      <c r="AA59" s="39" t="s">
        <v>1848</v>
      </c>
      <c r="AB59" s="5"/>
      <c r="AC59" s="39" t="s">
        <v>1501</v>
      </c>
      <c r="AD59" s="98" t="s">
        <v>1665</v>
      </c>
    </row>
    <row r="60" spans="1:30">
      <c r="A60" s="4">
        <v>2019</v>
      </c>
      <c r="B60" s="4" t="s">
        <v>44</v>
      </c>
      <c r="C60" s="4">
        <f t="shared" si="1"/>
        <v>59</v>
      </c>
      <c r="D60" s="96" t="s">
        <v>676</v>
      </c>
      <c r="E60" s="46" t="s">
        <v>673</v>
      </c>
      <c r="F60" s="5" t="s">
        <v>176</v>
      </c>
      <c r="G60" s="39" t="s">
        <v>1857</v>
      </c>
      <c r="H60" s="5" t="s">
        <v>129</v>
      </c>
      <c r="I60" s="7">
        <v>22500000</v>
      </c>
      <c r="J60" s="57"/>
      <c r="K60" s="7"/>
      <c r="L60" s="41">
        <v>61047</v>
      </c>
      <c r="M60" s="42">
        <v>7240000</v>
      </c>
      <c r="N60" s="7"/>
      <c r="O60" s="7">
        <v>14917516</v>
      </c>
      <c r="P60" s="7">
        <v>14917516</v>
      </c>
      <c r="Q60" s="7">
        <f t="shared" si="0"/>
        <v>0</v>
      </c>
      <c r="R60" s="5" t="s">
        <v>606</v>
      </c>
      <c r="S60" s="5" t="s">
        <v>598</v>
      </c>
      <c r="T60" s="5" t="s">
        <v>616</v>
      </c>
      <c r="U60" s="5" t="s">
        <v>1406</v>
      </c>
      <c r="V60" s="39" t="s">
        <v>1858</v>
      </c>
      <c r="W60" s="39" t="s">
        <v>1859</v>
      </c>
      <c r="X60" s="39" t="s">
        <v>1860</v>
      </c>
      <c r="Y60" s="39" t="s">
        <v>1861</v>
      </c>
      <c r="Z60" s="10"/>
      <c r="AA60" s="39" t="s">
        <v>1862</v>
      </c>
      <c r="AB60" s="39" t="s">
        <v>1863</v>
      </c>
      <c r="AC60" s="39" t="s">
        <v>1864</v>
      </c>
      <c r="AD60" s="59">
        <v>8.9</v>
      </c>
    </row>
    <row r="61" spans="1:30">
      <c r="A61" s="4">
        <v>2019</v>
      </c>
      <c r="B61" s="4" t="s">
        <v>45</v>
      </c>
      <c r="C61" s="4">
        <f t="shared" si="1"/>
        <v>60</v>
      </c>
      <c r="D61" s="96" t="s">
        <v>650</v>
      </c>
      <c r="E61" s="4" t="s">
        <v>650</v>
      </c>
      <c r="F61" s="5" t="s">
        <v>763</v>
      </c>
      <c r="G61" s="5" t="s">
        <v>764</v>
      </c>
      <c r="H61" s="5" t="s">
        <v>129</v>
      </c>
      <c r="I61" s="7">
        <v>50000000</v>
      </c>
      <c r="J61" s="57"/>
      <c r="K61" s="7"/>
      <c r="L61" s="8">
        <v>3618</v>
      </c>
      <c r="M61" s="7">
        <v>18872919</v>
      </c>
      <c r="N61" s="7"/>
      <c r="O61" s="7">
        <v>46600000</v>
      </c>
      <c r="P61" s="7">
        <v>91419352</v>
      </c>
      <c r="Q61" s="92">
        <f t="shared" si="0"/>
        <v>44819352</v>
      </c>
      <c r="R61" s="5" t="s">
        <v>602</v>
      </c>
      <c r="S61" s="5" t="s">
        <v>598</v>
      </c>
      <c r="T61" s="5" t="s">
        <v>616</v>
      </c>
      <c r="U61" s="5" t="s">
        <v>1394</v>
      </c>
      <c r="V61" s="39" t="s">
        <v>1867</v>
      </c>
      <c r="W61" s="39" t="s">
        <v>763</v>
      </c>
      <c r="X61" s="39" t="s">
        <v>1868</v>
      </c>
      <c r="Y61" s="39" t="s">
        <v>1869</v>
      </c>
      <c r="Z61" s="50" t="s">
        <v>1870</v>
      </c>
      <c r="AA61" s="39" t="s">
        <v>1871</v>
      </c>
      <c r="AB61" s="5"/>
      <c r="AC61" s="39" t="s">
        <v>764</v>
      </c>
      <c r="AD61" s="59">
        <v>6.9</v>
      </c>
    </row>
    <row r="62" spans="1:30">
      <c r="A62" s="4">
        <v>2019</v>
      </c>
      <c r="B62" s="4" t="s">
        <v>45</v>
      </c>
      <c r="C62" s="4">
        <f t="shared" si="1"/>
        <v>61</v>
      </c>
      <c r="D62" s="96" t="s">
        <v>765</v>
      </c>
      <c r="E62" s="4" t="s">
        <v>765</v>
      </c>
      <c r="F62" s="5" t="s">
        <v>766</v>
      </c>
      <c r="G62" s="5" t="s">
        <v>767</v>
      </c>
      <c r="H62" s="5" t="s">
        <v>193</v>
      </c>
      <c r="I62" s="7">
        <v>6000000</v>
      </c>
      <c r="J62" s="57"/>
      <c r="K62" s="7"/>
      <c r="L62" s="8">
        <v>2530</v>
      </c>
      <c r="M62" s="7">
        <v>5853061</v>
      </c>
      <c r="N62" s="7"/>
      <c r="O62" s="7">
        <v>4933421</v>
      </c>
      <c r="P62" s="7">
        <v>19789712</v>
      </c>
      <c r="Q62" s="92">
        <f t="shared" si="0"/>
        <v>14856291</v>
      </c>
      <c r="R62" s="5" t="s">
        <v>606</v>
      </c>
      <c r="S62" s="5" t="s">
        <v>598</v>
      </c>
      <c r="T62" s="5" t="s">
        <v>616</v>
      </c>
      <c r="U62" s="5" t="s">
        <v>1394</v>
      </c>
      <c r="V62" s="39" t="s">
        <v>1872</v>
      </c>
      <c r="W62" s="39" t="s">
        <v>766</v>
      </c>
      <c r="X62" s="39" t="s">
        <v>1873</v>
      </c>
      <c r="Y62" s="39" t="s">
        <v>1874</v>
      </c>
      <c r="Z62" s="99" t="s">
        <v>1875</v>
      </c>
      <c r="AA62" s="39" t="s">
        <v>1876</v>
      </c>
      <c r="AB62" s="5"/>
      <c r="AC62" s="39" t="s">
        <v>767</v>
      </c>
      <c r="AD62" s="59">
        <v>6.1</v>
      </c>
    </row>
    <row r="63" spans="1:30">
      <c r="A63" s="4">
        <v>2019</v>
      </c>
      <c r="B63" s="4" t="s">
        <v>45</v>
      </c>
      <c r="C63" s="4">
        <f t="shared" si="1"/>
        <v>62</v>
      </c>
      <c r="D63" s="96" t="s">
        <v>768</v>
      </c>
      <c r="E63" s="4" t="s">
        <v>768</v>
      </c>
      <c r="F63" s="5" t="s">
        <v>52</v>
      </c>
      <c r="G63" s="5" t="s">
        <v>601</v>
      </c>
      <c r="H63" s="5" t="s">
        <v>129</v>
      </c>
      <c r="I63" s="7">
        <v>52000000</v>
      </c>
      <c r="J63" s="57"/>
      <c r="K63" s="7"/>
      <c r="L63" s="8">
        <v>125</v>
      </c>
      <c r="M63" s="7">
        <v>1459523</v>
      </c>
      <c r="N63" s="7"/>
      <c r="O63" s="7">
        <v>188661860</v>
      </c>
      <c r="P63" s="7">
        <v>192617891</v>
      </c>
      <c r="Q63" s="92">
        <f t="shared" si="0"/>
        <v>3956031</v>
      </c>
      <c r="R63" s="5" t="s">
        <v>597</v>
      </c>
      <c r="S63" s="5" t="s">
        <v>703</v>
      </c>
      <c r="T63" s="5" t="s">
        <v>658</v>
      </c>
      <c r="U63" s="5" t="s">
        <v>1390</v>
      </c>
      <c r="V63" s="39" t="s">
        <v>1877</v>
      </c>
      <c r="W63" s="39" t="s">
        <v>1878</v>
      </c>
      <c r="X63" s="39" t="s">
        <v>1497</v>
      </c>
      <c r="Y63" s="39" t="s">
        <v>1554</v>
      </c>
      <c r="Z63" s="50" t="s">
        <v>1617</v>
      </c>
      <c r="AA63" s="39" t="s">
        <v>1879</v>
      </c>
      <c r="AB63" s="5"/>
      <c r="AC63" s="39" t="s">
        <v>1483</v>
      </c>
      <c r="AD63" s="59">
        <v>9.4</v>
      </c>
    </row>
    <row r="64" spans="1:30">
      <c r="A64" s="4">
        <v>2019</v>
      </c>
      <c r="B64" s="4" t="s">
        <v>45</v>
      </c>
      <c r="C64" s="4">
        <f t="shared" si="1"/>
        <v>63</v>
      </c>
      <c r="D64" s="96" t="s">
        <v>769</v>
      </c>
      <c r="E64" s="4" t="s">
        <v>1884</v>
      </c>
      <c r="F64" s="5" t="s">
        <v>770</v>
      </c>
      <c r="G64" s="5" t="s">
        <v>601</v>
      </c>
      <c r="H64" s="5" t="s">
        <v>129</v>
      </c>
      <c r="I64" s="7">
        <v>19400000</v>
      </c>
      <c r="J64" s="57" t="s">
        <v>1411</v>
      </c>
      <c r="K64" s="7">
        <v>15671642</v>
      </c>
      <c r="L64" s="8">
        <v>82072</v>
      </c>
      <c r="M64" s="7">
        <v>20422321</v>
      </c>
      <c r="N64" s="7">
        <v>45671642</v>
      </c>
      <c r="O64" s="7">
        <v>44388292</v>
      </c>
      <c r="P64" s="7">
        <v>44584926</v>
      </c>
      <c r="Q64" s="92">
        <f t="shared" si="0"/>
        <v>196634</v>
      </c>
      <c r="R64" s="5" t="s">
        <v>597</v>
      </c>
      <c r="S64" s="5" t="s">
        <v>598</v>
      </c>
      <c r="T64" s="5" t="s">
        <v>707</v>
      </c>
      <c r="U64" s="5" t="s">
        <v>1390</v>
      </c>
      <c r="V64" s="5" t="s">
        <v>1885</v>
      </c>
      <c r="W64" s="5" t="s">
        <v>1886</v>
      </c>
      <c r="X64" s="5" t="s">
        <v>1524</v>
      </c>
      <c r="Y64" s="5" t="s">
        <v>1880</v>
      </c>
      <c r="Z64" s="5" t="s">
        <v>1881</v>
      </c>
      <c r="AA64" s="5" t="s">
        <v>1887</v>
      </c>
      <c r="AB64" s="5"/>
      <c r="AC64" s="5" t="s">
        <v>1888</v>
      </c>
      <c r="AD64" s="62">
        <v>8</v>
      </c>
    </row>
    <row r="65" spans="1:30">
      <c r="A65" s="4">
        <v>2019</v>
      </c>
      <c r="B65" s="4" t="s">
        <v>45</v>
      </c>
      <c r="C65" s="4">
        <f t="shared" si="1"/>
        <v>64</v>
      </c>
      <c r="D65" s="96" t="s">
        <v>747</v>
      </c>
      <c r="E65" s="4" t="s">
        <v>747</v>
      </c>
      <c r="F65" s="5" t="s">
        <v>775</v>
      </c>
      <c r="G65" s="5" t="s">
        <v>601</v>
      </c>
      <c r="H65" s="5" t="s">
        <v>131</v>
      </c>
      <c r="I65" s="7">
        <v>3750000</v>
      </c>
      <c r="J65" s="57"/>
      <c r="K65" s="7"/>
      <c r="L65" s="8">
        <v>1</v>
      </c>
      <c r="M65" s="7">
        <v>1652</v>
      </c>
      <c r="N65" s="7"/>
      <c r="O65" s="7">
        <v>16460000</v>
      </c>
      <c r="P65" s="7">
        <v>16461652</v>
      </c>
      <c r="Q65" s="92">
        <f t="shared" si="0"/>
        <v>1652</v>
      </c>
      <c r="R65" s="5" t="s">
        <v>606</v>
      </c>
      <c r="S65" s="5" t="s">
        <v>598</v>
      </c>
      <c r="T65" s="5" t="s">
        <v>616</v>
      </c>
      <c r="U65" s="5" t="s">
        <v>1390</v>
      </c>
      <c r="V65" s="39" t="s">
        <v>1889</v>
      </c>
      <c r="W65" s="39" t="s">
        <v>1890</v>
      </c>
      <c r="X65" s="39" t="s">
        <v>1891</v>
      </c>
      <c r="Y65" s="39" t="s">
        <v>1892</v>
      </c>
      <c r="Z65" s="39" t="s">
        <v>1893</v>
      </c>
      <c r="AA65" s="39" t="s">
        <v>1894</v>
      </c>
      <c r="AB65" s="5"/>
      <c r="AC65" s="39" t="s">
        <v>1895</v>
      </c>
      <c r="AD65" s="59">
        <v>9.1</v>
      </c>
    </row>
    <row r="66" spans="1:30">
      <c r="A66" s="4">
        <v>2019</v>
      </c>
      <c r="B66" s="4" t="s">
        <v>45</v>
      </c>
      <c r="C66" s="4">
        <f t="shared" si="1"/>
        <v>65</v>
      </c>
      <c r="D66" s="96" t="s">
        <v>642</v>
      </c>
      <c r="E66" s="4" t="s">
        <v>1896</v>
      </c>
      <c r="F66" s="5" t="s">
        <v>776</v>
      </c>
      <c r="G66" s="39" t="s">
        <v>1407</v>
      </c>
      <c r="H66" s="5" t="s">
        <v>129</v>
      </c>
      <c r="I66" s="7">
        <v>11940298.5</v>
      </c>
      <c r="J66" s="7">
        <v>4477611.9400000004</v>
      </c>
      <c r="K66" s="7">
        <v>3552089.55</v>
      </c>
      <c r="L66" s="41">
        <v>61552</v>
      </c>
      <c r="M66" s="42">
        <v>6830000</v>
      </c>
      <c r="N66" s="7">
        <v>9498656.7200000007</v>
      </c>
      <c r="O66" s="7">
        <v>10217493</v>
      </c>
      <c r="P66" s="7">
        <v>10217493</v>
      </c>
      <c r="Q66" s="7">
        <f t="shared" si="0"/>
        <v>0</v>
      </c>
      <c r="R66" s="5" t="s">
        <v>606</v>
      </c>
      <c r="S66" s="5" t="s">
        <v>598</v>
      </c>
      <c r="T66" s="5" t="s">
        <v>616</v>
      </c>
      <c r="U66" s="5" t="s">
        <v>1390</v>
      </c>
      <c r="V66" s="39" t="s">
        <v>1897</v>
      </c>
      <c r="W66" s="39" t="s">
        <v>1898</v>
      </c>
      <c r="X66" s="39" t="s">
        <v>1899</v>
      </c>
      <c r="Y66" s="5"/>
      <c r="Z66" s="5"/>
      <c r="AA66" s="39" t="s">
        <v>1900</v>
      </c>
      <c r="AB66" s="5"/>
      <c r="AC66" s="5" t="s">
        <v>1901</v>
      </c>
      <c r="AD66" s="59">
        <v>7.9</v>
      </c>
    </row>
    <row r="67" spans="1:30">
      <c r="A67" s="4">
        <v>2019</v>
      </c>
      <c r="B67" s="4" t="s">
        <v>45</v>
      </c>
      <c r="C67" s="4">
        <f t="shared" si="1"/>
        <v>66</v>
      </c>
      <c r="D67" s="96" t="s">
        <v>676</v>
      </c>
      <c r="E67" s="56" t="s">
        <v>1902</v>
      </c>
      <c r="F67" s="5" t="s">
        <v>49</v>
      </c>
      <c r="G67" s="39" t="s">
        <v>1676</v>
      </c>
      <c r="H67" s="5" t="s">
        <v>131</v>
      </c>
      <c r="I67" s="7">
        <v>30000000</v>
      </c>
      <c r="J67" s="57"/>
      <c r="K67" s="7"/>
      <c r="L67" s="41">
        <v>28181</v>
      </c>
      <c r="M67" s="42">
        <v>1450000</v>
      </c>
      <c r="N67" s="7"/>
      <c r="O67" s="7">
        <v>2640000</v>
      </c>
      <c r="P67" s="7">
        <v>2640000</v>
      </c>
      <c r="Q67" s="7">
        <f t="shared" ref="Q67:Q130" si="2">P67-O67</f>
        <v>0</v>
      </c>
      <c r="R67" s="5" t="s">
        <v>606</v>
      </c>
      <c r="S67" s="5" t="s">
        <v>598</v>
      </c>
      <c r="T67" s="5" t="s">
        <v>616</v>
      </c>
      <c r="U67" s="5" t="s">
        <v>1406</v>
      </c>
      <c r="V67" s="39" t="s">
        <v>1903</v>
      </c>
      <c r="W67" s="39" t="s">
        <v>1904</v>
      </c>
      <c r="X67" s="39" t="s">
        <v>1905</v>
      </c>
      <c r="Y67" s="39" t="s">
        <v>1906</v>
      </c>
      <c r="Z67" s="39" t="s">
        <v>1907</v>
      </c>
      <c r="AA67" s="39" t="s">
        <v>1908</v>
      </c>
      <c r="AB67" s="5"/>
      <c r="AC67" s="39" t="s">
        <v>1909</v>
      </c>
      <c r="AD67" s="59">
        <v>8.1</v>
      </c>
    </row>
    <row r="68" spans="1:30">
      <c r="A68" s="4">
        <v>2019</v>
      </c>
      <c r="B68" s="4" t="s">
        <v>45</v>
      </c>
      <c r="C68" s="4">
        <f t="shared" ref="C68:C131" si="3">C67+1</f>
        <v>67</v>
      </c>
      <c r="D68" s="96" t="s">
        <v>765</v>
      </c>
      <c r="E68" s="4" t="s">
        <v>765</v>
      </c>
      <c r="F68" s="5" t="s">
        <v>781</v>
      </c>
      <c r="G68" s="5" t="s">
        <v>782</v>
      </c>
      <c r="H68" s="5" t="s">
        <v>1404</v>
      </c>
      <c r="I68" s="7">
        <v>41791044</v>
      </c>
      <c r="J68" s="57" t="s">
        <v>1411</v>
      </c>
      <c r="K68" s="7">
        <v>5970149</v>
      </c>
      <c r="L68" s="8">
        <v>37</v>
      </c>
      <c r="M68" s="7">
        <v>1781952</v>
      </c>
      <c r="N68" s="7">
        <v>17014925</v>
      </c>
      <c r="O68" s="7">
        <v>17314737</v>
      </c>
      <c r="P68" s="7">
        <v>17314737</v>
      </c>
      <c r="Q68" s="7">
        <f t="shared" si="2"/>
        <v>0</v>
      </c>
      <c r="R68" s="39" t="s">
        <v>606</v>
      </c>
      <c r="S68" s="5" t="s">
        <v>598</v>
      </c>
      <c r="T68" s="39" t="s">
        <v>616</v>
      </c>
      <c r="U68" s="5" t="s">
        <v>1390</v>
      </c>
      <c r="V68" s="5" t="s">
        <v>1912</v>
      </c>
      <c r="W68" s="5" t="s">
        <v>1913</v>
      </c>
      <c r="X68" s="5" t="s">
        <v>1914</v>
      </c>
      <c r="Y68" s="5" t="s">
        <v>1860</v>
      </c>
      <c r="Z68" s="5"/>
      <c r="AA68" s="5" t="s">
        <v>1915</v>
      </c>
      <c r="AB68" s="5"/>
      <c r="AC68" s="5" t="s">
        <v>1916</v>
      </c>
      <c r="AD68" s="62">
        <v>7.2</v>
      </c>
    </row>
    <row r="69" spans="1:30">
      <c r="A69" s="4">
        <v>2019</v>
      </c>
      <c r="B69" s="4" t="s">
        <v>45</v>
      </c>
      <c r="C69" s="4">
        <f t="shared" si="3"/>
        <v>68</v>
      </c>
      <c r="D69" s="96" t="s">
        <v>676</v>
      </c>
      <c r="E69" s="4" t="s">
        <v>676</v>
      </c>
      <c r="F69" s="5" t="s">
        <v>790</v>
      </c>
      <c r="G69" s="39" t="s">
        <v>3001</v>
      </c>
      <c r="H69" s="5" t="s">
        <v>129</v>
      </c>
      <c r="I69" s="7">
        <v>2340000</v>
      </c>
      <c r="J69" s="57"/>
      <c r="K69" s="7"/>
      <c r="L69" s="41" t="s">
        <v>1501</v>
      </c>
      <c r="M69" s="41" t="s">
        <v>1501</v>
      </c>
      <c r="N69" s="7"/>
      <c r="O69" s="7">
        <v>2300000</v>
      </c>
      <c r="P69" s="7">
        <v>2300000</v>
      </c>
      <c r="Q69" s="7">
        <f t="shared" si="2"/>
        <v>0</v>
      </c>
      <c r="R69" s="5" t="s">
        <v>606</v>
      </c>
      <c r="S69" s="5" t="s">
        <v>598</v>
      </c>
      <c r="T69" s="5" t="s">
        <v>616</v>
      </c>
      <c r="U69" s="5" t="s">
        <v>1406</v>
      </c>
      <c r="V69" s="39" t="s">
        <v>1917</v>
      </c>
      <c r="W69" s="39" t="s">
        <v>1411</v>
      </c>
      <c r="X69" s="39" t="s">
        <v>1411</v>
      </c>
      <c r="Y69" s="5"/>
      <c r="Z69" s="5"/>
      <c r="AA69" s="39" t="s">
        <v>1918</v>
      </c>
      <c r="AB69" s="5"/>
      <c r="AC69" s="39" t="s">
        <v>1501</v>
      </c>
      <c r="AD69" s="59">
        <v>5</v>
      </c>
    </row>
    <row r="70" spans="1:30">
      <c r="A70" s="4">
        <v>2019</v>
      </c>
      <c r="B70" s="4" t="s">
        <v>46</v>
      </c>
      <c r="C70" s="4">
        <f t="shared" si="3"/>
        <v>69</v>
      </c>
      <c r="D70" s="96" t="s">
        <v>617</v>
      </c>
      <c r="E70" s="4" t="s">
        <v>617</v>
      </c>
      <c r="F70" s="5" t="s">
        <v>55</v>
      </c>
      <c r="G70" s="5" t="s">
        <v>626</v>
      </c>
      <c r="H70" s="5" t="s">
        <v>131</v>
      </c>
      <c r="I70" s="7">
        <v>4500000</v>
      </c>
      <c r="J70" s="57"/>
      <c r="K70" s="7"/>
      <c r="L70" s="8">
        <v>40</v>
      </c>
      <c r="M70" s="7">
        <v>185928</v>
      </c>
      <c r="N70" s="7"/>
      <c r="O70" s="7">
        <v>150333552</v>
      </c>
      <c r="P70" s="7">
        <v>151056221</v>
      </c>
      <c r="Q70" s="92">
        <f t="shared" si="2"/>
        <v>722669</v>
      </c>
      <c r="R70" s="5" t="s">
        <v>606</v>
      </c>
      <c r="S70" s="5" t="s">
        <v>598</v>
      </c>
      <c r="T70" s="5" t="s">
        <v>616</v>
      </c>
      <c r="U70" s="5" t="s">
        <v>1390</v>
      </c>
      <c r="V70" s="39" t="s">
        <v>1919</v>
      </c>
      <c r="W70" s="39" t="s">
        <v>1920</v>
      </c>
      <c r="X70" s="39" t="s">
        <v>1921</v>
      </c>
      <c r="Y70" s="39" t="s">
        <v>1922</v>
      </c>
      <c r="Z70" s="39" t="s">
        <v>1923</v>
      </c>
      <c r="AA70" s="39" t="s">
        <v>1924</v>
      </c>
      <c r="AB70" s="5"/>
      <c r="AC70" s="50" t="s">
        <v>1925</v>
      </c>
      <c r="AD70" s="59">
        <v>8</v>
      </c>
    </row>
    <row r="71" spans="1:30" hidden="1">
      <c r="A71" s="4">
        <v>2019</v>
      </c>
      <c r="B71" s="4" t="s">
        <v>46</v>
      </c>
      <c r="C71" s="4">
        <f t="shared" si="3"/>
        <v>70</v>
      </c>
      <c r="D71" s="96" t="s">
        <v>676</v>
      </c>
      <c r="E71" s="46" t="s">
        <v>1926</v>
      </c>
      <c r="F71" s="5" t="s">
        <v>238</v>
      </c>
      <c r="G71" s="39" t="s">
        <v>812</v>
      </c>
      <c r="H71" s="5" t="s">
        <v>193</v>
      </c>
      <c r="I71" s="7">
        <v>3325000</v>
      </c>
      <c r="J71" s="57"/>
      <c r="K71" s="7"/>
      <c r="L71" s="41">
        <v>128</v>
      </c>
      <c r="M71" s="42">
        <v>283312</v>
      </c>
      <c r="N71" s="7"/>
      <c r="O71" s="7">
        <v>1692572</v>
      </c>
      <c r="P71" s="7">
        <v>1692572</v>
      </c>
      <c r="Q71" s="7">
        <f t="shared" si="2"/>
        <v>0</v>
      </c>
      <c r="R71" s="5" t="s">
        <v>606</v>
      </c>
      <c r="S71" s="5" t="s">
        <v>598</v>
      </c>
      <c r="T71" s="5" t="s">
        <v>658</v>
      </c>
      <c r="U71" s="5" t="s">
        <v>1406</v>
      </c>
      <c r="V71" s="39" t="s">
        <v>1927</v>
      </c>
      <c r="W71" s="39" t="s">
        <v>1928</v>
      </c>
      <c r="X71" s="39" t="s">
        <v>1929</v>
      </c>
      <c r="Y71" s="39" t="s">
        <v>1930</v>
      </c>
      <c r="Z71" s="39" t="s">
        <v>1931</v>
      </c>
      <c r="AA71" s="39" t="s">
        <v>1932</v>
      </c>
      <c r="AB71" s="5"/>
      <c r="AC71" s="50" t="s">
        <v>1933</v>
      </c>
      <c r="AD71" s="98" t="s">
        <v>1665</v>
      </c>
    </row>
    <row r="72" spans="1:30">
      <c r="A72" s="4">
        <v>2019</v>
      </c>
      <c r="B72" s="4" t="s">
        <v>46</v>
      </c>
      <c r="C72" s="4">
        <f t="shared" si="3"/>
        <v>71</v>
      </c>
      <c r="D72" s="96" t="s">
        <v>676</v>
      </c>
      <c r="E72" s="101" t="s">
        <v>1936</v>
      </c>
      <c r="F72" s="5" t="s">
        <v>50</v>
      </c>
      <c r="G72" s="39" t="s">
        <v>812</v>
      </c>
      <c r="H72" s="5" t="s">
        <v>131</v>
      </c>
      <c r="I72" s="7">
        <v>2800000</v>
      </c>
      <c r="J72" s="57"/>
      <c r="K72" s="7"/>
      <c r="L72" s="41" t="s">
        <v>1501</v>
      </c>
      <c r="M72" s="42">
        <v>67571</v>
      </c>
      <c r="N72" s="7"/>
      <c r="O72" s="7">
        <v>140937</v>
      </c>
      <c r="P72" s="7">
        <v>140937</v>
      </c>
      <c r="Q72" s="7">
        <f t="shared" si="2"/>
        <v>0</v>
      </c>
      <c r="R72" s="5" t="s">
        <v>606</v>
      </c>
      <c r="S72" s="5" t="s">
        <v>598</v>
      </c>
      <c r="T72" s="5" t="s">
        <v>616</v>
      </c>
      <c r="U72" s="5" t="s">
        <v>1406</v>
      </c>
      <c r="V72" s="39" t="s">
        <v>1937</v>
      </c>
      <c r="W72" s="39" t="s">
        <v>1938</v>
      </c>
      <c r="X72" s="39" t="s">
        <v>1939</v>
      </c>
      <c r="Y72" s="39" t="s">
        <v>1940</v>
      </c>
      <c r="Z72" s="39" t="s">
        <v>1941</v>
      </c>
      <c r="AA72" s="39" t="s">
        <v>1942</v>
      </c>
      <c r="AB72" s="5"/>
      <c r="AC72" s="50" t="s">
        <v>1943</v>
      </c>
      <c r="AD72" s="59">
        <v>7.4</v>
      </c>
    </row>
    <row r="73" spans="1:30">
      <c r="A73" s="4">
        <v>2018</v>
      </c>
      <c r="B73" s="4" t="s">
        <v>44</v>
      </c>
      <c r="C73" s="4">
        <f t="shared" si="3"/>
        <v>72</v>
      </c>
      <c r="D73" s="96" t="s">
        <v>811</v>
      </c>
      <c r="E73" s="4" t="s">
        <v>811</v>
      </c>
      <c r="F73" s="5" t="s">
        <v>7</v>
      </c>
      <c r="G73" s="5" t="s">
        <v>812</v>
      </c>
      <c r="H73" s="5" t="s">
        <v>129</v>
      </c>
      <c r="I73" s="7">
        <v>59701492</v>
      </c>
      <c r="J73" s="7">
        <v>22388059</v>
      </c>
      <c r="K73" s="7">
        <v>186268656</v>
      </c>
      <c r="L73" s="8">
        <v>115</v>
      </c>
      <c r="M73" s="7">
        <v>704047</v>
      </c>
      <c r="N73" s="7">
        <v>475970149</v>
      </c>
      <c r="O73" s="7">
        <v>542084590</v>
      </c>
      <c r="P73" s="7">
        <v>544068574</v>
      </c>
      <c r="Q73" s="92">
        <f t="shared" si="2"/>
        <v>1983984</v>
      </c>
      <c r="R73" s="5" t="s">
        <v>606</v>
      </c>
      <c r="S73" s="5" t="s">
        <v>598</v>
      </c>
      <c r="T73" s="5" t="s">
        <v>616</v>
      </c>
      <c r="U73" s="5" t="s">
        <v>1394</v>
      </c>
      <c r="V73" s="5" t="s">
        <v>1944</v>
      </c>
      <c r="W73" s="5" t="s">
        <v>1945</v>
      </c>
      <c r="X73" s="5" t="s">
        <v>1946</v>
      </c>
      <c r="Y73" s="5" t="s">
        <v>1718</v>
      </c>
      <c r="Z73" s="5"/>
      <c r="AA73" s="5" t="s">
        <v>1947</v>
      </c>
      <c r="AB73" s="5"/>
      <c r="AC73" s="5" t="s">
        <v>1948</v>
      </c>
      <c r="AD73" s="62">
        <v>9</v>
      </c>
    </row>
    <row r="74" spans="1:30">
      <c r="A74" s="4">
        <v>2018</v>
      </c>
      <c r="B74" s="4" t="s">
        <v>44</v>
      </c>
      <c r="C74" s="4">
        <f t="shared" si="3"/>
        <v>73</v>
      </c>
      <c r="D74" s="96" t="s">
        <v>813</v>
      </c>
      <c r="E74" s="4" t="s">
        <v>813</v>
      </c>
      <c r="F74" s="5" t="s">
        <v>359</v>
      </c>
      <c r="G74" s="5" t="s">
        <v>601</v>
      </c>
      <c r="H74" s="5" t="s">
        <v>129</v>
      </c>
      <c r="I74" s="7">
        <v>74626865.671641782</v>
      </c>
      <c r="J74" s="7">
        <v>11940298.507462686</v>
      </c>
      <c r="K74" s="7">
        <v>199850746.2686567</v>
      </c>
      <c r="L74" s="8">
        <v>55</v>
      </c>
      <c r="M74" s="7">
        <v>436059</v>
      </c>
      <c r="N74" s="7">
        <v>510597014.92537314</v>
      </c>
      <c r="O74" s="7">
        <v>532057988</v>
      </c>
      <c r="P74" s="7">
        <v>533601535</v>
      </c>
      <c r="Q74" s="92">
        <f t="shared" si="2"/>
        <v>1543547</v>
      </c>
      <c r="R74" s="5" t="s">
        <v>606</v>
      </c>
      <c r="S74" s="5" t="s">
        <v>598</v>
      </c>
      <c r="T74" s="5" t="s">
        <v>616</v>
      </c>
      <c r="U74" s="5" t="s">
        <v>1390</v>
      </c>
      <c r="V74" s="5" t="s">
        <v>1949</v>
      </c>
      <c r="W74" s="5" t="s">
        <v>1950</v>
      </c>
      <c r="X74" s="5" t="s">
        <v>1951</v>
      </c>
      <c r="Y74" s="5" t="s">
        <v>1952</v>
      </c>
      <c r="Z74" s="10"/>
      <c r="AA74" s="5" t="s">
        <v>1953</v>
      </c>
      <c r="AB74" s="5"/>
      <c r="AC74" s="5" t="s">
        <v>1954</v>
      </c>
      <c r="AD74" s="62">
        <v>9.4</v>
      </c>
    </row>
    <row r="75" spans="1:30">
      <c r="A75" s="4">
        <v>2018</v>
      </c>
      <c r="B75" s="4" t="s">
        <v>44</v>
      </c>
      <c r="C75" s="4">
        <f t="shared" si="3"/>
        <v>74</v>
      </c>
      <c r="D75" s="96" t="s">
        <v>814</v>
      </c>
      <c r="E75" s="4" t="s">
        <v>814</v>
      </c>
      <c r="F75" s="5" t="s">
        <v>365</v>
      </c>
      <c r="G75" s="5" t="s">
        <v>601</v>
      </c>
      <c r="H75" s="5" t="s">
        <v>148</v>
      </c>
      <c r="I75" s="7">
        <v>5970149</v>
      </c>
      <c r="J75" s="7">
        <v>3731343</v>
      </c>
      <c r="K75" s="7">
        <v>47611940</v>
      </c>
      <c r="L75" s="8">
        <v>32</v>
      </c>
      <c r="M75" s="7">
        <v>204733</v>
      </c>
      <c r="N75" s="7">
        <v>124179104</v>
      </c>
      <c r="O75" s="7">
        <v>132903651</v>
      </c>
      <c r="P75" s="7">
        <v>133650584</v>
      </c>
      <c r="Q75" s="92">
        <f t="shared" si="2"/>
        <v>746933</v>
      </c>
      <c r="R75" s="5" t="s">
        <v>1398</v>
      </c>
      <c r="S75" s="5" t="s">
        <v>598</v>
      </c>
      <c r="T75" s="5" t="s">
        <v>603</v>
      </c>
      <c r="U75" s="5" t="s">
        <v>1390</v>
      </c>
      <c r="V75" s="5" t="s">
        <v>1955</v>
      </c>
      <c r="W75" s="5" t="s">
        <v>365</v>
      </c>
      <c r="X75" s="5" t="s">
        <v>1956</v>
      </c>
      <c r="Y75" s="5" t="s">
        <v>1957</v>
      </c>
      <c r="Z75" s="10"/>
      <c r="AA75" s="5" t="s">
        <v>1958</v>
      </c>
      <c r="AB75" s="5"/>
      <c r="AC75" s="5" t="s">
        <v>1959</v>
      </c>
      <c r="AD75" s="62">
        <v>8.6999999999999993</v>
      </c>
    </row>
    <row r="76" spans="1:30">
      <c r="A76" s="4">
        <v>2018</v>
      </c>
      <c r="B76" s="4" t="s">
        <v>44</v>
      </c>
      <c r="C76" s="4">
        <f t="shared" si="3"/>
        <v>75</v>
      </c>
      <c r="D76" s="96" t="s">
        <v>811</v>
      </c>
      <c r="E76" s="4" t="s">
        <v>811</v>
      </c>
      <c r="F76" s="5" t="s">
        <v>362</v>
      </c>
      <c r="G76" s="5" t="s">
        <v>764</v>
      </c>
      <c r="H76" s="5" t="s">
        <v>127</v>
      </c>
      <c r="I76" s="7">
        <v>89552238</v>
      </c>
      <c r="J76" s="7">
        <v>22388059</v>
      </c>
      <c r="K76" s="7">
        <v>123432835</v>
      </c>
      <c r="L76" s="8">
        <v>69</v>
      </c>
      <c r="M76" s="7">
        <v>341834</v>
      </c>
      <c r="N76" s="7">
        <v>316567164</v>
      </c>
      <c r="O76" s="7">
        <v>360977662</v>
      </c>
      <c r="P76" s="7">
        <v>361683815</v>
      </c>
      <c r="Q76" s="92">
        <f t="shared" si="2"/>
        <v>706153</v>
      </c>
      <c r="R76" s="5" t="s">
        <v>606</v>
      </c>
      <c r="S76" s="5" t="s">
        <v>611</v>
      </c>
      <c r="T76" s="5" t="s">
        <v>607</v>
      </c>
      <c r="U76" s="5" t="s">
        <v>1390</v>
      </c>
      <c r="V76" s="5" t="s">
        <v>1960</v>
      </c>
      <c r="W76" s="5" t="s">
        <v>1961</v>
      </c>
      <c r="X76" s="5" t="s">
        <v>1962</v>
      </c>
      <c r="Y76" s="5" t="s">
        <v>1963</v>
      </c>
      <c r="Z76" s="10"/>
      <c r="AA76" s="5" t="s">
        <v>1964</v>
      </c>
      <c r="AB76" s="5"/>
      <c r="AC76" s="5" t="s">
        <v>1965</v>
      </c>
      <c r="AD76" s="62">
        <v>8.1999999999999993</v>
      </c>
    </row>
    <row r="77" spans="1:30">
      <c r="A77" s="4">
        <v>2018</v>
      </c>
      <c r="B77" s="4" t="s">
        <v>44</v>
      </c>
      <c r="C77" s="4">
        <f t="shared" si="3"/>
        <v>76</v>
      </c>
      <c r="D77" s="96" t="s">
        <v>811</v>
      </c>
      <c r="E77" s="4" t="s">
        <v>811</v>
      </c>
      <c r="F77" s="5" t="s">
        <v>368</v>
      </c>
      <c r="G77" s="5" t="s">
        <v>601</v>
      </c>
      <c r="H77" s="5" t="s">
        <v>129</v>
      </c>
      <c r="I77" s="7">
        <v>59701492</v>
      </c>
      <c r="J77" s="7">
        <v>8955223</v>
      </c>
      <c r="K77" s="7">
        <v>38955223</v>
      </c>
      <c r="L77" s="8">
        <v>34</v>
      </c>
      <c r="M77" s="7">
        <v>95577</v>
      </c>
      <c r="N77" s="7">
        <v>102537313</v>
      </c>
      <c r="O77" s="7">
        <v>114902870</v>
      </c>
      <c r="P77" s="7">
        <v>115089944</v>
      </c>
      <c r="Q77" s="92">
        <f t="shared" si="2"/>
        <v>187074</v>
      </c>
      <c r="R77" s="5" t="s">
        <v>602</v>
      </c>
      <c r="S77" s="5" t="s">
        <v>598</v>
      </c>
      <c r="T77" s="5" t="s">
        <v>603</v>
      </c>
      <c r="U77" s="5" t="s">
        <v>1390</v>
      </c>
      <c r="V77" s="5" t="s">
        <v>1966</v>
      </c>
      <c r="W77" s="5" t="s">
        <v>1967</v>
      </c>
      <c r="X77" s="5" t="s">
        <v>1905</v>
      </c>
      <c r="Y77" s="5" t="s">
        <v>1968</v>
      </c>
      <c r="Z77" s="10"/>
      <c r="AA77" s="5" t="s">
        <v>1969</v>
      </c>
      <c r="AB77" s="5"/>
      <c r="AC77" s="5" t="s">
        <v>1970</v>
      </c>
      <c r="AD77" s="62">
        <v>7.9</v>
      </c>
    </row>
    <row r="78" spans="1:30">
      <c r="A78" s="4">
        <v>2018</v>
      </c>
      <c r="B78" s="4" t="s">
        <v>44</v>
      </c>
      <c r="C78" s="4">
        <f t="shared" si="3"/>
        <v>77</v>
      </c>
      <c r="D78" s="96" t="s">
        <v>818</v>
      </c>
      <c r="E78" s="4" t="s">
        <v>818</v>
      </c>
      <c r="F78" s="5" t="s">
        <v>819</v>
      </c>
      <c r="G78" s="5" t="s">
        <v>601</v>
      </c>
      <c r="H78" s="5" t="s">
        <v>136</v>
      </c>
      <c r="I78" s="7">
        <v>10447761</v>
      </c>
      <c r="J78" s="7">
        <v>5970149</v>
      </c>
      <c r="K78" s="7">
        <v>18955223</v>
      </c>
      <c r="L78" s="8">
        <v>24</v>
      </c>
      <c r="M78" s="7">
        <v>79180</v>
      </c>
      <c r="N78" s="7">
        <v>50746268</v>
      </c>
      <c r="O78" s="7">
        <v>57442237</v>
      </c>
      <c r="P78" s="7">
        <v>57628372</v>
      </c>
      <c r="Q78" s="92">
        <f t="shared" si="2"/>
        <v>186135</v>
      </c>
      <c r="R78" s="5" t="s">
        <v>606</v>
      </c>
      <c r="S78" s="5" t="s">
        <v>598</v>
      </c>
      <c r="T78" s="5" t="s">
        <v>616</v>
      </c>
      <c r="U78" s="5" t="s">
        <v>1390</v>
      </c>
      <c r="V78" s="5" t="s">
        <v>1971</v>
      </c>
      <c r="W78" s="5" t="s">
        <v>1972</v>
      </c>
      <c r="X78" s="5" t="s">
        <v>1973</v>
      </c>
      <c r="Y78" s="5" t="s">
        <v>1974</v>
      </c>
      <c r="Z78" s="10"/>
      <c r="AA78" s="5" t="s">
        <v>1973</v>
      </c>
      <c r="AB78" s="5"/>
      <c r="AC78" s="5" t="s">
        <v>1975</v>
      </c>
      <c r="AD78" s="62">
        <v>6.9</v>
      </c>
    </row>
    <row r="79" spans="1:30">
      <c r="A79" s="4">
        <v>2018</v>
      </c>
      <c r="B79" s="4" t="s">
        <v>44</v>
      </c>
      <c r="C79" s="4">
        <f t="shared" si="3"/>
        <v>78</v>
      </c>
      <c r="D79" s="96" t="s">
        <v>824</v>
      </c>
      <c r="E79" s="4" t="s">
        <v>824</v>
      </c>
      <c r="F79" s="5" t="s">
        <v>386</v>
      </c>
      <c r="G79" s="5" t="s">
        <v>626</v>
      </c>
      <c r="H79" s="5" t="s">
        <v>127</v>
      </c>
      <c r="I79" s="7">
        <v>11940298</v>
      </c>
      <c r="J79" s="7">
        <v>2985074</v>
      </c>
      <c r="K79" s="7">
        <v>11985074</v>
      </c>
      <c r="L79" s="8">
        <v>27</v>
      </c>
      <c r="M79" s="7">
        <v>57713</v>
      </c>
      <c r="N79" s="7">
        <v>32238805</v>
      </c>
      <c r="O79" s="7">
        <v>36895078</v>
      </c>
      <c r="P79" s="7">
        <v>37013430</v>
      </c>
      <c r="Q79" s="92">
        <f t="shared" si="2"/>
        <v>118352</v>
      </c>
      <c r="R79" s="5" t="s">
        <v>606</v>
      </c>
      <c r="S79" s="5" t="s">
        <v>598</v>
      </c>
      <c r="T79" s="5" t="s">
        <v>616</v>
      </c>
      <c r="U79" s="5" t="s">
        <v>1390</v>
      </c>
      <c r="V79" s="5" t="s">
        <v>1976</v>
      </c>
      <c r="W79" s="5" t="s">
        <v>1977</v>
      </c>
      <c r="X79" s="5" t="s">
        <v>1978</v>
      </c>
      <c r="Y79" s="5" t="s">
        <v>1979</v>
      </c>
      <c r="Z79" s="10"/>
      <c r="AA79" s="5" t="s">
        <v>1980</v>
      </c>
      <c r="AB79" s="5"/>
      <c r="AC79" s="5" t="s">
        <v>1981</v>
      </c>
      <c r="AD79" s="62">
        <v>8.9</v>
      </c>
    </row>
    <row r="80" spans="1:30">
      <c r="A80" s="4">
        <v>2018</v>
      </c>
      <c r="B80" s="4" t="s">
        <v>44</v>
      </c>
      <c r="C80" s="4">
        <f t="shared" si="3"/>
        <v>79</v>
      </c>
      <c r="D80" s="96" t="s">
        <v>825</v>
      </c>
      <c r="E80" s="4" t="s">
        <v>825</v>
      </c>
      <c r="F80" s="5" t="s">
        <v>406</v>
      </c>
      <c r="G80" s="5" t="s">
        <v>626</v>
      </c>
      <c r="H80" s="5" t="s">
        <v>129</v>
      </c>
      <c r="I80" s="7">
        <v>8955223</v>
      </c>
      <c r="J80" s="7">
        <v>3731343</v>
      </c>
      <c r="K80" s="7">
        <v>3491044</v>
      </c>
      <c r="L80" s="8">
        <v>12</v>
      </c>
      <c r="M80" s="7">
        <v>35015</v>
      </c>
      <c r="N80" s="7">
        <v>9485074</v>
      </c>
      <c r="O80" s="7">
        <v>10295882</v>
      </c>
      <c r="P80" s="7">
        <v>10381054</v>
      </c>
      <c r="Q80" s="92">
        <f t="shared" si="2"/>
        <v>85172</v>
      </c>
      <c r="R80" s="5" t="s">
        <v>606</v>
      </c>
      <c r="S80" s="5" t="s">
        <v>598</v>
      </c>
      <c r="T80" s="5" t="s">
        <v>616</v>
      </c>
      <c r="U80" s="5" t="s">
        <v>1390</v>
      </c>
      <c r="V80" s="5" t="s">
        <v>1982</v>
      </c>
      <c r="W80" s="5" t="s">
        <v>1983</v>
      </c>
      <c r="X80" s="5" t="s">
        <v>1984</v>
      </c>
      <c r="Y80" s="5" t="s">
        <v>1985</v>
      </c>
      <c r="Z80" s="10"/>
      <c r="AA80" s="5" t="s">
        <v>1986</v>
      </c>
      <c r="AB80" s="5"/>
      <c r="AC80" s="5" t="s">
        <v>1948</v>
      </c>
      <c r="AD80" s="62">
        <v>7.8</v>
      </c>
    </row>
    <row r="81" spans="1:30">
      <c r="A81" s="4">
        <v>2018</v>
      </c>
      <c r="B81" s="4" t="s">
        <v>44</v>
      </c>
      <c r="C81" s="4">
        <f t="shared" si="3"/>
        <v>80</v>
      </c>
      <c r="D81" s="96" t="s">
        <v>828</v>
      </c>
      <c r="E81" s="4" t="s">
        <v>828</v>
      </c>
      <c r="F81" s="5" t="s">
        <v>407</v>
      </c>
      <c r="G81" s="5" t="s">
        <v>601</v>
      </c>
      <c r="H81" s="5" t="s">
        <v>136</v>
      </c>
      <c r="I81" s="7">
        <v>7462686</v>
      </c>
      <c r="J81" s="7">
        <v>2238805</v>
      </c>
      <c r="K81" s="7">
        <v>3332835</v>
      </c>
      <c r="L81" s="41">
        <v>55966</v>
      </c>
      <c r="M81" s="42">
        <v>7740000</v>
      </c>
      <c r="N81" s="7">
        <v>9061194</v>
      </c>
      <c r="O81" s="7">
        <v>10244720</v>
      </c>
      <c r="P81" s="7">
        <v>10281835</v>
      </c>
      <c r="Q81" s="92">
        <f t="shared" si="2"/>
        <v>37115</v>
      </c>
      <c r="R81" s="5" t="s">
        <v>606</v>
      </c>
      <c r="S81" s="5" t="s">
        <v>598</v>
      </c>
      <c r="T81" s="5" t="s">
        <v>616</v>
      </c>
      <c r="U81" s="5" t="s">
        <v>1390</v>
      </c>
      <c r="V81" s="5" t="s">
        <v>1987</v>
      </c>
      <c r="W81" s="39" t="s">
        <v>1988</v>
      </c>
      <c r="X81" s="5" t="s">
        <v>1921</v>
      </c>
      <c r="Y81" s="5" t="s">
        <v>1989</v>
      </c>
      <c r="Z81" s="10"/>
      <c r="AA81" s="5" t="s">
        <v>1990</v>
      </c>
      <c r="AB81" s="5"/>
      <c r="AC81" s="5" t="s">
        <v>1991</v>
      </c>
      <c r="AD81" s="62">
        <v>6.6</v>
      </c>
    </row>
    <row r="82" spans="1:30">
      <c r="A82" s="4">
        <v>2018</v>
      </c>
      <c r="B82" s="4" t="s">
        <v>44</v>
      </c>
      <c r="C82" s="4">
        <f t="shared" si="3"/>
        <v>81</v>
      </c>
      <c r="D82" s="96" t="s">
        <v>835</v>
      </c>
      <c r="E82" s="101" t="s">
        <v>835</v>
      </c>
      <c r="F82" s="5" t="s">
        <v>836</v>
      </c>
      <c r="G82" s="5" t="s">
        <v>626</v>
      </c>
      <c r="H82" s="39" t="s">
        <v>136</v>
      </c>
      <c r="I82" s="7">
        <v>2985074.6268656715</v>
      </c>
      <c r="J82" s="7">
        <v>746268.65671641787</v>
      </c>
      <c r="K82" s="7">
        <v>410447.76119402982</v>
      </c>
      <c r="L82" s="41" t="s">
        <v>1501</v>
      </c>
      <c r="M82" s="7">
        <v>1012175</v>
      </c>
      <c r="N82" s="7">
        <v>13331</v>
      </c>
      <c r="O82" s="42">
        <v>1264734</v>
      </c>
      <c r="P82" s="42">
        <v>1278065</v>
      </c>
      <c r="Q82" s="92">
        <f t="shared" si="2"/>
        <v>13331</v>
      </c>
      <c r="R82" s="39" t="s">
        <v>1399</v>
      </c>
      <c r="S82" s="39" t="s">
        <v>598</v>
      </c>
      <c r="T82" s="39" t="s">
        <v>616</v>
      </c>
      <c r="U82" s="5" t="s">
        <v>1390</v>
      </c>
      <c r="V82" s="5" t="s">
        <v>1992</v>
      </c>
      <c r="W82" s="5" t="s">
        <v>1993</v>
      </c>
      <c r="X82" s="5" t="s">
        <v>1994</v>
      </c>
      <c r="Y82" s="5" t="s">
        <v>1646</v>
      </c>
      <c r="Z82" s="10"/>
      <c r="AA82" s="5" t="s">
        <v>1995</v>
      </c>
      <c r="AB82" s="5"/>
      <c r="AC82" s="5" t="s">
        <v>1996</v>
      </c>
      <c r="AD82" s="62">
        <v>7</v>
      </c>
    </row>
    <row r="83" spans="1:30">
      <c r="A83" s="4">
        <v>2018</v>
      </c>
      <c r="B83" s="4" t="s">
        <v>44</v>
      </c>
      <c r="C83" s="4">
        <f t="shared" si="3"/>
        <v>82</v>
      </c>
      <c r="D83" s="96" t="s">
        <v>843</v>
      </c>
      <c r="E83" s="4" t="s">
        <v>843</v>
      </c>
      <c r="F83" s="5" t="s">
        <v>844</v>
      </c>
      <c r="G83" s="5" t="s">
        <v>1418</v>
      </c>
      <c r="H83" s="5" t="s">
        <v>129</v>
      </c>
      <c r="I83" s="7">
        <v>746268.65671641787</v>
      </c>
      <c r="J83" s="7">
        <v>298507.46268656716</v>
      </c>
      <c r="K83" s="7">
        <v>3353283.5820895522</v>
      </c>
      <c r="L83" s="8">
        <v>34254</v>
      </c>
      <c r="M83" s="7">
        <v>4210000</v>
      </c>
      <c r="N83" s="7">
        <v>9117611.940298507</v>
      </c>
      <c r="O83" s="7">
        <v>9796094</v>
      </c>
      <c r="P83" s="7">
        <v>9796094</v>
      </c>
      <c r="Q83" s="7">
        <f t="shared" si="2"/>
        <v>0</v>
      </c>
      <c r="R83" s="5" t="s">
        <v>606</v>
      </c>
      <c r="S83" s="5" t="s">
        <v>598</v>
      </c>
      <c r="T83" s="5" t="s">
        <v>616</v>
      </c>
      <c r="U83" s="5" t="s">
        <v>1406</v>
      </c>
      <c r="V83" s="5" t="s">
        <v>1997</v>
      </c>
      <c r="W83" s="5" t="s">
        <v>844</v>
      </c>
      <c r="X83" s="5" t="s">
        <v>1905</v>
      </c>
      <c r="Y83" s="5" t="s">
        <v>1984</v>
      </c>
      <c r="Z83" s="5" t="s">
        <v>1998</v>
      </c>
      <c r="AA83" s="5" t="s">
        <v>1999</v>
      </c>
      <c r="AB83" s="5"/>
      <c r="AC83" s="5" t="s">
        <v>1981</v>
      </c>
      <c r="AD83" s="62">
        <v>8.4</v>
      </c>
    </row>
    <row r="84" spans="1:30">
      <c r="A84" s="4">
        <v>2018</v>
      </c>
      <c r="B84" s="4" t="s">
        <v>44</v>
      </c>
      <c r="C84" s="4">
        <f t="shared" si="3"/>
        <v>83</v>
      </c>
      <c r="D84" s="96" t="s">
        <v>848</v>
      </c>
      <c r="E84" s="4" t="s">
        <v>848</v>
      </c>
      <c r="F84" s="5" t="s">
        <v>849</v>
      </c>
      <c r="G84" s="5" t="s">
        <v>653</v>
      </c>
      <c r="H84" s="5" t="s">
        <v>131</v>
      </c>
      <c r="I84" s="7">
        <v>11940298</v>
      </c>
      <c r="J84" s="7">
        <v>2985074</v>
      </c>
      <c r="K84" s="7">
        <v>910447</v>
      </c>
      <c r="L84" s="8">
        <v>23262</v>
      </c>
      <c r="M84" s="7">
        <v>1519978</v>
      </c>
      <c r="N84" s="7">
        <v>2483582</v>
      </c>
      <c r="O84" s="7">
        <v>2669935</v>
      </c>
      <c r="P84" s="7">
        <v>2669935</v>
      </c>
      <c r="Q84" s="7">
        <f t="shared" si="2"/>
        <v>0</v>
      </c>
      <c r="R84" s="5" t="s">
        <v>606</v>
      </c>
      <c r="S84" s="5" t="s">
        <v>598</v>
      </c>
      <c r="T84" s="5" t="s">
        <v>616</v>
      </c>
      <c r="U84" s="5" t="s">
        <v>1406</v>
      </c>
      <c r="V84" s="5" t="s">
        <v>2000</v>
      </c>
      <c r="W84" s="5" t="s">
        <v>2001</v>
      </c>
      <c r="X84" s="5" t="s">
        <v>2002</v>
      </c>
      <c r="Y84" s="5"/>
      <c r="Z84" s="10"/>
      <c r="AA84" s="5" t="s">
        <v>2003</v>
      </c>
      <c r="AB84" s="5"/>
      <c r="AC84" s="5" t="s">
        <v>2004</v>
      </c>
      <c r="AD84" s="62">
        <v>6.9</v>
      </c>
    </row>
    <row r="85" spans="1:30">
      <c r="A85" s="4">
        <v>2018</v>
      </c>
      <c r="B85" s="4" t="s">
        <v>44</v>
      </c>
      <c r="C85" s="4">
        <f t="shared" si="3"/>
        <v>84</v>
      </c>
      <c r="D85" s="96" t="s">
        <v>857</v>
      </c>
      <c r="E85" s="4" t="s">
        <v>857</v>
      </c>
      <c r="F85" s="5" t="s">
        <v>858</v>
      </c>
      <c r="G85" s="5" t="s">
        <v>1419</v>
      </c>
      <c r="H85" s="5" t="s">
        <v>129</v>
      </c>
      <c r="I85" s="7">
        <v>14925373.134328358</v>
      </c>
      <c r="J85" s="7">
        <v>4477611.940298507</v>
      </c>
      <c r="K85" s="7">
        <v>8174029.8507462684</v>
      </c>
      <c r="L85" s="41">
        <v>44310</v>
      </c>
      <c r="M85" s="42">
        <v>179845</v>
      </c>
      <c r="N85" s="7">
        <v>21940298.507462688</v>
      </c>
      <c r="O85" s="7">
        <v>22682660</v>
      </c>
      <c r="P85" s="7">
        <v>22682660</v>
      </c>
      <c r="Q85" s="7">
        <f t="shared" si="2"/>
        <v>0</v>
      </c>
      <c r="R85" s="5" t="s">
        <v>606</v>
      </c>
      <c r="S85" s="5" t="s">
        <v>598</v>
      </c>
      <c r="T85" s="5" t="s">
        <v>616</v>
      </c>
      <c r="U85" s="5" t="s">
        <v>1406</v>
      </c>
      <c r="V85" s="5" t="s">
        <v>2017</v>
      </c>
      <c r="W85" s="5" t="s">
        <v>2018</v>
      </c>
      <c r="X85" s="5" t="s">
        <v>1656</v>
      </c>
      <c r="Y85" s="5" t="s">
        <v>2019</v>
      </c>
      <c r="Z85" s="10"/>
      <c r="AA85" s="5" t="s">
        <v>2020</v>
      </c>
      <c r="AB85" s="5" t="s">
        <v>2021</v>
      </c>
      <c r="AC85" s="5" t="s">
        <v>1991</v>
      </c>
      <c r="AD85" s="62">
        <v>8.6999999999999993</v>
      </c>
    </row>
    <row r="86" spans="1:30">
      <c r="A86" s="4">
        <v>2018</v>
      </c>
      <c r="B86" s="4" t="s">
        <v>44</v>
      </c>
      <c r="C86" s="4">
        <f t="shared" si="3"/>
        <v>85</v>
      </c>
      <c r="D86" s="96" t="s">
        <v>859</v>
      </c>
      <c r="E86" s="4" t="s">
        <v>2022</v>
      </c>
      <c r="F86" s="5" t="s">
        <v>860</v>
      </c>
      <c r="G86" s="5" t="s">
        <v>1420</v>
      </c>
      <c r="H86" s="5" t="s">
        <v>129</v>
      </c>
      <c r="I86" s="7">
        <v>29850746.268656716</v>
      </c>
      <c r="J86" s="7">
        <v>8955223.880597014</v>
      </c>
      <c r="K86" s="7">
        <v>37014925.37313433</v>
      </c>
      <c r="L86" s="41">
        <v>106873</v>
      </c>
      <c r="M86" s="42">
        <v>42160000</v>
      </c>
      <c r="N86" s="7">
        <v>97313432.835820898</v>
      </c>
      <c r="O86" s="7">
        <v>103651195</v>
      </c>
      <c r="P86" s="7">
        <v>103651195</v>
      </c>
      <c r="Q86" s="7">
        <f t="shared" si="2"/>
        <v>0</v>
      </c>
      <c r="R86" s="5" t="s">
        <v>666</v>
      </c>
      <c r="S86" s="5" t="s">
        <v>703</v>
      </c>
      <c r="T86" s="5" t="s">
        <v>603</v>
      </c>
      <c r="U86" s="5" t="s">
        <v>1406</v>
      </c>
      <c r="V86" s="5" t="s">
        <v>2023</v>
      </c>
      <c r="W86" s="5" t="s">
        <v>2024</v>
      </c>
      <c r="X86" s="5" t="s">
        <v>2025</v>
      </c>
      <c r="Y86" s="5" t="s">
        <v>2026</v>
      </c>
      <c r="Z86" s="10"/>
      <c r="AA86" s="5" t="s">
        <v>2027</v>
      </c>
      <c r="AB86" s="5"/>
      <c r="AC86" s="5" t="s">
        <v>1911</v>
      </c>
      <c r="AD86" s="62">
        <v>7.7</v>
      </c>
    </row>
    <row r="87" spans="1:30">
      <c r="A87" s="4">
        <v>2018</v>
      </c>
      <c r="B87" s="4" t="s">
        <v>44</v>
      </c>
      <c r="C87" s="4">
        <f t="shared" si="3"/>
        <v>86</v>
      </c>
      <c r="D87" s="96" t="s">
        <v>813</v>
      </c>
      <c r="E87" s="4" t="s">
        <v>813</v>
      </c>
      <c r="F87" s="5" t="s">
        <v>412</v>
      </c>
      <c r="G87" s="5" t="s">
        <v>861</v>
      </c>
      <c r="H87" s="5" t="s">
        <v>129</v>
      </c>
      <c r="I87" s="7">
        <v>17910447</v>
      </c>
      <c r="J87" s="7">
        <v>2985074</v>
      </c>
      <c r="K87" s="7">
        <v>2579104</v>
      </c>
      <c r="L87" s="8">
        <v>55600</v>
      </c>
      <c r="M87" s="7">
        <v>6183665</v>
      </c>
      <c r="N87" s="7">
        <v>7029850</v>
      </c>
      <c r="O87" s="7">
        <v>7835554</v>
      </c>
      <c r="P87" s="7">
        <v>7835554</v>
      </c>
      <c r="Q87" s="7">
        <f t="shared" si="2"/>
        <v>0</v>
      </c>
      <c r="R87" s="5" t="s">
        <v>606</v>
      </c>
      <c r="S87" s="5" t="s">
        <v>598</v>
      </c>
      <c r="T87" s="5" t="s">
        <v>607</v>
      </c>
      <c r="U87" s="5" t="s">
        <v>1406</v>
      </c>
      <c r="V87" s="5" t="s">
        <v>2028</v>
      </c>
      <c r="W87" s="5" t="s">
        <v>412</v>
      </c>
      <c r="X87" s="5" t="s">
        <v>2029</v>
      </c>
      <c r="Y87" s="5"/>
      <c r="Z87" s="10"/>
      <c r="AA87" s="5" t="s">
        <v>2030</v>
      </c>
      <c r="AB87" s="5"/>
      <c r="AC87" s="5" t="s">
        <v>861</v>
      </c>
      <c r="AD87" s="62">
        <v>7</v>
      </c>
    </row>
    <row r="88" spans="1:30" hidden="1">
      <c r="A88" s="4">
        <v>2018</v>
      </c>
      <c r="B88" s="4" t="s">
        <v>44</v>
      </c>
      <c r="C88" s="4">
        <f t="shared" si="3"/>
        <v>87</v>
      </c>
      <c r="D88" s="96" t="s">
        <v>862</v>
      </c>
      <c r="E88" s="4" t="s">
        <v>862</v>
      </c>
      <c r="F88" s="5" t="s">
        <v>469</v>
      </c>
      <c r="G88" s="5" t="s">
        <v>764</v>
      </c>
      <c r="H88" s="5" t="s">
        <v>129</v>
      </c>
      <c r="I88" s="7">
        <v>65000000</v>
      </c>
      <c r="J88" s="57"/>
      <c r="K88" s="7"/>
      <c r="L88" s="41" t="s">
        <v>1501</v>
      </c>
      <c r="M88" s="41" t="s">
        <v>1501</v>
      </c>
      <c r="N88" s="7"/>
      <c r="O88" s="7">
        <v>516279</v>
      </c>
      <c r="P88" s="7">
        <v>516279</v>
      </c>
      <c r="Q88" s="7">
        <f t="shared" si="2"/>
        <v>0</v>
      </c>
      <c r="R88" s="5" t="s">
        <v>606</v>
      </c>
      <c r="S88" s="5" t="s">
        <v>598</v>
      </c>
      <c r="T88" s="5" t="s">
        <v>658</v>
      </c>
      <c r="U88" s="5" t="s">
        <v>1394</v>
      </c>
      <c r="V88" s="39" t="s">
        <v>469</v>
      </c>
      <c r="W88" s="39" t="s">
        <v>469</v>
      </c>
      <c r="X88" s="39" t="s">
        <v>2031</v>
      </c>
      <c r="Y88" s="39" t="s">
        <v>2032</v>
      </c>
      <c r="Z88" s="50" t="s">
        <v>2033</v>
      </c>
      <c r="AA88" s="39" t="s">
        <v>2034</v>
      </c>
      <c r="AB88" s="5"/>
      <c r="AC88" s="39" t="s">
        <v>2035</v>
      </c>
      <c r="AD88" s="98" t="s">
        <v>1665</v>
      </c>
    </row>
    <row r="89" spans="1:30">
      <c r="A89" s="4">
        <v>2018</v>
      </c>
      <c r="B89" s="4" t="s">
        <v>44</v>
      </c>
      <c r="C89" s="4">
        <f t="shared" si="3"/>
        <v>88</v>
      </c>
      <c r="D89" s="96" t="s">
        <v>863</v>
      </c>
      <c r="E89" s="4" t="s">
        <v>863</v>
      </c>
      <c r="F89" s="5" t="s">
        <v>864</v>
      </c>
      <c r="G89" s="5" t="s">
        <v>596</v>
      </c>
      <c r="H89" s="5" t="s">
        <v>131</v>
      </c>
      <c r="I89" s="7">
        <v>746268</v>
      </c>
      <c r="J89" s="7">
        <v>447761</v>
      </c>
      <c r="K89" s="7">
        <v>1123880</v>
      </c>
      <c r="L89" s="8">
        <v>13309</v>
      </c>
      <c r="M89" s="7">
        <v>1920000</v>
      </c>
      <c r="N89" s="7">
        <v>3065671</v>
      </c>
      <c r="O89" s="7">
        <v>3375245</v>
      </c>
      <c r="P89" s="7">
        <v>3375245</v>
      </c>
      <c r="Q89" s="7">
        <f t="shared" si="2"/>
        <v>0</v>
      </c>
      <c r="R89" s="5" t="s">
        <v>606</v>
      </c>
      <c r="S89" s="5" t="s">
        <v>598</v>
      </c>
      <c r="T89" s="5" t="s">
        <v>616</v>
      </c>
      <c r="U89" s="5" t="s">
        <v>1406</v>
      </c>
      <c r="V89" s="5" t="s">
        <v>2036</v>
      </c>
      <c r="W89" s="5" t="s">
        <v>2037</v>
      </c>
      <c r="X89" s="5" t="s">
        <v>2031</v>
      </c>
      <c r="Y89" s="5" t="s">
        <v>2038</v>
      </c>
      <c r="Z89" s="10" t="s">
        <v>2033</v>
      </c>
      <c r="AA89" s="5" t="s">
        <v>2039</v>
      </c>
      <c r="AB89" s="5"/>
      <c r="AC89" s="5" t="s">
        <v>1991</v>
      </c>
      <c r="AD89" s="62">
        <v>8</v>
      </c>
    </row>
    <row r="90" spans="1:30">
      <c r="A90" s="4">
        <v>2018</v>
      </c>
      <c r="B90" s="4" t="s">
        <v>44</v>
      </c>
      <c r="C90" s="4">
        <f t="shared" si="3"/>
        <v>89</v>
      </c>
      <c r="D90" s="96" t="s">
        <v>874</v>
      </c>
      <c r="E90" s="4" t="s">
        <v>2040</v>
      </c>
      <c r="F90" s="5" t="s">
        <v>875</v>
      </c>
      <c r="G90" s="5" t="s">
        <v>1408</v>
      </c>
      <c r="H90" s="5" t="s">
        <v>129</v>
      </c>
      <c r="I90" s="7">
        <v>14925373</v>
      </c>
      <c r="J90" s="7">
        <v>7462686</v>
      </c>
      <c r="K90" s="7">
        <v>27462686</v>
      </c>
      <c r="L90" s="8">
        <v>73896</v>
      </c>
      <c r="M90" s="7">
        <v>32200000</v>
      </c>
      <c r="N90" s="7">
        <v>72537313</v>
      </c>
      <c r="O90" s="7">
        <v>79214896</v>
      </c>
      <c r="P90" s="7">
        <v>79214896</v>
      </c>
      <c r="Q90" s="7">
        <f t="shared" si="2"/>
        <v>0</v>
      </c>
      <c r="R90" s="5" t="s">
        <v>606</v>
      </c>
      <c r="S90" s="5" t="s">
        <v>598</v>
      </c>
      <c r="T90" s="5" t="s">
        <v>616</v>
      </c>
      <c r="U90" s="5" t="s">
        <v>1406</v>
      </c>
      <c r="V90" s="5" t="s">
        <v>2041</v>
      </c>
      <c r="W90" s="5" t="s">
        <v>2042</v>
      </c>
      <c r="X90" s="5" t="s">
        <v>1646</v>
      </c>
      <c r="Y90" s="5"/>
      <c r="Z90" s="10"/>
      <c r="AA90" s="5" t="s">
        <v>1879</v>
      </c>
      <c r="AB90" s="5"/>
      <c r="AC90" s="5" t="s">
        <v>1888</v>
      </c>
      <c r="AD90" s="62">
        <v>8.5</v>
      </c>
    </row>
    <row r="91" spans="1:30">
      <c r="A91" s="4">
        <v>2018</v>
      </c>
      <c r="B91" s="4" t="s">
        <v>44</v>
      </c>
      <c r="C91" s="4">
        <f t="shared" si="3"/>
        <v>90</v>
      </c>
      <c r="D91" s="96" t="s">
        <v>880</v>
      </c>
      <c r="E91" s="4" t="s">
        <v>880</v>
      </c>
      <c r="F91" s="5" t="s">
        <v>881</v>
      </c>
      <c r="G91" s="5" t="s">
        <v>1418</v>
      </c>
      <c r="H91" s="39" t="s">
        <v>1404</v>
      </c>
      <c r="I91" s="7">
        <v>14925373</v>
      </c>
      <c r="J91" s="7">
        <v>7462686</v>
      </c>
      <c r="K91" s="7">
        <v>11764179</v>
      </c>
      <c r="L91" s="8">
        <v>76993</v>
      </c>
      <c r="M91" s="7">
        <v>21549210</v>
      </c>
      <c r="N91" s="7">
        <v>31492537</v>
      </c>
      <c r="O91" s="7">
        <v>35045171</v>
      </c>
      <c r="P91" s="7">
        <v>35045171</v>
      </c>
      <c r="Q91" s="7">
        <f t="shared" si="2"/>
        <v>0</v>
      </c>
      <c r="R91" s="5" t="s">
        <v>602</v>
      </c>
      <c r="S91" s="5" t="s">
        <v>598</v>
      </c>
      <c r="T91" s="5" t="s">
        <v>616</v>
      </c>
      <c r="U91" s="5" t="s">
        <v>1406</v>
      </c>
      <c r="V91" s="5" t="s">
        <v>2043</v>
      </c>
      <c r="W91" s="5" t="s">
        <v>2044</v>
      </c>
      <c r="X91" s="5" t="s">
        <v>2045</v>
      </c>
      <c r="Y91" s="5" t="s">
        <v>2046</v>
      </c>
      <c r="Z91" s="10"/>
      <c r="AA91" s="5" t="s">
        <v>2047</v>
      </c>
      <c r="AB91" s="5"/>
      <c r="AC91" s="5" t="s">
        <v>2048</v>
      </c>
      <c r="AD91" s="62">
        <v>8.6999999999999993</v>
      </c>
    </row>
    <row r="92" spans="1:30">
      <c r="A92" s="4">
        <v>2018</v>
      </c>
      <c r="B92" s="4" t="s">
        <v>44</v>
      </c>
      <c r="C92" s="4">
        <f t="shared" si="3"/>
        <v>91</v>
      </c>
      <c r="D92" s="96" t="s">
        <v>882</v>
      </c>
      <c r="E92" s="4" t="s">
        <v>824</v>
      </c>
      <c r="F92" s="5" t="s">
        <v>423</v>
      </c>
      <c r="G92" s="5" t="s">
        <v>1421</v>
      </c>
      <c r="H92" s="5" t="s">
        <v>127</v>
      </c>
      <c r="I92" s="7">
        <v>2985074.6268656715</v>
      </c>
      <c r="J92" s="7">
        <v>746268.65671641787</v>
      </c>
      <c r="K92" s="7">
        <v>1417910.4477611941</v>
      </c>
      <c r="L92" s="8">
        <v>772</v>
      </c>
      <c r="M92" s="7">
        <v>192492</v>
      </c>
      <c r="N92" s="7">
        <v>3865671.6417910447</v>
      </c>
      <c r="O92" s="7">
        <v>4668484</v>
      </c>
      <c r="P92" s="7">
        <v>4668484</v>
      </c>
      <c r="Q92" s="7">
        <f t="shared" si="2"/>
        <v>0</v>
      </c>
      <c r="R92" s="5" t="s">
        <v>606</v>
      </c>
      <c r="S92" s="5" t="s">
        <v>631</v>
      </c>
      <c r="T92" s="5" t="s">
        <v>612</v>
      </c>
      <c r="U92" s="5" t="s">
        <v>1392</v>
      </c>
      <c r="V92" s="5" t="s">
        <v>2049</v>
      </c>
      <c r="W92" s="5" t="s">
        <v>488</v>
      </c>
      <c r="X92" s="5" t="s">
        <v>2050</v>
      </c>
      <c r="Y92" s="5" t="s">
        <v>2051</v>
      </c>
      <c r="Z92" s="5" t="s">
        <v>2052</v>
      </c>
      <c r="AA92" s="5" t="s">
        <v>2053</v>
      </c>
      <c r="AB92" s="5"/>
      <c r="AC92" s="5" t="s">
        <v>2054</v>
      </c>
      <c r="AD92" s="62">
        <v>8.5</v>
      </c>
    </row>
    <row r="93" spans="1:30">
      <c r="A93" s="4">
        <v>2018</v>
      </c>
      <c r="B93" s="4" t="s">
        <v>44</v>
      </c>
      <c r="C93" s="4">
        <f t="shared" si="3"/>
        <v>92</v>
      </c>
      <c r="D93" s="96" t="s">
        <v>886</v>
      </c>
      <c r="E93" s="56" t="s">
        <v>2055</v>
      </c>
      <c r="F93" s="5" t="s">
        <v>891</v>
      </c>
      <c r="G93" s="39" t="s">
        <v>3002</v>
      </c>
      <c r="H93" s="5" t="s">
        <v>127</v>
      </c>
      <c r="I93" s="7">
        <v>1492537.3134328357</v>
      </c>
      <c r="J93" s="57" t="s">
        <v>1411</v>
      </c>
      <c r="K93" s="7">
        <v>298507.46268656716</v>
      </c>
      <c r="L93" s="8">
        <v>239</v>
      </c>
      <c r="M93" s="7">
        <v>283674</v>
      </c>
      <c r="N93" s="7">
        <v>746268.65671641787</v>
      </c>
      <c r="O93" s="7">
        <v>754959</v>
      </c>
      <c r="P93" s="7">
        <v>754959</v>
      </c>
      <c r="Q93" s="7">
        <f t="shared" si="2"/>
        <v>0</v>
      </c>
      <c r="R93" s="39" t="s">
        <v>606</v>
      </c>
      <c r="S93" s="5" t="s">
        <v>631</v>
      </c>
      <c r="T93" s="39" t="s">
        <v>612</v>
      </c>
      <c r="U93" s="5" t="s">
        <v>1406</v>
      </c>
      <c r="V93" s="5" t="s">
        <v>2056</v>
      </c>
      <c r="W93" s="5" t="s">
        <v>2057</v>
      </c>
      <c r="X93" s="39" t="s">
        <v>1411</v>
      </c>
      <c r="Y93" s="5"/>
      <c r="Z93" s="5" t="s">
        <v>22</v>
      </c>
      <c r="AA93" s="5" t="s">
        <v>2058</v>
      </c>
      <c r="AB93" s="5"/>
      <c r="AC93" s="5" t="s">
        <v>2059</v>
      </c>
      <c r="AD93" s="62">
        <v>8</v>
      </c>
    </row>
    <row r="94" spans="1:30">
      <c r="A94" s="4">
        <v>2018</v>
      </c>
      <c r="B94" s="4" t="s">
        <v>44</v>
      </c>
      <c r="C94" s="4">
        <f t="shared" si="3"/>
        <v>93</v>
      </c>
      <c r="D94" s="96" t="s">
        <v>886</v>
      </c>
      <c r="E94" s="4" t="s">
        <v>2060</v>
      </c>
      <c r="F94" s="5" t="s">
        <v>906</v>
      </c>
      <c r="G94" s="5" t="s">
        <v>1422</v>
      </c>
      <c r="H94" s="5" t="s">
        <v>127</v>
      </c>
      <c r="I94" s="7">
        <v>1492537.3134328357</v>
      </c>
      <c r="J94" s="7">
        <v>746268.65671641787</v>
      </c>
      <c r="K94" s="7">
        <v>337313.43283582089</v>
      </c>
      <c r="L94" s="41" t="s">
        <v>1501</v>
      </c>
      <c r="M94" s="7">
        <v>101150</v>
      </c>
      <c r="N94" s="7">
        <v>917910.44776119397</v>
      </c>
      <c r="O94" s="7">
        <v>1021930</v>
      </c>
      <c r="P94" s="7">
        <v>1021930</v>
      </c>
      <c r="Q94" s="7">
        <f t="shared" si="2"/>
        <v>0</v>
      </c>
      <c r="R94" s="39" t="s">
        <v>606</v>
      </c>
      <c r="S94" s="5" t="s">
        <v>631</v>
      </c>
      <c r="T94" s="5" t="s">
        <v>599</v>
      </c>
      <c r="U94" s="5" t="s">
        <v>1406</v>
      </c>
      <c r="V94" s="5" t="s">
        <v>2061</v>
      </c>
      <c r="W94" s="5" t="s">
        <v>906</v>
      </c>
      <c r="X94" s="39" t="s">
        <v>1411</v>
      </c>
      <c r="Y94" s="5"/>
      <c r="Z94" s="5"/>
      <c r="AA94" s="5" t="s">
        <v>2062</v>
      </c>
      <c r="AB94" s="5"/>
      <c r="AC94" s="5" t="s">
        <v>2063</v>
      </c>
      <c r="AD94" s="64">
        <v>6.8</v>
      </c>
    </row>
    <row r="95" spans="1:30" ht="15">
      <c r="A95" s="4">
        <v>2018</v>
      </c>
      <c r="B95" s="4" t="s">
        <v>44</v>
      </c>
      <c r="C95" s="4">
        <f t="shared" si="3"/>
        <v>94</v>
      </c>
      <c r="D95" s="96" t="s">
        <v>886</v>
      </c>
      <c r="E95" s="4" t="s">
        <v>2064</v>
      </c>
      <c r="F95" s="5" t="s">
        <v>919</v>
      </c>
      <c r="G95" s="5" t="s">
        <v>1422</v>
      </c>
      <c r="H95" s="39" t="s">
        <v>1402</v>
      </c>
      <c r="I95" s="7">
        <v>1492537.3134328357</v>
      </c>
      <c r="J95" s="7">
        <v>746268.65671641787</v>
      </c>
      <c r="K95" s="7">
        <v>1058208.9552238805</v>
      </c>
      <c r="L95" s="8">
        <v>20274</v>
      </c>
      <c r="M95" s="7">
        <v>2580000</v>
      </c>
      <c r="N95" s="7">
        <v>2883582.0895522386</v>
      </c>
      <c r="O95" s="7">
        <v>3161317</v>
      </c>
      <c r="P95" s="7">
        <v>3161317</v>
      </c>
      <c r="Q95" s="7">
        <f t="shared" si="2"/>
        <v>0</v>
      </c>
      <c r="R95" s="5" t="s">
        <v>606</v>
      </c>
      <c r="S95" s="5" t="s">
        <v>631</v>
      </c>
      <c r="T95" s="5" t="s">
        <v>612</v>
      </c>
      <c r="U95" s="5" t="s">
        <v>1406</v>
      </c>
      <c r="V95" s="45" t="s">
        <v>2065</v>
      </c>
      <c r="W95" s="5" t="s">
        <v>919</v>
      </c>
      <c r="X95" s="39" t="s">
        <v>1411</v>
      </c>
      <c r="Y95" s="5"/>
      <c r="Z95" s="5"/>
      <c r="AA95" s="5" t="s">
        <v>2066</v>
      </c>
      <c r="AB95" s="5"/>
      <c r="AC95" s="5" t="s">
        <v>2067</v>
      </c>
      <c r="AD95" s="62">
        <v>7.9</v>
      </c>
    </row>
    <row r="96" spans="1:30">
      <c r="A96" s="4">
        <v>2019</v>
      </c>
      <c r="B96" s="4" t="s">
        <v>44</v>
      </c>
      <c r="C96" s="4">
        <f t="shared" si="3"/>
        <v>95</v>
      </c>
      <c r="D96" s="96" t="s">
        <v>886</v>
      </c>
      <c r="E96" s="4" t="s">
        <v>2068</v>
      </c>
      <c r="F96" s="5" t="s">
        <v>247</v>
      </c>
      <c r="G96" s="5" t="s">
        <v>1409</v>
      </c>
      <c r="H96" s="5" t="s">
        <v>191</v>
      </c>
      <c r="I96" s="7">
        <v>1492537.3134328357</v>
      </c>
      <c r="J96" s="57" t="s">
        <v>1411</v>
      </c>
      <c r="K96" s="7">
        <v>298507.46268656716</v>
      </c>
      <c r="L96" s="41" t="s">
        <v>1501</v>
      </c>
      <c r="M96" s="7">
        <v>67346</v>
      </c>
      <c r="N96" s="7">
        <v>1044776.1194029852</v>
      </c>
      <c r="O96" s="7">
        <v>1250000</v>
      </c>
      <c r="P96" s="7">
        <v>1250000</v>
      </c>
      <c r="Q96" s="7">
        <f t="shared" si="2"/>
        <v>0</v>
      </c>
      <c r="R96" s="5" t="s">
        <v>606</v>
      </c>
      <c r="S96" s="5" t="s">
        <v>598</v>
      </c>
      <c r="T96" s="5" t="s">
        <v>599</v>
      </c>
      <c r="U96" s="5" t="s">
        <v>1406</v>
      </c>
      <c r="V96" s="5" t="s">
        <v>2069</v>
      </c>
      <c r="W96" s="5" t="s">
        <v>247</v>
      </c>
      <c r="X96" s="39" t="s">
        <v>2070</v>
      </c>
      <c r="Y96" s="39" t="s">
        <v>2071</v>
      </c>
      <c r="Z96" s="5"/>
      <c r="AA96" s="5" t="s">
        <v>2072</v>
      </c>
      <c r="AB96" s="5"/>
      <c r="AC96" s="5" t="s">
        <v>2073</v>
      </c>
      <c r="AD96" s="62">
        <v>9.1999999999999993</v>
      </c>
    </row>
    <row r="97" spans="1:30">
      <c r="A97" s="4">
        <v>2018</v>
      </c>
      <c r="B97" s="4" t="s">
        <v>44</v>
      </c>
      <c r="C97" s="4">
        <f t="shared" si="3"/>
        <v>96</v>
      </c>
      <c r="D97" s="96" t="s">
        <v>886</v>
      </c>
      <c r="E97" s="4" t="s">
        <v>2074</v>
      </c>
      <c r="F97" s="5" t="s">
        <v>456</v>
      </c>
      <c r="G97" s="5" t="s">
        <v>1423</v>
      </c>
      <c r="H97" s="5" t="s">
        <v>127</v>
      </c>
      <c r="I97" s="7">
        <v>2985074.6268656715</v>
      </c>
      <c r="J97" s="7">
        <v>1194029.8507462686</v>
      </c>
      <c r="K97" s="7">
        <v>243283.58208955222</v>
      </c>
      <c r="L97" s="8">
        <v>14704</v>
      </c>
      <c r="M97" s="7">
        <v>470000</v>
      </c>
      <c r="N97" s="7">
        <v>664179.10447761195</v>
      </c>
      <c r="O97" s="7">
        <v>726371</v>
      </c>
      <c r="P97" s="7">
        <v>726371</v>
      </c>
      <c r="Q97" s="7">
        <f t="shared" si="2"/>
        <v>0</v>
      </c>
      <c r="R97" s="5" t="s">
        <v>606</v>
      </c>
      <c r="S97" s="5" t="s">
        <v>631</v>
      </c>
      <c r="T97" s="5" t="s">
        <v>612</v>
      </c>
      <c r="U97" s="5" t="s">
        <v>1406</v>
      </c>
      <c r="V97" s="5" t="s">
        <v>2075</v>
      </c>
      <c r="W97" s="5" t="s">
        <v>456</v>
      </c>
      <c r="X97" s="5" t="s">
        <v>2076</v>
      </c>
      <c r="Y97" s="5" t="s">
        <v>2077</v>
      </c>
      <c r="Z97" s="5" t="s">
        <v>2078</v>
      </c>
      <c r="AA97" s="5" t="s">
        <v>2079</v>
      </c>
      <c r="AB97" s="5"/>
      <c r="AC97" s="5" t="s">
        <v>2080</v>
      </c>
      <c r="AD97" s="62">
        <v>8</v>
      </c>
    </row>
    <row r="98" spans="1:30">
      <c r="A98" s="4">
        <v>2018</v>
      </c>
      <c r="B98" s="4" t="s">
        <v>44</v>
      </c>
      <c r="C98" s="4">
        <f t="shared" si="3"/>
        <v>97</v>
      </c>
      <c r="D98" s="96" t="s">
        <v>886</v>
      </c>
      <c r="E98" s="4" t="s">
        <v>832</v>
      </c>
      <c r="F98" s="5" t="s">
        <v>460</v>
      </c>
      <c r="G98" s="5" t="s">
        <v>1424</v>
      </c>
      <c r="H98" s="5" t="s">
        <v>1403</v>
      </c>
      <c r="I98" s="7">
        <v>1492537.3134328357</v>
      </c>
      <c r="J98" s="7">
        <v>1194029.8507462686</v>
      </c>
      <c r="K98" s="7">
        <v>228358.20895522388</v>
      </c>
      <c r="L98" s="8">
        <v>11527</v>
      </c>
      <c r="M98" s="7">
        <v>500000</v>
      </c>
      <c r="N98" s="7">
        <v>623880.59701492533</v>
      </c>
      <c r="O98" s="7">
        <v>688869</v>
      </c>
      <c r="P98" s="7">
        <v>688869</v>
      </c>
      <c r="Q98" s="7">
        <f t="shared" si="2"/>
        <v>0</v>
      </c>
      <c r="R98" s="39" t="s">
        <v>606</v>
      </c>
      <c r="S98" s="5" t="s">
        <v>598</v>
      </c>
      <c r="T98" s="5" t="s">
        <v>616</v>
      </c>
      <c r="U98" s="5" t="s">
        <v>1406</v>
      </c>
      <c r="V98" s="5" t="s">
        <v>2081</v>
      </c>
      <c r="W98" s="5" t="s">
        <v>460</v>
      </c>
      <c r="X98" s="5" t="s">
        <v>2082</v>
      </c>
      <c r="Y98" s="5" t="s">
        <v>2083</v>
      </c>
      <c r="Z98" s="5"/>
      <c r="AA98" s="5" t="s">
        <v>2084</v>
      </c>
      <c r="AB98" s="5"/>
      <c r="AC98" s="5" t="s">
        <v>2085</v>
      </c>
      <c r="AD98" s="62">
        <v>7.6</v>
      </c>
    </row>
    <row r="99" spans="1:30">
      <c r="A99" s="4">
        <v>2019</v>
      </c>
      <c r="B99" s="4" t="s">
        <v>44</v>
      </c>
      <c r="C99" s="4">
        <f t="shared" si="3"/>
        <v>98</v>
      </c>
      <c r="D99" s="96" t="s">
        <v>886</v>
      </c>
      <c r="E99" s="4" t="s">
        <v>2086</v>
      </c>
      <c r="F99" s="5" t="s">
        <v>257</v>
      </c>
      <c r="G99" s="5" t="s">
        <v>1425</v>
      </c>
      <c r="H99" s="5" t="s">
        <v>193</v>
      </c>
      <c r="I99" s="7">
        <v>746268.65671641787</v>
      </c>
      <c r="J99" s="57" t="s">
        <v>1411</v>
      </c>
      <c r="K99" s="7">
        <v>298507.46268656716</v>
      </c>
      <c r="L99" s="41" t="s">
        <v>1501</v>
      </c>
      <c r="M99" s="7">
        <v>283109</v>
      </c>
      <c r="N99" s="7">
        <v>746268.65671641787</v>
      </c>
      <c r="O99" s="7">
        <v>787747</v>
      </c>
      <c r="P99" s="7">
        <v>787747</v>
      </c>
      <c r="Q99" s="7">
        <f t="shared" si="2"/>
        <v>0</v>
      </c>
      <c r="R99" s="5" t="s">
        <v>606</v>
      </c>
      <c r="S99" s="5" t="s">
        <v>703</v>
      </c>
      <c r="T99" s="5" t="s">
        <v>616</v>
      </c>
      <c r="U99" s="5" t="s">
        <v>1406</v>
      </c>
      <c r="V99" s="5" t="s">
        <v>2087</v>
      </c>
      <c r="W99" s="5" t="s">
        <v>2088</v>
      </c>
      <c r="X99" s="5" t="s">
        <v>2089</v>
      </c>
      <c r="Y99" s="5" t="s">
        <v>2090</v>
      </c>
      <c r="Z99" s="5"/>
      <c r="AA99" s="5" t="s">
        <v>2091</v>
      </c>
      <c r="AB99" s="5"/>
      <c r="AC99" s="5" t="s">
        <v>2092</v>
      </c>
      <c r="AD99" s="62">
        <v>4.7</v>
      </c>
    </row>
    <row r="100" spans="1:30">
      <c r="A100" s="4">
        <v>2018</v>
      </c>
      <c r="B100" s="4" t="s">
        <v>44</v>
      </c>
      <c r="C100" s="4">
        <f t="shared" si="3"/>
        <v>99</v>
      </c>
      <c r="D100" s="96" t="s">
        <v>886</v>
      </c>
      <c r="E100" s="4" t="s">
        <v>832</v>
      </c>
      <c r="F100" s="5" t="s">
        <v>464</v>
      </c>
      <c r="G100" s="5" t="s">
        <v>1426</v>
      </c>
      <c r="H100" s="5" t="s">
        <v>131</v>
      </c>
      <c r="I100" s="7">
        <v>4477611.940298507</v>
      </c>
      <c r="J100" s="7">
        <v>2985074.6268656715</v>
      </c>
      <c r="K100" s="7">
        <v>208955.22388059701</v>
      </c>
      <c r="L100" s="41" t="s">
        <v>1501</v>
      </c>
      <c r="M100" s="42">
        <v>475952</v>
      </c>
      <c r="N100" s="7">
        <v>571641.7910447761</v>
      </c>
      <c r="O100" s="7">
        <v>625975</v>
      </c>
      <c r="P100" s="7">
        <v>625975</v>
      </c>
      <c r="Q100" s="7">
        <f t="shared" si="2"/>
        <v>0</v>
      </c>
      <c r="R100" s="39" t="s">
        <v>606</v>
      </c>
      <c r="S100" s="5" t="s">
        <v>598</v>
      </c>
      <c r="T100" s="5">
        <v>0</v>
      </c>
      <c r="U100" s="5" t="s">
        <v>1406</v>
      </c>
      <c r="V100" s="5" t="s">
        <v>2093</v>
      </c>
      <c r="W100" s="5" t="s">
        <v>2094</v>
      </c>
      <c r="X100" s="5" t="s">
        <v>2095</v>
      </c>
      <c r="Y100" s="5"/>
      <c r="Z100" s="5"/>
      <c r="AA100" s="5" t="s">
        <v>2096</v>
      </c>
      <c r="AB100" s="5"/>
      <c r="AC100" s="5" t="s">
        <v>2097</v>
      </c>
      <c r="AD100" s="62">
        <v>7.1</v>
      </c>
    </row>
    <row r="101" spans="1:30">
      <c r="A101" s="4">
        <v>2019</v>
      </c>
      <c r="B101" s="4" t="s">
        <v>44</v>
      </c>
      <c r="C101" s="4">
        <f t="shared" si="3"/>
        <v>100</v>
      </c>
      <c r="D101" s="96" t="s">
        <v>886</v>
      </c>
      <c r="E101" s="4" t="s">
        <v>621</v>
      </c>
      <c r="F101" s="5" t="s">
        <v>244</v>
      </c>
      <c r="G101" s="39" t="s">
        <v>3003</v>
      </c>
      <c r="H101" s="5" t="s">
        <v>127</v>
      </c>
      <c r="I101" s="7">
        <v>1492537.3134328357</v>
      </c>
      <c r="J101" s="57" t="s">
        <v>1411</v>
      </c>
      <c r="K101" s="7">
        <v>597014.92537313432</v>
      </c>
      <c r="L101" s="8">
        <v>13290</v>
      </c>
      <c r="M101" s="7">
        <v>1000000</v>
      </c>
      <c r="N101" s="7">
        <v>1492537.3134328357</v>
      </c>
      <c r="O101" s="7">
        <v>1456558</v>
      </c>
      <c r="P101" s="7">
        <v>1456558</v>
      </c>
      <c r="Q101" s="7">
        <f t="shared" si="2"/>
        <v>0</v>
      </c>
      <c r="R101" s="5" t="s">
        <v>606</v>
      </c>
      <c r="S101" s="5" t="s">
        <v>631</v>
      </c>
      <c r="T101" s="5" t="s">
        <v>612</v>
      </c>
      <c r="U101" s="5" t="s">
        <v>1406</v>
      </c>
      <c r="V101" s="5" t="s">
        <v>2098</v>
      </c>
      <c r="W101" s="5" t="s">
        <v>244</v>
      </c>
      <c r="X101" s="5" t="s">
        <v>2099</v>
      </c>
      <c r="Y101" s="5"/>
      <c r="Z101" s="5"/>
      <c r="AA101" s="5" t="s">
        <v>2100</v>
      </c>
      <c r="AB101" s="5"/>
      <c r="AC101" s="5" t="s">
        <v>2101</v>
      </c>
      <c r="AD101" s="62">
        <v>7.7</v>
      </c>
    </row>
    <row r="102" spans="1:30">
      <c r="A102" s="4">
        <v>2019</v>
      </c>
      <c r="B102" s="4" t="s">
        <v>44</v>
      </c>
      <c r="C102" s="4">
        <f t="shared" si="3"/>
        <v>101</v>
      </c>
      <c r="D102" s="96" t="s">
        <v>886</v>
      </c>
      <c r="E102" s="4" t="s">
        <v>2102</v>
      </c>
      <c r="F102" s="5" t="s">
        <v>184</v>
      </c>
      <c r="G102" s="5" t="s">
        <v>1410</v>
      </c>
      <c r="H102" s="5" t="s">
        <v>136</v>
      </c>
      <c r="I102" s="7">
        <v>15000000</v>
      </c>
      <c r="J102" s="57"/>
      <c r="K102" s="7">
        <v>3134328</v>
      </c>
      <c r="L102" s="8">
        <v>113484</v>
      </c>
      <c r="M102" s="7">
        <v>8370000</v>
      </c>
      <c r="N102" s="7">
        <v>9402985</v>
      </c>
      <c r="O102" s="7">
        <v>9345649</v>
      </c>
      <c r="P102" s="7">
        <v>9345649</v>
      </c>
      <c r="Q102" s="7">
        <f t="shared" si="2"/>
        <v>0</v>
      </c>
      <c r="R102" s="5" t="s">
        <v>606</v>
      </c>
      <c r="S102" s="5" t="s">
        <v>598</v>
      </c>
      <c r="T102" s="5" t="s">
        <v>616</v>
      </c>
      <c r="U102" s="5" t="s">
        <v>1406</v>
      </c>
      <c r="V102" s="5" t="s">
        <v>2103</v>
      </c>
      <c r="W102" s="5" t="s">
        <v>2104</v>
      </c>
      <c r="X102" s="5" t="s">
        <v>2105</v>
      </c>
      <c r="Y102" s="5"/>
      <c r="Z102" s="5"/>
      <c r="AA102" s="5" t="s">
        <v>2106</v>
      </c>
      <c r="AB102" s="5"/>
      <c r="AC102" s="5" t="s">
        <v>1948</v>
      </c>
      <c r="AD102" s="62">
        <v>6.3</v>
      </c>
    </row>
    <row r="103" spans="1:30">
      <c r="A103" s="4">
        <v>2018</v>
      </c>
      <c r="B103" s="4" t="s">
        <v>44</v>
      </c>
      <c r="C103" s="4">
        <f t="shared" si="3"/>
        <v>102</v>
      </c>
      <c r="D103" s="96" t="s">
        <v>886</v>
      </c>
      <c r="E103" s="4" t="s">
        <v>623</v>
      </c>
      <c r="F103" s="5" t="s">
        <v>259</v>
      </c>
      <c r="G103" s="5" t="s">
        <v>1427</v>
      </c>
      <c r="H103" s="5" t="s">
        <v>131</v>
      </c>
      <c r="I103" s="7">
        <v>4477611.940298507</v>
      </c>
      <c r="J103" s="57" t="s">
        <v>1411</v>
      </c>
      <c r="K103" s="7">
        <v>298507.46268656716</v>
      </c>
      <c r="L103" s="41" t="s">
        <v>1501</v>
      </c>
      <c r="M103" s="7">
        <v>570216</v>
      </c>
      <c r="N103" s="7">
        <v>746268.65671641787</v>
      </c>
      <c r="O103" s="7">
        <v>738015</v>
      </c>
      <c r="P103" s="7">
        <v>738015</v>
      </c>
      <c r="Q103" s="7">
        <f t="shared" si="2"/>
        <v>0</v>
      </c>
      <c r="R103" s="5" t="s">
        <v>606</v>
      </c>
      <c r="S103" s="5" t="s">
        <v>598</v>
      </c>
      <c r="T103" s="5" t="s">
        <v>616</v>
      </c>
      <c r="U103" s="5" t="s">
        <v>1406</v>
      </c>
      <c r="V103" s="5" t="s">
        <v>2107</v>
      </c>
      <c r="W103" s="5" t="s">
        <v>2108</v>
      </c>
      <c r="X103" s="5" t="s">
        <v>2109</v>
      </c>
      <c r="Y103" s="5" t="s">
        <v>2110</v>
      </c>
      <c r="Z103" s="5" t="s">
        <v>2111</v>
      </c>
      <c r="AA103" s="5" t="s">
        <v>2112</v>
      </c>
      <c r="AB103" s="5"/>
      <c r="AC103" s="5" t="s">
        <v>2113</v>
      </c>
      <c r="AD103" s="62">
        <v>7.8</v>
      </c>
    </row>
    <row r="104" spans="1:30">
      <c r="A104" s="4">
        <v>2019</v>
      </c>
      <c r="B104" s="4" t="s">
        <v>44</v>
      </c>
      <c r="C104" s="4">
        <f t="shared" si="3"/>
        <v>103</v>
      </c>
      <c r="D104" s="96" t="s">
        <v>886</v>
      </c>
      <c r="E104" s="4" t="s">
        <v>2114</v>
      </c>
      <c r="F104" s="5" t="s">
        <v>214</v>
      </c>
      <c r="G104" s="5" t="s">
        <v>1419</v>
      </c>
      <c r="H104" s="5" t="s">
        <v>131</v>
      </c>
      <c r="I104" s="7">
        <v>5970149.253731343</v>
      </c>
      <c r="J104" s="57" t="s">
        <v>1411</v>
      </c>
      <c r="K104" s="7">
        <v>1194029.8507462686</v>
      </c>
      <c r="L104" s="8">
        <v>73241</v>
      </c>
      <c r="M104" s="7">
        <v>2920000</v>
      </c>
      <c r="N104" s="7">
        <v>3432835.8208955224</v>
      </c>
      <c r="O104" s="7">
        <v>3493631</v>
      </c>
      <c r="P104" s="7">
        <v>3493631</v>
      </c>
      <c r="Q104" s="7">
        <f t="shared" si="2"/>
        <v>0</v>
      </c>
      <c r="R104" s="5" t="s">
        <v>606</v>
      </c>
      <c r="S104" s="5" t="s">
        <v>598</v>
      </c>
      <c r="T104" s="5" t="s">
        <v>616</v>
      </c>
      <c r="U104" s="5" t="s">
        <v>1406</v>
      </c>
      <c r="V104" s="5" t="s">
        <v>2115</v>
      </c>
      <c r="W104" s="5" t="s">
        <v>2116</v>
      </c>
      <c r="X104" s="5" t="s">
        <v>2117</v>
      </c>
      <c r="Y104" s="5" t="s">
        <v>2118</v>
      </c>
      <c r="Z104" s="5"/>
      <c r="AA104" s="5" t="s">
        <v>2119</v>
      </c>
      <c r="AB104" s="5"/>
      <c r="AC104" s="5" t="s">
        <v>1948</v>
      </c>
      <c r="AD104" s="62">
        <v>7.7</v>
      </c>
    </row>
    <row r="105" spans="1:30">
      <c r="A105" s="4">
        <v>2018</v>
      </c>
      <c r="B105" s="4" t="s">
        <v>44</v>
      </c>
      <c r="C105" s="4">
        <f t="shared" si="3"/>
        <v>104</v>
      </c>
      <c r="D105" s="96" t="s">
        <v>886</v>
      </c>
      <c r="E105" s="56" t="s">
        <v>825</v>
      </c>
      <c r="F105" s="5" t="s">
        <v>363</v>
      </c>
      <c r="G105" s="5" t="s">
        <v>1428</v>
      </c>
      <c r="H105" s="5" t="s">
        <v>148</v>
      </c>
      <c r="I105" s="7">
        <v>11940298</v>
      </c>
      <c r="J105" s="7">
        <v>8955223</v>
      </c>
      <c r="K105" s="7">
        <v>73134328</v>
      </c>
      <c r="L105" s="8">
        <v>163093</v>
      </c>
      <c r="M105" s="7">
        <v>88210000</v>
      </c>
      <c r="N105" s="7">
        <v>189104477</v>
      </c>
      <c r="O105" s="7">
        <v>209221328</v>
      </c>
      <c r="P105" s="7">
        <v>209221328</v>
      </c>
      <c r="Q105" s="7">
        <f t="shared" si="2"/>
        <v>0</v>
      </c>
      <c r="R105" s="39" t="s">
        <v>606</v>
      </c>
      <c r="S105" s="5" t="s">
        <v>598</v>
      </c>
      <c r="T105" s="5" t="s">
        <v>616</v>
      </c>
      <c r="U105" s="5" t="s">
        <v>1406</v>
      </c>
      <c r="V105" s="5" t="s">
        <v>2120</v>
      </c>
      <c r="W105" s="5" t="s">
        <v>2121</v>
      </c>
      <c r="X105" s="5" t="s">
        <v>1963</v>
      </c>
      <c r="Y105" s="5" t="s">
        <v>2122</v>
      </c>
      <c r="Z105" s="5"/>
      <c r="AA105" s="5" t="s">
        <v>2123</v>
      </c>
      <c r="AB105" s="5"/>
      <c r="AC105" s="5" t="s">
        <v>1420</v>
      </c>
      <c r="AD105" s="62">
        <v>8.3000000000000007</v>
      </c>
    </row>
    <row r="106" spans="1:30">
      <c r="A106" s="4">
        <v>2019</v>
      </c>
      <c r="B106" s="4" t="s">
        <v>44</v>
      </c>
      <c r="C106" s="4">
        <f t="shared" si="3"/>
        <v>105</v>
      </c>
      <c r="D106" s="96" t="s">
        <v>886</v>
      </c>
      <c r="E106" s="4" t="s">
        <v>2124</v>
      </c>
      <c r="F106" s="39" t="s">
        <v>149</v>
      </c>
      <c r="G106" s="5" t="s">
        <v>1429</v>
      </c>
      <c r="H106" s="5" t="s">
        <v>136</v>
      </c>
      <c r="I106" s="7">
        <v>4500000</v>
      </c>
      <c r="J106" s="57" t="s">
        <v>1411</v>
      </c>
      <c r="K106" s="7">
        <v>32835821</v>
      </c>
      <c r="L106" s="8">
        <v>2345</v>
      </c>
      <c r="M106" s="7">
        <v>12836295</v>
      </c>
      <c r="N106" s="7">
        <v>93134328</v>
      </c>
      <c r="O106" s="7">
        <v>92796952</v>
      </c>
      <c r="P106" s="7">
        <v>92796952</v>
      </c>
      <c r="Q106" s="7">
        <f t="shared" si="2"/>
        <v>0</v>
      </c>
      <c r="R106" s="5" t="s">
        <v>606</v>
      </c>
      <c r="S106" s="5" t="s">
        <v>598</v>
      </c>
      <c r="T106" s="5" t="s">
        <v>616</v>
      </c>
      <c r="U106" s="5" t="s">
        <v>1406</v>
      </c>
      <c r="V106" s="5" t="s">
        <v>2125</v>
      </c>
      <c r="W106" s="5" t="s">
        <v>2126</v>
      </c>
      <c r="X106" s="5" t="s">
        <v>1946</v>
      </c>
      <c r="Y106" s="5" t="s">
        <v>2127</v>
      </c>
      <c r="Z106" s="5" t="s">
        <v>2128</v>
      </c>
      <c r="AA106" s="5" t="s">
        <v>2129</v>
      </c>
      <c r="AB106" s="5"/>
      <c r="AC106" s="5" t="s">
        <v>1417</v>
      </c>
      <c r="AD106" s="62">
        <v>8</v>
      </c>
    </row>
    <row r="107" spans="1:30">
      <c r="A107" s="4">
        <v>2018</v>
      </c>
      <c r="B107" s="4" t="s">
        <v>44</v>
      </c>
      <c r="C107" s="4">
        <f t="shared" si="3"/>
        <v>106</v>
      </c>
      <c r="D107" s="96" t="s">
        <v>886</v>
      </c>
      <c r="E107" s="56" t="s">
        <v>2114</v>
      </c>
      <c r="F107" s="5" t="s">
        <v>232</v>
      </c>
      <c r="G107" s="5" t="s">
        <v>1430</v>
      </c>
      <c r="H107" s="5" t="s">
        <v>136</v>
      </c>
      <c r="I107" s="7">
        <v>5970149.253731343</v>
      </c>
      <c r="J107" s="57" t="s">
        <v>1411</v>
      </c>
      <c r="K107" s="7">
        <v>895522.38805970142</v>
      </c>
      <c r="L107" s="8">
        <v>48798</v>
      </c>
      <c r="M107" s="7">
        <v>2190000</v>
      </c>
      <c r="N107" s="7">
        <v>2537313.4328358206</v>
      </c>
      <c r="O107" s="7">
        <v>2415054</v>
      </c>
      <c r="P107" s="7">
        <v>2415054</v>
      </c>
      <c r="Q107" s="7">
        <f t="shared" si="2"/>
        <v>0</v>
      </c>
      <c r="R107" s="5" t="s">
        <v>606</v>
      </c>
      <c r="S107" s="5" t="s">
        <v>598</v>
      </c>
      <c r="T107" s="5" t="s">
        <v>616</v>
      </c>
      <c r="U107" s="5" t="s">
        <v>1406</v>
      </c>
      <c r="V107" s="5" t="s">
        <v>2130</v>
      </c>
      <c r="W107" s="5" t="s">
        <v>2131</v>
      </c>
      <c r="X107" s="5" t="s">
        <v>1994</v>
      </c>
      <c r="Y107" s="5" t="s">
        <v>2132</v>
      </c>
      <c r="Z107" s="5" t="s">
        <v>2133</v>
      </c>
      <c r="AA107" s="5" t="s">
        <v>1994</v>
      </c>
      <c r="AB107" s="5"/>
      <c r="AC107" s="5" t="s">
        <v>2134</v>
      </c>
      <c r="AD107" s="62">
        <v>6.2</v>
      </c>
    </row>
    <row r="108" spans="1:30">
      <c r="A108" s="4">
        <v>2019</v>
      </c>
      <c r="B108" s="4" t="s">
        <v>44</v>
      </c>
      <c r="C108" s="4">
        <f t="shared" si="3"/>
        <v>107</v>
      </c>
      <c r="D108" s="96" t="s">
        <v>886</v>
      </c>
      <c r="E108" s="4" t="s">
        <v>632</v>
      </c>
      <c r="F108" s="5" t="s">
        <v>194</v>
      </c>
      <c r="G108" s="5" t="s">
        <v>1431</v>
      </c>
      <c r="H108" s="5" t="s">
        <v>148</v>
      </c>
      <c r="I108" s="7">
        <v>17910447.761194028</v>
      </c>
      <c r="J108" s="57" t="s">
        <v>1411</v>
      </c>
      <c r="K108" s="7">
        <v>2537313.4328358206</v>
      </c>
      <c r="L108" s="8">
        <v>46956</v>
      </c>
      <c r="M108" s="7">
        <v>3960000</v>
      </c>
      <c r="N108" s="7">
        <v>7462686</v>
      </c>
      <c r="O108" s="7">
        <v>7322128</v>
      </c>
      <c r="P108" s="7">
        <v>7322128</v>
      </c>
      <c r="Q108" s="7">
        <f t="shared" si="2"/>
        <v>0</v>
      </c>
      <c r="R108" s="39" t="s">
        <v>606</v>
      </c>
      <c r="S108" s="5" t="s">
        <v>598</v>
      </c>
      <c r="T108" s="5">
        <v>0</v>
      </c>
      <c r="U108" s="5" t="s">
        <v>1406</v>
      </c>
      <c r="V108" s="5" t="s">
        <v>2135</v>
      </c>
      <c r="W108" s="5" t="s">
        <v>2136</v>
      </c>
      <c r="X108" s="5" t="s">
        <v>1962</v>
      </c>
      <c r="Y108" s="5" t="s">
        <v>2137</v>
      </c>
      <c r="Z108" s="5"/>
      <c r="AA108" s="5" t="s">
        <v>2138</v>
      </c>
      <c r="AB108" s="5"/>
      <c r="AC108" s="5" t="s">
        <v>2139</v>
      </c>
      <c r="AD108" s="62">
        <v>8.4</v>
      </c>
    </row>
    <row r="109" spans="1:30" ht="15">
      <c r="A109" s="4">
        <v>2017</v>
      </c>
      <c r="B109" s="4" t="s">
        <v>44</v>
      </c>
      <c r="C109" s="4">
        <f t="shared" si="3"/>
        <v>108</v>
      </c>
      <c r="D109" s="96" t="s">
        <v>975</v>
      </c>
      <c r="E109" s="4" t="s">
        <v>1896</v>
      </c>
      <c r="F109" s="5" t="s">
        <v>976</v>
      </c>
      <c r="G109" s="5" t="s">
        <v>1433</v>
      </c>
      <c r="H109" s="5" t="s">
        <v>131</v>
      </c>
      <c r="I109" s="7">
        <v>11940298.507462686</v>
      </c>
      <c r="J109" s="7">
        <v>4477611.940298507</v>
      </c>
      <c r="K109" s="7">
        <v>1585074.6268656717</v>
      </c>
      <c r="L109" s="41">
        <v>29752</v>
      </c>
      <c r="M109" s="42">
        <v>1950000</v>
      </c>
      <c r="N109" s="7">
        <v>4322388.0597014921</v>
      </c>
      <c r="O109" s="7">
        <v>4447734</v>
      </c>
      <c r="P109" s="7">
        <v>4447734</v>
      </c>
      <c r="Q109" s="7">
        <f t="shared" si="2"/>
        <v>0</v>
      </c>
      <c r="R109" s="5" t="s">
        <v>606</v>
      </c>
      <c r="S109" s="5" t="s">
        <v>598</v>
      </c>
      <c r="T109" s="5" t="s">
        <v>658</v>
      </c>
      <c r="U109" s="5" t="s">
        <v>1406</v>
      </c>
      <c r="V109" s="5" t="s">
        <v>2143</v>
      </c>
      <c r="W109" s="5" t="s">
        <v>2144</v>
      </c>
      <c r="X109" s="5" t="s">
        <v>2014</v>
      </c>
      <c r="Y109" s="5" t="s">
        <v>2145</v>
      </c>
      <c r="Z109" s="10"/>
      <c r="AA109" s="5" t="s">
        <v>2146</v>
      </c>
      <c r="AB109" s="5"/>
      <c r="AC109" s="5" t="s">
        <v>2147</v>
      </c>
      <c r="AD109" s="62">
        <v>8</v>
      </c>
    </row>
    <row r="110" spans="1:30">
      <c r="A110" s="4">
        <v>2018</v>
      </c>
      <c r="B110" s="4" t="s">
        <v>44</v>
      </c>
      <c r="C110" s="4">
        <f t="shared" si="3"/>
        <v>109</v>
      </c>
      <c r="D110" s="96" t="s">
        <v>886</v>
      </c>
      <c r="E110" s="4" t="s">
        <v>2148</v>
      </c>
      <c r="F110" s="5" t="s">
        <v>420</v>
      </c>
      <c r="G110" s="5" t="s">
        <v>1431</v>
      </c>
      <c r="H110" s="5" t="s">
        <v>1404</v>
      </c>
      <c r="I110" s="7">
        <v>19402985</v>
      </c>
      <c r="J110" s="7">
        <v>2238805</v>
      </c>
      <c r="K110" s="7">
        <v>1798507</v>
      </c>
      <c r="L110" s="8">
        <v>37064</v>
      </c>
      <c r="M110" s="7">
        <v>2817583</v>
      </c>
      <c r="N110" s="7">
        <v>4902985</v>
      </c>
      <c r="O110" s="7">
        <v>5483241</v>
      </c>
      <c r="P110" s="7">
        <v>5483241</v>
      </c>
      <c r="Q110" s="7">
        <f t="shared" si="2"/>
        <v>0</v>
      </c>
      <c r="R110" s="39" t="s">
        <v>606</v>
      </c>
      <c r="S110" s="5" t="s">
        <v>598</v>
      </c>
      <c r="T110" s="5" t="s">
        <v>616</v>
      </c>
      <c r="U110" s="5" t="s">
        <v>1406</v>
      </c>
      <c r="V110" s="5" t="s">
        <v>2149</v>
      </c>
      <c r="W110" s="5" t="s">
        <v>2150</v>
      </c>
      <c r="X110" s="5" t="s">
        <v>1860</v>
      </c>
      <c r="Y110" s="5" t="s">
        <v>2151</v>
      </c>
      <c r="Z110" s="10"/>
      <c r="AA110" s="5" t="s">
        <v>1860</v>
      </c>
      <c r="AB110" s="5"/>
      <c r="AC110" s="5" t="s">
        <v>2152</v>
      </c>
      <c r="AD110" s="62">
        <v>7.2</v>
      </c>
    </row>
    <row r="111" spans="1:30">
      <c r="A111" s="4">
        <v>2018</v>
      </c>
      <c r="B111" s="4" t="s">
        <v>44</v>
      </c>
      <c r="C111" s="4">
        <f t="shared" si="3"/>
        <v>110</v>
      </c>
      <c r="D111" s="96" t="s">
        <v>886</v>
      </c>
      <c r="E111" s="4" t="s">
        <v>2153</v>
      </c>
      <c r="F111" s="5" t="s">
        <v>397</v>
      </c>
      <c r="G111" s="5" t="s">
        <v>1434</v>
      </c>
      <c r="H111" s="5" t="s">
        <v>136</v>
      </c>
      <c r="I111" s="7">
        <v>4477611</v>
      </c>
      <c r="J111" s="7">
        <v>1194029</v>
      </c>
      <c r="K111" s="7">
        <v>3940298</v>
      </c>
      <c r="L111" s="8">
        <v>53019</v>
      </c>
      <c r="M111" s="7">
        <v>7070000</v>
      </c>
      <c r="N111" s="7">
        <v>10680597</v>
      </c>
      <c r="O111" s="7">
        <v>14798770</v>
      </c>
      <c r="P111" s="7">
        <v>14798770</v>
      </c>
      <c r="Q111" s="7">
        <f t="shared" si="2"/>
        <v>0</v>
      </c>
      <c r="R111" s="5" t="s">
        <v>606</v>
      </c>
      <c r="S111" s="5" t="s">
        <v>598</v>
      </c>
      <c r="T111" s="5" t="s">
        <v>616</v>
      </c>
      <c r="U111" s="5" t="s">
        <v>1406</v>
      </c>
      <c r="V111" s="5" t="s">
        <v>2154</v>
      </c>
      <c r="W111" s="39" t="s">
        <v>2155</v>
      </c>
      <c r="X111" s="39" t="s">
        <v>2156</v>
      </c>
      <c r="Y111" s="39" t="s">
        <v>2157</v>
      </c>
      <c r="Z111" s="39" t="s">
        <v>2158</v>
      </c>
      <c r="AA111" s="5" t="s">
        <v>2159</v>
      </c>
      <c r="AB111" s="5"/>
      <c r="AC111" s="39" t="s">
        <v>2160</v>
      </c>
      <c r="AD111" s="62">
        <v>7.2</v>
      </c>
    </row>
    <row r="112" spans="1:30">
      <c r="A112" s="4">
        <v>2019</v>
      </c>
      <c r="B112" s="4" t="s">
        <v>44</v>
      </c>
      <c r="C112" s="4">
        <f t="shared" si="3"/>
        <v>111</v>
      </c>
      <c r="D112" s="96" t="s">
        <v>886</v>
      </c>
      <c r="E112" s="4" t="s">
        <v>623</v>
      </c>
      <c r="F112" s="5" t="s">
        <v>252</v>
      </c>
      <c r="G112" s="5" t="s">
        <v>1435</v>
      </c>
      <c r="H112" s="39" t="s">
        <v>1403</v>
      </c>
      <c r="I112" s="7">
        <v>7462686.5671641789</v>
      </c>
      <c r="J112" s="57" t="s">
        <v>1411</v>
      </c>
      <c r="K112" s="7">
        <v>447761.19402985071</v>
      </c>
      <c r="L112" s="41" t="s">
        <v>1501</v>
      </c>
      <c r="M112" s="7">
        <v>977147</v>
      </c>
      <c r="N112" s="7">
        <v>1044776.1194029852</v>
      </c>
      <c r="O112" s="7">
        <v>1106083</v>
      </c>
      <c r="P112" s="7">
        <v>1106083</v>
      </c>
      <c r="Q112" s="7">
        <f t="shared" si="2"/>
        <v>0</v>
      </c>
      <c r="R112" s="5" t="s">
        <v>606</v>
      </c>
      <c r="S112" s="5" t="s">
        <v>703</v>
      </c>
      <c r="T112" s="5" t="s">
        <v>603</v>
      </c>
      <c r="U112" s="5" t="s">
        <v>1406</v>
      </c>
      <c r="V112" s="5" t="s">
        <v>2161</v>
      </c>
      <c r="W112" s="5" t="s">
        <v>2162</v>
      </c>
      <c r="X112" s="5" t="s">
        <v>2163</v>
      </c>
      <c r="Y112" s="5" t="s">
        <v>2164</v>
      </c>
      <c r="Z112" s="10"/>
      <c r="AA112" s="5" t="s">
        <v>2163</v>
      </c>
      <c r="AB112" s="5"/>
      <c r="AC112" s="5" t="s">
        <v>2165</v>
      </c>
      <c r="AD112" s="62">
        <v>5.9</v>
      </c>
    </row>
    <row r="113" spans="1:30">
      <c r="A113" s="4">
        <v>2019</v>
      </c>
      <c r="B113" s="4" t="s">
        <v>44</v>
      </c>
      <c r="C113" s="4">
        <f t="shared" si="3"/>
        <v>112</v>
      </c>
      <c r="D113" s="96" t="s">
        <v>886</v>
      </c>
      <c r="E113" s="4" t="s">
        <v>2166</v>
      </c>
      <c r="F113" s="5" t="s">
        <v>228</v>
      </c>
      <c r="G113" s="5" t="s">
        <v>1436</v>
      </c>
      <c r="H113" s="5" t="s">
        <v>136</v>
      </c>
      <c r="I113" s="7">
        <v>4477611.940298507</v>
      </c>
      <c r="J113" s="57" t="s">
        <v>1411</v>
      </c>
      <c r="K113" s="7">
        <v>895522.38805970142</v>
      </c>
      <c r="L113" s="8">
        <v>36411</v>
      </c>
      <c r="M113" s="7">
        <v>1800000</v>
      </c>
      <c r="N113" s="7">
        <v>2686567.1641791044</v>
      </c>
      <c r="O113" s="7">
        <v>2704326</v>
      </c>
      <c r="P113" s="7">
        <v>2704326</v>
      </c>
      <c r="Q113" s="7">
        <f t="shared" si="2"/>
        <v>0</v>
      </c>
      <c r="R113" s="5" t="s">
        <v>606</v>
      </c>
      <c r="S113" s="5" t="s">
        <v>598</v>
      </c>
      <c r="T113" s="5" t="s">
        <v>616</v>
      </c>
      <c r="U113" s="5" t="s">
        <v>1406</v>
      </c>
      <c r="V113" s="5" t="s">
        <v>2167</v>
      </c>
      <c r="W113" s="5" t="s">
        <v>2168</v>
      </c>
      <c r="X113" s="5" t="s">
        <v>2169</v>
      </c>
      <c r="Y113" s="5" t="s">
        <v>2170</v>
      </c>
      <c r="Z113" s="10"/>
      <c r="AA113" s="5" t="s">
        <v>2171</v>
      </c>
      <c r="AB113" s="5"/>
      <c r="AC113" s="5" t="s">
        <v>2172</v>
      </c>
      <c r="AD113" s="62">
        <v>8.1999999999999993</v>
      </c>
    </row>
    <row r="114" spans="1:30">
      <c r="A114" s="4">
        <v>2018</v>
      </c>
      <c r="B114" s="4" t="s">
        <v>44</v>
      </c>
      <c r="C114" s="4">
        <f t="shared" si="3"/>
        <v>113</v>
      </c>
      <c r="D114" s="96" t="s">
        <v>886</v>
      </c>
      <c r="E114" s="101" t="s">
        <v>2173</v>
      </c>
      <c r="F114" s="5" t="s">
        <v>153</v>
      </c>
      <c r="G114" s="39" t="s">
        <v>2174</v>
      </c>
      <c r="H114" s="5" t="s">
        <v>1403</v>
      </c>
      <c r="I114" s="7">
        <v>7500000</v>
      </c>
      <c r="J114" s="57" t="s">
        <v>1411</v>
      </c>
      <c r="K114" s="7">
        <v>19552238</v>
      </c>
      <c r="L114" s="8">
        <v>71757</v>
      </c>
      <c r="M114" s="7">
        <v>860000</v>
      </c>
      <c r="N114" s="7">
        <v>56567164</v>
      </c>
      <c r="O114" s="7">
        <v>56040680</v>
      </c>
      <c r="P114" s="7">
        <v>56040680</v>
      </c>
      <c r="Q114" s="7">
        <f t="shared" si="2"/>
        <v>0</v>
      </c>
      <c r="R114" s="5" t="s">
        <v>606</v>
      </c>
      <c r="S114" s="5" t="s">
        <v>598</v>
      </c>
      <c r="T114" s="5" t="s">
        <v>616</v>
      </c>
      <c r="U114" s="5" t="s">
        <v>1406</v>
      </c>
      <c r="V114" s="5" t="s">
        <v>2175</v>
      </c>
      <c r="W114" s="5" t="s">
        <v>2176</v>
      </c>
      <c r="X114" s="5" t="s">
        <v>1984</v>
      </c>
      <c r="Y114" s="5" t="s">
        <v>2177</v>
      </c>
      <c r="Z114" s="10"/>
      <c r="AA114" s="5" t="s">
        <v>2178</v>
      </c>
      <c r="AB114" s="5"/>
      <c r="AC114" s="5" t="s">
        <v>2179</v>
      </c>
      <c r="AD114" s="62">
        <v>9.1</v>
      </c>
    </row>
    <row r="115" spans="1:30">
      <c r="A115" s="4">
        <v>2019</v>
      </c>
      <c r="B115" s="4" t="s">
        <v>44</v>
      </c>
      <c r="C115" s="4">
        <f t="shared" si="3"/>
        <v>114</v>
      </c>
      <c r="D115" s="96" t="s">
        <v>886</v>
      </c>
      <c r="E115" s="46" t="s">
        <v>2180</v>
      </c>
      <c r="F115" s="5" t="s">
        <v>248</v>
      </c>
      <c r="G115" s="5" t="s">
        <v>1437</v>
      </c>
      <c r="H115" s="5" t="s">
        <v>191</v>
      </c>
      <c r="I115" s="7">
        <v>1492537.3134328357</v>
      </c>
      <c r="J115" s="57" t="s">
        <v>1411</v>
      </c>
      <c r="K115" s="7">
        <v>447761.19402985071</v>
      </c>
      <c r="L115" s="41" t="s">
        <v>1501</v>
      </c>
      <c r="M115" s="7">
        <v>283380</v>
      </c>
      <c r="N115" s="7">
        <v>11940298.507462686</v>
      </c>
      <c r="O115" s="7">
        <v>1196360</v>
      </c>
      <c r="P115" s="7">
        <v>1196360</v>
      </c>
      <c r="Q115" s="7">
        <f t="shared" si="2"/>
        <v>0</v>
      </c>
      <c r="R115" s="5" t="s">
        <v>606</v>
      </c>
      <c r="S115" s="5" t="s">
        <v>598</v>
      </c>
      <c r="T115" s="5" t="s">
        <v>599</v>
      </c>
      <c r="U115" s="5" t="s">
        <v>1406</v>
      </c>
      <c r="V115" s="5" t="s">
        <v>2181</v>
      </c>
      <c r="W115" s="5" t="s">
        <v>248</v>
      </c>
      <c r="X115" s="5" t="s">
        <v>2182</v>
      </c>
      <c r="Y115" s="5"/>
      <c r="Z115" s="5"/>
      <c r="AA115" s="5" t="s">
        <v>2183</v>
      </c>
      <c r="AB115" s="5" t="s">
        <v>2184</v>
      </c>
      <c r="AC115" s="5" t="s">
        <v>2185</v>
      </c>
      <c r="AD115" s="62">
        <v>8.6</v>
      </c>
    </row>
    <row r="116" spans="1:30">
      <c r="A116" s="4">
        <v>2018</v>
      </c>
      <c r="B116" s="4" t="s">
        <v>44</v>
      </c>
      <c r="C116" s="4">
        <f t="shared" si="3"/>
        <v>115</v>
      </c>
      <c r="D116" s="96" t="s">
        <v>886</v>
      </c>
      <c r="E116" s="56" t="s">
        <v>832</v>
      </c>
      <c r="F116" s="5" t="s">
        <v>463</v>
      </c>
      <c r="G116" s="5" t="s">
        <v>1438</v>
      </c>
      <c r="H116" s="5" t="s">
        <v>131</v>
      </c>
      <c r="I116" s="7">
        <v>5970149.253731343</v>
      </c>
      <c r="J116" s="7">
        <v>1492537.3134328357</v>
      </c>
      <c r="K116" s="7">
        <v>211940.29850746269</v>
      </c>
      <c r="L116" s="41" t="s">
        <v>1501</v>
      </c>
      <c r="M116" s="7">
        <v>458375</v>
      </c>
      <c r="N116" s="7">
        <v>579104.47761194024</v>
      </c>
      <c r="O116" s="7">
        <v>630896</v>
      </c>
      <c r="P116" s="7">
        <v>630896</v>
      </c>
      <c r="Q116" s="7">
        <f t="shared" si="2"/>
        <v>0</v>
      </c>
      <c r="R116" s="39" t="s">
        <v>606</v>
      </c>
      <c r="S116" s="5" t="s">
        <v>598</v>
      </c>
      <c r="T116" s="5" t="s">
        <v>616</v>
      </c>
      <c r="U116" s="5" t="s">
        <v>1406</v>
      </c>
      <c r="V116" s="5" t="s">
        <v>2186</v>
      </c>
      <c r="W116" s="5" t="s">
        <v>2187</v>
      </c>
      <c r="X116" s="5" t="s">
        <v>2188</v>
      </c>
      <c r="Y116" s="5" t="s">
        <v>1891</v>
      </c>
      <c r="Z116" s="5" t="s">
        <v>2189</v>
      </c>
      <c r="AA116" s="5" t="s">
        <v>2190</v>
      </c>
      <c r="AB116" s="5"/>
      <c r="AC116" s="5" t="s">
        <v>2191</v>
      </c>
      <c r="AD116" s="62">
        <v>6.7</v>
      </c>
    </row>
    <row r="117" spans="1:30">
      <c r="A117" s="4">
        <v>2018</v>
      </c>
      <c r="B117" s="4" t="s">
        <v>44</v>
      </c>
      <c r="C117" s="4">
        <f t="shared" si="3"/>
        <v>116</v>
      </c>
      <c r="D117" s="96" t="s">
        <v>886</v>
      </c>
      <c r="E117" s="56" t="s">
        <v>604</v>
      </c>
      <c r="F117" s="5" t="s">
        <v>137</v>
      </c>
      <c r="G117" s="5" t="s">
        <v>1431</v>
      </c>
      <c r="H117" s="5" t="s">
        <v>136</v>
      </c>
      <c r="I117" s="7">
        <v>53000000</v>
      </c>
      <c r="J117" s="7">
        <v>12000000</v>
      </c>
      <c r="K117" s="7">
        <v>92400000</v>
      </c>
      <c r="L117" s="8">
        <v>17182</v>
      </c>
      <c r="M117" s="7">
        <v>194917</v>
      </c>
      <c r="N117" s="7">
        <v>256119403</v>
      </c>
      <c r="O117" s="7">
        <v>255832826</v>
      </c>
      <c r="P117" s="7">
        <v>255832826</v>
      </c>
      <c r="Q117" s="7">
        <f t="shared" si="2"/>
        <v>0</v>
      </c>
      <c r="R117" s="5" t="s">
        <v>606</v>
      </c>
      <c r="S117" s="5" t="s">
        <v>598</v>
      </c>
      <c r="T117" s="5" t="s">
        <v>616</v>
      </c>
      <c r="U117" s="5" t="s">
        <v>1406</v>
      </c>
      <c r="V117" s="5" t="s">
        <v>2192</v>
      </c>
      <c r="W117" s="5" t="s">
        <v>2193</v>
      </c>
      <c r="X117" s="5" t="s">
        <v>1974</v>
      </c>
      <c r="Y117" s="5" t="s">
        <v>1952</v>
      </c>
      <c r="Z117" s="5" t="s">
        <v>2194</v>
      </c>
      <c r="AA117" s="5" t="s">
        <v>2195</v>
      </c>
      <c r="AB117" s="5"/>
      <c r="AC117" s="5" t="s">
        <v>2196</v>
      </c>
      <c r="AD117" s="62">
        <v>8.8000000000000007</v>
      </c>
    </row>
    <row r="118" spans="1:30">
      <c r="A118" s="4">
        <v>2018</v>
      </c>
      <c r="B118" s="4" t="s">
        <v>44</v>
      </c>
      <c r="C118" s="4">
        <f t="shared" si="3"/>
        <v>117</v>
      </c>
      <c r="D118" s="96" t="s">
        <v>886</v>
      </c>
      <c r="E118" s="4" t="s">
        <v>2197</v>
      </c>
      <c r="F118" s="5" t="s">
        <v>461</v>
      </c>
      <c r="G118" s="5" t="s">
        <v>1439</v>
      </c>
      <c r="H118" s="39" t="s">
        <v>148</v>
      </c>
      <c r="I118" s="7">
        <v>1492537.3134328357</v>
      </c>
      <c r="J118" s="7">
        <v>1194029.8507462686</v>
      </c>
      <c r="K118" s="7">
        <v>228358.20895522388</v>
      </c>
      <c r="L118" s="41" t="s">
        <v>1501</v>
      </c>
      <c r="M118" s="7">
        <v>2743</v>
      </c>
      <c r="N118" s="7">
        <v>623880.59701492533</v>
      </c>
      <c r="O118" s="7">
        <v>678553</v>
      </c>
      <c r="P118" s="7">
        <v>678553</v>
      </c>
      <c r="Q118" s="7">
        <f t="shared" si="2"/>
        <v>0</v>
      </c>
      <c r="R118" s="39" t="s">
        <v>597</v>
      </c>
      <c r="S118" s="5" t="s">
        <v>598</v>
      </c>
      <c r="T118" s="5" t="s">
        <v>599</v>
      </c>
      <c r="U118" s="5" t="s">
        <v>1406</v>
      </c>
      <c r="V118" s="5" t="s">
        <v>2198</v>
      </c>
      <c r="W118" s="5" t="s">
        <v>2199</v>
      </c>
      <c r="X118" s="5" t="s">
        <v>2200</v>
      </c>
      <c r="Y118" s="5" t="s">
        <v>2201</v>
      </c>
      <c r="Z118" s="5"/>
      <c r="AA118" s="5" t="s">
        <v>2202</v>
      </c>
      <c r="AB118" s="5"/>
      <c r="AC118" s="5" t="s">
        <v>2203</v>
      </c>
      <c r="AD118" s="62">
        <v>8.1</v>
      </c>
    </row>
    <row r="119" spans="1:30">
      <c r="A119" s="4">
        <v>2019</v>
      </c>
      <c r="B119" s="4" t="s">
        <v>44</v>
      </c>
      <c r="C119" s="4">
        <f t="shared" si="3"/>
        <v>118</v>
      </c>
      <c r="D119" s="96" t="s">
        <v>886</v>
      </c>
      <c r="E119" s="46" t="s">
        <v>2204</v>
      </c>
      <c r="F119" s="5" t="s">
        <v>250</v>
      </c>
      <c r="G119" s="5" t="s">
        <v>1440</v>
      </c>
      <c r="H119" s="5" t="s">
        <v>1404</v>
      </c>
      <c r="I119" s="7">
        <v>13432835.820895523</v>
      </c>
      <c r="J119" s="57" t="s">
        <v>1411</v>
      </c>
      <c r="K119" s="7">
        <v>447761.19402985071</v>
      </c>
      <c r="L119" s="41" t="s">
        <v>1501</v>
      </c>
      <c r="M119" s="7">
        <v>794007</v>
      </c>
      <c r="N119" s="7">
        <v>1194029.8507462686</v>
      </c>
      <c r="O119" s="7">
        <v>1162914</v>
      </c>
      <c r="P119" s="7">
        <v>1162914</v>
      </c>
      <c r="Q119" s="7">
        <f t="shared" si="2"/>
        <v>0</v>
      </c>
      <c r="R119" s="5" t="s">
        <v>602</v>
      </c>
      <c r="S119" s="5" t="s">
        <v>598</v>
      </c>
      <c r="T119" s="5" t="s">
        <v>603</v>
      </c>
      <c r="U119" s="5" t="s">
        <v>1406</v>
      </c>
      <c r="V119" s="5" t="s">
        <v>2205</v>
      </c>
      <c r="W119" s="5" t="s">
        <v>2206</v>
      </c>
      <c r="X119" s="5" t="s">
        <v>2095</v>
      </c>
      <c r="Y119" s="5" t="s">
        <v>2194</v>
      </c>
      <c r="Z119" s="5"/>
      <c r="AA119" s="5" t="s">
        <v>2207</v>
      </c>
      <c r="AB119" s="5"/>
      <c r="AC119" s="5" t="s">
        <v>2208</v>
      </c>
      <c r="AD119" s="62">
        <v>7</v>
      </c>
    </row>
    <row r="120" spans="1:30">
      <c r="A120" s="4">
        <v>2018</v>
      </c>
      <c r="B120" s="4" t="s">
        <v>44</v>
      </c>
      <c r="C120" s="4">
        <f t="shared" si="3"/>
        <v>119</v>
      </c>
      <c r="D120" s="96" t="s">
        <v>886</v>
      </c>
      <c r="E120" s="56" t="s">
        <v>2209</v>
      </c>
      <c r="F120" s="5" t="s">
        <v>419</v>
      </c>
      <c r="G120" s="39" t="s">
        <v>2210</v>
      </c>
      <c r="H120" s="5" t="s">
        <v>148</v>
      </c>
      <c r="I120" s="7">
        <v>4477611</v>
      </c>
      <c r="J120" s="7">
        <v>2238805</v>
      </c>
      <c r="K120" s="7">
        <v>1776119</v>
      </c>
      <c r="L120" s="8">
        <v>53482</v>
      </c>
      <c r="M120" s="7">
        <v>49372</v>
      </c>
      <c r="N120" s="7">
        <v>4843283</v>
      </c>
      <c r="O120" s="7">
        <v>5504562</v>
      </c>
      <c r="P120" s="7">
        <v>5504562</v>
      </c>
      <c r="Q120" s="7">
        <f t="shared" si="2"/>
        <v>0</v>
      </c>
      <c r="R120" s="5" t="s">
        <v>606</v>
      </c>
      <c r="S120" s="5" t="s">
        <v>598</v>
      </c>
      <c r="T120" s="5" t="s">
        <v>616</v>
      </c>
      <c r="U120" s="5" t="s">
        <v>1406</v>
      </c>
      <c r="V120" s="5" t="s">
        <v>2211</v>
      </c>
      <c r="W120" s="39" t="s">
        <v>2212</v>
      </c>
      <c r="X120" s="5" t="s">
        <v>2213</v>
      </c>
      <c r="Y120" s="5" t="s">
        <v>2214</v>
      </c>
      <c r="Z120" s="39" t="s">
        <v>2215</v>
      </c>
      <c r="AA120" s="39" t="s">
        <v>2216</v>
      </c>
      <c r="AB120" s="5"/>
      <c r="AC120" s="39" t="s">
        <v>1585</v>
      </c>
      <c r="AD120" s="62">
        <v>8.4</v>
      </c>
    </row>
    <row r="121" spans="1:30">
      <c r="A121" s="4">
        <v>2019</v>
      </c>
      <c r="B121" s="4" t="s">
        <v>44</v>
      </c>
      <c r="C121" s="4">
        <f t="shared" si="3"/>
        <v>120</v>
      </c>
      <c r="D121" s="96" t="s">
        <v>886</v>
      </c>
      <c r="E121" s="4" t="s">
        <v>604</v>
      </c>
      <c r="F121" s="5" t="s">
        <v>135</v>
      </c>
      <c r="G121" s="5" t="s">
        <v>1441</v>
      </c>
      <c r="H121" s="5" t="s">
        <v>136</v>
      </c>
      <c r="I121" s="7">
        <v>60000000</v>
      </c>
      <c r="J121" s="7">
        <v>35000000</v>
      </c>
      <c r="K121" s="7">
        <v>118000000</v>
      </c>
      <c r="L121" s="8">
        <v>14545</v>
      </c>
      <c r="M121" s="7">
        <v>77099702</v>
      </c>
      <c r="N121" s="7">
        <v>328507643</v>
      </c>
      <c r="O121" s="7">
        <v>326150303</v>
      </c>
      <c r="P121" s="7">
        <v>326150303</v>
      </c>
      <c r="Q121" s="7">
        <f t="shared" si="2"/>
        <v>0</v>
      </c>
      <c r="R121" s="5" t="s">
        <v>606</v>
      </c>
      <c r="S121" s="5" t="s">
        <v>703</v>
      </c>
      <c r="T121" s="5" t="s">
        <v>704</v>
      </c>
      <c r="U121" s="5" t="s">
        <v>1406</v>
      </c>
      <c r="V121" s="5" t="s">
        <v>2217</v>
      </c>
      <c r="W121" s="5" t="s">
        <v>2218</v>
      </c>
      <c r="X121" s="5" t="s">
        <v>2219</v>
      </c>
      <c r="Y121" s="5" t="s">
        <v>1974</v>
      </c>
      <c r="Z121" s="5" t="s">
        <v>2220</v>
      </c>
      <c r="AA121" s="5" t="s">
        <v>2221</v>
      </c>
      <c r="AB121" s="5"/>
      <c r="AC121" s="5" t="s">
        <v>2222</v>
      </c>
      <c r="AD121" s="62">
        <v>8.5</v>
      </c>
    </row>
    <row r="122" spans="1:30">
      <c r="A122" s="4">
        <v>2018</v>
      </c>
      <c r="B122" s="4" t="s">
        <v>44</v>
      </c>
      <c r="C122" s="4">
        <f t="shared" si="3"/>
        <v>121</v>
      </c>
      <c r="D122" s="96" t="s">
        <v>886</v>
      </c>
      <c r="E122" s="4" t="s">
        <v>600</v>
      </c>
      <c r="F122" s="5" t="s">
        <v>143</v>
      </c>
      <c r="G122" s="5" t="s">
        <v>1442</v>
      </c>
      <c r="H122" s="5" t="s">
        <v>129</v>
      </c>
      <c r="I122" s="7">
        <v>15000000</v>
      </c>
      <c r="J122" s="57" t="s">
        <v>1411</v>
      </c>
      <c r="K122" s="7">
        <v>41641791</v>
      </c>
      <c r="L122" s="8">
        <v>109664</v>
      </c>
      <c r="M122" s="7">
        <v>39881317</v>
      </c>
      <c r="N122" s="7">
        <v>118656716</v>
      </c>
      <c r="O122" s="7">
        <v>115687407</v>
      </c>
      <c r="P122" s="7">
        <v>115687407</v>
      </c>
      <c r="Q122" s="7">
        <f t="shared" si="2"/>
        <v>0</v>
      </c>
      <c r="R122" s="5" t="s">
        <v>606</v>
      </c>
      <c r="S122" s="5" t="s">
        <v>598</v>
      </c>
      <c r="T122" s="5" t="s">
        <v>616</v>
      </c>
      <c r="U122" s="5" t="s">
        <v>1406</v>
      </c>
      <c r="V122" s="5" t="s">
        <v>2223</v>
      </c>
      <c r="W122" s="5" t="s">
        <v>2224</v>
      </c>
      <c r="X122" s="5" t="s">
        <v>1646</v>
      </c>
      <c r="Y122" s="5" t="s">
        <v>2225</v>
      </c>
      <c r="Z122" s="5" t="s">
        <v>2226</v>
      </c>
      <c r="AA122" s="5" t="s">
        <v>2227</v>
      </c>
      <c r="AB122" s="5"/>
      <c r="AC122" s="5" t="s">
        <v>2228</v>
      </c>
      <c r="AD122" s="62">
        <v>9</v>
      </c>
    </row>
    <row r="123" spans="1:30">
      <c r="A123" s="4">
        <v>2019</v>
      </c>
      <c r="B123" s="4" t="s">
        <v>44</v>
      </c>
      <c r="C123" s="4">
        <f t="shared" si="3"/>
        <v>122</v>
      </c>
      <c r="D123" s="96" t="s">
        <v>886</v>
      </c>
      <c r="E123" s="4" t="s">
        <v>2229</v>
      </c>
      <c r="F123" s="5" t="s">
        <v>241</v>
      </c>
      <c r="G123" s="39" t="s">
        <v>1443</v>
      </c>
      <c r="H123" s="5" t="s">
        <v>191</v>
      </c>
      <c r="I123" s="7">
        <v>1492537.3134328357</v>
      </c>
      <c r="J123" s="57" t="s">
        <v>1411</v>
      </c>
      <c r="K123" s="7">
        <v>597014.92537313432</v>
      </c>
      <c r="L123" s="41" t="s">
        <v>1501</v>
      </c>
      <c r="M123" s="7">
        <v>450693</v>
      </c>
      <c r="N123" s="7">
        <v>1641791.0447761193</v>
      </c>
      <c r="O123" s="7">
        <v>1561731</v>
      </c>
      <c r="P123" s="7">
        <v>1561731</v>
      </c>
      <c r="Q123" s="7">
        <f t="shared" si="2"/>
        <v>0</v>
      </c>
      <c r="R123" s="5" t="s">
        <v>606</v>
      </c>
      <c r="S123" s="5" t="s">
        <v>598</v>
      </c>
      <c r="T123" s="5" t="s">
        <v>599</v>
      </c>
      <c r="U123" s="5" t="s">
        <v>1406</v>
      </c>
      <c r="V123" s="5" t="s">
        <v>2230</v>
      </c>
      <c r="W123" s="5" t="s">
        <v>241</v>
      </c>
      <c r="X123" s="5" t="s">
        <v>2231</v>
      </c>
      <c r="Y123" s="5" t="s">
        <v>2232</v>
      </c>
      <c r="Z123" s="5"/>
      <c r="AA123" s="5" t="s">
        <v>2233</v>
      </c>
      <c r="AB123" s="5"/>
      <c r="AC123" s="5" t="s">
        <v>2234</v>
      </c>
      <c r="AD123" s="62">
        <v>9</v>
      </c>
    </row>
    <row r="124" spans="1:30">
      <c r="A124" s="4">
        <v>2018</v>
      </c>
      <c r="B124" s="4" t="s">
        <v>44</v>
      </c>
      <c r="C124" s="4">
        <f t="shared" si="3"/>
        <v>123</v>
      </c>
      <c r="D124" s="4" t="s">
        <v>886</v>
      </c>
      <c r="E124" s="4" t="s">
        <v>2235</v>
      </c>
      <c r="F124" s="5" t="s">
        <v>422</v>
      </c>
      <c r="G124" s="5" t="s">
        <v>1444</v>
      </c>
      <c r="H124" s="5" t="s">
        <v>148</v>
      </c>
      <c r="I124" s="7">
        <v>5970149</v>
      </c>
      <c r="J124" s="7">
        <v>2238805</v>
      </c>
      <c r="K124" s="7">
        <v>1595522</v>
      </c>
      <c r="L124" s="8">
        <v>19115</v>
      </c>
      <c r="M124" s="7">
        <v>1320000</v>
      </c>
      <c r="N124" s="7">
        <v>4349253</v>
      </c>
      <c r="O124" s="7">
        <v>4778869</v>
      </c>
      <c r="P124" s="7">
        <v>4778869</v>
      </c>
      <c r="Q124" s="7">
        <f t="shared" si="2"/>
        <v>0</v>
      </c>
      <c r="R124" s="5" t="s">
        <v>606</v>
      </c>
      <c r="S124" s="5" t="s">
        <v>598</v>
      </c>
      <c r="T124" s="5" t="s">
        <v>616</v>
      </c>
      <c r="U124" s="5" t="s">
        <v>1406</v>
      </c>
      <c r="V124" s="5" t="s">
        <v>2236</v>
      </c>
      <c r="W124" s="5" t="s">
        <v>2237</v>
      </c>
      <c r="X124" s="5" t="s">
        <v>1973</v>
      </c>
      <c r="Y124" s="5" t="s">
        <v>2238</v>
      </c>
      <c r="Z124" s="5"/>
      <c r="AA124" s="5" t="s">
        <v>2239</v>
      </c>
      <c r="AB124" s="5" t="s">
        <v>2240</v>
      </c>
      <c r="AC124" s="5" t="s">
        <v>2241</v>
      </c>
      <c r="AD124" s="62">
        <v>8</v>
      </c>
    </row>
    <row r="125" spans="1:30">
      <c r="A125" s="4">
        <v>2018</v>
      </c>
      <c r="B125" s="4" t="s">
        <v>44</v>
      </c>
      <c r="C125" s="4">
        <f t="shared" si="3"/>
        <v>124</v>
      </c>
      <c r="D125" s="96" t="s">
        <v>886</v>
      </c>
      <c r="E125" s="4" t="s">
        <v>2242</v>
      </c>
      <c r="F125" s="5" t="s">
        <v>1024</v>
      </c>
      <c r="G125" s="5" t="s">
        <v>1445</v>
      </c>
      <c r="H125" s="5" t="s">
        <v>136</v>
      </c>
      <c r="I125" s="7">
        <v>1194029.8507462686</v>
      </c>
      <c r="J125" s="7">
        <v>746268.65671641787</v>
      </c>
      <c r="K125" s="7">
        <v>168656.71641791044</v>
      </c>
      <c r="L125" s="8">
        <v>918</v>
      </c>
      <c r="M125" s="7">
        <v>110000</v>
      </c>
      <c r="N125" s="7">
        <v>458208.95522388059</v>
      </c>
      <c r="O125" s="7">
        <v>469140</v>
      </c>
      <c r="P125" s="7">
        <v>469140</v>
      </c>
      <c r="Q125" s="7">
        <f t="shared" si="2"/>
        <v>0</v>
      </c>
      <c r="R125" s="39" t="s">
        <v>606</v>
      </c>
      <c r="S125" s="5" t="s">
        <v>598</v>
      </c>
      <c r="T125" s="5" t="s">
        <v>616</v>
      </c>
      <c r="U125" s="5" t="s">
        <v>1406</v>
      </c>
      <c r="V125" s="5" t="s">
        <v>2243</v>
      </c>
      <c r="W125" s="5" t="s">
        <v>2244</v>
      </c>
      <c r="X125" s="5" t="s">
        <v>2245</v>
      </c>
      <c r="Y125" s="5" t="s">
        <v>2246</v>
      </c>
      <c r="Z125" s="5" t="s">
        <v>2247</v>
      </c>
      <c r="AA125" s="5" t="s">
        <v>2248</v>
      </c>
      <c r="AB125" s="5" t="s">
        <v>2249</v>
      </c>
      <c r="AC125" s="5" t="s">
        <v>1445</v>
      </c>
      <c r="AD125" s="62">
        <v>7.5</v>
      </c>
    </row>
    <row r="126" spans="1:30">
      <c r="A126" s="4">
        <v>2018</v>
      </c>
      <c r="B126" s="4" t="s">
        <v>44</v>
      </c>
      <c r="C126" s="4">
        <f t="shared" si="3"/>
        <v>125</v>
      </c>
      <c r="D126" s="96" t="s">
        <v>886</v>
      </c>
      <c r="E126" s="4" t="s">
        <v>2250</v>
      </c>
      <c r="F126" s="5" t="s">
        <v>387</v>
      </c>
      <c r="G126" s="5" t="s">
        <v>1446</v>
      </c>
      <c r="H126" s="5" t="s">
        <v>127</v>
      </c>
      <c r="I126" s="7">
        <v>4477611</v>
      </c>
      <c r="J126" s="7">
        <v>2238805</v>
      </c>
      <c r="K126" s="7">
        <v>10250746</v>
      </c>
      <c r="L126" s="8">
        <v>57471</v>
      </c>
      <c r="M126" s="7">
        <v>10070000</v>
      </c>
      <c r="N126" s="7">
        <v>2761194</v>
      </c>
      <c r="O126" s="7">
        <v>30355804</v>
      </c>
      <c r="P126" s="7">
        <v>30355804</v>
      </c>
      <c r="Q126" s="7">
        <f t="shared" si="2"/>
        <v>0</v>
      </c>
      <c r="R126" s="5" t="s">
        <v>606</v>
      </c>
      <c r="S126" s="5" t="s">
        <v>631</v>
      </c>
      <c r="T126" s="5" t="s">
        <v>603</v>
      </c>
      <c r="U126" s="5" t="s">
        <v>1406</v>
      </c>
      <c r="V126" s="5" t="s">
        <v>2251</v>
      </c>
      <c r="W126" s="5" t="s">
        <v>2252</v>
      </c>
      <c r="X126" s="5" t="s">
        <v>2253</v>
      </c>
      <c r="Y126" s="5" t="s">
        <v>2254</v>
      </c>
      <c r="Z126" s="5"/>
      <c r="AA126" s="5" t="s">
        <v>2253</v>
      </c>
      <c r="AB126" s="5"/>
      <c r="AC126" s="5" t="s">
        <v>1970</v>
      </c>
      <c r="AD126" s="62">
        <v>8.1</v>
      </c>
    </row>
    <row r="127" spans="1:30">
      <c r="A127" s="4">
        <v>2019</v>
      </c>
      <c r="B127" s="4" t="s">
        <v>44</v>
      </c>
      <c r="C127" s="4">
        <f t="shared" si="3"/>
        <v>126</v>
      </c>
      <c r="D127" s="96" t="s">
        <v>886</v>
      </c>
      <c r="E127" s="4" t="s">
        <v>617</v>
      </c>
      <c r="F127" s="5" t="s">
        <v>242</v>
      </c>
      <c r="G127" s="5" t="s">
        <v>1410</v>
      </c>
      <c r="H127" s="5" t="s">
        <v>131</v>
      </c>
      <c r="I127" s="7">
        <v>1492537.3134328357</v>
      </c>
      <c r="J127" s="57" t="s">
        <v>1411</v>
      </c>
      <c r="K127" s="7">
        <v>447761.19402985071</v>
      </c>
      <c r="L127" s="8">
        <v>24672</v>
      </c>
      <c r="M127" s="7">
        <v>8594</v>
      </c>
      <c r="N127" s="7">
        <v>1492537.3134328357</v>
      </c>
      <c r="O127" s="7">
        <v>1487745</v>
      </c>
      <c r="P127" s="7">
        <v>1487745</v>
      </c>
      <c r="Q127" s="7">
        <f t="shared" si="2"/>
        <v>0</v>
      </c>
      <c r="R127" s="5" t="s">
        <v>606</v>
      </c>
      <c r="S127" s="5" t="s">
        <v>598</v>
      </c>
      <c r="T127" s="5" t="s">
        <v>616</v>
      </c>
      <c r="U127" s="5" t="s">
        <v>1406</v>
      </c>
      <c r="V127" s="5" t="s">
        <v>2255</v>
      </c>
      <c r="W127" s="5" t="s">
        <v>2256</v>
      </c>
      <c r="X127" s="5" t="s">
        <v>2257</v>
      </c>
      <c r="Y127" s="5" t="s">
        <v>2258</v>
      </c>
      <c r="Z127" s="10"/>
      <c r="AA127" s="5" t="s">
        <v>2259</v>
      </c>
      <c r="AB127" s="5"/>
      <c r="AC127" s="5" t="s">
        <v>1948</v>
      </c>
      <c r="AD127" s="62">
        <v>8.1999999999999993</v>
      </c>
    </row>
    <row r="128" spans="1:30">
      <c r="A128" s="4">
        <v>2019</v>
      </c>
      <c r="B128" s="4" t="s">
        <v>44</v>
      </c>
      <c r="C128" s="4">
        <f t="shared" si="3"/>
        <v>127</v>
      </c>
      <c r="D128" s="96" t="s">
        <v>886</v>
      </c>
      <c r="E128" s="56" t="s">
        <v>800</v>
      </c>
      <c r="F128" s="5" t="s">
        <v>155</v>
      </c>
      <c r="G128" s="5" t="s">
        <v>1442</v>
      </c>
      <c r="H128" s="5" t="s">
        <v>131</v>
      </c>
      <c r="I128" s="7">
        <v>10500000</v>
      </c>
      <c r="J128" s="57" t="s">
        <v>1411</v>
      </c>
      <c r="K128" s="7">
        <v>18208955</v>
      </c>
      <c r="L128" s="8">
        <v>62074</v>
      </c>
      <c r="M128" s="7">
        <v>11550000</v>
      </c>
      <c r="N128" s="7">
        <v>48656716</v>
      </c>
      <c r="O128" s="7">
        <v>50885008</v>
      </c>
      <c r="P128" s="7">
        <v>50885008</v>
      </c>
      <c r="Q128" s="7">
        <f t="shared" si="2"/>
        <v>0</v>
      </c>
      <c r="R128" s="5" t="s">
        <v>606</v>
      </c>
      <c r="S128" s="5" t="s">
        <v>598</v>
      </c>
      <c r="T128" s="5">
        <v>0</v>
      </c>
      <c r="U128" s="5" t="s">
        <v>1406</v>
      </c>
      <c r="V128" s="5" t="s">
        <v>2260</v>
      </c>
      <c r="W128" s="5" t="s">
        <v>155</v>
      </c>
      <c r="X128" s="5" t="s">
        <v>2261</v>
      </c>
      <c r="Y128" s="5"/>
      <c r="Z128" s="10"/>
      <c r="AA128" s="5" t="s">
        <v>2262</v>
      </c>
      <c r="AB128" s="5"/>
      <c r="AC128" s="5" t="s">
        <v>2263</v>
      </c>
      <c r="AD128" s="62">
        <v>9.3000000000000007</v>
      </c>
    </row>
    <row r="129" spans="1:30">
      <c r="A129" s="4">
        <v>2019</v>
      </c>
      <c r="B129" s="4" t="s">
        <v>44</v>
      </c>
      <c r="C129" s="4">
        <f t="shared" si="3"/>
        <v>128</v>
      </c>
      <c r="D129" s="96" t="s">
        <v>886</v>
      </c>
      <c r="E129" s="4" t="s">
        <v>800</v>
      </c>
      <c r="F129" s="5" t="s">
        <v>190</v>
      </c>
      <c r="G129" s="5" t="s">
        <v>1447</v>
      </c>
      <c r="H129" s="5" t="s">
        <v>191</v>
      </c>
      <c r="I129" s="7">
        <v>8955223.880597014</v>
      </c>
      <c r="J129" s="57" t="s">
        <v>1411</v>
      </c>
      <c r="K129" s="7">
        <v>2238805.9701492535</v>
      </c>
      <c r="L129" s="8">
        <v>23080</v>
      </c>
      <c r="M129" s="7">
        <v>3852893</v>
      </c>
      <c r="N129" s="7">
        <v>6716417.9104477614</v>
      </c>
      <c r="O129" s="7">
        <v>8091941</v>
      </c>
      <c r="P129" s="7">
        <v>8091941</v>
      </c>
      <c r="Q129" s="7">
        <f t="shared" si="2"/>
        <v>0</v>
      </c>
      <c r="R129" s="5" t="s">
        <v>606</v>
      </c>
      <c r="S129" s="5" t="s">
        <v>598</v>
      </c>
      <c r="T129" s="5" t="s">
        <v>616</v>
      </c>
      <c r="U129" s="5" t="s">
        <v>1406</v>
      </c>
      <c r="V129" s="5" t="s">
        <v>2264</v>
      </c>
      <c r="W129" s="5" t="s">
        <v>2265</v>
      </c>
      <c r="X129" s="5" t="s">
        <v>2266</v>
      </c>
      <c r="Y129" s="5" t="s">
        <v>2267</v>
      </c>
      <c r="Z129" s="10"/>
      <c r="AA129" s="5" t="s">
        <v>2268</v>
      </c>
      <c r="AB129" s="5"/>
      <c r="AC129" s="5" t="s">
        <v>2269</v>
      </c>
      <c r="AD129" s="62">
        <v>8.8000000000000007</v>
      </c>
    </row>
    <row r="130" spans="1:30">
      <c r="A130" s="4">
        <v>2018</v>
      </c>
      <c r="B130" s="4" t="s">
        <v>44</v>
      </c>
      <c r="C130" s="4">
        <f t="shared" si="3"/>
        <v>129</v>
      </c>
      <c r="D130" s="96" t="s">
        <v>975</v>
      </c>
      <c r="E130" s="4" t="s">
        <v>975</v>
      </c>
      <c r="F130" s="5" t="s">
        <v>1028</v>
      </c>
      <c r="G130" s="5" t="s">
        <v>1448</v>
      </c>
      <c r="H130" s="5" t="s">
        <v>193</v>
      </c>
      <c r="I130" s="7">
        <v>11940298</v>
      </c>
      <c r="J130" s="7">
        <v>4477611</v>
      </c>
      <c r="K130" s="7">
        <v>11428358</v>
      </c>
      <c r="L130" s="8">
        <v>61528</v>
      </c>
      <c r="M130" s="7">
        <v>14718449</v>
      </c>
      <c r="N130" s="7">
        <v>30597014</v>
      </c>
      <c r="O130" s="7">
        <v>32449600</v>
      </c>
      <c r="P130" s="7">
        <v>32449600</v>
      </c>
      <c r="Q130" s="7">
        <f t="shared" si="2"/>
        <v>0</v>
      </c>
      <c r="R130" s="5" t="s">
        <v>597</v>
      </c>
      <c r="S130" s="5" t="s">
        <v>598</v>
      </c>
      <c r="T130" s="5" t="s">
        <v>616</v>
      </c>
      <c r="U130" s="5" t="s">
        <v>1406</v>
      </c>
      <c r="V130" s="5" t="s">
        <v>2270</v>
      </c>
      <c r="W130" s="5" t="s">
        <v>2271</v>
      </c>
      <c r="X130" s="5" t="s">
        <v>2272</v>
      </c>
      <c r="Y130" s="5" t="s">
        <v>2273</v>
      </c>
      <c r="Z130" s="10"/>
      <c r="AA130" s="5" t="s">
        <v>2274</v>
      </c>
      <c r="AB130" s="5"/>
      <c r="AC130" s="5" t="s">
        <v>1948</v>
      </c>
      <c r="AD130" s="62">
        <v>5.9</v>
      </c>
    </row>
    <row r="131" spans="1:30">
      <c r="A131" s="4">
        <v>2019</v>
      </c>
      <c r="B131" s="4" t="s">
        <v>44</v>
      </c>
      <c r="C131" s="4">
        <f t="shared" si="3"/>
        <v>130</v>
      </c>
      <c r="D131" s="96" t="s">
        <v>886</v>
      </c>
      <c r="E131" s="4" t="s">
        <v>2275</v>
      </c>
      <c r="F131" s="5" t="s">
        <v>180</v>
      </c>
      <c r="G131" s="5" t="s">
        <v>2276</v>
      </c>
      <c r="H131" s="5" t="s">
        <v>131</v>
      </c>
      <c r="I131" s="7">
        <v>5970149</v>
      </c>
      <c r="J131" s="57" t="s">
        <v>1411</v>
      </c>
      <c r="K131" s="7">
        <v>3283582</v>
      </c>
      <c r="L131" s="8">
        <v>32822</v>
      </c>
      <c r="M131" s="7">
        <v>5210000</v>
      </c>
      <c r="N131" s="7">
        <v>9701492</v>
      </c>
      <c r="O131" s="7">
        <v>9626679</v>
      </c>
      <c r="P131" s="7">
        <v>9626679</v>
      </c>
      <c r="Q131" s="7">
        <f t="shared" ref="Q131:Q194" si="4">P131-O131</f>
        <v>0</v>
      </c>
      <c r="R131" s="5" t="s">
        <v>606</v>
      </c>
      <c r="S131" s="5" t="s">
        <v>598</v>
      </c>
      <c r="T131" s="5" t="s">
        <v>616</v>
      </c>
      <c r="U131" s="5" t="s">
        <v>1406</v>
      </c>
      <c r="V131" s="5" t="s">
        <v>2277</v>
      </c>
      <c r="W131" s="5" t="s">
        <v>2278</v>
      </c>
      <c r="X131" s="5" t="s">
        <v>1963</v>
      </c>
      <c r="Y131" s="5"/>
      <c r="Z131" s="10"/>
      <c r="AA131" s="5" t="s">
        <v>2279</v>
      </c>
      <c r="AB131" s="5"/>
      <c r="AC131" s="5" t="s">
        <v>2280</v>
      </c>
      <c r="AD131" s="62">
        <v>7.2</v>
      </c>
    </row>
    <row r="132" spans="1:30">
      <c r="A132" s="4">
        <v>2018</v>
      </c>
      <c r="B132" s="4" t="s">
        <v>44</v>
      </c>
      <c r="C132" s="4">
        <f t="shared" ref="C132:C195" si="5">C131+1</f>
        <v>131</v>
      </c>
      <c r="D132" s="96" t="s">
        <v>886</v>
      </c>
      <c r="E132" s="4" t="s">
        <v>854</v>
      </c>
      <c r="F132" s="5" t="s">
        <v>377</v>
      </c>
      <c r="G132" s="5" t="s">
        <v>1449</v>
      </c>
      <c r="H132" s="5" t="s">
        <v>127</v>
      </c>
      <c r="I132" s="7">
        <v>29850746</v>
      </c>
      <c r="J132" s="7">
        <v>5970149</v>
      </c>
      <c r="K132" s="7">
        <v>26865671</v>
      </c>
      <c r="L132" s="8">
        <v>109738</v>
      </c>
      <c r="M132" s="7">
        <v>3241628</v>
      </c>
      <c r="N132" s="7">
        <v>74626865</v>
      </c>
      <c r="O132" s="7">
        <v>74842075</v>
      </c>
      <c r="P132" s="7">
        <v>74842075</v>
      </c>
      <c r="Q132" s="7">
        <f t="shared" si="4"/>
        <v>0</v>
      </c>
      <c r="R132" s="5" t="s">
        <v>1397</v>
      </c>
      <c r="S132" s="5" t="s">
        <v>703</v>
      </c>
      <c r="T132" s="5" t="s">
        <v>607</v>
      </c>
      <c r="U132" s="5" t="s">
        <v>1406</v>
      </c>
      <c r="V132" s="5" t="s">
        <v>2281</v>
      </c>
      <c r="W132" s="5" t="s">
        <v>2282</v>
      </c>
      <c r="X132" s="5" t="s">
        <v>2283</v>
      </c>
      <c r="Y132" s="5"/>
      <c r="Z132" s="10"/>
      <c r="AA132" s="5" t="s">
        <v>2284</v>
      </c>
      <c r="AB132" s="5"/>
      <c r="AC132" s="5" t="s">
        <v>2285</v>
      </c>
      <c r="AD132" s="62">
        <v>8.5</v>
      </c>
    </row>
    <row r="133" spans="1:30">
      <c r="A133" s="4">
        <v>2018</v>
      </c>
      <c r="B133" s="4" t="s">
        <v>44</v>
      </c>
      <c r="C133" s="4">
        <f t="shared" si="5"/>
        <v>132</v>
      </c>
      <c r="D133" s="96" t="s">
        <v>886</v>
      </c>
      <c r="E133" s="4" t="s">
        <v>2286</v>
      </c>
      <c r="F133" s="5" t="s">
        <v>53</v>
      </c>
      <c r="G133" s="5" t="s">
        <v>1428</v>
      </c>
      <c r="H133" s="5" t="s">
        <v>148</v>
      </c>
      <c r="I133" s="7">
        <v>6000000</v>
      </c>
      <c r="J133" s="57" t="s">
        <v>1411</v>
      </c>
      <c r="K133" s="7">
        <v>8955224</v>
      </c>
      <c r="L133" s="8">
        <v>2360</v>
      </c>
      <c r="M133" s="7">
        <v>6737049</v>
      </c>
      <c r="N133" s="7">
        <v>25820895</v>
      </c>
      <c r="O133" s="7">
        <v>28792065</v>
      </c>
      <c r="P133" s="7">
        <v>28792065</v>
      </c>
      <c r="Q133" s="7">
        <f t="shared" si="4"/>
        <v>0</v>
      </c>
      <c r="R133" s="5" t="s">
        <v>1397</v>
      </c>
      <c r="S133" s="5" t="s">
        <v>598</v>
      </c>
      <c r="T133" s="5" t="s">
        <v>616</v>
      </c>
      <c r="U133" s="5" t="s">
        <v>1406</v>
      </c>
      <c r="V133" s="5" t="s">
        <v>2287</v>
      </c>
      <c r="W133" s="5" t="s">
        <v>2288</v>
      </c>
      <c r="X133" s="5" t="s">
        <v>2289</v>
      </c>
      <c r="Y133" s="5" t="s">
        <v>2290</v>
      </c>
      <c r="Z133" s="10"/>
      <c r="AA133" s="5" t="s">
        <v>2291</v>
      </c>
      <c r="AB133" s="5"/>
      <c r="AC133" s="5" t="s">
        <v>1911</v>
      </c>
      <c r="AD133" s="62">
        <v>8.5</v>
      </c>
    </row>
    <row r="134" spans="1:30">
      <c r="A134" s="4">
        <v>2019</v>
      </c>
      <c r="B134" s="4" t="s">
        <v>45</v>
      </c>
      <c r="C134" s="4">
        <f t="shared" si="5"/>
        <v>133</v>
      </c>
      <c r="D134" s="96" t="s">
        <v>886</v>
      </c>
      <c r="E134" s="4" t="s">
        <v>2055</v>
      </c>
      <c r="F134" s="5" t="s">
        <v>1038</v>
      </c>
      <c r="G134" s="5" t="s">
        <v>1450</v>
      </c>
      <c r="H134" s="5" t="s">
        <v>136</v>
      </c>
      <c r="I134" s="7">
        <v>3731343.2835820895</v>
      </c>
      <c r="J134" s="57" t="s">
        <v>1411</v>
      </c>
      <c r="K134" s="7">
        <v>1791044.7761194028</v>
      </c>
      <c r="L134" s="41">
        <v>37174</v>
      </c>
      <c r="M134" s="42">
        <v>14387</v>
      </c>
      <c r="N134" s="7">
        <v>4925373.1343283579</v>
      </c>
      <c r="O134" s="7">
        <v>4815816</v>
      </c>
      <c r="P134" s="7">
        <v>4815816</v>
      </c>
      <c r="Q134" s="7">
        <f t="shared" si="4"/>
        <v>0</v>
      </c>
      <c r="R134" s="5" t="s">
        <v>606</v>
      </c>
      <c r="S134" s="5" t="s">
        <v>598</v>
      </c>
      <c r="T134" s="5">
        <v>0</v>
      </c>
      <c r="U134" s="5" t="s">
        <v>1406</v>
      </c>
      <c r="V134" s="5" t="s">
        <v>2295</v>
      </c>
      <c r="W134" s="5" t="s">
        <v>2296</v>
      </c>
      <c r="X134" s="5" t="s">
        <v>1994</v>
      </c>
      <c r="Y134" s="5" t="s">
        <v>1646</v>
      </c>
      <c r="Z134" s="5" t="s">
        <v>2297</v>
      </c>
      <c r="AA134" s="5" t="s">
        <v>2298</v>
      </c>
      <c r="AB134" s="5"/>
      <c r="AC134" s="5" t="s">
        <v>2299</v>
      </c>
      <c r="AD134" s="62">
        <v>6</v>
      </c>
    </row>
    <row r="135" spans="1:30">
      <c r="A135" s="4">
        <v>2017</v>
      </c>
      <c r="B135" s="4" t="s">
        <v>44</v>
      </c>
      <c r="C135" s="4">
        <f t="shared" si="5"/>
        <v>134</v>
      </c>
      <c r="D135" s="96" t="s">
        <v>1057</v>
      </c>
      <c r="E135" s="4" t="s">
        <v>1057</v>
      </c>
      <c r="F135" s="5" t="s">
        <v>1058</v>
      </c>
      <c r="G135" s="5" t="s">
        <v>653</v>
      </c>
      <c r="H135" s="5" t="s">
        <v>129</v>
      </c>
      <c r="I135" s="7">
        <v>150000000</v>
      </c>
      <c r="J135" s="57"/>
      <c r="K135" s="7"/>
      <c r="L135" s="8">
        <v>3328</v>
      </c>
      <c r="M135" s="7">
        <v>18469620</v>
      </c>
      <c r="N135" s="7"/>
      <c r="O135" s="7">
        <v>289329747</v>
      </c>
      <c r="P135" s="7">
        <v>334486852</v>
      </c>
      <c r="Q135" s="92">
        <f t="shared" si="4"/>
        <v>45157105</v>
      </c>
      <c r="R135" s="5" t="s">
        <v>606</v>
      </c>
      <c r="S135" s="5" t="s">
        <v>598</v>
      </c>
      <c r="T135" s="5" t="s">
        <v>658</v>
      </c>
      <c r="U135" s="5" t="s">
        <v>1393</v>
      </c>
      <c r="V135" s="39" t="s">
        <v>2304</v>
      </c>
      <c r="W135" s="39" t="s">
        <v>1058</v>
      </c>
      <c r="X135" s="39" t="s">
        <v>2305</v>
      </c>
      <c r="Y135" s="39" t="s">
        <v>2306</v>
      </c>
      <c r="Z135" s="39" t="s">
        <v>2307</v>
      </c>
      <c r="AA135" s="39" t="s">
        <v>1547</v>
      </c>
      <c r="AB135" s="5"/>
      <c r="AC135" s="39" t="s">
        <v>2308</v>
      </c>
      <c r="AD135" s="59">
        <v>8.4</v>
      </c>
    </row>
    <row r="136" spans="1:30">
      <c r="A136" s="4">
        <v>2017</v>
      </c>
      <c r="B136" s="4" t="s">
        <v>44</v>
      </c>
      <c r="C136" s="4">
        <f t="shared" si="5"/>
        <v>135</v>
      </c>
      <c r="D136" s="96" t="s">
        <v>1059</v>
      </c>
      <c r="E136" s="4" t="s">
        <v>2309</v>
      </c>
      <c r="F136" s="5" t="s">
        <v>1060</v>
      </c>
      <c r="G136" s="5" t="s">
        <v>609</v>
      </c>
      <c r="H136" s="5" t="s">
        <v>129</v>
      </c>
      <c r="I136" s="7">
        <v>29850746.268656716</v>
      </c>
      <c r="J136" s="7">
        <v>8955223.880597014</v>
      </c>
      <c r="K136" s="7">
        <v>28955223.880597014</v>
      </c>
      <c r="L136" s="8">
        <v>2515</v>
      </c>
      <c r="M136" s="7">
        <v>13113024</v>
      </c>
      <c r="N136" s="7">
        <v>76567164.179104477</v>
      </c>
      <c r="O136" s="7">
        <v>106389853</v>
      </c>
      <c r="P136" s="7">
        <v>140783360</v>
      </c>
      <c r="Q136" s="92">
        <f t="shared" si="4"/>
        <v>34393507</v>
      </c>
      <c r="R136" s="5" t="s">
        <v>602</v>
      </c>
      <c r="S136" s="5" t="s">
        <v>598</v>
      </c>
      <c r="T136" s="5" t="s">
        <v>616</v>
      </c>
      <c r="U136" s="5" t="s">
        <v>1394</v>
      </c>
      <c r="V136" s="5" t="s">
        <v>2310</v>
      </c>
      <c r="W136" s="5" t="s">
        <v>1060</v>
      </c>
      <c r="X136" s="5" t="s">
        <v>2008</v>
      </c>
      <c r="Y136" s="5"/>
      <c r="Z136" s="5"/>
      <c r="AA136" s="5" t="s">
        <v>2311</v>
      </c>
      <c r="AB136" s="5"/>
      <c r="AC136" s="5" t="s">
        <v>2312</v>
      </c>
      <c r="AD136" s="62">
        <v>8.4</v>
      </c>
    </row>
    <row r="137" spans="1:30">
      <c r="A137" s="4">
        <v>2017</v>
      </c>
      <c r="B137" s="4" t="s">
        <v>44</v>
      </c>
      <c r="C137" s="4">
        <f t="shared" si="5"/>
        <v>136</v>
      </c>
      <c r="D137" s="96" t="s">
        <v>1064</v>
      </c>
      <c r="E137" s="4" t="s">
        <v>1064</v>
      </c>
      <c r="F137" s="5" t="s">
        <v>1065</v>
      </c>
      <c r="G137" s="5" t="s">
        <v>764</v>
      </c>
      <c r="H137" s="5" t="s">
        <v>127</v>
      </c>
      <c r="I137" s="7">
        <v>60000000</v>
      </c>
      <c r="J137" s="57"/>
      <c r="K137" s="7"/>
      <c r="L137" s="8">
        <v>2077</v>
      </c>
      <c r="M137" s="7">
        <v>3704749</v>
      </c>
      <c r="N137" s="7"/>
      <c r="O137" s="7">
        <v>14727942</v>
      </c>
      <c r="P137" s="7">
        <v>24148488</v>
      </c>
      <c r="Q137" s="92">
        <f t="shared" si="4"/>
        <v>9420546</v>
      </c>
      <c r="R137" s="5" t="s">
        <v>606</v>
      </c>
      <c r="S137" s="5" t="s">
        <v>631</v>
      </c>
      <c r="T137" s="5" t="s">
        <v>612</v>
      </c>
      <c r="U137" s="5" t="s">
        <v>1392</v>
      </c>
      <c r="V137" s="39" t="s">
        <v>2313</v>
      </c>
      <c r="W137" s="39" t="s">
        <v>1065</v>
      </c>
      <c r="X137" s="39" t="s">
        <v>2314</v>
      </c>
      <c r="Y137" s="39" t="s">
        <v>2315</v>
      </c>
      <c r="Z137" s="39" t="s">
        <v>2316</v>
      </c>
      <c r="AA137" s="39" t="s">
        <v>2317</v>
      </c>
      <c r="AB137" s="5"/>
      <c r="AC137" s="39" t="s">
        <v>2318</v>
      </c>
      <c r="AD137" s="59">
        <v>8.6</v>
      </c>
    </row>
    <row r="138" spans="1:30">
      <c r="A138" s="4">
        <v>2017</v>
      </c>
      <c r="B138" s="4" t="s">
        <v>44</v>
      </c>
      <c r="C138" s="4">
        <f t="shared" si="5"/>
        <v>137</v>
      </c>
      <c r="D138" s="96" t="s">
        <v>1066</v>
      </c>
      <c r="E138" s="4" t="s">
        <v>1066</v>
      </c>
      <c r="F138" s="5" t="s">
        <v>8</v>
      </c>
      <c r="G138" s="5" t="s">
        <v>1067</v>
      </c>
      <c r="H138" s="5" t="s">
        <v>129</v>
      </c>
      <c r="I138" s="7">
        <v>29850746.300000001</v>
      </c>
      <c r="J138" s="7">
        <v>14925373.1</v>
      </c>
      <c r="K138" s="7">
        <v>311044776</v>
      </c>
      <c r="L138" s="8">
        <v>53</v>
      </c>
      <c r="M138" s="7">
        <v>219022</v>
      </c>
      <c r="N138" s="7">
        <v>792537313</v>
      </c>
      <c r="O138" s="7">
        <v>832753071</v>
      </c>
      <c r="P138" s="7">
        <v>835474171</v>
      </c>
      <c r="Q138" s="92">
        <f t="shared" si="4"/>
        <v>2721100</v>
      </c>
      <c r="R138" s="5" t="s">
        <v>606</v>
      </c>
      <c r="S138" s="5" t="s">
        <v>598</v>
      </c>
      <c r="T138" s="5" t="s">
        <v>616</v>
      </c>
      <c r="U138" s="5" t="s">
        <v>1390</v>
      </c>
      <c r="V138" s="5" t="s">
        <v>2319</v>
      </c>
      <c r="W138" s="5" t="s">
        <v>2320</v>
      </c>
      <c r="X138" s="5" t="s">
        <v>2321</v>
      </c>
      <c r="Y138" s="5"/>
      <c r="Z138" s="5"/>
      <c r="AA138" s="5" t="s">
        <v>2321</v>
      </c>
      <c r="AB138" s="5"/>
      <c r="AC138" s="5" t="s">
        <v>2322</v>
      </c>
      <c r="AD138" s="62">
        <v>9.6999999999999993</v>
      </c>
    </row>
    <row r="139" spans="1:30">
      <c r="A139" s="4">
        <v>2017</v>
      </c>
      <c r="B139" s="4" t="s">
        <v>44</v>
      </c>
      <c r="C139" s="4">
        <f t="shared" si="5"/>
        <v>138</v>
      </c>
      <c r="D139" s="96" t="s">
        <v>1068</v>
      </c>
      <c r="E139" s="4" t="s">
        <v>1068</v>
      </c>
      <c r="F139" s="5" t="s">
        <v>1069</v>
      </c>
      <c r="G139" s="5" t="s">
        <v>641</v>
      </c>
      <c r="H139" s="5" t="s">
        <v>129</v>
      </c>
      <c r="I139" s="7">
        <v>65671641</v>
      </c>
      <c r="J139" s="7">
        <v>11940298</v>
      </c>
      <c r="K139" s="7">
        <v>76865671</v>
      </c>
      <c r="L139" s="8">
        <v>67</v>
      </c>
      <c r="M139" s="7">
        <v>463883</v>
      </c>
      <c r="N139" s="7">
        <v>233134328</v>
      </c>
      <c r="O139" s="7">
        <v>247924803</v>
      </c>
      <c r="P139" s="7">
        <v>248805149</v>
      </c>
      <c r="Q139" s="92">
        <f t="shared" si="4"/>
        <v>880346</v>
      </c>
      <c r="R139" s="5" t="s">
        <v>606</v>
      </c>
      <c r="S139" s="5" t="s">
        <v>598</v>
      </c>
      <c r="T139" s="5" t="s">
        <v>616</v>
      </c>
      <c r="U139" s="5" t="s">
        <v>1393</v>
      </c>
      <c r="V139" s="5" t="s">
        <v>2323</v>
      </c>
      <c r="W139" s="5" t="s">
        <v>2324</v>
      </c>
      <c r="X139" s="5" t="s">
        <v>2325</v>
      </c>
      <c r="Y139" s="5"/>
      <c r="Z139" s="5"/>
      <c r="AA139" s="5" t="s">
        <v>2326</v>
      </c>
      <c r="AB139" s="5"/>
      <c r="AC139" s="5" t="s">
        <v>1948</v>
      </c>
      <c r="AD139" s="62">
        <v>7.7</v>
      </c>
    </row>
    <row r="140" spans="1:30" ht="15">
      <c r="A140" s="4">
        <v>2017</v>
      </c>
      <c r="B140" s="4" t="s">
        <v>44</v>
      </c>
      <c r="C140" s="4">
        <f t="shared" si="5"/>
        <v>139</v>
      </c>
      <c r="D140" s="96" t="s">
        <v>1070</v>
      </c>
      <c r="E140" s="4" t="s">
        <v>1070</v>
      </c>
      <c r="F140" s="5" t="s">
        <v>1071</v>
      </c>
      <c r="G140" s="5" t="s">
        <v>626</v>
      </c>
      <c r="H140" s="39" t="s">
        <v>1404</v>
      </c>
      <c r="I140" s="7">
        <v>5970149.253731343</v>
      </c>
      <c r="J140" s="7">
        <v>11940298.507462686</v>
      </c>
      <c r="K140" s="7">
        <v>21194029.850746267</v>
      </c>
      <c r="L140" s="8">
        <v>46</v>
      </c>
      <c r="M140" s="7">
        <v>323207</v>
      </c>
      <c r="N140" s="7">
        <v>56417910.447761193</v>
      </c>
      <c r="O140" s="7">
        <v>58576718</v>
      </c>
      <c r="P140" s="7">
        <v>59263153</v>
      </c>
      <c r="Q140" s="92">
        <f t="shared" si="4"/>
        <v>686435</v>
      </c>
      <c r="R140" s="5" t="s">
        <v>602</v>
      </c>
      <c r="S140" s="5" t="s">
        <v>598</v>
      </c>
      <c r="T140" s="5" t="s">
        <v>616</v>
      </c>
      <c r="U140" s="5" t="s">
        <v>1390</v>
      </c>
      <c r="V140" s="5" t="s">
        <v>2327</v>
      </c>
      <c r="W140" s="5" t="s">
        <v>1071</v>
      </c>
      <c r="X140" s="5" t="s">
        <v>2328</v>
      </c>
      <c r="Y140" s="5" t="s">
        <v>2329</v>
      </c>
      <c r="Z140" s="5" t="s">
        <v>2330</v>
      </c>
      <c r="AA140" s="5" t="s">
        <v>2331</v>
      </c>
      <c r="AB140" s="5"/>
      <c r="AC140" s="5" t="s">
        <v>2332</v>
      </c>
      <c r="AD140" s="62">
        <v>8.6</v>
      </c>
    </row>
    <row r="141" spans="1:30">
      <c r="A141" s="4">
        <v>2017</v>
      </c>
      <c r="B141" s="4" t="s">
        <v>44</v>
      </c>
      <c r="C141" s="4">
        <f t="shared" si="5"/>
        <v>140</v>
      </c>
      <c r="D141" s="96" t="s">
        <v>1072</v>
      </c>
      <c r="E141" s="4" t="s">
        <v>1072</v>
      </c>
      <c r="F141" s="5" t="s">
        <v>1073</v>
      </c>
      <c r="G141" s="5" t="s">
        <v>626</v>
      </c>
      <c r="H141" s="39" t="s">
        <v>1404</v>
      </c>
      <c r="I141" s="7">
        <v>20000000</v>
      </c>
      <c r="J141" s="57"/>
      <c r="K141" s="7"/>
      <c r="L141" s="8">
        <v>42</v>
      </c>
      <c r="M141" s="7">
        <v>224942</v>
      </c>
      <c r="N141" s="7"/>
      <c r="O141" s="7">
        <v>43301061</v>
      </c>
      <c r="P141" s="7">
        <v>43888531</v>
      </c>
      <c r="Q141" s="92">
        <f t="shared" si="4"/>
        <v>587470</v>
      </c>
      <c r="R141" s="5" t="s">
        <v>606</v>
      </c>
      <c r="S141" s="5" t="s">
        <v>598</v>
      </c>
      <c r="T141" s="5" t="s">
        <v>616</v>
      </c>
      <c r="U141" s="5" t="s">
        <v>1390</v>
      </c>
      <c r="V141" s="39" t="s">
        <v>2333</v>
      </c>
      <c r="W141" s="39" t="s">
        <v>2334</v>
      </c>
      <c r="X141" s="39" t="s">
        <v>1639</v>
      </c>
      <c r="Y141" s="39" t="s">
        <v>2335</v>
      </c>
      <c r="Z141" s="39" t="s">
        <v>2336</v>
      </c>
      <c r="AA141" s="39" t="s">
        <v>2337</v>
      </c>
      <c r="AB141" s="5"/>
      <c r="AC141" s="39" t="s">
        <v>2338</v>
      </c>
      <c r="AD141" s="59">
        <v>8.6</v>
      </c>
    </row>
    <row r="142" spans="1:30">
      <c r="A142" s="4">
        <v>2017</v>
      </c>
      <c r="B142" s="4" t="s">
        <v>44</v>
      </c>
      <c r="C142" s="4">
        <f t="shared" si="5"/>
        <v>141</v>
      </c>
      <c r="D142" s="96" t="s">
        <v>1074</v>
      </c>
      <c r="E142" s="101" t="s">
        <v>2339</v>
      </c>
      <c r="F142" s="5" t="s">
        <v>1075</v>
      </c>
      <c r="G142" s="5" t="s">
        <v>601</v>
      </c>
      <c r="H142" s="5" t="s">
        <v>131</v>
      </c>
      <c r="I142" s="7">
        <v>29850746.268656716</v>
      </c>
      <c r="J142" s="7">
        <v>14925373.134328358</v>
      </c>
      <c r="K142" s="7">
        <v>28208955.223880596</v>
      </c>
      <c r="L142" s="8">
        <v>51</v>
      </c>
      <c r="M142" s="7">
        <v>249933</v>
      </c>
      <c r="N142" s="7">
        <v>74776119.402985066</v>
      </c>
      <c r="O142" s="7">
        <v>82406221</v>
      </c>
      <c r="P142" s="7">
        <v>82891949</v>
      </c>
      <c r="Q142" s="92">
        <f t="shared" si="4"/>
        <v>485728</v>
      </c>
      <c r="R142" s="5" t="s">
        <v>602</v>
      </c>
      <c r="S142" s="5" t="s">
        <v>598</v>
      </c>
      <c r="T142" s="5" t="s">
        <v>603</v>
      </c>
      <c r="U142" s="5" t="s">
        <v>1390</v>
      </c>
      <c r="V142" s="5" t="s">
        <v>2340</v>
      </c>
      <c r="W142" s="5" t="s">
        <v>1075</v>
      </c>
      <c r="X142" s="5" t="s">
        <v>2014</v>
      </c>
      <c r="Y142" s="5" t="s">
        <v>2341</v>
      </c>
      <c r="Z142" s="5"/>
      <c r="AA142" s="5" t="s">
        <v>2342</v>
      </c>
      <c r="AB142" s="5" t="s">
        <v>2343</v>
      </c>
      <c r="AC142" s="5" t="s">
        <v>2344</v>
      </c>
      <c r="AD142" s="62">
        <v>7.1</v>
      </c>
    </row>
    <row r="143" spans="1:30">
      <c r="A143" s="4">
        <v>2017</v>
      </c>
      <c r="B143" s="4" t="s">
        <v>44</v>
      </c>
      <c r="C143" s="4">
        <f t="shared" si="5"/>
        <v>142</v>
      </c>
      <c r="D143" s="96" t="s">
        <v>1076</v>
      </c>
      <c r="E143" s="4" t="s">
        <v>1076</v>
      </c>
      <c r="F143" s="5" t="s">
        <v>1077</v>
      </c>
      <c r="G143" s="5" t="s">
        <v>626</v>
      </c>
      <c r="H143" s="5" t="s">
        <v>131</v>
      </c>
      <c r="I143" s="7">
        <v>23880597</v>
      </c>
      <c r="J143" s="7">
        <v>8955223</v>
      </c>
      <c r="K143" s="7">
        <v>56119402</v>
      </c>
      <c r="L143" s="8">
        <v>30</v>
      </c>
      <c r="M143" s="7">
        <v>160739</v>
      </c>
      <c r="N143" s="7">
        <v>145970149</v>
      </c>
      <c r="O143" s="7">
        <v>152549032</v>
      </c>
      <c r="P143" s="7">
        <v>153018738</v>
      </c>
      <c r="Q143" s="92">
        <f t="shared" si="4"/>
        <v>469706</v>
      </c>
      <c r="R143" s="5" t="s">
        <v>606</v>
      </c>
      <c r="S143" s="5" t="s">
        <v>598</v>
      </c>
      <c r="T143" s="5" t="s">
        <v>616</v>
      </c>
      <c r="U143" s="5" t="s">
        <v>1390</v>
      </c>
      <c r="V143" s="5" t="s">
        <v>2345</v>
      </c>
      <c r="W143" s="5" t="s">
        <v>2346</v>
      </c>
      <c r="X143" s="5" t="s">
        <v>2045</v>
      </c>
      <c r="Y143" s="5" t="s">
        <v>2025</v>
      </c>
      <c r="Z143" s="5"/>
      <c r="AA143" s="5" t="s">
        <v>2195</v>
      </c>
      <c r="AB143" s="5"/>
      <c r="AC143" s="5" t="s">
        <v>2196</v>
      </c>
      <c r="AD143" s="62">
        <v>8.6999999999999993</v>
      </c>
    </row>
    <row r="144" spans="1:30">
      <c r="A144" s="4">
        <v>2017</v>
      </c>
      <c r="B144" s="4" t="s">
        <v>44</v>
      </c>
      <c r="C144" s="4">
        <f t="shared" si="5"/>
        <v>143</v>
      </c>
      <c r="D144" s="96" t="s">
        <v>1080</v>
      </c>
      <c r="E144" s="4" t="s">
        <v>1080</v>
      </c>
      <c r="F144" s="5" t="s">
        <v>1081</v>
      </c>
      <c r="G144" s="5" t="s">
        <v>601</v>
      </c>
      <c r="H144" s="5" t="s">
        <v>129</v>
      </c>
      <c r="I144" s="7">
        <v>59701492</v>
      </c>
      <c r="J144" s="7">
        <v>11940298</v>
      </c>
      <c r="K144" s="7">
        <v>95373134</v>
      </c>
      <c r="L144" s="8">
        <v>245373134</v>
      </c>
      <c r="M144" s="7">
        <v>111979</v>
      </c>
      <c r="N144" s="7">
        <v>245373134</v>
      </c>
      <c r="O144" s="7">
        <v>255641470</v>
      </c>
      <c r="P144" s="7">
        <v>256004127</v>
      </c>
      <c r="Q144" s="92">
        <f t="shared" si="4"/>
        <v>362657</v>
      </c>
      <c r="R144" s="5" t="s">
        <v>606</v>
      </c>
      <c r="S144" s="5" t="s">
        <v>598</v>
      </c>
      <c r="T144" s="5" t="s">
        <v>616</v>
      </c>
      <c r="U144" s="5" t="s">
        <v>1390</v>
      </c>
      <c r="V144" s="5" t="s">
        <v>2347</v>
      </c>
      <c r="W144" s="5" t="s">
        <v>2348</v>
      </c>
      <c r="X144" s="5" t="s">
        <v>2008</v>
      </c>
      <c r="Y144" s="5"/>
      <c r="Z144" s="5"/>
      <c r="AA144" s="5" t="s">
        <v>2349</v>
      </c>
      <c r="AB144" s="5"/>
      <c r="AC144" s="5" t="s">
        <v>2350</v>
      </c>
      <c r="AD144" s="62">
        <v>8.4</v>
      </c>
    </row>
    <row r="145" spans="1:30">
      <c r="A145" s="4">
        <v>2017</v>
      </c>
      <c r="B145" s="4" t="s">
        <v>44</v>
      </c>
      <c r="C145" s="4">
        <f t="shared" si="5"/>
        <v>144</v>
      </c>
      <c r="D145" s="96" t="s">
        <v>1082</v>
      </c>
      <c r="E145" s="4" t="s">
        <v>1082</v>
      </c>
      <c r="F145" s="5" t="s">
        <v>1083</v>
      </c>
      <c r="G145" s="5" t="s">
        <v>601</v>
      </c>
      <c r="H145" s="5" t="s">
        <v>136</v>
      </c>
      <c r="I145" s="7">
        <v>10447761.194029851</v>
      </c>
      <c r="J145" s="7">
        <v>5970149.253731343</v>
      </c>
      <c r="K145" s="7">
        <v>11035820.895522388</v>
      </c>
      <c r="L145" s="8">
        <v>36</v>
      </c>
      <c r="M145" s="7">
        <v>135252</v>
      </c>
      <c r="N145" s="7">
        <v>29552238.805970147</v>
      </c>
      <c r="O145" s="7">
        <v>30658944</v>
      </c>
      <c r="P145" s="7">
        <v>30996614</v>
      </c>
      <c r="Q145" s="92">
        <f t="shared" si="4"/>
        <v>337670</v>
      </c>
      <c r="R145" s="5" t="s">
        <v>606</v>
      </c>
      <c r="S145" s="5" t="s">
        <v>598</v>
      </c>
      <c r="T145" s="5" t="s">
        <v>616</v>
      </c>
      <c r="U145" s="5" t="s">
        <v>1390</v>
      </c>
      <c r="V145" s="5" t="s">
        <v>2351</v>
      </c>
      <c r="W145" s="5" t="s">
        <v>1083</v>
      </c>
      <c r="X145" s="5" t="s">
        <v>2352</v>
      </c>
      <c r="Y145" s="5" t="s">
        <v>2122</v>
      </c>
      <c r="Z145" s="5"/>
      <c r="AA145" s="5" t="s">
        <v>2353</v>
      </c>
      <c r="AB145" s="5"/>
      <c r="AC145" s="5" t="s">
        <v>2354</v>
      </c>
      <c r="AD145" s="62">
        <v>8.9</v>
      </c>
    </row>
    <row r="146" spans="1:30">
      <c r="A146" s="4">
        <v>2017</v>
      </c>
      <c r="B146" s="4" t="s">
        <v>44</v>
      </c>
      <c r="C146" s="4">
        <f t="shared" si="5"/>
        <v>145</v>
      </c>
      <c r="D146" s="96" t="s">
        <v>1084</v>
      </c>
      <c r="E146" s="4" t="s">
        <v>1084</v>
      </c>
      <c r="F146" s="5" t="s">
        <v>1085</v>
      </c>
      <c r="G146" s="5" t="s">
        <v>601</v>
      </c>
      <c r="H146" s="5" t="s">
        <v>264</v>
      </c>
      <c r="I146" s="7">
        <v>10447761</v>
      </c>
      <c r="J146" s="7">
        <v>7462686</v>
      </c>
      <c r="K146" s="7">
        <v>24179104</v>
      </c>
      <c r="L146" s="8">
        <v>43</v>
      </c>
      <c r="M146" s="7">
        <v>115524</v>
      </c>
      <c r="N146" s="7">
        <v>64328358</v>
      </c>
      <c r="O146" s="7">
        <v>68409784</v>
      </c>
      <c r="P146" s="7">
        <v>68722321</v>
      </c>
      <c r="Q146" s="92">
        <f t="shared" si="4"/>
        <v>312537</v>
      </c>
      <c r="R146" s="5" t="s">
        <v>606</v>
      </c>
      <c r="S146" s="5" t="s">
        <v>598</v>
      </c>
      <c r="T146" s="5" t="s">
        <v>616</v>
      </c>
      <c r="U146" s="5" t="s">
        <v>1390</v>
      </c>
      <c r="V146" s="5" t="s">
        <v>2355</v>
      </c>
      <c r="W146" s="5" t="s">
        <v>2356</v>
      </c>
      <c r="X146" s="5" t="s">
        <v>2357</v>
      </c>
      <c r="Y146" s="5" t="s">
        <v>2132</v>
      </c>
      <c r="Z146" s="5"/>
      <c r="AA146" s="5" t="s">
        <v>2357</v>
      </c>
      <c r="AB146" s="5"/>
      <c r="AC146" s="5" t="s">
        <v>2358</v>
      </c>
      <c r="AD146" s="62">
        <v>9.1999999999999993</v>
      </c>
    </row>
    <row r="147" spans="1:30">
      <c r="A147" s="4">
        <v>2017</v>
      </c>
      <c r="B147" s="4" t="s">
        <v>44</v>
      </c>
      <c r="C147" s="4">
        <f t="shared" si="5"/>
        <v>146</v>
      </c>
      <c r="D147" s="96" t="s">
        <v>1080</v>
      </c>
      <c r="E147" s="4" t="s">
        <v>1080</v>
      </c>
      <c r="F147" s="5" t="s">
        <v>1086</v>
      </c>
      <c r="G147" s="5" t="s">
        <v>626</v>
      </c>
      <c r="H147" s="5" t="s">
        <v>129</v>
      </c>
      <c r="I147" s="7">
        <v>17910447.761194028</v>
      </c>
      <c r="J147" s="7">
        <v>8955223.880597014</v>
      </c>
      <c r="K147" s="7">
        <v>40895522.388059698</v>
      </c>
      <c r="L147" s="8">
        <v>55</v>
      </c>
      <c r="M147" s="7">
        <v>181705</v>
      </c>
      <c r="N147" s="7">
        <v>107164179.10447761</v>
      </c>
      <c r="O147" s="7">
        <v>109911139</v>
      </c>
      <c r="P147" s="7">
        <v>110203801</v>
      </c>
      <c r="Q147" s="92">
        <f t="shared" si="4"/>
        <v>292662</v>
      </c>
      <c r="R147" s="5" t="s">
        <v>606</v>
      </c>
      <c r="S147" s="5" t="s">
        <v>598</v>
      </c>
      <c r="T147" s="5" t="s">
        <v>616</v>
      </c>
      <c r="U147" s="5" t="s">
        <v>1390</v>
      </c>
      <c r="V147" s="5" t="s">
        <v>2359</v>
      </c>
      <c r="W147" s="5" t="s">
        <v>1086</v>
      </c>
      <c r="X147" s="5" t="s">
        <v>1946</v>
      </c>
      <c r="Y147" s="5"/>
      <c r="Z147" s="5"/>
      <c r="AA147" s="5" t="s">
        <v>1946</v>
      </c>
      <c r="AB147" s="5"/>
      <c r="AC147" s="5" t="s">
        <v>2360</v>
      </c>
      <c r="AD147" s="62">
        <v>7.4</v>
      </c>
    </row>
    <row r="148" spans="1:30">
      <c r="A148" s="4">
        <v>2017</v>
      </c>
      <c r="B148" s="4" t="s">
        <v>44</v>
      </c>
      <c r="C148" s="4">
        <f t="shared" si="5"/>
        <v>147</v>
      </c>
      <c r="D148" s="96" t="s">
        <v>1089</v>
      </c>
      <c r="E148" s="4" t="s">
        <v>1089</v>
      </c>
      <c r="F148" s="5" t="s">
        <v>1090</v>
      </c>
      <c r="G148" s="5" t="s">
        <v>601</v>
      </c>
      <c r="H148" s="5" t="s">
        <v>1404</v>
      </c>
      <c r="I148" s="7">
        <v>11940298.507462686</v>
      </c>
      <c r="J148" s="7">
        <v>2985074.6268656715</v>
      </c>
      <c r="K148" s="7">
        <v>122141791.04477611</v>
      </c>
      <c r="L148" s="41">
        <v>60692</v>
      </c>
      <c r="M148" s="42">
        <v>22180000</v>
      </c>
      <c r="N148" s="7">
        <v>32686567.164179105</v>
      </c>
      <c r="O148" s="7">
        <v>36585148</v>
      </c>
      <c r="P148" s="7">
        <v>36801704</v>
      </c>
      <c r="Q148" s="92">
        <f t="shared" si="4"/>
        <v>216556</v>
      </c>
      <c r="R148" s="5" t="s">
        <v>606</v>
      </c>
      <c r="S148" s="5" t="s">
        <v>598</v>
      </c>
      <c r="T148" s="5" t="s">
        <v>616</v>
      </c>
      <c r="U148" s="5" t="s">
        <v>1390</v>
      </c>
      <c r="V148" s="5" t="s">
        <v>2361</v>
      </c>
      <c r="W148" s="5" t="s">
        <v>1090</v>
      </c>
      <c r="X148" s="5" t="s">
        <v>2362</v>
      </c>
      <c r="Y148" s="5" t="s">
        <v>2363</v>
      </c>
      <c r="Z148" s="5"/>
      <c r="AA148" s="5" t="s">
        <v>2364</v>
      </c>
      <c r="AB148" s="5"/>
      <c r="AC148" s="5" t="s">
        <v>2365</v>
      </c>
      <c r="AD148" s="62">
        <v>8.1</v>
      </c>
    </row>
    <row r="149" spans="1:30">
      <c r="A149" s="4">
        <v>2017</v>
      </c>
      <c r="B149" s="4" t="s">
        <v>44</v>
      </c>
      <c r="C149" s="4">
        <f t="shared" si="5"/>
        <v>148</v>
      </c>
      <c r="D149" s="96" t="s">
        <v>1091</v>
      </c>
      <c r="E149" s="4" t="s">
        <v>1091</v>
      </c>
      <c r="F149" s="5" t="s">
        <v>1092</v>
      </c>
      <c r="G149" s="5" t="s">
        <v>626</v>
      </c>
      <c r="H149" s="5" t="s">
        <v>129</v>
      </c>
      <c r="I149" s="7">
        <v>7462686.5671641789</v>
      </c>
      <c r="J149" s="7">
        <v>2985074.6268656715</v>
      </c>
      <c r="K149" s="7">
        <v>2562089.5522388057</v>
      </c>
      <c r="L149" s="8">
        <v>33</v>
      </c>
      <c r="M149" s="7">
        <v>55307</v>
      </c>
      <c r="N149" s="7">
        <v>6984776.1194029851</v>
      </c>
      <c r="O149" s="7">
        <v>7618024</v>
      </c>
      <c r="P149" s="7">
        <v>7736408</v>
      </c>
      <c r="Q149" s="92">
        <f t="shared" si="4"/>
        <v>118384</v>
      </c>
      <c r="R149" s="5" t="s">
        <v>606</v>
      </c>
      <c r="S149" s="5" t="s">
        <v>598</v>
      </c>
      <c r="T149" s="5" t="s">
        <v>616</v>
      </c>
      <c r="U149" s="5" t="s">
        <v>1390</v>
      </c>
      <c r="V149" s="5" t="s">
        <v>2366</v>
      </c>
      <c r="W149" s="5" t="s">
        <v>2367</v>
      </c>
      <c r="X149" s="5" t="s">
        <v>2019</v>
      </c>
      <c r="Y149" s="5" t="s">
        <v>2188</v>
      </c>
      <c r="Z149" s="5" t="s">
        <v>2266</v>
      </c>
      <c r="AA149" s="5" t="s">
        <v>2368</v>
      </c>
      <c r="AB149" s="5"/>
      <c r="AC149" s="5" t="s">
        <v>2369</v>
      </c>
      <c r="AD149" s="62">
        <v>8.1999999999999993</v>
      </c>
    </row>
    <row r="150" spans="1:30">
      <c r="A150" s="4">
        <v>2017</v>
      </c>
      <c r="B150" s="4" t="s">
        <v>44</v>
      </c>
      <c r="C150" s="4">
        <f t="shared" si="5"/>
        <v>149</v>
      </c>
      <c r="D150" s="96" t="s">
        <v>1095</v>
      </c>
      <c r="E150" s="4" t="s">
        <v>1095</v>
      </c>
      <c r="F150" s="5" t="s">
        <v>1096</v>
      </c>
      <c r="G150" s="5" t="s">
        <v>601</v>
      </c>
      <c r="H150" s="5" t="s">
        <v>129</v>
      </c>
      <c r="I150" s="7">
        <v>11940298</v>
      </c>
      <c r="J150" s="7">
        <v>4477611</v>
      </c>
      <c r="K150" s="7">
        <v>10474626</v>
      </c>
      <c r="L150" s="8">
        <v>20</v>
      </c>
      <c r="M150" s="7">
        <v>54276</v>
      </c>
      <c r="N150" s="7">
        <v>16119402</v>
      </c>
      <c r="O150" s="7">
        <v>29836276</v>
      </c>
      <c r="P150" s="7">
        <v>29945246</v>
      </c>
      <c r="Q150" s="92">
        <f t="shared" si="4"/>
        <v>108970</v>
      </c>
      <c r="R150" s="5" t="s">
        <v>606</v>
      </c>
      <c r="S150" s="5" t="s">
        <v>598</v>
      </c>
      <c r="T150" s="5" t="s">
        <v>607</v>
      </c>
      <c r="U150" s="5" t="s">
        <v>1390</v>
      </c>
      <c r="V150" s="5" t="s">
        <v>2370</v>
      </c>
      <c r="W150" s="5" t="s">
        <v>2371</v>
      </c>
      <c r="X150" s="5" t="s">
        <v>2372</v>
      </c>
      <c r="Y150" s="5" t="s">
        <v>2373</v>
      </c>
      <c r="Z150" s="10"/>
      <c r="AA150" s="5" t="s">
        <v>2374</v>
      </c>
      <c r="AB150" s="5"/>
      <c r="AC150" s="5" t="s">
        <v>2375</v>
      </c>
      <c r="AD150" s="62">
        <v>7.9</v>
      </c>
    </row>
    <row r="151" spans="1:30">
      <c r="A151" s="4">
        <v>2017</v>
      </c>
      <c r="B151" s="4" t="s">
        <v>44</v>
      </c>
      <c r="C151" s="4">
        <f t="shared" si="5"/>
        <v>150</v>
      </c>
      <c r="D151" s="96" t="s">
        <v>1097</v>
      </c>
      <c r="E151" s="4" t="s">
        <v>1097</v>
      </c>
      <c r="F151" s="5" t="s">
        <v>1098</v>
      </c>
      <c r="G151" s="5" t="s">
        <v>601</v>
      </c>
      <c r="H151" s="5" t="s">
        <v>129</v>
      </c>
      <c r="I151" s="7">
        <v>14925373.134328358</v>
      </c>
      <c r="J151" s="7">
        <v>2985074.6268656715</v>
      </c>
      <c r="K151" s="7">
        <v>3342686.5671641789</v>
      </c>
      <c r="L151" s="8">
        <v>27</v>
      </c>
      <c r="M151" s="7">
        <v>23912</v>
      </c>
      <c r="N151" s="7">
        <v>9089402.9850746263</v>
      </c>
      <c r="O151" s="7">
        <v>9506524</v>
      </c>
      <c r="P151" s="7">
        <v>9560020</v>
      </c>
      <c r="Q151" s="92">
        <f t="shared" si="4"/>
        <v>53496</v>
      </c>
      <c r="R151" s="5" t="s">
        <v>606</v>
      </c>
      <c r="S151" s="5" t="s">
        <v>598</v>
      </c>
      <c r="T151" s="5" t="s">
        <v>658</v>
      </c>
      <c r="U151" s="5" t="s">
        <v>1390</v>
      </c>
      <c r="V151" s="5" t="s">
        <v>2376</v>
      </c>
      <c r="W151" s="5" t="s">
        <v>2377</v>
      </c>
      <c r="X151" s="5" t="s">
        <v>2378</v>
      </c>
      <c r="Y151" s="5" t="s">
        <v>2379</v>
      </c>
      <c r="Z151" s="10"/>
      <c r="AA151" s="5" t="s">
        <v>2380</v>
      </c>
      <c r="AB151" s="5"/>
      <c r="AC151" s="5" t="s">
        <v>1954</v>
      </c>
      <c r="AD151" s="62">
        <v>8.3000000000000007</v>
      </c>
    </row>
    <row r="152" spans="1:30">
      <c r="A152" s="4">
        <v>2017</v>
      </c>
      <c r="B152" s="4" t="s">
        <v>44</v>
      </c>
      <c r="C152" s="4">
        <f t="shared" si="5"/>
        <v>151</v>
      </c>
      <c r="D152" s="96" t="s">
        <v>1099</v>
      </c>
      <c r="E152" s="4" t="s">
        <v>1099</v>
      </c>
      <c r="F152" s="5" t="s">
        <v>1100</v>
      </c>
      <c r="G152" s="5" t="s">
        <v>626</v>
      </c>
      <c r="H152" s="5" t="s">
        <v>131</v>
      </c>
      <c r="I152" s="7">
        <v>8955223</v>
      </c>
      <c r="J152" s="7">
        <v>2238805</v>
      </c>
      <c r="K152" s="7">
        <v>908955</v>
      </c>
      <c r="L152" s="8">
        <v>6</v>
      </c>
      <c r="M152" s="7">
        <v>5942</v>
      </c>
      <c r="N152" s="7">
        <v>2480597</v>
      </c>
      <c r="O152" s="7">
        <v>2580320</v>
      </c>
      <c r="P152" s="7">
        <v>2632086</v>
      </c>
      <c r="Q152" s="92">
        <f t="shared" si="4"/>
        <v>51766</v>
      </c>
      <c r="R152" s="5" t="s">
        <v>606</v>
      </c>
      <c r="S152" s="5" t="s">
        <v>598</v>
      </c>
      <c r="T152" s="5" t="s">
        <v>616</v>
      </c>
      <c r="U152" s="5" t="s">
        <v>1390</v>
      </c>
      <c r="V152" s="5" t="s">
        <v>2381</v>
      </c>
      <c r="W152" s="5" t="s">
        <v>2382</v>
      </c>
      <c r="X152" s="5" t="s">
        <v>2383</v>
      </c>
      <c r="Y152" s="5" t="s">
        <v>2266</v>
      </c>
      <c r="Z152" s="10"/>
      <c r="AA152" s="5" t="s">
        <v>2384</v>
      </c>
      <c r="AB152" s="5"/>
      <c r="AC152" s="5" t="s">
        <v>2369</v>
      </c>
      <c r="AD152" s="62">
        <v>8.1999999999999993</v>
      </c>
    </row>
    <row r="153" spans="1:30">
      <c r="A153" s="4">
        <v>2017</v>
      </c>
      <c r="B153" s="4" t="s">
        <v>44</v>
      </c>
      <c r="C153" s="4">
        <f t="shared" si="5"/>
        <v>152</v>
      </c>
      <c r="D153" s="96" t="s">
        <v>1105</v>
      </c>
      <c r="E153" s="4" t="s">
        <v>1105</v>
      </c>
      <c r="F153" s="5" t="s">
        <v>1106</v>
      </c>
      <c r="G153" s="5" t="s">
        <v>626</v>
      </c>
      <c r="H153" s="5" t="s">
        <v>191</v>
      </c>
      <c r="I153" s="7">
        <v>447761.19402985071</v>
      </c>
      <c r="J153" s="7">
        <v>119402.98507462686</v>
      </c>
      <c r="K153" s="7">
        <v>8679104.4776119404</v>
      </c>
      <c r="L153" s="8">
        <v>11</v>
      </c>
      <c r="M153" s="7">
        <v>22222</v>
      </c>
      <c r="N153" s="7">
        <v>23283582.089552239</v>
      </c>
      <c r="O153" s="7">
        <v>25711603</v>
      </c>
      <c r="P153" s="7">
        <v>25733825</v>
      </c>
      <c r="Q153" s="92">
        <f t="shared" si="4"/>
        <v>22222</v>
      </c>
      <c r="R153" s="5" t="s">
        <v>597</v>
      </c>
      <c r="S153" s="5" t="s">
        <v>598</v>
      </c>
      <c r="T153" s="5" t="s">
        <v>599</v>
      </c>
      <c r="U153" s="5" t="s">
        <v>1390</v>
      </c>
      <c r="V153" s="5" t="s">
        <v>2385</v>
      </c>
      <c r="W153" s="5" t="s">
        <v>1106</v>
      </c>
      <c r="X153" s="5" t="s">
        <v>1411</v>
      </c>
      <c r="Y153" s="5"/>
      <c r="Z153" s="10"/>
      <c r="AA153" s="5" t="s">
        <v>2386</v>
      </c>
      <c r="AB153" s="5"/>
      <c r="AC153" s="5" t="s">
        <v>2387</v>
      </c>
      <c r="AD153" s="62">
        <v>9.1999999999999993</v>
      </c>
    </row>
    <row r="154" spans="1:30">
      <c r="A154" s="4">
        <v>2017</v>
      </c>
      <c r="B154" s="4" t="s">
        <v>44</v>
      </c>
      <c r="C154" s="4">
        <f t="shared" si="5"/>
        <v>153</v>
      </c>
      <c r="D154" s="96" t="s">
        <v>1107</v>
      </c>
      <c r="E154" s="4" t="s">
        <v>1107</v>
      </c>
      <c r="F154" s="5" t="s">
        <v>1108</v>
      </c>
      <c r="G154" s="5" t="s">
        <v>601</v>
      </c>
      <c r="H154" s="5" t="s">
        <v>129</v>
      </c>
      <c r="I154" s="7">
        <v>17910447</v>
      </c>
      <c r="J154" s="7">
        <v>2985074</v>
      </c>
      <c r="K154" s="7">
        <v>5985074</v>
      </c>
      <c r="L154" s="8">
        <v>4</v>
      </c>
      <c r="M154" s="7">
        <v>5122</v>
      </c>
      <c r="N154" s="7">
        <v>16119402</v>
      </c>
      <c r="O154" s="7">
        <v>17269548</v>
      </c>
      <c r="P154" s="7">
        <v>17283136</v>
      </c>
      <c r="Q154" s="92">
        <f t="shared" si="4"/>
        <v>13588</v>
      </c>
      <c r="R154" s="5" t="s">
        <v>606</v>
      </c>
      <c r="S154" s="5" t="s">
        <v>598</v>
      </c>
      <c r="T154" s="5" t="s">
        <v>603</v>
      </c>
      <c r="U154" s="5" t="s">
        <v>1390</v>
      </c>
      <c r="V154" s="5" t="s">
        <v>2388</v>
      </c>
      <c r="W154" s="5" t="s">
        <v>2389</v>
      </c>
      <c r="X154" s="5" t="s">
        <v>2289</v>
      </c>
      <c r="Y154" s="5" t="s">
        <v>1699</v>
      </c>
      <c r="Z154" s="10"/>
      <c r="AA154" s="5" t="s">
        <v>2390</v>
      </c>
      <c r="AB154" s="5"/>
      <c r="AC154" s="5" t="s">
        <v>2048</v>
      </c>
      <c r="AD154" s="62">
        <v>7.9</v>
      </c>
    </row>
    <row r="155" spans="1:30">
      <c r="A155" s="4">
        <v>2017</v>
      </c>
      <c r="B155" s="4" t="s">
        <v>44</v>
      </c>
      <c r="C155" s="4">
        <f t="shared" si="5"/>
        <v>154</v>
      </c>
      <c r="D155" s="96" t="s">
        <v>1126</v>
      </c>
      <c r="E155" s="4" t="s">
        <v>2391</v>
      </c>
      <c r="F155" s="5" t="s">
        <v>1138</v>
      </c>
      <c r="G155" s="5" t="s">
        <v>2392</v>
      </c>
      <c r="H155" s="5" t="s">
        <v>131</v>
      </c>
      <c r="I155" s="7">
        <v>447761.19402985071</v>
      </c>
      <c r="J155" s="7">
        <v>298507.46268656716</v>
      </c>
      <c r="K155" s="7">
        <v>1277611.9402985075</v>
      </c>
      <c r="L155" s="41">
        <v>6214</v>
      </c>
      <c r="M155" s="42">
        <v>280000</v>
      </c>
      <c r="N155" s="7">
        <v>3483582.0895522386</v>
      </c>
      <c r="O155" s="7">
        <v>3741863</v>
      </c>
      <c r="P155" s="7">
        <v>3741863</v>
      </c>
      <c r="Q155" s="7">
        <f t="shared" si="4"/>
        <v>0</v>
      </c>
      <c r="R155" s="5" t="s">
        <v>606</v>
      </c>
      <c r="S155" s="5" t="s">
        <v>598</v>
      </c>
      <c r="T155" s="5" t="s">
        <v>612</v>
      </c>
      <c r="U155" s="5" t="s">
        <v>2984</v>
      </c>
      <c r="V155" s="5" t="s">
        <v>2393</v>
      </c>
      <c r="W155" s="5" t="s">
        <v>1138</v>
      </c>
      <c r="X155" s="5" t="s">
        <v>2394</v>
      </c>
      <c r="Y155" s="5" t="s">
        <v>2395</v>
      </c>
      <c r="Z155" s="10"/>
      <c r="AA155" s="5" t="s">
        <v>2396</v>
      </c>
      <c r="AB155" s="5"/>
      <c r="AC155" s="5" t="s">
        <v>2392</v>
      </c>
      <c r="AD155" s="62">
        <v>9.1999999999999993</v>
      </c>
    </row>
    <row r="156" spans="1:30">
      <c r="A156" s="4">
        <v>2017</v>
      </c>
      <c r="B156" s="4" t="s">
        <v>44</v>
      </c>
      <c r="C156" s="4">
        <f t="shared" si="5"/>
        <v>155</v>
      </c>
      <c r="D156" s="96" t="s">
        <v>1126</v>
      </c>
      <c r="E156" s="56" t="s">
        <v>2397</v>
      </c>
      <c r="F156" s="5" t="s">
        <v>1161</v>
      </c>
      <c r="G156" s="5" t="s">
        <v>1415</v>
      </c>
      <c r="H156" s="5" t="s">
        <v>129</v>
      </c>
      <c r="I156" s="7">
        <v>2985074.6268656715</v>
      </c>
      <c r="J156" s="57" t="s">
        <v>1411</v>
      </c>
      <c r="K156" s="7"/>
      <c r="L156" s="8">
        <v>11051</v>
      </c>
      <c r="M156" s="7">
        <v>1410000</v>
      </c>
      <c r="N156" s="7"/>
      <c r="O156" s="7">
        <v>6120728</v>
      </c>
      <c r="P156" s="7">
        <v>6120728</v>
      </c>
      <c r="Q156" s="7">
        <f t="shared" si="4"/>
        <v>0</v>
      </c>
      <c r="R156" s="5" t="s">
        <v>610</v>
      </c>
      <c r="S156" s="5" t="s">
        <v>631</v>
      </c>
      <c r="T156" s="5" t="s">
        <v>607</v>
      </c>
      <c r="U156" s="5" t="s">
        <v>2984</v>
      </c>
      <c r="V156" s="5" t="s">
        <v>2398</v>
      </c>
      <c r="W156" s="5" t="s">
        <v>2399</v>
      </c>
      <c r="X156" s="39" t="s">
        <v>2400</v>
      </c>
      <c r="Y156" s="39" t="s">
        <v>2401</v>
      </c>
      <c r="Z156" s="99" t="s">
        <v>2402</v>
      </c>
      <c r="AA156" s="39" t="s">
        <v>2403</v>
      </c>
      <c r="AB156" s="5"/>
      <c r="AC156" s="5" t="s">
        <v>2404</v>
      </c>
      <c r="AD156" s="59">
        <v>8</v>
      </c>
    </row>
    <row r="157" spans="1:30">
      <c r="A157" s="4">
        <v>2018</v>
      </c>
      <c r="B157" s="4" t="s">
        <v>44</v>
      </c>
      <c r="C157" s="4">
        <f t="shared" si="5"/>
        <v>156</v>
      </c>
      <c r="D157" s="96" t="s">
        <v>1126</v>
      </c>
      <c r="E157" s="4" t="s">
        <v>2064</v>
      </c>
      <c r="F157" s="5" t="s">
        <v>1163</v>
      </c>
      <c r="G157" s="5" t="s">
        <v>2405</v>
      </c>
      <c r="H157" s="5" t="s">
        <v>127</v>
      </c>
      <c r="I157" s="7">
        <v>2985074</v>
      </c>
      <c r="J157" s="7">
        <v>1194029</v>
      </c>
      <c r="K157" s="7">
        <v>3714925</v>
      </c>
      <c r="L157" s="8">
        <v>49354</v>
      </c>
      <c r="M157" s="7">
        <v>153225</v>
      </c>
      <c r="N157" s="7">
        <v>10079104</v>
      </c>
      <c r="O157" s="7">
        <v>11264408</v>
      </c>
      <c r="P157" s="7">
        <v>11264408</v>
      </c>
      <c r="Q157" s="7">
        <f t="shared" si="4"/>
        <v>0</v>
      </c>
      <c r="R157" s="5" t="s">
        <v>602</v>
      </c>
      <c r="S157" s="5" t="s">
        <v>631</v>
      </c>
      <c r="T157" s="5" t="s">
        <v>612</v>
      </c>
      <c r="U157" s="5" t="s">
        <v>2984</v>
      </c>
      <c r="V157" s="5" t="s">
        <v>2406</v>
      </c>
      <c r="W157" s="5" t="s">
        <v>2407</v>
      </c>
      <c r="X157" s="5" t="s">
        <v>2408</v>
      </c>
      <c r="Y157" s="5" t="s">
        <v>2409</v>
      </c>
      <c r="Z157" s="5"/>
      <c r="AA157" s="5" t="s">
        <v>1744</v>
      </c>
      <c r="AB157" s="5"/>
      <c r="AC157" s="5" t="s">
        <v>1746</v>
      </c>
      <c r="AD157" s="62">
        <v>8.4</v>
      </c>
    </row>
    <row r="158" spans="1:30">
      <c r="A158" s="4">
        <v>2017</v>
      </c>
      <c r="B158" s="4" t="s">
        <v>44</v>
      </c>
      <c r="C158" s="4">
        <f t="shared" si="5"/>
        <v>157</v>
      </c>
      <c r="D158" s="96" t="s">
        <v>1126</v>
      </c>
      <c r="E158" s="56" t="s">
        <v>668</v>
      </c>
      <c r="F158" s="5" t="s">
        <v>1178</v>
      </c>
      <c r="G158" s="5" t="s">
        <v>2410</v>
      </c>
      <c r="H158" s="5" t="s">
        <v>127</v>
      </c>
      <c r="I158" s="7">
        <v>2985074.6268656715</v>
      </c>
      <c r="J158" s="7">
        <v>1492537.3134328357</v>
      </c>
      <c r="K158" s="7">
        <v>1671343.2835820895</v>
      </c>
      <c r="L158" s="8">
        <v>8751</v>
      </c>
      <c r="M158" s="7">
        <v>49286</v>
      </c>
      <c r="N158" s="7">
        <v>4556716.4179104473</v>
      </c>
      <c r="O158" s="7">
        <v>4884807</v>
      </c>
      <c r="P158" s="7">
        <v>4884807</v>
      </c>
      <c r="Q158" s="7">
        <f t="shared" si="4"/>
        <v>0</v>
      </c>
      <c r="R158" s="5" t="s">
        <v>606</v>
      </c>
      <c r="S158" s="5" t="s">
        <v>631</v>
      </c>
      <c r="T158" s="5" t="s">
        <v>612</v>
      </c>
      <c r="U158" s="5" t="s">
        <v>2984</v>
      </c>
      <c r="V158" s="5" t="s">
        <v>2411</v>
      </c>
      <c r="W158" s="5" t="s">
        <v>2412</v>
      </c>
      <c r="X158" s="5" t="s">
        <v>2413</v>
      </c>
      <c r="Y158" s="5" t="s">
        <v>2414</v>
      </c>
      <c r="Z158" s="5" t="s">
        <v>2415</v>
      </c>
      <c r="AA158" s="39" t="s">
        <v>2416</v>
      </c>
      <c r="AB158" s="39" t="s">
        <v>1744</v>
      </c>
      <c r="AC158" s="5" t="s">
        <v>1746</v>
      </c>
      <c r="AD158" s="62">
        <v>8.6</v>
      </c>
    </row>
    <row r="159" spans="1:30">
      <c r="A159" s="4">
        <v>2018</v>
      </c>
      <c r="B159" s="4" t="s">
        <v>44</v>
      </c>
      <c r="C159" s="4">
        <f t="shared" si="5"/>
        <v>158</v>
      </c>
      <c r="D159" s="96" t="s">
        <v>1126</v>
      </c>
      <c r="E159" s="4" t="s">
        <v>2397</v>
      </c>
      <c r="F159" s="5" t="s">
        <v>409</v>
      </c>
      <c r="G159" s="5" t="s">
        <v>2276</v>
      </c>
      <c r="H159" s="5" t="s">
        <v>129</v>
      </c>
      <c r="I159" s="7">
        <v>14925373</v>
      </c>
      <c r="J159" s="7">
        <v>5522388</v>
      </c>
      <c r="K159" s="7">
        <v>3305970</v>
      </c>
      <c r="L159" s="8">
        <v>44945</v>
      </c>
      <c r="M159" s="7">
        <v>6465642</v>
      </c>
      <c r="N159" s="7">
        <v>8992537</v>
      </c>
      <c r="O159" s="7">
        <v>10079961</v>
      </c>
      <c r="P159" s="7">
        <v>10079961</v>
      </c>
      <c r="Q159" s="7">
        <f t="shared" si="4"/>
        <v>0</v>
      </c>
      <c r="R159" s="5" t="s">
        <v>606</v>
      </c>
      <c r="S159" s="5" t="s">
        <v>598</v>
      </c>
      <c r="T159" s="5" t="s">
        <v>616</v>
      </c>
      <c r="U159" s="5" t="s">
        <v>2984</v>
      </c>
      <c r="V159" s="5" t="s">
        <v>2417</v>
      </c>
      <c r="W159" s="5" t="s">
        <v>2418</v>
      </c>
      <c r="X159" s="5" t="s">
        <v>2328</v>
      </c>
      <c r="Y159" s="5"/>
      <c r="Z159" s="5" t="s">
        <v>2419</v>
      </c>
      <c r="AA159" s="5" t="s">
        <v>2420</v>
      </c>
      <c r="AB159" s="5"/>
      <c r="AC159" s="5" t="s">
        <v>1488</v>
      </c>
      <c r="AD159" s="62">
        <v>7.9</v>
      </c>
    </row>
    <row r="160" spans="1:30">
      <c r="A160" s="4">
        <v>2018</v>
      </c>
      <c r="B160" s="4" t="s">
        <v>44</v>
      </c>
      <c r="C160" s="4">
        <f t="shared" si="5"/>
        <v>159</v>
      </c>
      <c r="D160" s="96" t="s">
        <v>1126</v>
      </c>
      <c r="E160" s="4" t="s">
        <v>2421</v>
      </c>
      <c r="F160" s="5" t="s">
        <v>388</v>
      </c>
      <c r="G160" s="5" t="s">
        <v>2422</v>
      </c>
      <c r="H160" s="5" t="s">
        <v>136</v>
      </c>
      <c r="I160" s="7">
        <v>4477611</v>
      </c>
      <c r="J160" s="7">
        <v>2238805</v>
      </c>
      <c r="K160" s="7">
        <v>8679104</v>
      </c>
      <c r="L160" s="8">
        <v>12122</v>
      </c>
      <c r="M160" s="7">
        <v>7460000</v>
      </c>
      <c r="N160" s="7">
        <v>23432835</v>
      </c>
      <c r="O160" s="7">
        <v>26796280</v>
      </c>
      <c r="P160" s="7">
        <v>26796280</v>
      </c>
      <c r="Q160" s="7">
        <f t="shared" si="4"/>
        <v>0</v>
      </c>
      <c r="R160" s="5" t="s">
        <v>606</v>
      </c>
      <c r="S160" s="5" t="s">
        <v>598</v>
      </c>
      <c r="T160" s="5" t="s">
        <v>603</v>
      </c>
      <c r="U160" s="5" t="s">
        <v>2984</v>
      </c>
      <c r="V160" s="5" t="s">
        <v>2423</v>
      </c>
      <c r="W160" s="5" t="s">
        <v>2424</v>
      </c>
      <c r="X160" s="5" t="s">
        <v>2425</v>
      </c>
      <c r="Y160" s="5" t="s">
        <v>2426</v>
      </c>
      <c r="Z160" s="5"/>
      <c r="AA160" s="5" t="s">
        <v>2427</v>
      </c>
      <c r="AB160" s="5"/>
      <c r="AC160" s="5" t="s">
        <v>2422</v>
      </c>
      <c r="AD160" s="62">
        <v>7.6</v>
      </c>
    </row>
    <row r="161" spans="1:30">
      <c r="A161" s="4">
        <v>2018</v>
      </c>
      <c r="B161" s="4" t="s">
        <v>44</v>
      </c>
      <c r="C161" s="4">
        <f t="shared" si="5"/>
        <v>160</v>
      </c>
      <c r="D161" s="96" t="s">
        <v>1126</v>
      </c>
      <c r="E161" s="4" t="s">
        <v>2209</v>
      </c>
      <c r="F161" s="5" t="s">
        <v>395</v>
      </c>
      <c r="G161" s="5" t="s">
        <v>1414</v>
      </c>
      <c r="H161" s="5" t="s">
        <v>148</v>
      </c>
      <c r="I161" s="7">
        <v>3731343</v>
      </c>
      <c r="J161" s="7">
        <v>2238805</v>
      </c>
      <c r="K161" s="7">
        <v>5592537</v>
      </c>
      <c r="L161" s="8">
        <v>64645</v>
      </c>
      <c r="M161" s="7">
        <v>9920000</v>
      </c>
      <c r="N161" s="7">
        <v>15074626</v>
      </c>
      <c r="O161" s="7">
        <v>17241380</v>
      </c>
      <c r="P161" s="7">
        <v>17241380</v>
      </c>
      <c r="Q161" s="7">
        <f t="shared" si="4"/>
        <v>0</v>
      </c>
      <c r="R161" s="5" t="s">
        <v>606</v>
      </c>
      <c r="S161" s="5" t="s">
        <v>598</v>
      </c>
      <c r="T161" s="5" t="s">
        <v>616</v>
      </c>
      <c r="U161" s="5" t="s">
        <v>2984</v>
      </c>
      <c r="V161" s="5" t="s">
        <v>2428</v>
      </c>
      <c r="W161" s="5" t="s">
        <v>2429</v>
      </c>
      <c r="X161" s="5" t="s">
        <v>2430</v>
      </c>
      <c r="Y161" s="5" t="s">
        <v>2431</v>
      </c>
      <c r="Z161" s="5"/>
      <c r="AA161" s="5" t="s">
        <v>2432</v>
      </c>
      <c r="AB161" s="5"/>
      <c r="AC161" s="5" t="s">
        <v>2433</v>
      </c>
      <c r="AD161" s="62">
        <v>8.3000000000000007</v>
      </c>
    </row>
    <row r="162" spans="1:30">
      <c r="A162" s="4">
        <v>2017</v>
      </c>
      <c r="B162" s="4" t="s">
        <v>44</v>
      </c>
      <c r="C162" s="4">
        <f t="shared" si="5"/>
        <v>161</v>
      </c>
      <c r="D162" s="96" t="s">
        <v>1126</v>
      </c>
      <c r="E162" s="4" t="s">
        <v>863</v>
      </c>
      <c r="F162" s="5" t="s">
        <v>446</v>
      </c>
      <c r="G162" s="5" t="s">
        <v>2434</v>
      </c>
      <c r="H162" s="5" t="s">
        <v>131</v>
      </c>
      <c r="I162" s="7">
        <v>8955223.880597014</v>
      </c>
      <c r="J162" s="7">
        <v>1194029.8507462686</v>
      </c>
      <c r="K162" s="7">
        <v>358208.95522388059</v>
      </c>
      <c r="L162" s="8">
        <v>7655</v>
      </c>
      <c r="M162" s="7">
        <v>8323</v>
      </c>
      <c r="N162" s="7">
        <v>992537.31343283574</v>
      </c>
      <c r="O162" s="7">
        <v>1034623</v>
      </c>
      <c r="P162" s="7">
        <v>1034623</v>
      </c>
      <c r="Q162" s="7">
        <f t="shared" si="4"/>
        <v>0</v>
      </c>
      <c r="R162" s="5" t="s">
        <v>597</v>
      </c>
      <c r="S162" s="5" t="s">
        <v>598</v>
      </c>
      <c r="T162" s="5" t="s">
        <v>658</v>
      </c>
      <c r="U162" s="5" t="s">
        <v>2984</v>
      </c>
      <c r="V162" s="5" t="s">
        <v>2435</v>
      </c>
      <c r="W162" s="39" t="s">
        <v>2436</v>
      </c>
      <c r="X162" s="5" t="s">
        <v>2437</v>
      </c>
      <c r="Y162" s="5" t="s">
        <v>2438</v>
      </c>
      <c r="Z162" s="5" t="s">
        <v>2439</v>
      </c>
      <c r="AA162" s="5" t="s">
        <v>2440</v>
      </c>
      <c r="AB162" s="5"/>
      <c r="AC162" s="5" t="s">
        <v>2441</v>
      </c>
      <c r="AD162" s="62">
        <v>7.6</v>
      </c>
    </row>
    <row r="163" spans="1:30">
      <c r="A163" s="4">
        <v>2017</v>
      </c>
      <c r="B163" s="4" t="s">
        <v>44</v>
      </c>
      <c r="C163" s="4">
        <f t="shared" si="5"/>
        <v>162</v>
      </c>
      <c r="D163" s="96" t="s">
        <v>1126</v>
      </c>
      <c r="E163" s="56" t="s">
        <v>1095</v>
      </c>
      <c r="F163" s="5" t="s">
        <v>1199</v>
      </c>
      <c r="G163" s="5" t="s">
        <v>1417</v>
      </c>
      <c r="H163" s="5" t="s">
        <v>131</v>
      </c>
      <c r="I163" s="7">
        <v>8955223.8800000008</v>
      </c>
      <c r="J163" s="7">
        <v>2238805.9700000002</v>
      </c>
      <c r="K163" s="7">
        <v>4051343.28</v>
      </c>
      <c r="L163" s="8">
        <v>4272</v>
      </c>
      <c r="M163" s="7">
        <v>1860000</v>
      </c>
      <c r="N163" s="7">
        <v>10971343.300000001</v>
      </c>
      <c r="O163" s="7">
        <v>11037772</v>
      </c>
      <c r="P163" s="7">
        <v>11037772</v>
      </c>
      <c r="Q163" s="7">
        <f t="shared" si="4"/>
        <v>0</v>
      </c>
      <c r="R163" s="5" t="s">
        <v>597</v>
      </c>
      <c r="S163" s="5" t="s">
        <v>598</v>
      </c>
      <c r="T163" s="5" t="s">
        <v>707</v>
      </c>
      <c r="U163" s="5" t="s">
        <v>2984</v>
      </c>
      <c r="V163" s="5" t="s">
        <v>2442</v>
      </c>
      <c r="W163" s="5" t="s">
        <v>2443</v>
      </c>
      <c r="X163" s="5" t="s">
        <v>2444</v>
      </c>
      <c r="Y163" s="5" t="s">
        <v>2445</v>
      </c>
      <c r="Z163" s="5" t="s">
        <v>2446</v>
      </c>
      <c r="AA163" s="5" t="s">
        <v>2447</v>
      </c>
      <c r="AB163" s="5"/>
      <c r="AC163" s="5" t="s">
        <v>2448</v>
      </c>
      <c r="AD163" s="59">
        <v>9.1</v>
      </c>
    </row>
    <row r="164" spans="1:30">
      <c r="A164" s="4">
        <v>2017</v>
      </c>
      <c r="B164" s="4" t="s">
        <v>44</v>
      </c>
      <c r="C164" s="4">
        <f t="shared" si="5"/>
        <v>163</v>
      </c>
      <c r="D164" s="96" t="s">
        <v>1126</v>
      </c>
      <c r="E164" s="4" t="s">
        <v>1126</v>
      </c>
      <c r="F164" s="5" t="s">
        <v>1204</v>
      </c>
      <c r="G164" s="5" t="s">
        <v>2449</v>
      </c>
      <c r="H164" s="5" t="s">
        <v>127</v>
      </c>
      <c r="I164" s="7">
        <v>4477611.940298507</v>
      </c>
      <c r="J164" s="7">
        <v>1194029.8507462686</v>
      </c>
      <c r="K164" s="7">
        <v>2664776.1194029851</v>
      </c>
      <c r="L164" s="8">
        <v>4871</v>
      </c>
      <c r="M164" s="7">
        <v>570000</v>
      </c>
      <c r="N164" s="7">
        <v>7264776.1194029851</v>
      </c>
      <c r="O164" s="7">
        <v>1110000</v>
      </c>
      <c r="P164" s="7">
        <v>1110000</v>
      </c>
      <c r="Q164" s="7">
        <f t="shared" si="4"/>
        <v>0</v>
      </c>
      <c r="R164" s="5" t="s">
        <v>606</v>
      </c>
      <c r="S164" s="5" t="s">
        <v>631</v>
      </c>
      <c r="T164" s="5" t="s">
        <v>616</v>
      </c>
      <c r="U164" s="5" t="s">
        <v>2984</v>
      </c>
      <c r="V164" s="5" t="s">
        <v>2450</v>
      </c>
      <c r="W164" s="5" t="s">
        <v>1204</v>
      </c>
      <c r="X164" s="5" t="s">
        <v>2451</v>
      </c>
      <c r="Y164" s="5" t="s">
        <v>2409</v>
      </c>
      <c r="Z164" s="5" t="s">
        <v>2452</v>
      </c>
      <c r="AA164" s="5" t="s">
        <v>2453</v>
      </c>
      <c r="AB164" s="5"/>
      <c r="AC164" s="5" t="s">
        <v>2454</v>
      </c>
      <c r="AD164" s="62">
        <v>8.5</v>
      </c>
    </row>
    <row r="165" spans="1:30">
      <c r="A165" s="4">
        <v>2017</v>
      </c>
      <c r="B165" s="4" t="s">
        <v>44</v>
      </c>
      <c r="C165" s="4">
        <f t="shared" si="5"/>
        <v>164</v>
      </c>
      <c r="D165" s="96" t="s">
        <v>1126</v>
      </c>
      <c r="E165" s="56" t="s">
        <v>1111</v>
      </c>
      <c r="F165" s="5" t="s">
        <v>1208</v>
      </c>
      <c r="G165" s="5" t="s">
        <v>2455</v>
      </c>
      <c r="H165" s="5" t="s">
        <v>127</v>
      </c>
      <c r="I165" s="7">
        <v>1492537</v>
      </c>
      <c r="J165" s="7">
        <v>2238805</v>
      </c>
      <c r="K165" s="7">
        <v>5395522</v>
      </c>
      <c r="L165" s="8">
        <v>14290</v>
      </c>
      <c r="M165" s="7">
        <v>1690000</v>
      </c>
      <c r="N165" s="7">
        <v>14552238</v>
      </c>
      <c r="O165" s="7">
        <v>15988889</v>
      </c>
      <c r="P165" s="7">
        <v>15988889</v>
      </c>
      <c r="Q165" s="7">
        <f t="shared" si="4"/>
        <v>0</v>
      </c>
      <c r="R165" s="5" t="s">
        <v>606</v>
      </c>
      <c r="S165" s="5" t="s">
        <v>598</v>
      </c>
      <c r="T165" s="5" t="s">
        <v>616</v>
      </c>
      <c r="U165" s="5" t="s">
        <v>2984</v>
      </c>
      <c r="V165" s="5" t="s">
        <v>2456</v>
      </c>
      <c r="W165" s="5" t="s">
        <v>2457</v>
      </c>
      <c r="X165" s="5" t="s">
        <v>2458</v>
      </c>
      <c r="Y165" s="5" t="s">
        <v>2459</v>
      </c>
      <c r="Z165" s="5"/>
      <c r="AA165" s="5" t="s">
        <v>2458</v>
      </c>
      <c r="AB165" s="5"/>
      <c r="AC165" s="5" t="s">
        <v>2460</v>
      </c>
      <c r="AD165" s="62">
        <v>8.6</v>
      </c>
    </row>
    <row r="166" spans="1:30">
      <c r="A166" s="17">
        <v>2017</v>
      </c>
      <c r="B166" s="4" t="s">
        <v>44</v>
      </c>
      <c r="C166" s="4">
        <f t="shared" si="5"/>
        <v>165</v>
      </c>
      <c r="D166" s="96" t="s">
        <v>1126</v>
      </c>
      <c r="E166" s="56" t="s">
        <v>2461</v>
      </c>
      <c r="F166" s="18" t="s">
        <v>1215</v>
      </c>
      <c r="G166" s="5" t="s">
        <v>1658</v>
      </c>
      <c r="H166" s="18" t="s">
        <v>1404</v>
      </c>
      <c r="I166" s="19">
        <v>7462686.5671641789</v>
      </c>
      <c r="J166" s="19">
        <v>2985074.6268656715</v>
      </c>
      <c r="K166" s="19">
        <v>2834179.1044776118</v>
      </c>
      <c r="L166" s="8">
        <v>48475</v>
      </c>
      <c r="M166" s="7">
        <v>5690000</v>
      </c>
      <c r="N166" s="19">
        <v>7680860.5341246286</v>
      </c>
      <c r="O166" s="19">
        <v>8595808</v>
      </c>
      <c r="P166" s="19">
        <v>8595808</v>
      </c>
      <c r="Q166" s="7">
        <f t="shared" si="4"/>
        <v>0</v>
      </c>
      <c r="R166" s="5" t="s">
        <v>606</v>
      </c>
      <c r="S166" s="5" t="s">
        <v>598</v>
      </c>
      <c r="T166" s="5" t="s">
        <v>616</v>
      </c>
      <c r="U166" s="5" t="s">
        <v>2984</v>
      </c>
      <c r="V166" s="5" t="s">
        <v>2462</v>
      </c>
      <c r="W166" s="5" t="s">
        <v>2463</v>
      </c>
      <c r="X166" s="5" t="s">
        <v>1647</v>
      </c>
      <c r="Y166" s="5" t="s">
        <v>1561</v>
      </c>
      <c r="Z166" s="5" t="s">
        <v>2383</v>
      </c>
      <c r="AA166" s="5" t="s">
        <v>2464</v>
      </c>
      <c r="AB166" s="5"/>
      <c r="AC166" s="5" t="s">
        <v>2465</v>
      </c>
      <c r="AD166" s="64">
        <v>8.4</v>
      </c>
    </row>
    <row r="167" spans="1:30">
      <c r="A167" s="4">
        <v>2017</v>
      </c>
      <c r="B167" s="4" t="s">
        <v>44</v>
      </c>
      <c r="C167" s="4">
        <f t="shared" si="5"/>
        <v>166</v>
      </c>
      <c r="D167" s="96" t="s">
        <v>1126</v>
      </c>
      <c r="E167" s="4" t="s">
        <v>824</v>
      </c>
      <c r="F167" s="5" t="s">
        <v>424</v>
      </c>
      <c r="G167" s="39" t="s">
        <v>3004</v>
      </c>
      <c r="H167" s="5" t="s">
        <v>136</v>
      </c>
      <c r="I167" s="7">
        <v>4477611.940298507</v>
      </c>
      <c r="J167" s="7">
        <v>746268.65671641787</v>
      </c>
      <c r="K167" s="7">
        <v>1337313.4328358208</v>
      </c>
      <c r="L167" s="41" t="s">
        <v>1501</v>
      </c>
      <c r="M167" s="7">
        <v>2292772</v>
      </c>
      <c r="N167" s="7">
        <v>3644776.1194029851</v>
      </c>
      <c r="O167" s="7">
        <v>3791880</v>
      </c>
      <c r="P167" s="7">
        <v>3791880</v>
      </c>
      <c r="Q167" s="7">
        <f t="shared" si="4"/>
        <v>0</v>
      </c>
      <c r="R167" s="5" t="s">
        <v>606</v>
      </c>
      <c r="S167" s="5" t="s">
        <v>598</v>
      </c>
      <c r="T167" s="5" t="s">
        <v>612</v>
      </c>
      <c r="U167" s="5" t="s">
        <v>2984</v>
      </c>
      <c r="V167" s="5" t="s">
        <v>2466</v>
      </c>
      <c r="W167" s="5" t="s">
        <v>2467</v>
      </c>
      <c r="X167" s="5" t="s">
        <v>1824</v>
      </c>
      <c r="Y167" s="5" t="s">
        <v>2468</v>
      </c>
      <c r="Z167" s="5" t="s">
        <v>2469</v>
      </c>
      <c r="AA167" s="5" t="s">
        <v>2470</v>
      </c>
      <c r="AB167" s="5"/>
      <c r="AC167" s="5" t="s">
        <v>2471</v>
      </c>
      <c r="AD167" s="62">
        <v>8.4</v>
      </c>
    </row>
    <row r="168" spans="1:30">
      <c r="A168" s="4">
        <v>2017</v>
      </c>
      <c r="B168" s="4" t="s">
        <v>44</v>
      </c>
      <c r="C168" s="4">
        <f t="shared" si="5"/>
        <v>167</v>
      </c>
      <c r="D168" s="96" t="s">
        <v>1126</v>
      </c>
      <c r="E168" s="4" t="s">
        <v>1061</v>
      </c>
      <c r="F168" s="5" t="s">
        <v>1220</v>
      </c>
      <c r="G168" s="5" t="s">
        <v>2476</v>
      </c>
      <c r="H168" s="5" t="s">
        <v>127</v>
      </c>
      <c r="I168" s="7">
        <v>1044776.1194029851</v>
      </c>
      <c r="J168" s="7">
        <v>447761.19402985071</v>
      </c>
      <c r="K168" s="7">
        <v>1358208.9552238805</v>
      </c>
      <c r="L168" s="41">
        <v>5959</v>
      </c>
      <c r="M168" s="42">
        <v>1860000</v>
      </c>
      <c r="N168" s="7">
        <v>3702985.0746268658</v>
      </c>
      <c r="O168" s="7">
        <v>3660871</v>
      </c>
      <c r="P168" s="7">
        <v>3660871</v>
      </c>
      <c r="Q168" s="7">
        <f t="shared" si="4"/>
        <v>0</v>
      </c>
      <c r="R168" s="5" t="s">
        <v>606</v>
      </c>
      <c r="S168" s="5" t="s">
        <v>598</v>
      </c>
      <c r="T168" s="5" t="s">
        <v>616</v>
      </c>
      <c r="U168" s="5" t="s">
        <v>2984</v>
      </c>
      <c r="V168" s="5" t="s">
        <v>2477</v>
      </c>
      <c r="W168" s="5" t="s">
        <v>1220</v>
      </c>
      <c r="X168" s="5" t="s">
        <v>2478</v>
      </c>
      <c r="Y168" s="5" t="s">
        <v>2479</v>
      </c>
      <c r="Z168" s="5" t="s">
        <v>2480</v>
      </c>
      <c r="AA168" s="5" t="s">
        <v>2481</v>
      </c>
      <c r="AB168" s="5"/>
      <c r="AC168" s="5" t="s">
        <v>2482</v>
      </c>
      <c r="AD168" s="62">
        <v>8.4</v>
      </c>
    </row>
    <row r="169" spans="1:30">
      <c r="A169" s="4">
        <v>2018</v>
      </c>
      <c r="B169" s="4" t="s">
        <v>44</v>
      </c>
      <c r="C169" s="4">
        <f t="shared" si="5"/>
        <v>168</v>
      </c>
      <c r="D169" s="96" t="s">
        <v>1126</v>
      </c>
      <c r="E169" s="4" t="s">
        <v>2148</v>
      </c>
      <c r="F169" s="5" t="s">
        <v>379</v>
      </c>
      <c r="G169" s="5" t="s">
        <v>2455</v>
      </c>
      <c r="H169" s="5" t="s">
        <v>131</v>
      </c>
      <c r="I169" s="7">
        <v>11194029</v>
      </c>
      <c r="J169" s="7">
        <v>4477611</v>
      </c>
      <c r="K169" s="7">
        <v>18656716</v>
      </c>
      <c r="L169" s="8">
        <v>67157</v>
      </c>
      <c r="M169" s="7">
        <v>15041365</v>
      </c>
      <c r="N169" s="7">
        <v>49850746</v>
      </c>
      <c r="O169" s="7">
        <v>56235548</v>
      </c>
      <c r="P169" s="7">
        <v>56235548</v>
      </c>
      <c r="Q169" s="7">
        <f t="shared" si="4"/>
        <v>0</v>
      </c>
      <c r="R169" s="5" t="s">
        <v>606</v>
      </c>
      <c r="S169" s="5" t="s">
        <v>598</v>
      </c>
      <c r="T169" s="5" t="s">
        <v>616</v>
      </c>
      <c r="U169" s="5" t="s">
        <v>2984</v>
      </c>
      <c r="V169" s="5" t="s">
        <v>2483</v>
      </c>
      <c r="W169" s="5" t="s">
        <v>2484</v>
      </c>
      <c r="X169" s="5" t="s">
        <v>2220</v>
      </c>
      <c r="Y169" s="5" t="s">
        <v>2485</v>
      </c>
      <c r="Z169" s="5"/>
      <c r="AA169" s="5" t="s">
        <v>2486</v>
      </c>
      <c r="AB169" s="5"/>
      <c r="AC169" s="5" t="s">
        <v>2487</v>
      </c>
      <c r="AD169" s="62">
        <v>8.4</v>
      </c>
    </row>
    <row r="170" spans="1:30">
      <c r="A170" s="4">
        <v>2017</v>
      </c>
      <c r="B170" s="4" t="s">
        <v>44</v>
      </c>
      <c r="C170" s="4">
        <f t="shared" si="5"/>
        <v>169</v>
      </c>
      <c r="D170" s="96" t="s">
        <v>1126</v>
      </c>
      <c r="E170" s="56" t="s">
        <v>2488</v>
      </c>
      <c r="F170" s="5" t="s">
        <v>1232</v>
      </c>
      <c r="G170" s="5" t="s">
        <v>2489</v>
      </c>
      <c r="H170" s="5" t="s">
        <v>148</v>
      </c>
      <c r="I170" s="7">
        <v>4477611</v>
      </c>
      <c r="J170" s="7">
        <v>1492537</v>
      </c>
      <c r="K170" s="7">
        <v>1355223</v>
      </c>
      <c r="L170" s="8">
        <v>10215</v>
      </c>
      <c r="M170" s="7">
        <v>1420000</v>
      </c>
      <c r="N170" s="7">
        <v>3697014</v>
      </c>
      <c r="O170" s="7">
        <v>3957193</v>
      </c>
      <c r="P170" s="7">
        <v>3957193</v>
      </c>
      <c r="Q170" s="7">
        <f t="shared" si="4"/>
        <v>0</v>
      </c>
      <c r="R170" s="5" t="s">
        <v>606</v>
      </c>
      <c r="S170" s="5" t="s">
        <v>598</v>
      </c>
      <c r="T170" s="5" t="s">
        <v>603</v>
      </c>
      <c r="U170" s="5" t="s">
        <v>2984</v>
      </c>
      <c r="V170" s="5" t="s">
        <v>2490</v>
      </c>
      <c r="W170" s="5" t="s">
        <v>2491</v>
      </c>
      <c r="X170" s="5" t="s">
        <v>2492</v>
      </c>
      <c r="Y170" s="5" t="s">
        <v>2493</v>
      </c>
      <c r="Z170" s="10"/>
      <c r="AA170" s="5" t="s">
        <v>2494</v>
      </c>
      <c r="AB170" s="5"/>
      <c r="AC170" s="5" t="s">
        <v>2495</v>
      </c>
      <c r="AD170" s="62">
        <v>8.4</v>
      </c>
    </row>
    <row r="171" spans="1:30">
      <c r="A171" s="4">
        <v>2018</v>
      </c>
      <c r="B171" s="4" t="s">
        <v>44</v>
      </c>
      <c r="C171" s="4">
        <f t="shared" si="5"/>
        <v>170</v>
      </c>
      <c r="D171" s="96" t="s">
        <v>1126</v>
      </c>
      <c r="E171" s="4" t="s">
        <v>2496</v>
      </c>
      <c r="F171" s="5" t="s">
        <v>1244</v>
      </c>
      <c r="G171" s="5" t="s">
        <v>1442</v>
      </c>
      <c r="H171" s="5" t="s">
        <v>129</v>
      </c>
      <c r="I171" s="7">
        <v>8955223</v>
      </c>
      <c r="J171" s="7">
        <v>1666666</v>
      </c>
      <c r="K171" s="7">
        <v>2026865</v>
      </c>
      <c r="L171" s="8">
        <v>46863</v>
      </c>
      <c r="M171" s="7">
        <v>42352</v>
      </c>
      <c r="N171" s="7">
        <v>5525373</v>
      </c>
      <c r="O171" s="7">
        <v>6168544</v>
      </c>
      <c r="P171" s="7">
        <v>6168544</v>
      </c>
      <c r="Q171" s="7">
        <f t="shared" si="4"/>
        <v>0</v>
      </c>
      <c r="R171" s="5" t="s">
        <v>606</v>
      </c>
      <c r="S171" s="5" t="s">
        <v>598</v>
      </c>
      <c r="T171" s="5" t="s">
        <v>616</v>
      </c>
      <c r="U171" s="5" t="s">
        <v>2984</v>
      </c>
      <c r="V171" s="5" t="s">
        <v>2497</v>
      </c>
      <c r="W171" s="5" t="s">
        <v>2498</v>
      </c>
      <c r="X171" s="5" t="s">
        <v>2499</v>
      </c>
      <c r="Y171" s="5" t="s">
        <v>2500</v>
      </c>
      <c r="Z171" s="10"/>
      <c r="AA171" s="5" t="s">
        <v>2501</v>
      </c>
      <c r="AB171" s="5"/>
      <c r="AC171" s="5" t="s">
        <v>2502</v>
      </c>
      <c r="AD171" s="62">
        <v>6.7</v>
      </c>
    </row>
    <row r="172" spans="1:30">
      <c r="A172" s="4">
        <v>2017</v>
      </c>
      <c r="B172" s="4" t="s">
        <v>44</v>
      </c>
      <c r="C172" s="4">
        <f t="shared" si="5"/>
        <v>171</v>
      </c>
      <c r="D172" s="96" t="s">
        <v>1126</v>
      </c>
      <c r="E172" s="4" t="s">
        <v>2503</v>
      </c>
      <c r="F172" s="5" t="s">
        <v>450</v>
      </c>
      <c r="G172" s="5" t="s">
        <v>2504</v>
      </c>
      <c r="H172" s="5" t="s">
        <v>127</v>
      </c>
      <c r="I172" s="7">
        <v>7462686.5671641789</v>
      </c>
      <c r="J172" s="7">
        <v>1194029.8507462686</v>
      </c>
      <c r="K172" s="7">
        <v>316417.91044776118</v>
      </c>
      <c r="L172" s="41" t="s">
        <v>1501</v>
      </c>
      <c r="M172" s="7">
        <v>423431</v>
      </c>
      <c r="N172" s="7">
        <v>862686.56716417905</v>
      </c>
      <c r="O172" s="7">
        <v>933589</v>
      </c>
      <c r="P172" s="7">
        <v>933589</v>
      </c>
      <c r="Q172" s="7">
        <f t="shared" si="4"/>
        <v>0</v>
      </c>
      <c r="R172" s="5" t="s">
        <v>606</v>
      </c>
      <c r="S172" s="5" t="s">
        <v>631</v>
      </c>
      <c r="T172" s="5" t="s">
        <v>612</v>
      </c>
      <c r="U172" s="5" t="s">
        <v>2984</v>
      </c>
      <c r="V172" s="5" t="s">
        <v>2505</v>
      </c>
      <c r="W172" s="5" t="s">
        <v>2506</v>
      </c>
      <c r="X172" s="5" t="s">
        <v>2507</v>
      </c>
      <c r="Y172" s="5" t="s">
        <v>2508</v>
      </c>
      <c r="Z172" s="26"/>
      <c r="AA172" s="5" t="s">
        <v>2509</v>
      </c>
      <c r="AB172" s="5"/>
      <c r="AC172" s="5" t="s">
        <v>2510</v>
      </c>
      <c r="AD172" s="62">
        <v>7.4</v>
      </c>
    </row>
    <row r="173" spans="1:30">
      <c r="A173" s="4">
        <v>2017</v>
      </c>
      <c r="B173" s="4" t="s">
        <v>44</v>
      </c>
      <c r="C173" s="4">
        <f t="shared" si="5"/>
        <v>172</v>
      </c>
      <c r="D173" s="96" t="s">
        <v>1126</v>
      </c>
      <c r="E173" s="4" t="s">
        <v>865</v>
      </c>
      <c r="F173" s="5" t="s">
        <v>427</v>
      </c>
      <c r="G173" s="39" t="s">
        <v>3005</v>
      </c>
      <c r="H173" s="5" t="s">
        <v>148</v>
      </c>
      <c r="I173" s="7">
        <v>4477611.940298507</v>
      </c>
      <c r="J173" s="7">
        <v>1194029.8507462686</v>
      </c>
      <c r="K173" s="7">
        <v>986567.1641791045</v>
      </c>
      <c r="L173" s="8">
        <v>50095</v>
      </c>
      <c r="M173" s="7">
        <v>2080000</v>
      </c>
      <c r="N173" s="7">
        <v>2689552.2388059702</v>
      </c>
      <c r="O173" s="7">
        <v>3026917</v>
      </c>
      <c r="P173" s="7">
        <v>3026917</v>
      </c>
      <c r="Q173" s="7">
        <f t="shared" si="4"/>
        <v>0</v>
      </c>
      <c r="R173" s="5" t="s">
        <v>606</v>
      </c>
      <c r="S173" s="5" t="s">
        <v>598</v>
      </c>
      <c r="T173" s="5" t="s">
        <v>616</v>
      </c>
      <c r="U173" s="5" t="s">
        <v>2984</v>
      </c>
      <c r="V173" s="5" t="s">
        <v>2511</v>
      </c>
      <c r="W173" s="5" t="s">
        <v>2512</v>
      </c>
      <c r="X173" s="5" t="s">
        <v>2513</v>
      </c>
      <c r="Y173" s="5"/>
      <c r="Z173" s="26"/>
      <c r="AA173" s="5" t="s">
        <v>2513</v>
      </c>
      <c r="AB173" s="5"/>
      <c r="AC173" s="5" t="s">
        <v>2514</v>
      </c>
      <c r="AD173" s="62">
        <v>7.4</v>
      </c>
    </row>
    <row r="174" spans="1:30">
      <c r="A174" s="4">
        <v>2017</v>
      </c>
      <c r="B174" s="4" t="s">
        <v>44</v>
      </c>
      <c r="C174" s="4">
        <f t="shared" si="5"/>
        <v>173</v>
      </c>
      <c r="D174" s="96" t="s">
        <v>1126</v>
      </c>
      <c r="E174" s="4" t="s">
        <v>2515</v>
      </c>
      <c r="F174" s="5" t="s">
        <v>430</v>
      </c>
      <c r="G174" s="5" t="s">
        <v>2516</v>
      </c>
      <c r="H174" s="5" t="s">
        <v>136</v>
      </c>
      <c r="I174" s="7">
        <v>4477611.940298507</v>
      </c>
      <c r="J174" s="7">
        <v>1194029.8507462686</v>
      </c>
      <c r="K174" s="7">
        <v>916417.91044776118</v>
      </c>
      <c r="L174" s="8">
        <v>25545</v>
      </c>
      <c r="M174" s="7">
        <v>1790000</v>
      </c>
      <c r="N174" s="7">
        <v>2498507.4626865671</v>
      </c>
      <c r="O174" s="7">
        <v>2814977</v>
      </c>
      <c r="P174" s="7">
        <v>2814977</v>
      </c>
      <c r="Q174" s="7">
        <f t="shared" si="4"/>
        <v>0</v>
      </c>
      <c r="R174" s="5" t="s">
        <v>606</v>
      </c>
      <c r="S174" s="5" t="s">
        <v>598</v>
      </c>
      <c r="T174" s="5" t="s">
        <v>616</v>
      </c>
      <c r="U174" s="5" t="s">
        <v>2984</v>
      </c>
      <c r="V174" s="5" t="s">
        <v>2517</v>
      </c>
      <c r="W174" s="5" t="s">
        <v>2518</v>
      </c>
      <c r="X174" s="5" t="s">
        <v>2253</v>
      </c>
      <c r="Y174" s="5" t="s">
        <v>1921</v>
      </c>
      <c r="Z174" s="5" t="s">
        <v>2519</v>
      </c>
      <c r="AA174" s="5" t="s">
        <v>2520</v>
      </c>
      <c r="AB174" s="5"/>
      <c r="AC174" s="5" t="s">
        <v>2521</v>
      </c>
      <c r="AD174" s="62">
        <v>7.9</v>
      </c>
    </row>
    <row r="175" spans="1:30">
      <c r="A175" s="4">
        <v>2017</v>
      </c>
      <c r="B175" s="4" t="s">
        <v>44</v>
      </c>
      <c r="C175" s="4">
        <f t="shared" si="5"/>
        <v>174</v>
      </c>
      <c r="D175" s="96" t="s">
        <v>1126</v>
      </c>
      <c r="E175" s="56" t="s">
        <v>1099</v>
      </c>
      <c r="F175" s="5" t="s">
        <v>1255</v>
      </c>
      <c r="G175" s="5" t="s">
        <v>2522</v>
      </c>
      <c r="H175" s="5" t="s">
        <v>131</v>
      </c>
      <c r="I175" s="7">
        <v>4477611.940298507</v>
      </c>
      <c r="J175" s="7">
        <v>2238805.9701492535</v>
      </c>
      <c r="K175" s="7">
        <v>2142985.0746268658</v>
      </c>
      <c r="L175" s="8">
        <v>37431</v>
      </c>
      <c r="M175" s="7">
        <v>4550000</v>
      </c>
      <c r="N175" s="7">
        <v>5842537.313432836</v>
      </c>
      <c r="O175" s="7">
        <v>5921481</v>
      </c>
      <c r="P175" s="7">
        <v>5921481</v>
      </c>
      <c r="Q175" s="7">
        <f t="shared" si="4"/>
        <v>0</v>
      </c>
      <c r="R175" s="5" t="s">
        <v>606</v>
      </c>
      <c r="S175" s="5" t="s">
        <v>598</v>
      </c>
      <c r="T175" s="5" t="s">
        <v>612</v>
      </c>
      <c r="U175" s="5" t="s">
        <v>2984</v>
      </c>
      <c r="V175" s="5" t="s">
        <v>2523</v>
      </c>
      <c r="W175" s="5" t="s">
        <v>1255</v>
      </c>
      <c r="X175" s="5" t="s">
        <v>2164</v>
      </c>
      <c r="Y175" s="5"/>
      <c r="Z175" s="5"/>
      <c r="AA175" s="5" t="s">
        <v>2524</v>
      </c>
      <c r="AB175" s="5"/>
      <c r="AC175" s="5" t="s">
        <v>2525</v>
      </c>
      <c r="AD175" s="62">
        <v>7.7</v>
      </c>
    </row>
    <row r="176" spans="1:30">
      <c r="A176" s="17">
        <v>2017</v>
      </c>
      <c r="B176" s="4" t="s">
        <v>44</v>
      </c>
      <c r="C176" s="4">
        <f t="shared" si="5"/>
        <v>175</v>
      </c>
      <c r="D176" s="96" t="s">
        <v>1126</v>
      </c>
      <c r="E176" s="17" t="s">
        <v>1066</v>
      </c>
      <c r="F176" s="18" t="s">
        <v>1256</v>
      </c>
      <c r="G176" s="5" t="s">
        <v>2526</v>
      </c>
      <c r="H176" s="18" t="s">
        <v>127</v>
      </c>
      <c r="I176" s="19">
        <v>1492537.3134328357</v>
      </c>
      <c r="J176" s="19">
        <v>746268.65671641787</v>
      </c>
      <c r="K176" s="19">
        <v>2224626.8656716417</v>
      </c>
      <c r="L176" s="8">
        <v>6811</v>
      </c>
      <c r="M176" s="7">
        <v>590000</v>
      </c>
      <c r="N176" s="19">
        <v>6065074.626865671</v>
      </c>
      <c r="O176" s="19">
        <v>6000000</v>
      </c>
      <c r="P176" s="19">
        <v>6000000</v>
      </c>
      <c r="Q176" s="7">
        <f t="shared" si="4"/>
        <v>0</v>
      </c>
      <c r="R176" s="5" t="s">
        <v>606</v>
      </c>
      <c r="S176" s="5" t="s">
        <v>631</v>
      </c>
      <c r="T176" s="5" t="s">
        <v>612</v>
      </c>
      <c r="U176" s="5" t="s">
        <v>2984</v>
      </c>
      <c r="V176" s="5" t="s">
        <v>2527</v>
      </c>
      <c r="W176" s="39" t="s">
        <v>1411</v>
      </c>
      <c r="X176" s="5" t="s">
        <v>2528</v>
      </c>
      <c r="Y176" s="5" t="s">
        <v>2408</v>
      </c>
      <c r="Z176" s="5" t="s">
        <v>2529</v>
      </c>
      <c r="AA176" s="5" t="s">
        <v>2530</v>
      </c>
      <c r="AB176" s="5"/>
      <c r="AC176" s="5" t="s">
        <v>2531</v>
      </c>
      <c r="AD176" s="64">
        <v>8.8000000000000007</v>
      </c>
    </row>
    <row r="177" spans="1:30">
      <c r="A177" s="4">
        <v>2017</v>
      </c>
      <c r="B177" s="4" t="s">
        <v>44</v>
      </c>
      <c r="C177" s="4">
        <f t="shared" si="5"/>
        <v>176</v>
      </c>
      <c r="D177" s="96" t="s">
        <v>1126</v>
      </c>
      <c r="E177" s="4" t="s">
        <v>826</v>
      </c>
      <c r="F177" s="5" t="s">
        <v>466</v>
      </c>
      <c r="G177" s="5" t="s">
        <v>2532</v>
      </c>
      <c r="H177" s="5" t="s">
        <v>136</v>
      </c>
      <c r="I177" s="7">
        <v>1492537.3134328357</v>
      </c>
      <c r="J177" s="7">
        <v>746268.65671641787</v>
      </c>
      <c r="K177" s="7">
        <v>188059.70149253731</v>
      </c>
      <c r="L177" s="41" t="s">
        <v>1501</v>
      </c>
      <c r="M177" s="7">
        <v>268002</v>
      </c>
      <c r="N177" s="7">
        <v>514925.37313432834</v>
      </c>
      <c r="O177" s="7">
        <v>544914</v>
      </c>
      <c r="P177" s="7">
        <v>544914</v>
      </c>
      <c r="Q177" s="7">
        <f t="shared" si="4"/>
        <v>0</v>
      </c>
      <c r="R177" s="5" t="s">
        <v>606</v>
      </c>
      <c r="S177" s="5" t="s">
        <v>598</v>
      </c>
      <c r="T177" s="5" t="s">
        <v>616</v>
      </c>
      <c r="U177" s="5" t="s">
        <v>2984</v>
      </c>
      <c r="V177" s="5" t="s">
        <v>2533</v>
      </c>
      <c r="W177" s="39" t="s">
        <v>2534</v>
      </c>
      <c r="X177" s="5" t="s">
        <v>2535</v>
      </c>
      <c r="Y177" s="5" t="s">
        <v>2245</v>
      </c>
      <c r="Z177" s="5"/>
      <c r="AA177" s="5" t="s">
        <v>2536</v>
      </c>
      <c r="AB177" s="5"/>
      <c r="AC177" s="5" t="s">
        <v>2537</v>
      </c>
      <c r="AD177" s="62">
        <v>7.9</v>
      </c>
    </row>
    <row r="178" spans="1:30">
      <c r="A178" s="4">
        <v>2017</v>
      </c>
      <c r="B178" s="4" t="s">
        <v>44</v>
      </c>
      <c r="C178" s="4">
        <f t="shared" si="5"/>
        <v>177</v>
      </c>
      <c r="D178" s="96" t="s">
        <v>1126</v>
      </c>
      <c r="E178" s="56" t="s">
        <v>1896</v>
      </c>
      <c r="F178" s="5" t="s">
        <v>1265</v>
      </c>
      <c r="G178" s="5" t="s">
        <v>2504</v>
      </c>
      <c r="H178" s="5" t="s">
        <v>148</v>
      </c>
      <c r="I178" s="7">
        <v>4477611</v>
      </c>
      <c r="J178" s="7">
        <v>1492537</v>
      </c>
      <c r="K178" s="7">
        <v>1240298</v>
      </c>
      <c r="L178" s="8">
        <v>22756</v>
      </c>
      <c r="M178" s="7">
        <v>2210000</v>
      </c>
      <c r="N178" s="7">
        <v>3383582</v>
      </c>
      <c r="O178" s="7">
        <v>3667477</v>
      </c>
      <c r="P178" s="7">
        <v>3667477</v>
      </c>
      <c r="Q178" s="7">
        <f t="shared" si="4"/>
        <v>0</v>
      </c>
      <c r="R178" s="5" t="s">
        <v>606</v>
      </c>
      <c r="S178" s="5" t="s">
        <v>598</v>
      </c>
      <c r="T178" s="5" t="s">
        <v>616</v>
      </c>
      <c r="U178" s="5" t="s">
        <v>2984</v>
      </c>
      <c r="V178" s="5" t="s">
        <v>2538</v>
      </c>
      <c r="W178" s="39" t="s">
        <v>2539</v>
      </c>
      <c r="X178" s="5" t="s">
        <v>2540</v>
      </c>
      <c r="Y178" s="5" t="s">
        <v>2541</v>
      </c>
      <c r="Z178" s="5"/>
      <c r="AA178" s="5" t="s">
        <v>2501</v>
      </c>
      <c r="AB178" s="5"/>
      <c r="AC178" s="5" t="s">
        <v>2504</v>
      </c>
      <c r="AD178" s="62">
        <v>8</v>
      </c>
    </row>
    <row r="179" spans="1:30">
      <c r="A179" s="4">
        <v>2017</v>
      </c>
      <c r="B179" s="4" t="s">
        <v>44</v>
      </c>
      <c r="C179" s="4">
        <f t="shared" si="5"/>
        <v>178</v>
      </c>
      <c r="D179" s="4" t="s">
        <v>1267</v>
      </c>
      <c r="E179" s="4" t="s">
        <v>1267</v>
      </c>
      <c r="F179" s="5" t="s">
        <v>1268</v>
      </c>
      <c r="G179" s="5" t="s">
        <v>626</v>
      </c>
      <c r="H179" s="5" t="s">
        <v>131</v>
      </c>
      <c r="I179" s="7">
        <v>14925373</v>
      </c>
      <c r="J179" s="7">
        <v>11940298</v>
      </c>
      <c r="K179" s="7">
        <v>76865671</v>
      </c>
      <c r="L179" s="8">
        <v>35</v>
      </c>
      <c r="M179" s="7">
        <v>338604</v>
      </c>
      <c r="N179" s="7">
        <v>198507462</v>
      </c>
      <c r="O179" s="7">
        <v>225197313</v>
      </c>
      <c r="P179" s="7">
        <v>227089269</v>
      </c>
      <c r="Q179" s="92">
        <f t="shared" si="4"/>
        <v>1891956</v>
      </c>
      <c r="R179" s="5" t="s">
        <v>606</v>
      </c>
      <c r="S179" s="5" t="s">
        <v>598</v>
      </c>
      <c r="T179" s="5" t="s">
        <v>658</v>
      </c>
      <c r="U179" s="5" t="s">
        <v>1390</v>
      </c>
      <c r="V179" s="5" t="s">
        <v>2542</v>
      </c>
      <c r="W179" s="5" t="s">
        <v>2543</v>
      </c>
      <c r="X179" s="5" t="s">
        <v>1656</v>
      </c>
      <c r="Y179" s="5" t="s">
        <v>2544</v>
      </c>
      <c r="Z179" s="5"/>
      <c r="AA179" s="5" t="s">
        <v>1695</v>
      </c>
      <c r="AB179" s="5"/>
      <c r="AC179" s="5" t="s">
        <v>2545</v>
      </c>
      <c r="AD179" s="62">
        <v>9</v>
      </c>
    </row>
    <row r="180" spans="1:30">
      <c r="A180" s="4">
        <v>2017</v>
      </c>
      <c r="B180" s="4" t="s">
        <v>44</v>
      </c>
      <c r="C180" s="4">
        <f t="shared" si="5"/>
        <v>179</v>
      </c>
      <c r="D180" s="4" t="s">
        <v>1269</v>
      </c>
      <c r="E180" s="4" t="s">
        <v>1269</v>
      </c>
      <c r="F180" s="5" t="s">
        <v>1270</v>
      </c>
      <c r="G180" s="5" t="s">
        <v>626</v>
      </c>
      <c r="H180" s="5" t="s">
        <v>136</v>
      </c>
      <c r="I180" s="7">
        <v>4477611</v>
      </c>
      <c r="J180" s="7">
        <v>7462686</v>
      </c>
      <c r="K180" s="7">
        <v>104029850</v>
      </c>
      <c r="L180" s="8">
        <v>24</v>
      </c>
      <c r="M180" s="7">
        <v>180920</v>
      </c>
      <c r="N180" s="7">
        <v>267611940</v>
      </c>
      <c r="O180" s="7">
        <v>306710033</v>
      </c>
      <c r="P180" s="7">
        <v>307547824</v>
      </c>
      <c r="Q180" s="92">
        <f t="shared" si="4"/>
        <v>837791</v>
      </c>
      <c r="R180" s="5" t="s">
        <v>606</v>
      </c>
      <c r="S180" s="5" t="s">
        <v>598</v>
      </c>
      <c r="T180" s="5" t="s">
        <v>616</v>
      </c>
      <c r="U180" s="5" t="s">
        <v>1390</v>
      </c>
      <c r="V180" s="5" t="s">
        <v>2546</v>
      </c>
      <c r="W180" s="5" t="s">
        <v>2547</v>
      </c>
      <c r="X180" s="5" t="s">
        <v>2095</v>
      </c>
      <c r="Y180" s="5" t="s">
        <v>2548</v>
      </c>
      <c r="Z180" s="5"/>
      <c r="AA180" s="5" t="s">
        <v>2549</v>
      </c>
      <c r="AB180" s="5"/>
      <c r="AC180" s="5" t="s">
        <v>2369</v>
      </c>
      <c r="AD180" s="62">
        <v>9.1</v>
      </c>
    </row>
    <row r="181" spans="1:30">
      <c r="A181" s="4">
        <v>2017</v>
      </c>
      <c r="B181" s="4" t="s">
        <v>44</v>
      </c>
      <c r="C181" s="4">
        <f t="shared" si="5"/>
        <v>180</v>
      </c>
      <c r="D181" s="4" t="s">
        <v>1272</v>
      </c>
      <c r="E181" s="4" t="s">
        <v>1272</v>
      </c>
      <c r="F181" s="5" t="s">
        <v>1273</v>
      </c>
      <c r="G181" s="5" t="s">
        <v>601</v>
      </c>
      <c r="H181" s="5" t="s">
        <v>129</v>
      </c>
      <c r="I181" s="7">
        <v>14925373</v>
      </c>
      <c r="J181" s="7">
        <v>4477611</v>
      </c>
      <c r="K181" s="7">
        <v>13728358</v>
      </c>
      <c r="L181" s="8">
        <v>2</v>
      </c>
      <c r="M181" s="7">
        <v>5296</v>
      </c>
      <c r="N181" s="7">
        <v>36716417</v>
      </c>
      <c r="O181" s="7">
        <v>39951588</v>
      </c>
      <c r="P181" s="7">
        <v>39965792</v>
      </c>
      <c r="Q181" s="92">
        <f t="shared" si="4"/>
        <v>14204</v>
      </c>
      <c r="R181" s="5" t="s">
        <v>606</v>
      </c>
      <c r="S181" s="5" t="s">
        <v>598</v>
      </c>
      <c r="T181" s="5" t="s">
        <v>658</v>
      </c>
      <c r="U181" s="5" t="s">
        <v>1390</v>
      </c>
      <c r="V181" s="5" t="s">
        <v>2550</v>
      </c>
      <c r="W181" s="5" t="s">
        <v>2551</v>
      </c>
      <c r="X181" s="5" t="s">
        <v>2507</v>
      </c>
      <c r="Y181" s="5" t="s">
        <v>2372</v>
      </c>
      <c r="Z181" s="5"/>
      <c r="AA181" s="5" t="s">
        <v>2552</v>
      </c>
      <c r="AB181" s="5"/>
      <c r="AC181" s="5" t="s">
        <v>2553</v>
      </c>
      <c r="AD181" s="62">
        <v>8.5</v>
      </c>
    </row>
    <row r="182" spans="1:30" ht="15">
      <c r="A182" s="4">
        <v>2017</v>
      </c>
      <c r="B182" s="4" t="s">
        <v>44</v>
      </c>
      <c r="C182" s="4">
        <f t="shared" si="5"/>
        <v>181</v>
      </c>
      <c r="D182" s="96" t="s">
        <v>1126</v>
      </c>
      <c r="E182" s="4" t="s">
        <v>1089</v>
      </c>
      <c r="F182" s="5" t="s">
        <v>1274</v>
      </c>
      <c r="G182" s="5" t="s">
        <v>2554</v>
      </c>
      <c r="H182" s="5" t="s">
        <v>127</v>
      </c>
      <c r="I182" s="7">
        <v>4477611.940298507</v>
      </c>
      <c r="J182" s="7">
        <v>1492537.3134328357</v>
      </c>
      <c r="K182" s="7">
        <v>5356716.4179104473</v>
      </c>
      <c r="L182" s="41">
        <v>26748</v>
      </c>
      <c r="M182" s="42">
        <v>760000</v>
      </c>
      <c r="N182" s="7">
        <v>14449253.731343282</v>
      </c>
      <c r="O182" s="7">
        <v>15874097</v>
      </c>
      <c r="P182" s="7">
        <v>15874097</v>
      </c>
      <c r="Q182" s="7">
        <f t="shared" si="4"/>
        <v>0</v>
      </c>
      <c r="R182" s="5" t="s">
        <v>606</v>
      </c>
      <c r="S182" s="5" t="s">
        <v>631</v>
      </c>
      <c r="T182" s="5" t="s">
        <v>612</v>
      </c>
      <c r="U182" s="5" t="s">
        <v>2984</v>
      </c>
      <c r="V182" s="5" t="s">
        <v>2555</v>
      </c>
      <c r="W182" s="5" t="s">
        <v>2556</v>
      </c>
      <c r="X182" s="5" t="s">
        <v>2557</v>
      </c>
      <c r="Y182" s="5"/>
      <c r="Z182" s="5"/>
      <c r="AA182" s="5" t="s">
        <v>2558</v>
      </c>
      <c r="AB182" s="5"/>
      <c r="AC182" s="5" t="s">
        <v>2559</v>
      </c>
      <c r="AD182" s="62">
        <v>8.9</v>
      </c>
    </row>
    <row r="183" spans="1:30">
      <c r="A183" s="4">
        <v>2017</v>
      </c>
      <c r="B183" s="4" t="s">
        <v>44</v>
      </c>
      <c r="C183" s="4">
        <f t="shared" si="5"/>
        <v>182</v>
      </c>
      <c r="D183" s="96" t="s">
        <v>1126</v>
      </c>
      <c r="E183" s="4" t="s">
        <v>2309</v>
      </c>
      <c r="F183" s="5" t="s">
        <v>1279</v>
      </c>
      <c r="G183" s="5" t="s">
        <v>2560</v>
      </c>
      <c r="H183" s="5" t="s">
        <v>136</v>
      </c>
      <c r="I183" s="7">
        <v>11940298</v>
      </c>
      <c r="J183" s="7">
        <v>8955223</v>
      </c>
      <c r="K183" s="7">
        <v>12029850</v>
      </c>
      <c r="L183" s="8">
        <v>110319</v>
      </c>
      <c r="M183" s="7">
        <v>46732917</v>
      </c>
      <c r="N183" s="7">
        <v>308507462</v>
      </c>
      <c r="O183" s="7">
        <v>334536622</v>
      </c>
      <c r="P183" s="7">
        <v>334536622</v>
      </c>
      <c r="Q183" s="7">
        <f t="shared" si="4"/>
        <v>0</v>
      </c>
      <c r="R183" s="5" t="s">
        <v>606</v>
      </c>
      <c r="S183" s="5" t="s">
        <v>598</v>
      </c>
      <c r="T183" s="5" t="s">
        <v>616</v>
      </c>
      <c r="U183" s="5" t="s">
        <v>2984</v>
      </c>
      <c r="V183" s="5" t="s">
        <v>2561</v>
      </c>
      <c r="W183" s="5" t="s">
        <v>1279</v>
      </c>
      <c r="X183" s="5" t="s">
        <v>2562</v>
      </c>
      <c r="Y183" s="5" t="s">
        <v>2563</v>
      </c>
      <c r="Z183" s="5" t="s">
        <v>1974</v>
      </c>
      <c r="AA183" s="5" t="s">
        <v>2564</v>
      </c>
      <c r="AB183" s="5" t="s">
        <v>2565</v>
      </c>
      <c r="AC183" s="27" t="s">
        <v>2560</v>
      </c>
      <c r="AD183" s="62">
        <v>9.1</v>
      </c>
    </row>
    <row r="184" spans="1:30">
      <c r="A184" s="4">
        <v>2017</v>
      </c>
      <c r="B184" s="4" t="s">
        <v>44</v>
      </c>
      <c r="C184" s="4">
        <f t="shared" si="5"/>
        <v>183</v>
      </c>
      <c r="D184" s="96" t="s">
        <v>1126</v>
      </c>
      <c r="E184" s="56" t="s">
        <v>874</v>
      </c>
      <c r="F184" s="5" t="s">
        <v>1282</v>
      </c>
      <c r="G184" s="5" t="s">
        <v>2566</v>
      </c>
      <c r="H184" s="5" t="s">
        <v>129</v>
      </c>
      <c r="I184" s="7">
        <v>29850746</v>
      </c>
      <c r="J184" s="7">
        <v>7462686</v>
      </c>
      <c r="K184" s="7">
        <v>5535820</v>
      </c>
      <c r="L184" s="8">
        <v>87906</v>
      </c>
      <c r="M184" s="7">
        <v>11150837</v>
      </c>
      <c r="N184" s="7">
        <v>14925373</v>
      </c>
      <c r="O184" s="7">
        <v>18339343</v>
      </c>
      <c r="P184" s="7">
        <v>18339343</v>
      </c>
      <c r="Q184" s="7">
        <f t="shared" si="4"/>
        <v>0</v>
      </c>
      <c r="R184" s="5" t="s">
        <v>602</v>
      </c>
      <c r="S184" s="5" t="s">
        <v>598</v>
      </c>
      <c r="T184" s="5" t="s">
        <v>616</v>
      </c>
      <c r="U184" s="5" t="s">
        <v>2984</v>
      </c>
      <c r="V184" s="5" t="s">
        <v>2567</v>
      </c>
      <c r="W184" s="5" t="s">
        <v>2568</v>
      </c>
      <c r="X184" s="5" t="s">
        <v>2569</v>
      </c>
      <c r="Y184" s="5" t="s">
        <v>2570</v>
      </c>
      <c r="Z184" s="5"/>
      <c r="AA184" s="5" t="s">
        <v>2571</v>
      </c>
      <c r="AB184" s="5"/>
      <c r="AC184" s="5" t="s">
        <v>2572</v>
      </c>
      <c r="AD184" s="62">
        <v>7.7</v>
      </c>
    </row>
    <row r="185" spans="1:30">
      <c r="A185" s="4">
        <v>2017</v>
      </c>
      <c r="B185" s="4" t="s">
        <v>44</v>
      </c>
      <c r="C185" s="4">
        <f t="shared" si="5"/>
        <v>184</v>
      </c>
      <c r="D185" s="96" t="s">
        <v>1126</v>
      </c>
      <c r="E185" s="56" t="s">
        <v>2573</v>
      </c>
      <c r="F185" s="5" t="s">
        <v>1283</v>
      </c>
      <c r="G185" s="5" t="s">
        <v>1428</v>
      </c>
      <c r="H185" s="5" t="s">
        <v>136</v>
      </c>
      <c r="I185" s="7">
        <v>5970149.253731343</v>
      </c>
      <c r="J185" s="7">
        <v>1492537.3134328357</v>
      </c>
      <c r="K185" s="7">
        <v>1679253.7313432836</v>
      </c>
      <c r="L185" s="8">
        <v>27254</v>
      </c>
      <c r="M185" s="7">
        <v>2741992</v>
      </c>
      <c r="N185" s="7">
        <v>4578059.7014925368</v>
      </c>
      <c r="O185" s="7">
        <v>4681992</v>
      </c>
      <c r="P185" s="7">
        <v>4681992</v>
      </c>
      <c r="Q185" s="7">
        <f t="shared" si="4"/>
        <v>0</v>
      </c>
      <c r="R185" s="5" t="s">
        <v>1398</v>
      </c>
      <c r="S185" s="5" t="s">
        <v>598</v>
      </c>
      <c r="T185" s="5" t="s">
        <v>616</v>
      </c>
      <c r="U185" s="5" t="s">
        <v>2984</v>
      </c>
      <c r="V185" s="5" t="s">
        <v>2574</v>
      </c>
      <c r="W185" s="5" t="s">
        <v>1283</v>
      </c>
      <c r="X185" s="5" t="s">
        <v>2169</v>
      </c>
      <c r="Y185" s="5"/>
      <c r="Z185" s="5"/>
      <c r="AA185" s="5" t="s">
        <v>2169</v>
      </c>
      <c r="AB185" s="5"/>
      <c r="AC185" s="5" t="s">
        <v>2575</v>
      </c>
      <c r="AD185" s="62">
        <v>7.6</v>
      </c>
    </row>
    <row r="186" spans="1:30">
      <c r="A186" s="4">
        <v>2018</v>
      </c>
      <c r="B186" s="4" t="s">
        <v>44</v>
      </c>
      <c r="C186" s="4">
        <f t="shared" si="5"/>
        <v>185</v>
      </c>
      <c r="D186" s="96" t="s">
        <v>1126</v>
      </c>
      <c r="E186" s="4" t="s">
        <v>2496</v>
      </c>
      <c r="F186" s="5" t="s">
        <v>366</v>
      </c>
      <c r="G186" s="5" t="s">
        <v>1916</v>
      </c>
      <c r="H186" s="5" t="s">
        <v>131</v>
      </c>
      <c r="I186" s="7">
        <v>14925373</v>
      </c>
      <c r="J186" s="7">
        <v>4477611</v>
      </c>
      <c r="K186" s="7">
        <v>39552238</v>
      </c>
      <c r="L186" s="8">
        <v>57349</v>
      </c>
      <c r="M186" s="7">
        <v>37050000</v>
      </c>
      <c r="N186" s="7">
        <v>104029850</v>
      </c>
      <c r="O186" s="7">
        <v>119035160</v>
      </c>
      <c r="P186" s="7">
        <v>119035160</v>
      </c>
      <c r="Q186" s="7">
        <f t="shared" si="4"/>
        <v>0</v>
      </c>
      <c r="R186" s="5" t="s">
        <v>602</v>
      </c>
      <c r="S186" s="5" t="s">
        <v>598</v>
      </c>
      <c r="T186" s="5" t="s">
        <v>658</v>
      </c>
      <c r="U186" s="5" t="s">
        <v>2984</v>
      </c>
      <c r="V186" s="5" t="s">
        <v>2576</v>
      </c>
      <c r="W186" s="5" t="s">
        <v>2577</v>
      </c>
      <c r="X186" s="5" t="s">
        <v>1633</v>
      </c>
      <c r="Y186" s="5" t="s">
        <v>1573</v>
      </c>
      <c r="Z186" s="5"/>
      <c r="AA186" s="5" t="s">
        <v>2578</v>
      </c>
      <c r="AB186" s="5"/>
      <c r="AC186" s="5" t="s">
        <v>2579</v>
      </c>
      <c r="AD186" s="62">
        <v>8.6</v>
      </c>
    </row>
    <row r="187" spans="1:30" hidden="1">
      <c r="A187" s="4">
        <v>2017</v>
      </c>
      <c r="B187" s="4" t="s">
        <v>44</v>
      </c>
      <c r="C187" s="4">
        <f t="shared" si="5"/>
        <v>186</v>
      </c>
      <c r="D187" s="96" t="s">
        <v>1126</v>
      </c>
      <c r="E187" s="4" t="s">
        <v>2515</v>
      </c>
      <c r="F187" s="5" t="s">
        <v>1288</v>
      </c>
      <c r="G187" s="39" t="s">
        <v>3006</v>
      </c>
      <c r="H187" s="5" t="s">
        <v>131</v>
      </c>
      <c r="I187" s="7">
        <v>1194029.8507462686</v>
      </c>
      <c r="J187" s="7">
        <v>746268.65671641787</v>
      </c>
      <c r="K187" s="7">
        <v>179104.4776119403</v>
      </c>
      <c r="L187" s="41" t="s">
        <v>1501</v>
      </c>
      <c r="M187" s="42" t="s">
        <v>1501</v>
      </c>
      <c r="N187" s="7">
        <v>489552.23880597012</v>
      </c>
      <c r="O187" s="7">
        <v>512000</v>
      </c>
      <c r="P187" s="7">
        <v>512000</v>
      </c>
      <c r="Q187" s="7">
        <f t="shared" si="4"/>
        <v>0</v>
      </c>
      <c r="R187" s="5" t="s">
        <v>606</v>
      </c>
      <c r="S187" s="5" t="s">
        <v>598</v>
      </c>
      <c r="T187" s="5" t="s">
        <v>616</v>
      </c>
      <c r="U187" s="5" t="s">
        <v>2984</v>
      </c>
      <c r="V187" s="5" t="s">
        <v>2580</v>
      </c>
      <c r="W187" s="5" t="s">
        <v>2581</v>
      </c>
      <c r="X187" s="5" t="s">
        <v>2582</v>
      </c>
      <c r="Y187" s="5" t="s">
        <v>2583</v>
      </c>
      <c r="Z187" s="5" t="s">
        <v>2584</v>
      </c>
      <c r="AA187" s="5" t="s">
        <v>2585</v>
      </c>
      <c r="AB187" s="5"/>
      <c r="AC187" s="5" t="s">
        <v>2586</v>
      </c>
      <c r="AD187" s="98" t="s">
        <v>1665</v>
      </c>
    </row>
    <row r="188" spans="1:30">
      <c r="A188" s="4">
        <v>2017</v>
      </c>
      <c r="B188" s="4" t="s">
        <v>44</v>
      </c>
      <c r="C188" s="4">
        <f t="shared" si="5"/>
        <v>187</v>
      </c>
      <c r="D188" s="96" t="s">
        <v>1126</v>
      </c>
      <c r="E188" s="56" t="s">
        <v>1093</v>
      </c>
      <c r="F188" s="5" t="s">
        <v>1289</v>
      </c>
      <c r="G188" s="5" t="s">
        <v>1428</v>
      </c>
      <c r="H188" s="5" t="s">
        <v>136</v>
      </c>
      <c r="I188" s="7">
        <v>13333333</v>
      </c>
      <c r="J188" s="7">
        <v>7462686</v>
      </c>
      <c r="K188" s="7">
        <v>5270149</v>
      </c>
      <c r="L188" s="41">
        <v>46411</v>
      </c>
      <c r="M188" s="42">
        <v>772788</v>
      </c>
      <c r="N188" s="7">
        <v>14217910</v>
      </c>
      <c r="O188" s="7">
        <v>14897163</v>
      </c>
      <c r="P188" s="7">
        <v>14897163</v>
      </c>
      <c r="Q188" s="7">
        <f t="shared" si="4"/>
        <v>0</v>
      </c>
      <c r="R188" s="5" t="s">
        <v>606</v>
      </c>
      <c r="S188" s="5" t="s">
        <v>598</v>
      </c>
      <c r="T188" s="5" t="s">
        <v>616</v>
      </c>
      <c r="U188" s="5" t="s">
        <v>2984</v>
      </c>
      <c r="V188" s="5" t="s">
        <v>2587</v>
      </c>
      <c r="W188" s="5" t="s">
        <v>2588</v>
      </c>
      <c r="X188" s="5" t="s">
        <v>2589</v>
      </c>
      <c r="Y188" s="5" t="s">
        <v>1541</v>
      </c>
      <c r="Z188" s="5"/>
      <c r="AA188" s="5" t="s">
        <v>2589</v>
      </c>
      <c r="AB188" s="5"/>
      <c r="AC188" s="5" t="s">
        <v>2590</v>
      </c>
      <c r="AD188" s="62">
        <v>7.5</v>
      </c>
    </row>
    <row r="189" spans="1:30">
      <c r="A189" s="4">
        <v>2017</v>
      </c>
      <c r="B189" s="4" t="s">
        <v>44</v>
      </c>
      <c r="C189" s="4">
        <f t="shared" si="5"/>
        <v>188</v>
      </c>
      <c r="D189" s="96" t="s">
        <v>1126</v>
      </c>
      <c r="E189" s="56" t="s">
        <v>2022</v>
      </c>
      <c r="F189" s="5" t="s">
        <v>1291</v>
      </c>
      <c r="G189" s="5" t="s">
        <v>1428</v>
      </c>
      <c r="H189" s="5" t="s">
        <v>127</v>
      </c>
      <c r="I189" s="7">
        <v>2238805.9700000002</v>
      </c>
      <c r="J189" s="7">
        <v>1492537.31</v>
      </c>
      <c r="K189" s="7">
        <v>4552388.0599999996</v>
      </c>
      <c r="L189" s="8">
        <v>24230</v>
      </c>
      <c r="M189" s="7">
        <v>3780000</v>
      </c>
      <c r="N189" s="7">
        <v>12307164.199999999</v>
      </c>
      <c r="O189" s="7">
        <v>13006233</v>
      </c>
      <c r="P189" s="7">
        <v>13006233</v>
      </c>
      <c r="Q189" s="7">
        <f t="shared" si="4"/>
        <v>0</v>
      </c>
      <c r="R189" s="5" t="s">
        <v>606</v>
      </c>
      <c r="S189" s="5" t="s">
        <v>631</v>
      </c>
      <c r="T189" s="5" t="s">
        <v>612</v>
      </c>
      <c r="U189" s="5" t="s">
        <v>2984</v>
      </c>
      <c r="V189" s="5" t="s">
        <v>2591</v>
      </c>
      <c r="W189" s="39" t="s">
        <v>2592</v>
      </c>
      <c r="X189" s="5" t="s">
        <v>2593</v>
      </c>
      <c r="Y189" s="5" t="s">
        <v>2594</v>
      </c>
      <c r="Z189" s="5" t="s">
        <v>2595</v>
      </c>
      <c r="AA189" s="5" t="s">
        <v>2596</v>
      </c>
      <c r="AB189" s="5"/>
      <c r="AC189" s="5" t="s">
        <v>1449</v>
      </c>
      <c r="AD189" s="62">
        <v>8.3000000000000007</v>
      </c>
    </row>
    <row r="190" spans="1:30">
      <c r="A190" s="4">
        <v>2017</v>
      </c>
      <c r="B190" s="4" t="s">
        <v>44</v>
      </c>
      <c r="C190" s="4">
        <f t="shared" si="5"/>
        <v>189</v>
      </c>
      <c r="D190" s="96" t="s">
        <v>1126</v>
      </c>
      <c r="E190" s="56" t="s">
        <v>2603</v>
      </c>
      <c r="F190" s="5" t="s">
        <v>1294</v>
      </c>
      <c r="G190" s="5" t="s">
        <v>1410</v>
      </c>
      <c r="H190" s="5" t="s">
        <v>148</v>
      </c>
      <c r="I190" s="7">
        <v>11940298</v>
      </c>
      <c r="J190" s="7">
        <v>2985074</v>
      </c>
      <c r="K190" s="7">
        <v>6546268</v>
      </c>
      <c r="L190" s="8">
        <v>64062</v>
      </c>
      <c r="M190" s="7">
        <v>790000</v>
      </c>
      <c r="N190" s="7">
        <v>26865671</v>
      </c>
      <c r="O190" s="7">
        <v>18764048</v>
      </c>
      <c r="P190" s="7">
        <v>18764048</v>
      </c>
      <c r="Q190" s="7">
        <f t="shared" si="4"/>
        <v>0</v>
      </c>
      <c r="R190" s="5" t="s">
        <v>606</v>
      </c>
      <c r="S190" s="5" t="s">
        <v>598</v>
      </c>
      <c r="T190" s="5" t="s">
        <v>616</v>
      </c>
      <c r="U190" s="5" t="s">
        <v>2984</v>
      </c>
      <c r="V190" s="5" t="s">
        <v>2604</v>
      </c>
      <c r="W190" s="5" t="s">
        <v>2605</v>
      </c>
      <c r="X190" s="5" t="s">
        <v>2357</v>
      </c>
      <c r="Y190" s="5" t="s">
        <v>2606</v>
      </c>
      <c r="Z190" s="5"/>
      <c r="AA190" s="5" t="s">
        <v>2607</v>
      </c>
      <c r="AB190" s="5"/>
      <c r="AC190" s="5" t="s">
        <v>1948</v>
      </c>
      <c r="AD190" s="62">
        <v>8</v>
      </c>
    </row>
    <row r="191" spans="1:30">
      <c r="A191" s="4">
        <v>2017</v>
      </c>
      <c r="B191" s="4" t="s">
        <v>44</v>
      </c>
      <c r="C191" s="4">
        <f t="shared" si="5"/>
        <v>190</v>
      </c>
      <c r="D191" s="96" t="s">
        <v>1126</v>
      </c>
      <c r="E191" s="56" t="s">
        <v>2608</v>
      </c>
      <c r="F191" s="5" t="s">
        <v>1296</v>
      </c>
      <c r="G191" s="5" t="s">
        <v>2609</v>
      </c>
      <c r="H191" s="5" t="s">
        <v>129</v>
      </c>
      <c r="I191" s="7">
        <v>7462686.5700000003</v>
      </c>
      <c r="J191" s="7">
        <v>14992537.310000001</v>
      </c>
      <c r="K191" s="7">
        <v>3583134.33</v>
      </c>
      <c r="L191" s="8">
        <v>4316</v>
      </c>
      <c r="M191" s="7">
        <v>1580000</v>
      </c>
      <c r="N191" s="7">
        <v>9729104.4800000004</v>
      </c>
      <c r="O191" s="7">
        <v>9782949</v>
      </c>
      <c r="P191" s="7">
        <v>9782949</v>
      </c>
      <c r="Q191" s="7">
        <f t="shared" si="4"/>
        <v>0</v>
      </c>
      <c r="R191" s="5" t="s">
        <v>597</v>
      </c>
      <c r="S191" s="5" t="s">
        <v>598</v>
      </c>
      <c r="T191" s="5" t="s">
        <v>599</v>
      </c>
      <c r="U191" s="5" t="s">
        <v>2984</v>
      </c>
      <c r="V191" s="5" t="s">
        <v>2610</v>
      </c>
      <c r="W191" s="5" t="s">
        <v>1296</v>
      </c>
      <c r="X191" s="5" t="s">
        <v>2611</v>
      </c>
      <c r="Y191" s="5" t="s">
        <v>2612</v>
      </c>
      <c r="Z191" s="5" t="s">
        <v>2613</v>
      </c>
      <c r="AA191" s="5" t="s">
        <v>2614</v>
      </c>
      <c r="AB191" s="5"/>
      <c r="AC191" s="5" t="s">
        <v>2465</v>
      </c>
      <c r="AD191" s="62">
        <v>8.6</v>
      </c>
    </row>
    <row r="192" spans="1:30">
      <c r="A192" s="4">
        <v>2017</v>
      </c>
      <c r="B192" s="4" t="s">
        <v>44</v>
      </c>
      <c r="C192" s="4">
        <f t="shared" si="5"/>
        <v>191</v>
      </c>
      <c r="D192" s="96" t="s">
        <v>1126</v>
      </c>
      <c r="E192" s="56" t="s">
        <v>2615</v>
      </c>
      <c r="F192" s="5" t="s">
        <v>1302</v>
      </c>
      <c r="G192" s="5" t="s">
        <v>1658</v>
      </c>
      <c r="H192" s="5" t="s">
        <v>131</v>
      </c>
      <c r="I192" s="7">
        <v>1492537</v>
      </c>
      <c r="J192" s="7">
        <v>746268</v>
      </c>
      <c r="K192" s="7">
        <v>5928358</v>
      </c>
      <c r="L192" s="8">
        <v>19177</v>
      </c>
      <c r="M192" s="7">
        <v>5090000</v>
      </c>
      <c r="N192" s="7">
        <v>15970149</v>
      </c>
      <c r="O192" s="7">
        <v>16444489</v>
      </c>
      <c r="P192" s="7">
        <v>16444489</v>
      </c>
      <c r="Q192" s="7">
        <f t="shared" si="4"/>
        <v>0</v>
      </c>
      <c r="R192" s="5" t="s">
        <v>606</v>
      </c>
      <c r="S192" s="5" t="s">
        <v>598</v>
      </c>
      <c r="T192" s="5" t="s">
        <v>616</v>
      </c>
      <c r="U192" s="5" t="s">
        <v>2984</v>
      </c>
      <c r="V192" s="5" t="s">
        <v>2616</v>
      </c>
      <c r="W192" s="5" t="s">
        <v>2617</v>
      </c>
      <c r="X192" s="5" t="s">
        <v>2618</v>
      </c>
      <c r="Y192" s="5" t="s">
        <v>2619</v>
      </c>
      <c r="Z192" s="5"/>
      <c r="AA192" s="5" t="s">
        <v>2620</v>
      </c>
      <c r="AB192" s="5"/>
      <c r="AC192" s="5" t="s">
        <v>1658</v>
      </c>
      <c r="AD192" s="62">
        <v>8.4</v>
      </c>
    </row>
    <row r="193" spans="1:30">
      <c r="A193" s="4">
        <v>2017</v>
      </c>
      <c r="B193" s="4" t="s">
        <v>44</v>
      </c>
      <c r="C193" s="4">
        <f t="shared" si="5"/>
        <v>192</v>
      </c>
      <c r="D193" s="96" t="s">
        <v>1126</v>
      </c>
      <c r="E193" s="46" t="s">
        <v>2621</v>
      </c>
      <c r="F193" s="5" t="s">
        <v>1303</v>
      </c>
      <c r="G193" s="39" t="s">
        <v>2622</v>
      </c>
      <c r="H193" s="5" t="s">
        <v>131</v>
      </c>
      <c r="I193" s="7">
        <v>11940298.5</v>
      </c>
      <c r="J193" s="7">
        <v>295074.63</v>
      </c>
      <c r="K193" s="7">
        <v>4094029.85</v>
      </c>
      <c r="L193" s="41">
        <v>51459</v>
      </c>
      <c r="M193" s="42">
        <v>7450000</v>
      </c>
      <c r="N193" s="7">
        <v>11088059.699999999</v>
      </c>
      <c r="O193" s="7">
        <v>11170000</v>
      </c>
      <c r="P193" s="7">
        <v>11170000</v>
      </c>
      <c r="Q193" s="7">
        <f t="shared" si="4"/>
        <v>0</v>
      </c>
      <c r="R193" s="5" t="s">
        <v>606</v>
      </c>
      <c r="S193" s="5" t="s">
        <v>598</v>
      </c>
      <c r="T193" s="5" t="s">
        <v>658</v>
      </c>
      <c r="U193" s="5" t="s">
        <v>2984</v>
      </c>
      <c r="V193" s="5" t="s">
        <v>2623</v>
      </c>
      <c r="W193" s="5" t="s">
        <v>2624</v>
      </c>
      <c r="X193" s="5" t="s">
        <v>1905</v>
      </c>
      <c r="Y193" s="5" t="s">
        <v>2625</v>
      </c>
      <c r="Z193" s="5" t="s">
        <v>1861</v>
      </c>
      <c r="AA193" s="5" t="s">
        <v>2626</v>
      </c>
      <c r="AB193" s="5"/>
      <c r="AC193" s="39" t="s">
        <v>2627</v>
      </c>
      <c r="AD193" s="62">
        <v>8.1999999999999993</v>
      </c>
    </row>
    <row r="194" spans="1:30">
      <c r="A194" s="4">
        <v>2017</v>
      </c>
      <c r="B194" s="4" t="s">
        <v>44</v>
      </c>
      <c r="C194" s="4">
        <f t="shared" si="5"/>
        <v>193</v>
      </c>
      <c r="D194" s="96" t="s">
        <v>1126</v>
      </c>
      <c r="E194" s="46" t="s">
        <v>1272</v>
      </c>
      <c r="F194" s="5" t="s">
        <v>1308</v>
      </c>
      <c r="G194" s="52" t="s">
        <v>3019</v>
      </c>
      <c r="H194" s="5" t="s">
        <v>136</v>
      </c>
      <c r="I194" s="7">
        <v>5970149.253731343</v>
      </c>
      <c r="J194" s="7">
        <v>1492537.3134328357</v>
      </c>
      <c r="K194" s="7">
        <v>2813582.0895522386</v>
      </c>
      <c r="L194" s="8">
        <v>23540</v>
      </c>
      <c r="M194" s="7">
        <v>4380000</v>
      </c>
      <c r="N194" s="7">
        <v>7670746.2686567158</v>
      </c>
      <c r="O194" s="7">
        <v>8242805</v>
      </c>
      <c r="P194" s="7">
        <v>8242805</v>
      </c>
      <c r="Q194" s="7">
        <f t="shared" si="4"/>
        <v>0</v>
      </c>
      <c r="R194" s="5" t="s">
        <v>606</v>
      </c>
      <c r="S194" s="5" t="s">
        <v>598</v>
      </c>
      <c r="T194" s="5" t="s">
        <v>616</v>
      </c>
      <c r="U194" s="5" t="s">
        <v>2984</v>
      </c>
      <c r="V194" s="5" t="s">
        <v>2629</v>
      </c>
      <c r="W194" s="5" t="s">
        <v>1308</v>
      </c>
      <c r="X194" s="5" t="s">
        <v>2630</v>
      </c>
      <c r="Y194" s="5" t="s">
        <v>2631</v>
      </c>
      <c r="Z194" s="5" t="s">
        <v>2632</v>
      </c>
      <c r="AA194" s="5" t="s">
        <v>2633</v>
      </c>
      <c r="AB194" s="5"/>
      <c r="AC194" s="5" t="s">
        <v>2634</v>
      </c>
      <c r="AD194" s="62">
        <v>8.1</v>
      </c>
    </row>
    <row r="195" spans="1:30">
      <c r="A195" s="4">
        <v>2017</v>
      </c>
      <c r="B195" s="4" t="s">
        <v>44</v>
      </c>
      <c r="C195" s="4">
        <f t="shared" si="5"/>
        <v>194</v>
      </c>
      <c r="D195" s="4" t="s">
        <v>1126</v>
      </c>
      <c r="E195" s="56" t="s">
        <v>2635</v>
      </c>
      <c r="F195" s="5" t="s">
        <v>1311</v>
      </c>
      <c r="G195" s="5" t="s">
        <v>1428</v>
      </c>
      <c r="H195" s="5" t="s">
        <v>191</v>
      </c>
      <c r="I195" s="7">
        <v>1492537.3134328357</v>
      </c>
      <c r="J195" s="7">
        <v>1492537.3134328357</v>
      </c>
      <c r="K195" s="7">
        <v>1684029.8507462686</v>
      </c>
      <c r="L195" s="8">
        <v>14710</v>
      </c>
      <c r="M195" s="7">
        <v>62577</v>
      </c>
      <c r="N195" s="7">
        <v>4591194.0298507465</v>
      </c>
      <c r="O195" s="7">
        <v>4886088</v>
      </c>
      <c r="P195" s="7">
        <v>4886088</v>
      </c>
      <c r="Q195" s="7">
        <f t="shared" ref="Q195:Q212" si="6">P195-O195</f>
        <v>0</v>
      </c>
      <c r="R195" s="5" t="s">
        <v>597</v>
      </c>
      <c r="S195" s="5" t="s">
        <v>598</v>
      </c>
      <c r="T195" s="5" t="s">
        <v>599</v>
      </c>
      <c r="U195" s="5" t="s">
        <v>2984</v>
      </c>
      <c r="V195" s="5" t="s">
        <v>2636</v>
      </c>
      <c r="W195" s="5" t="s">
        <v>2637</v>
      </c>
      <c r="X195" s="5" t="s">
        <v>2638</v>
      </c>
      <c r="Y195" s="5" t="s">
        <v>2639</v>
      </c>
      <c r="Z195" s="5"/>
      <c r="AA195" s="5" t="s">
        <v>2639</v>
      </c>
      <c r="AB195" s="5"/>
      <c r="AC195" s="5" t="s">
        <v>2640</v>
      </c>
      <c r="AD195" s="62">
        <v>9.1999999999999993</v>
      </c>
    </row>
    <row r="196" spans="1:30">
      <c r="A196" s="4">
        <v>2018</v>
      </c>
      <c r="B196" s="4" t="s">
        <v>44</v>
      </c>
      <c r="C196" s="4">
        <f t="shared" ref="C196:C211" si="7">C195+1</f>
        <v>195</v>
      </c>
      <c r="D196" s="96" t="s">
        <v>1126</v>
      </c>
      <c r="E196" s="4" t="s">
        <v>2641</v>
      </c>
      <c r="F196" s="5" t="s">
        <v>411</v>
      </c>
      <c r="G196" s="5" t="s">
        <v>2642</v>
      </c>
      <c r="H196" s="5" t="s">
        <v>131</v>
      </c>
      <c r="I196" s="7">
        <v>11940298</v>
      </c>
      <c r="J196" s="7">
        <v>2985074</v>
      </c>
      <c r="K196" s="7">
        <v>2616417</v>
      </c>
      <c r="L196" s="8">
        <v>25357</v>
      </c>
      <c r="M196" s="7">
        <v>7372</v>
      </c>
      <c r="N196" s="7">
        <v>7134328</v>
      </c>
      <c r="O196" s="7">
        <v>8051388</v>
      </c>
      <c r="P196" s="7">
        <v>8051388</v>
      </c>
      <c r="Q196" s="7">
        <f t="shared" si="6"/>
        <v>0</v>
      </c>
      <c r="R196" s="5" t="s">
        <v>606</v>
      </c>
      <c r="S196" s="5" t="s">
        <v>598</v>
      </c>
      <c r="T196" s="5" t="s">
        <v>616</v>
      </c>
      <c r="U196" s="5" t="s">
        <v>2984</v>
      </c>
      <c r="V196" s="5" t="s">
        <v>2643</v>
      </c>
      <c r="W196" s="5" t="s">
        <v>2644</v>
      </c>
      <c r="X196" s="5" t="s">
        <v>2645</v>
      </c>
      <c r="Y196" s="5" t="s">
        <v>2646</v>
      </c>
      <c r="Z196" s="5"/>
      <c r="AA196" s="5" t="s">
        <v>2647</v>
      </c>
      <c r="AB196" s="5"/>
      <c r="AC196" s="5" t="s">
        <v>2369</v>
      </c>
      <c r="AD196" s="62">
        <v>8.1</v>
      </c>
    </row>
    <row r="197" spans="1:30">
      <c r="A197" s="4">
        <v>2017</v>
      </c>
      <c r="B197" s="4" t="s">
        <v>44</v>
      </c>
      <c r="C197" s="4">
        <f t="shared" si="7"/>
        <v>196</v>
      </c>
      <c r="D197" s="4" t="s">
        <v>1126</v>
      </c>
      <c r="E197" s="56" t="s">
        <v>2648</v>
      </c>
      <c r="F197" s="5" t="s">
        <v>1317</v>
      </c>
      <c r="G197" s="5" t="s">
        <v>2575</v>
      </c>
      <c r="H197" s="5" t="s">
        <v>131</v>
      </c>
      <c r="I197" s="7">
        <v>4477611.9400000004</v>
      </c>
      <c r="J197" s="7">
        <v>1492537.31</v>
      </c>
      <c r="K197" s="7">
        <v>3301791.04</v>
      </c>
      <c r="L197" s="8">
        <v>24815</v>
      </c>
      <c r="M197" s="7">
        <v>980000</v>
      </c>
      <c r="N197" s="7">
        <v>8980895.5199999996</v>
      </c>
      <c r="O197" s="7">
        <v>9949926</v>
      </c>
      <c r="P197" s="7">
        <v>9949926</v>
      </c>
      <c r="Q197" s="7">
        <f t="shared" si="6"/>
        <v>0</v>
      </c>
      <c r="R197" s="5" t="s">
        <v>606</v>
      </c>
      <c r="S197" s="5" t="s">
        <v>598</v>
      </c>
      <c r="T197" s="5" t="s">
        <v>616</v>
      </c>
      <c r="U197" s="5" t="s">
        <v>2984</v>
      </c>
      <c r="V197" s="5" t="s">
        <v>2649</v>
      </c>
      <c r="W197" s="5" t="s">
        <v>2650</v>
      </c>
      <c r="X197" s="5" t="s">
        <v>2651</v>
      </c>
      <c r="Y197" s="5" t="s">
        <v>2652</v>
      </c>
      <c r="Z197" s="5" t="s">
        <v>2653</v>
      </c>
      <c r="AA197" s="5" t="s">
        <v>2654</v>
      </c>
      <c r="AB197" s="5"/>
      <c r="AC197" s="5" t="s">
        <v>2655</v>
      </c>
      <c r="AD197" s="62">
        <v>9.1999999999999993</v>
      </c>
    </row>
    <row r="198" spans="1:30">
      <c r="A198" s="4">
        <v>2017</v>
      </c>
      <c r="B198" s="4" t="s">
        <v>44</v>
      </c>
      <c r="C198" s="4">
        <f t="shared" si="7"/>
        <v>197</v>
      </c>
      <c r="D198" s="96" t="s">
        <v>1126</v>
      </c>
      <c r="E198" s="4" t="s">
        <v>2656</v>
      </c>
      <c r="F198" s="5" t="s">
        <v>1320</v>
      </c>
      <c r="G198" s="39" t="s">
        <v>2657</v>
      </c>
      <c r="H198" s="5" t="s">
        <v>129</v>
      </c>
      <c r="I198" s="7">
        <v>14925373.134328358</v>
      </c>
      <c r="J198" s="7">
        <v>7462686.5671641789</v>
      </c>
      <c r="K198" s="7">
        <v>21492537.313432835</v>
      </c>
      <c r="L198" s="41">
        <v>95005</v>
      </c>
      <c r="M198" s="42">
        <v>24520000</v>
      </c>
      <c r="N198" s="7">
        <v>57164179.104477607</v>
      </c>
      <c r="O198" s="7">
        <v>60600360</v>
      </c>
      <c r="P198" s="7">
        <v>60600360</v>
      </c>
      <c r="Q198" s="7">
        <f t="shared" si="6"/>
        <v>0</v>
      </c>
      <c r="R198" s="5" t="s">
        <v>606</v>
      </c>
      <c r="S198" s="5" t="s">
        <v>598</v>
      </c>
      <c r="T198" s="5" t="s">
        <v>658</v>
      </c>
      <c r="U198" s="5" t="s">
        <v>2984</v>
      </c>
      <c r="V198" s="5" t="s">
        <v>2658</v>
      </c>
      <c r="W198" s="5" t="s">
        <v>2659</v>
      </c>
      <c r="X198" s="5" t="s">
        <v>2660</v>
      </c>
      <c r="Y198" s="5" t="s">
        <v>2661</v>
      </c>
      <c r="Z198" s="5"/>
      <c r="AA198" s="5" t="s">
        <v>1649</v>
      </c>
      <c r="AB198" s="5"/>
      <c r="AC198" s="39" t="s">
        <v>2662</v>
      </c>
      <c r="AD198" s="62">
        <v>9.1</v>
      </c>
    </row>
    <row r="199" spans="1:30">
      <c r="A199" s="4">
        <v>2017</v>
      </c>
      <c r="B199" s="4" t="s">
        <v>44</v>
      </c>
      <c r="C199" s="4">
        <f t="shared" si="7"/>
        <v>198</v>
      </c>
      <c r="D199" s="96" t="s">
        <v>1126</v>
      </c>
      <c r="E199" s="56" t="s">
        <v>2663</v>
      </c>
      <c r="F199" s="5" t="s">
        <v>1325</v>
      </c>
      <c r="G199" s="5" t="s">
        <v>2664</v>
      </c>
      <c r="H199" s="5" t="s">
        <v>129</v>
      </c>
      <c r="I199" s="7">
        <v>4477611.940298507</v>
      </c>
      <c r="J199" s="7">
        <v>1492537.3134328357</v>
      </c>
      <c r="K199" s="7">
        <v>1691940.2985074627</v>
      </c>
      <c r="L199" s="8">
        <v>33691</v>
      </c>
      <c r="M199" s="7">
        <v>2820000</v>
      </c>
      <c r="N199" s="7">
        <v>4612835.8208955219</v>
      </c>
      <c r="O199" s="7">
        <v>5029820</v>
      </c>
      <c r="P199" s="7">
        <v>5029820</v>
      </c>
      <c r="Q199" s="7">
        <f t="shared" si="6"/>
        <v>0</v>
      </c>
      <c r="R199" s="5" t="s">
        <v>606</v>
      </c>
      <c r="S199" s="5" t="s">
        <v>598</v>
      </c>
      <c r="T199" s="5" t="s">
        <v>616</v>
      </c>
      <c r="U199" s="5" t="s">
        <v>2984</v>
      </c>
      <c r="V199" s="5" t="s">
        <v>2665</v>
      </c>
      <c r="W199" s="5" t="s">
        <v>2666</v>
      </c>
      <c r="X199" s="5" t="s">
        <v>1891</v>
      </c>
      <c r="Y199" s="5" t="s">
        <v>2667</v>
      </c>
      <c r="Z199" s="5" t="s">
        <v>2668</v>
      </c>
      <c r="AA199" s="5" t="s">
        <v>2669</v>
      </c>
      <c r="AB199" s="5"/>
      <c r="AC199" s="5" t="s">
        <v>2670</v>
      </c>
      <c r="AD199" s="62">
        <v>7.9</v>
      </c>
    </row>
    <row r="200" spans="1:30">
      <c r="A200" s="4">
        <v>2017</v>
      </c>
      <c r="B200" s="4" t="s">
        <v>44</v>
      </c>
      <c r="C200" s="4">
        <f t="shared" si="7"/>
        <v>199</v>
      </c>
      <c r="D200" s="96" t="s">
        <v>1126</v>
      </c>
      <c r="E200" s="4" t="s">
        <v>2671</v>
      </c>
      <c r="F200" s="5" t="s">
        <v>1326</v>
      </c>
      <c r="G200" s="5" t="s">
        <v>2525</v>
      </c>
      <c r="H200" s="5" t="s">
        <v>136</v>
      </c>
      <c r="I200" s="7">
        <v>2985074.6268656715</v>
      </c>
      <c r="J200" s="7">
        <v>1194029.8507462686</v>
      </c>
      <c r="K200" s="7">
        <v>455223.88059701491</v>
      </c>
      <c r="L200" s="41" t="s">
        <v>1501</v>
      </c>
      <c r="M200" s="7">
        <v>195282</v>
      </c>
      <c r="N200" s="7">
        <v>1241791.0447761193</v>
      </c>
      <c r="O200" s="7">
        <v>1327225</v>
      </c>
      <c r="P200" s="7">
        <v>1327225</v>
      </c>
      <c r="Q200" s="7">
        <f t="shared" si="6"/>
        <v>0</v>
      </c>
      <c r="R200" s="39" t="s">
        <v>606</v>
      </c>
      <c r="S200" s="5" t="s">
        <v>598</v>
      </c>
      <c r="T200" s="5">
        <v>0</v>
      </c>
      <c r="U200" s="5" t="s">
        <v>2984</v>
      </c>
      <c r="V200" s="5" t="s">
        <v>2672</v>
      </c>
      <c r="W200" s="5" t="s">
        <v>2673</v>
      </c>
      <c r="X200" s="5" t="s">
        <v>2674</v>
      </c>
      <c r="Y200" s="5" t="s">
        <v>2675</v>
      </c>
      <c r="Z200" s="5" t="s">
        <v>2676</v>
      </c>
      <c r="AA200" s="5" t="s">
        <v>2677</v>
      </c>
      <c r="AB200" s="5"/>
      <c r="AC200" s="5" t="s">
        <v>2678</v>
      </c>
      <c r="AD200" s="62">
        <v>8</v>
      </c>
    </row>
    <row r="201" spans="1:30">
      <c r="A201" s="4">
        <v>2017</v>
      </c>
      <c r="B201" s="4" t="s">
        <v>44</v>
      </c>
      <c r="C201" s="4">
        <f t="shared" si="7"/>
        <v>200</v>
      </c>
      <c r="D201" s="96" t="s">
        <v>1126</v>
      </c>
      <c r="E201" s="56" t="s">
        <v>1084</v>
      </c>
      <c r="F201" s="5" t="s">
        <v>1327</v>
      </c>
      <c r="G201" s="5" t="s">
        <v>1658</v>
      </c>
      <c r="H201" s="5" t="s">
        <v>129</v>
      </c>
      <c r="I201" s="7">
        <v>29850746</v>
      </c>
      <c r="J201" s="7">
        <v>8955223</v>
      </c>
      <c r="K201" s="7">
        <v>17164179</v>
      </c>
      <c r="L201" s="8">
        <v>45552</v>
      </c>
      <c r="M201" s="7">
        <v>12995928</v>
      </c>
      <c r="N201" s="7">
        <v>45970149</v>
      </c>
      <c r="O201" s="7">
        <v>48069252</v>
      </c>
      <c r="P201" s="7">
        <v>48069252</v>
      </c>
      <c r="Q201" s="7">
        <f t="shared" si="6"/>
        <v>0</v>
      </c>
      <c r="R201" s="5" t="s">
        <v>606</v>
      </c>
      <c r="S201" s="5" t="s">
        <v>598</v>
      </c>
      <c r="T201" s="5" t="s">
        <v>616</v>
      </c>
      <c r="U201" s="5" t="s">
        <v>2984</v>
      </c>
      <c r="V201" s="5" t="s">
        <v>2679</v>
      </c>
      <c r="W201" s="5" t="s">
        <v>2680</v>
      </c>
      <c r="X201" s="39" t="s">
        <v>2681</v>
      </c>
      <c r="Y201" s="5" t="s">
        <v>2682</v>
      </c>
      <c r="Z201" s="39" t="s">
        <v>1984</v>
      </c>
      <c r="AA201" s="5" t="s">
        <v>2683</v>
      </c>
      <c r="AB201" s="5"/>
      <c r="AC201" s="5" t="s">
        <v>2684</v>
      </c>
      <c r="AD201" s="62">
        <v>8.6</v>
      </c>
    </row>
    <row r="202" spans="1:30">
      <c r="A202" s="4">
        <v>2017</v>
      </c>
      <c r="B202" s="4" t="s">
        <v>44</v>
      </c>
      <c r="C202" s="4">
        <f t="shared" si="7"/>
        <v>201</v>
      </c>
      <c r="D202" s="96" t="s">
        <v>1126</v>
      </c>
      <c r="E202" s="56" t="s">
        <v>2685</v>
      </c>
      <c r="F202" s="5" t="s">
        <v>1332</v>
      </c>
      <c r="G202" s="5" t="s">
        <v>2686</v>
      </c>
      <c r="H202" s="5" t="s">
        <v>131</v>
      </c>
      <c r="I202" s="7">
        <v>7462686.5671641789</v>
      </c>
      <c r="J202" s="7">
        <v>1492537.3134328357</v>
      </c>
      <c r="K202" s="7">
        <v>1391343.2835820895</v>
      </c>
      <c r="L202" s="8">
        <v>32654</v>
      </c>
      <c r="M202" s="7">
        <v>3308567</v>
      </c>
      <c r="N202" s="7">
        <v>3793283.5820895522</v>
      </c>
      <c r="O202" s="7">
        <v>4964366</v>
      </c>
      <c r="P202" s="7">
        <v>4964366</v>
      </c>
      <c r="Q202" s="7">
        <f t="shared" si="6"/>
        <v>0</v>
      </c>
      <c r="R202" s="5" t="s">
        <v>606</v>
      </c>
      <c r="S202" s="5" t="s">
        <v>598</v>
      </c>
      <c r="T202" s="5" t="s">
        <v>616</v>
      </c>
      <c r="U202" s="5" t="s">
        <v>2984</v>
      </c>
      <c r="V202" s="5" t="s">
        <v>2687</v>
      </c>
      <c r="W202" s="5" t="s">
        <v>2688</v>
      </c>
      <c r="X202" s="5" t="s">
        <v>2019</v>
      </c>
      <c r="Y202" s="5" t="s">
        <v>2459</v>
      </c>
      <c r="Z202" s="5" t="s">
        <v>2689</v>
      </c>
      <c r="AA202" s="5" t="s">
        <v>2690</v>
      </c>
      <c r="AB202" s="5"/>
      <c r="AC202" s="5" t="s">
        <v>2691</v>
      </c>
      <c r="AD202" s="62">
        <v>7.2</v>
      </c>
    </row>
    <row r="203" spans="1:30">
      <c r="A203" s="4">
        <v>2017</v>
      </c>
      <c r="B203" s="4" t="s">
        <v>44</v>
      </c>
      <c r="C203" s="4">
        <f t="shared" si="7"/>
        <v>202</v>
      </c>
      <c r="D203" s="96" t="s">
        <v>1126</v>
      </c>
      <c r="E203" s="56" t="s">
        <v>2692</v>
      </c>
      <c r="F203" s="5" t="s">
        <v>1333</v>
      </c>
      <c r="G203" s="5" t="s">
        <v>1494</v>
      </c>
      <c r="H203" s="5" t="s">
        <v>148</v>
      </c>
      <c r="I203" s="7">
        <v>7462686.5671641789</v>
      </c>
      <c r="J203" s="7">
        <v>7462686.5671641789</v>
      </c>
      <c r="K203" s="7">
        <v>6322238.8059701491</v>
      </c>
      <c r="L203" s="41">
        <v>35687</v>
      </c>
      <c r="M203" s="42">
        <v>219973</v>
      </c>
      <c r="N203" s="7">
        <v>17014925.373134326</v>
      </c>
      <c r="O203" s="7">
        <v>18019652</v>
      </c>
      <c r="P203" s="7">
        <v>18019652</v>
      </c>
      <c r="Q203" s="7">
        <f t="shared" si="6"/>
        <v>0</v>
      </c>
      <c r="R203" s="5" t="s">
        <v>602</v>
      </c>
      <c r="S203" s="5" t="s">
        <v>598</v>
      </c>
      <c r="T203" s="5" t="s">
        <v>616</v>
      </c>
      <c r="U203" s="5" t="s">
        <v>2984</v>
      </c>
      <c r="V203" s="5" t="s">
        <v>2693</v>
      </c>
      <c r="W203" s="39" t="s">
        <v>2694</v>
      </c>
      <c r="X203" s="5" t="s">
        <v>2431</v>
      </c>
      <c r="Y203" s="5" t="s">
        <v>2695</v>
      </c>
      <c r="Z203" s="5"/>
      <c r="AA203" s="5" t="s">
        <v>1806</v>
      </c>
      <c r="AB203" s="5" t="s">
        <v>1807</v>
      </c>
      <c r="AC203" s="5" t="s">
        <v>2344</v>
      </c>
      <c r="AD203" s="62">
        <v>9</v>
      </c>
    </row>
    <row r="204" spans="1:30">
      <c r="A204" s="4">
        <v>2018</v>
      </c>
      <c r="B204" s="4" t="s">
        <v>44</v>
      </c>
      <c r="C204" s="4">
        <f t="shared" si="7"/>
        <v>203</v>
      </c>
      <c r="D204" s="96" t="s">
        <v>1126</v>
      </c>
      <c r="E204" s="4" t="s">
        <v>2275</v>
      </c>
      <c r="F204" s="5" t="s">
        <v>410</v>
      </c>
      <c r="G204" s="5" t="s">
        <v>1916</v>
      </c>
      <c r="H204" s="5" t="s">
        <v>1403</v>
      </c>
      <c r="I204" s="7">
        <v>2985074</v>
      </c>
      <c r="J204" s="7">
        <v>2238805</v>
      </c>
      <c r="K204" s="7">
        <v>3063333</v>
      </c>
      <c r="L204" s="8">
        <v>24773</v>
      </c>
      <c r="M204" s="7">
        <v>1610</v>
      </c>
      <c r="N204" s="7">
        <v>7479104</v>
      </c>
      <c r="O204" s="7">
        <v>8512220</v>
      </c>
      <c r="P204" s="7">
        <v>8512220</v>
      </c>
      <c r="Q204" s="7">
        <f t="shared" si="6"/>
        <v>0</v>
      </c>
      <c r="R204" s="5" t="s">
        <v>606</v>
      </c>
      <c r="S204" s="5" t="s">
        <v>598</v>
      </c>
      <c r="T204" s="5" t="s">
        <v>616</v>
      </c>
      <c r="U204" s="5" t="s">
        <v>2984</v>
      </c>
      <c r="V204" s="5" t="s">
        <v>2700</v>
      </c>
      <c r="W204" s="5" t="s">
        <v>2701</v>
      </c>
      <c r="X204" s="5" t="s">
        <v>2564</v>
      </c>
      <c r="Y204" s="5" t="s">
        <v>2702</v>
      </c>
      <c r="Z204" s="5"/>
      <c r="AA204" s="5" t="s">
        <v>2703</v>
      </c>
      <c r="AB204" s="5"/>
      <c r="AC204" s="5" t="s">
        <v>2704</v>
      </c>
      <c r="AD204" s="62">
        <v>8.1999999999999993</v>
      </c>
    </row>
    <row r="205" spans="1:30">
      <c r="A205" s="4">
        <v>2017</v>
      </c>
      <c r="B205" s="4" t="s">
        <v>44</v>
      </c>
      <c r="C205" s="4">
        <f t="shared" si="7"/>
        <v>204</v>
      </c>
      <c r="D205" s="96" t="s">
        <v>1126</v>
      </c>
      <c r="E205" s="56" t="s">
        <v>1095</v>
      </c>
      <c r="F205" s="5" t="s">
        <v>1339</v>
      </c>
      <c r="G205" s="5" t="s">
        <v>2575</v>
      </c>
      <c r="H205" s="5" t="s">
        <v>136</v>
      </c>
      <c r="I205" s="7">
        <v>7462686.5700000003</v>
      </c>
      <c r="J205" s="7">
        <v>2238805.9700000002</v>
      </c>
      <c r="K205" s="7">
        <v>3528507.46</v>
      </c>
      <c r="L205" s="8">
        <v>36935</v>
      </c>
      <c r="M205" s="7">
        <v>5430000</v>
      </c>
      <c r="N205" s="7">
        <v>9583880.5999999996</v>
      </c>
      <c r="O205" s="7">
        <v>10238078</v>
      </c>
      <c r="P205" s="7">
        <v>10238078</v>
      </c>
      <c r="Q205" s="7">
        <f t="shared" si="6"/>
        <v>0</v>
      </c>
      <c r="R205" s="5" t="s">
        <v>606</v>
      </c>
      <c r="S205" s="5" t="s">
        <v>703</v>
      </c>
      <c r="T205" s="5" t="s">
        <v>603</v>
      </c>
      <c r="U205" s="5" t="s">
        <v>2984</v>
      </c>
      <c r="V205" s="5" t="s">
        <v>2705</v>
      </c>
      <c r="W205" s="5" t="s">
        <v>2706</v>
      </c>
      <c r="X205" s="5" t="s">
        <v>2707</v>
      </c>
      <c r="Y205" s="5" t="s">
        <v>2170</v>
      </c>
      <c r="Z205" s="5" t="s">
        <v>2254</v>
      </c>
      <c r="AA205" s="5" t="s">
        <v>2708</v>
      </c>
      <c r="AB205" s="5"/>
      <c r="AC205" s="5" t="s">
        <v>2709</v>
      </c>
      <c r="AD205" s="62">
        <v>8.1</v>
      </c>
    </row>
    <row r="206" spans="1:30">
      <c r="A206" s="4">
        <v>2018</v>
      </c>
      <c r="B206" s="4" t="s">
        <v>44</v>
      </c>
      <c r="C206" s="4">
        <f t="shared" si="7"/>
        <v>205</v>
      </c>
      <c r="D206" s="96" t="s">
        <v>1126</v>
      </c>
      <c r="E206" s="4" t="s">
        <v>2710</v>
      </c>
      <c r="F206" s="5" t="s">
        <v>418</v>
      </c>
      <c r="G206" s="5" t="s">
        <v>2664</v>
      </c>
      <c r="H206" s="5" t="s">
        <v>136</v>
      </c>
      <c r="I206" s="7">
        <v>7462686</v>
      </c>
      <c r="J206" s="7">
        <v>1492537</v>
      </c>
      <c r="K206" s="7">
        <v>1880597</v>
      </c>
      <c r="L206" s="8">
        <v>30895</v>
      </c>
      <c r="M206" s="7">
        <v>82699</v>
      </c>
      <c r="N206" s="7">
        <v>5125373</v>
      </c>
      <c r="O206" s="7">
        <v>5748970</v>
      </c>
      <c r="P206" s="7">
        <v>5748970</v>
      </c>
      <c r="Q206" s="7">
        <f t="shared" si="6"/>
        <v>0</v>
      </c>
      <c r="R206" s="5" t="s">
        <v>606</v>
      </c>
      <c r="S206" s="5" t="s">
        <v>598</v>
      </c>
      <c r="T206" s="5" t="s">
        <v>616</v>
      </c>
      <c r="U206" s="5" t="s">
        <v>2984</v>
      </c>
      <c r="V206" s="5" t="s">
        <v>2711</v>
      </c>
      <c r="W206" s="5" t="s">
        <v>2712</v>
      </c>
      <c r="X206" s="5" t="s">
        <v>2170</v>
      </c>
      <c r="Y206" s="5" t="s">
        <v>2713</v>
      </c>
      <c r="Z206" s="5"/>
      <c r="AA206" s="5" t="s">
        <v>2714</v>
      </c>
      <c r="AB206" s="5"/>
      <c r="AC206" s="5" t="s">
        <v>2670</v>
      </c>
      <c r="AD206" s="62">
        <v>8.3000000000000007</v>
      </c>
    </row>
    <row r="207" spans="1:30">
      <c r="A207" s="4">
        <v>2017</v>
      </c>
      <c r="B207" s="4" t="s">
        <v>44</v>
      </c>
      <c r="C207" s="4">
        <f t="shared" si="7"/>
        <v>206</v>
      </c>
      <c r="D207" s="96" t="s">
        <v>1126</v>
      </c>
      <c r="E207" s="56" t="s">
        <v>2022</v>
      </c>
      <c r="F207" s="5" t="s">
        <v>1342</v>
      </c>
      <c r="G207" s="5" t="s">
        <v>2715</v>
      </c>
      <c r="H207" s="5" t="s">
        <v>129</v>
      </c>
      <c r="I207" s="7">
        <v>7462686.5671641789</v>
      </c>
      <c r="J207" s="7">
        <v>2238805.9701492535</v>
      </c>
      <c r="K207" s="7">
        <v>1538208.9552238805</v>
      </c>
      <c r="L207" s="8">
        <v>26127</v>
      </c>
      <c r="M207" s="7">
        <v>1530000</v>
      </c>
      <c r="N207" s="7">
        <v>4193731.343283582</v>
      </c>
      <c r="O207" s="7">
        <v>4433919</v>
      </c>
      <c r="P207" s="7">
        <v>4433919</v>
      </c>
      <c r="Q207" s="7">
        <f t="shared" si="6"/>
        <v>0</v>
      </c>
      <c r="R207" s="5" t="s">
        <v>606</v>
      </c>
      <c r="S207" s="5" t="s">
        <v>598</v>
      </c>
      <c r="T207" s="5" t="s">
        <v>658</v>
      </c>
      <c r="U207" s="5" t="s">
        <v>2984</v>
      </c>
      <c r="V207" s="5" t="s">
        <v>2716</v>
      </c>
      <c r="W207" s="5" t="s">
        <v>1342</v>
      </c>
      <c r="X207" s="5" t="s">
        <v>2717</v>
      </c>
      <c r="Y207" s="5" t="s">
        <v>2718</v>
      </c>
      <c r="Z207" s="5"/>
      <c r="AA207" s="5" t="s">
        <v>2719</v>
      </c>
      <c r="AB207" s="5"/>
      <c r="AC207" s="5" t="s">
        <v>2720</v>
      </c>
      <c r="AD207" s="59">
        <v>7.8</v>
      </c>
    </row>
    <row r="208" spans="1:30">
      <c r="A208" s="4">
        <v>2017</v>
      </c>
      <c r="B208" s="4" t="s">
        <v>44</v>
      </c>
      <c r="C208" s="4">
        <f t="shared" si="7"/>
        <v>207</v>
      </c>
      <c r="D208" s="96" t="s">
        <v>1126</v>
      </c>
      <c r="E208" s="56" t="s">
        <v>2721</v>
      </c>
      <c r="F208" s="5" t="s">
        <v>1347</v>
      </c>
      <c r="G208" s="5" t="s">
        <v>2722</v>
      </c>
      <c r="H208" s="5" t="s">
        <v>129</v>
      </c>
      <c r="I208" s="7">
        <v>14925373</v>
      </c>
      <c r="J208" s="7">
        <v>4477611</v>
      </c>
      <c r="K208" s="7">
        <v>16119402</v>
      </c>
      <c r="L208" s="8">
        <v>63028</v>
      </c>
      <c r="M208" s="7">
        <v>24270000</v>
      </c>
      <c r="N208" s="7">
        <v>43134328</v>
      </c>
      <c r="O208" s="7">
        <v>45698504</v>
      </c>
      <c r="P208" s="7">
        <v>45698504</v>
      </c>
      <c r="Q208" s="7">
        <f t="shared" si="6"/>
        <v>0</v>
      </c>
      <c r="R208" s="5" t="s">
        <v>606</v>
      </c>
      <c r="S208" s="5" t="s">
        <v>598</v>
      </c>
      <c r="T208" s="5" t="s">
        <v>616</v>
      </c>
      <c r="U208" s="5" t="s">
        <v>2984</v>
      </c>
      <c r="V208" s="5" t="s">
        <v>2723</v>
      </c>
      <c r="W208" s="5" t="s">
        <v>2724</v>
      </c>
      <c r="X208" s="5" t="s">
        <v>2283</v>
      </c>
      <c r="Y208" s="5" t="s">
        <v>2725</v>
      </c>
      <c r="Z208" s="5"/>
      <c r="AA208" s="5" t="s">
        <v>2726</v>
      </c>
      <c r="AB208" s="5"/>
      <c r="AC208" s="5" t="s">
        <v>2722</v>
      </c>
      <c r="AD208" s="62">
        <v>8.1999999999999993</v>
      </c>
    </row>
    <row r="209" spans="1:30">
      <c r="A209" s="4">
        <v>2017</v>
      </c>
      <c r="B209" s="4" t="s">
        <v>45</v>
      </c>
      <c r="C209" s="4">
        <f t="shared" si="7"/>
        <v>208</v>
      </c>
      <c r="D209" s="96" t="s">
        <v>1126</v>
      </c>
      <c r="E209" s="56" t="s">
        <v>2603</v>
      </c>
      <c r="F209" s="5" t="s">
        <v>1351</v>
      </c>
      <c r="G209" s="5" t="s">
        <v>2728</v>
      </c>
      <c r="H209" s="5" t="s">
        <v>127</v>
      </c>
      <c r="I209" s="7">
        <v>10447761.194029851</v>
      </c>
      <c r="J209" s="7">
        <v>2238805.9701492535</v>
      </c>
      <c r="K209" s="7">
        <v>2307462.686567164</v>
      </c>
      <c r="L209" s="8">
        <v>33909</v>
      </c>
      <c r="M209" s="7">
        <v>4580967</v>
      </c>
      <c r="N209" s="7">
        <v>6290746.2686567167</v>
      </c>
      <c r="O209" s="7">
        <v>6651494</v>
      </c>
      <c r="P209" s="7">
        <v>6651494</v>
      </c>
      <c r="Q209" s="7">
        <f t="shared" si="6"/>
        <v>0</v>
      </c>
      <c r="R209" s="5" t="s">
        <v>606</v>
      </c>
      <c r="S209" s="5" t="s">
        <v>703</v>
      </c>
      <c r="T209" s="5" t="s">
        <v>612</v>
      </c>
      <c r="U209" s="5" t="s">
        <v>2984</v>
      </c>
      <c r="V209" s="5" t="s">
        <v>2729</v>
      </c>
      <c r="W209" s="5" t="s">
        <v>1351</v>
      </c>
      <c r="X209" s="5" t="s">
        <v>1646</v>
      </c>
      <c r="Y209" s="5" t="s">
        <v>2563</v>
      </c>
      <c r="Z209" s="5" t="s">
        <v>2730</v>
      </c>
      <c r="AA209" s="5" t="s">
        <v>2731</v>
      </c>
      <c r="AB209" s="5"/>
      <c r="AC209" s="5" t="s">
        <v>2365</v>
      </c>
      <c r="AD209" s="62">
        <v>8.4</v>
      </c>
    </row>
    <row r="210" spans="1:30">
      <c r="A210" s="4">
        <v>2017</v>
      </c>
      <c r="B210" s="4" t="s">
        <v>45</v>
      </c>
      <c r="C210" s="4">
        <f t="shared" si="7"/>
        <v>209</v>
      </c>
      <c r="D210" s="96" t="s">
        <v>1082</v>
      </c>
      <c r="E210" s="4" t="s">
        <v>1082</v>
      </c>
      <c r="F210" s="5" t="s">
        <v>1356</v>
      </c>
      <c r="G210" s="5" t="s">
        <v>1357</v>
      </c>
      <c r="H210" s="5" t="s">
        <v>129</v>
      </c>
      <c r="I210" s="7">
        <v>14925373</v>
      </c>
      <c r="J210" s="7">
        <v>7462686</v>
      </c>
      <c r="K210" s="7">
        <v>20895522</v>
      </c>
      <c r="L210" s="8">
        <v>58455</v>
      </c>
      <c r="M210" s="7">
        <v>24538631</v>
      </c>
      <c r="N210" s="7">
        <v>55522388</v>
      </c>
      <c r="O210" s="7">
        <v>58807172</v>
      </c>
      <c r="P210" s="7">
        <v>58807172</v>
      </c>
      <c r="Q210" s="7">
        <f t="shared" si="6"/>
        <v>0</v>
      </c>
      <c r="R210" s="5" t="s">
        <v>606</v>
      </c>
      <c r="S210" s="5" t="s">
        <v>598</v>
      </c>
      <c r="T210" s="5" t="s">
        <v>616</v>
      </c>
      <c r="U210" s="5" t="s">
        <v>1390</v>
      </c>
      <c r="V210" s="5" t="s">
        <v>2732</v>
      </c>
      <c r="W210" s="5" t="s">
        <v>2733</v>
      </c>
      <c r="X210" s="5" t="s">
        <v>2727</v>
      </c>
      <c r="Y210" s="5" t="s">
        <v>2734</v>
      </c>
      <c r="Z210" s="5"/>
      <c r="AA210" s="5" t="s">
        <v>2298</v>
      </c>
      <c r="AB210" s="5"/>
      <c r="AC210" s="5" t="s">
        <v>2735</v>
      </c>
      <c r="AD210" s="62">
        <v>9</v>
      </c>
    </row>
    <row r="211" spans="1:30">
      <c r="A211" s="4">
        <v>2017</v>
      </c>
      <c r="B211" s="4" t="s">
        <v>46</v>
      </c>
      <c r="C211" s="4">
        <f t="shared" si="7"/>
        <v>210</v>
      </c>
      <c r="D211" s="96" t="s">
        <v>1097</v>
      </c>
      <c r="E211" s="4" t="s">
        <v>2737</v>
      </c>
      <c r="F211" s="5" t="s">
        <v>58</v>
      </c>
      <c r="G211" s="5" t="s">
        <v>1377</v>
      </c>
      <c r="H211" s="5" t="s">
        <v>131</v>
      </c>
      <c r="I211" s="7">
        <v>5970149.253731343</v>
      </c>
      <c r="J211" s="7">
        <v>2985074.6268656715</v>
      </c>
      <c r="K211" s="7">
        <v>1386567.1641791044</v>
      </c>
      <c r="L211" s="41">
        <v>23831</v>
      </c>
      <c r="M211" s="42">
        <v>18228</v>
      </c>
      <c r="N211" s="7">
        <v>3782089.5522388057</v>
      </c>
      <c r="O211" s="7">
        <v>4013033</v>
      </c>
      <c r="P211" s="7">
        <v>4013033</v>
      </c>
      <c r="Q211" s="7">
        <f t="shared" si="6"/>
        <v>0</v>
      </c>
      <c r="R211" s="5" t="s">
        <v>606</v>
      </c>
      <c r="S211" s="5" t="s">
        <v>598</v>
      </c>
      <c r="T211" s="5" t="s">
        <v>616</v>
      </c>
      <c r="U211" s="5" t="s">
        <v>1390</v>
      </c>
      <c r="V211" s="5" t="s">
        <v>2738</v>
      </c>
      <c r="W211" s="5" t="s">
        <v>2739</v>
      </c>
      <c r="X211" s="5" t="s">
        <v>2740</v>
      </c>
      <c r="Y211" s="5" t="s">
        <v>2426</v>
      </c>
      <c r="Z211" s="5" t="s">
        <v>2741</v>
      </c>
      <c r="AA211" s="5" t="s">
        <v>2742</v>
      </c>
      <c r="AB211" s="5"/>
      <c r="AC211" s="5" t="s">
        <v>2743</v>
      </c>
      <c r="AD211" s="62">
        <v>7.4</v>
      </c>
    </row>
    <row r="212" spans="1:30">
      <c r="A212" s="4">
        <v>2019</v>
      </c>
      <c r="B212" s="4" t="s">
        <v>44</v>
      </c>
      <c r="C212" s="4">
        <f>C211+1</f>
        <v>211</v>
      </c>
      <c r="D212" s="96" t="s">
        <v>604</v>
      </c>
      <c r="E212" s="4" t="s">
        <v>604</v>
      </c>
      <c r="F212" s="5" t="s">
        <v>2751</v>
      </c>
      <c r="G212" s="5" t="s">
        <v>601</v>
      </c>
      <c r="H212" s="5" t="s">
        <v>129</v>
      </c>
      <c r="I212" s="7">
        <v>45000000</v>
      </c>
      <c r="J212" s="57" t="s">
        <v>1411</v>
      </c>
      <c r="K212" s="7">
        <v>8059701</v>
      </c>
      <c r="L212" s="41" t="s">
        <v>1501</v>
      </c>
      <c r="M212" s="7">
        <v>2795657</v>
      </c>
      <c r="N212" s="7">
        <v>22686567</v>
      </c>
      <c r="O212" s="7">
        <v>22687180</v>
      </c>
      <c r="P212" s="7">
        <v>22687180</v>
      </c>
      <c r="Q212" s="7">
        <f t="shared" si="6"/>
        <v>0</v>
      </c>
      <c r="R212" s="5" t="s">
        <v>666</v>
      </c>
      <c r="S212" s="5" t="s">
        <v>2752</v>
      </c>
      <c r="T212" s="5" t="s">
        <v>603</v>
      </c>
      <c r="U212" s="5" t="s">
        <v>1390</v>
      </c>
      <c r="V212" s="5" t="s">
        <v>2753</v>
      </c>
      <c r="W212" s="5" t="s">
        <v>2754</v>
      </c>
      <c r="X212" s="5" t="s">
        <v>2008</v>
      </c>
      <c r="Y212" s="5"/>
      <c r="Z212" s="5"/>
      <c r="AA212" s="5" t="s">
        <v>2755</v>
      </c>
      <c r="AB212" s="5"/>
      <c r="AC212" s="5" t="s">
        <v>2670</v>
      </c>
      <c r="AD212" s="62">
        <v>7.8</v>
      </c>
    </row>
  </sheetData>
  <autoFilter ref="A1:AD212" xr:uid="{78E306A4-6B57-4A7A-BF39-858209B64117}">
    <filterColumn colId="29">
      <filters>
        <filter val="2.6"/>
        <filter val="4.4"/>
        <filter val="4.7"/>
        <filter val="5.0"/>
        <filter val="5.1"/>
        <filter val="5.6"/>
        <filter val="5.8"/>
        <filter val="5.9"/>
        <filter val="6.0"/>
        <filter val="6.1"/>
        <filter val="6.2"/>
        <filter val="6.3"/>
        <filter val="6.5"/>
        <filter val="6.6"/>
        <filter val="6.7"/>
        <filter val="6.8"/>
        <filter val="6.9"/>
        <filter val="7.0"/>
        <filter val="7.1"/>
        <filter val="7.2"/>
        <filter val="7.4"/>
        <filter val="7.5"/>
        <filter val="7.6"/>
        <filter val="7.7"/>
        <filter val="7.8"/>
        <filter val="7.9"/>
        <filter val="8.0"/>
        <filter val="8.1"/>
        <filter val="8.2"/>
        <filter val="8.3"/>
        <filter val="8.4"/>
        <filter val="8.5"/>
        <filter val="8.6"/>
        <filter val="8.7"/>
        <filter val="8.8"/>
        <filter val="8.9"/>
        <filter val="9.0"/>
        <filter val="9.1"/>
        <filter val="9.2"/>
        <filter val="9.3"/>
        <filter val="9.4"/>
        <filter val="9.6"/>
        <filter val="9.7"/>
      </filters>
    </filterColumn>
  </autoFilter>
  <conditionalFormatting sqref="F82:F212">
    <cfRule type="duplicateValues" dxfId="6" priority="2"/>
  </conditionalFormatting>
  <conditionalFormatting sqref="W185">
    <cfRule type="duplicateValues" dxfId="5" priority="1"/>
  </conditionalFormatting>
  <hyperlinks>
    <hyperlink ref="AA94" r:id="rId1" tooltip="https://baike.baidu.com/item/%E7%BD%97%E6%B4%8B" xr:uid="{1761F4C9-9F31-4028-A7B7-973CC69948EA}"/>
    <hyperlink ref="X105" r:id="rId2" tooltip="https://baike.baidu.com/item/%E4%BA%95%E6%9F%8F%E7%84%B6/3974108" xr:uid="{A37CAECD-016E-417C-98CD-6DA7D4133C57}"/>
    <hyperlink ref="X125" r:id="rId3" tooltip="https://baike.baidu.com/item/%E5%91%A8%E8%8B%B1%E7%94%B7" xr:uid="{D00319D4-8037-40DD-87DC-E08EB947EC4B}"/>
    <hyperlink ref="AA125" r:id="rId4" tooltip="https://baike.baidu.com/item/%E5%91%A8%E8%8B%B1%E7%94%B7" xr:uid="{A837552D-CF19-4BF5-A4CB-EEDC876B90C7}"/>
    <hyperlink ref="X169" r:id="rId5" tooltip="https://baike.baidu.com/item/%E5%BE%90%E5%B3%A5/2966629" xr:uid="{D21A999B-01ED-483D-8432-A9DF8182851E}"/>
    <hyperlink ref="AA190" r:id="rId6" tooltip="https://baike.baidu.com/item/%E8%A2%81%E5%8D%AB%E4%B8%9C/6711412" xr:uid="{B0533114-06E3-4BFF-A417-572B9844A7CD}"/>
    <hyperlink ref="X202" r:id="rId7" tooltip="https://baike.baidu.com/item/%E6%AE%B5%E5%A5%95%E5%AE%8F/6910242" xr:uid="{138D69D2-1249-4067-BCFA-6C9E039E0301}"/>
  </hyperlinks>
  <pageMargins left="0.7" right="0.7" top="0.75" bottom="0.75" header="0.3" footer="0.3"/>
  <pageSetup paperSize="9" orientation="portrait" r:id="rId8"/>
  <legacy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0B09B09B82D742A50E2DD7831D3426" ma:contentTypeVersion="4" ma:contentTypeDescription="Create a new document." ma:contentTypeScope="" ma:versionID="3120333769169707656ff3894d696c51">
  <xsd:schema xmlns:xsd="http://www.w3.org/2001/XMLSchema" xmlns:xs="http://www.w3.org/2001/XMLSchema" xmlns:p="http://schemas.microsoft.com/office/2006/metadata/properties" xmlns:ns2="bf8b6980-6acf-4ade-a918-71c6b6b0cab9" targetNamespace="http://schemas.microsoft.com/office/2006/metadata/properties" ma:root="true" ma:fieldsID="8a366a81b4b9525efe5f431762e92453" ns2:_="">
    <xsd:import namespace="bf8b6980-6acf-4ade-a918-71c6b6b0ca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b6980-6acf-4ade-a918-71c6b6b0ca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A29337-2534-4CA4-A916-24798BE34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755428-C93C-40E4-AF59-FF80EC4ACC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8b6980-6acf-4ade-a918-71c6b6b0ca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AE189B-DA4D-4EC6-9B4A-4994F230DE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Mandarin Movies Stats</vt:lpstr>
      <vt:lpstr>ByProductionCountry</vt:lpstr>
      <vt:lpstr>ByLanguage</vt:lpstr>
      <vt:lpstr>Download</vt:lpstr>
      <vt:lpstr>Ratings</vt:lpstr>
      <vt:lpstr>Others</vt:lpstr>
      <vt:lpstr>Combined_CN,HK,TW</vt:lpstr>
      <vt:lpstr>Final cleaned data</vt:lpstr>
      <vt:lpstr>Final cleaned data_1028</vt:lpstr>
      <vt:lpstr>memo_1028</vt:lpstr>
      <vt:lpstr>Pivot</vt:lpstr>
      <vt:lpstr>Final cleaned data_1029</vt:lpstr>
      <vt:lpstr>FromYabin</vt:lpstr>
      <vt:lpstr>Data_1029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Tan</dc:creator>
  <cp:keywords/>
  <dc:description/>
  <cp:lastModifiedBy>HM</cp:lastModifiedBy>
  <cp:revision/>
  <dcterms:created xsi:type="dcterms:W3CDTF">2020-10-13T01:42:00Z</dcterms:created>
  <dcterms:modified xsi:type="dcterms:W3CDTF">2020-10-30T08:26:22Z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0x010100EE0B09B09B82D742A50E2DD7831D3426</vt:lpwstr>
  </property>
  <property fmtid="{D5CDD505-2E9C-101B-9397-08002B2CF9AE}" pid="3" name="KSOProductBuildVer">
    <vt:lpwstr>2052-11.1.0.10000</vt:lpwstr>
  </property>
  <property fmtid="{D5CDD505-2E9C-101B-9397-08002B2CF9AE}" pid="4" name="MSIP_Label_7f850223-87a8-40c3-9eb2-432606efca2a_Enabled">
    <vt:lpwstr>True</vt:lpwstr>
  </property>
  <property fmtid="{D5CDD505-2E9C-101B-9397-08002B2CF9AE}" pid="5" name="MSIP_Label_7f850223-87a8-40c3-9eb2-432606efca2a_SiteId">
    <vt:lpwstr>fcb2b37b-5da0-466b-9b83-0014b67a7c78</vt:lpwstr>
  </property>
  <property fmtid="{D5CDD505-2E9C-101B-9397-08002B2CF9AE}" pid="6" name="MSIP_Label_7f850223-87a8-40c3-9eb2-432606efca2a_Owner">
    <vt:lpwstr>martin.hu@bayer.com</vt:lpwstr>
  </property>
  <property fmtid="{D5CDD505-2E9C-101B-9397-08002B2CF9AE}" pid="7" name="MSIP_Label_7f850223-87a8-40c3-9eb2-432606efca2a_SetDate">
    <vt:lpwstr>2020-10-28T02:33:13.5923711Z</vt:lpwstr>
  </property>
  <property fmtid="{D5CDD505-2E9C-101B-9397-08002B2CF9AE}" pid="8" name="MSIP_Label_7f850223-87a8-40c3-9eb2-432606efca2a_Name">
    <vt:lpwstr>NO CLASSIFICATION</vt:lpwstr>
  </property>
  <property fmtid="{D5CDD505-2E9C-101B-9397-08002B2CF9AE}" pid="9" name="MSIP_Label_7f850223-87a8-40c3-9eb2-432606efca2a_Application">
    <vt:lpwstr>Microsoft Azure Information Protection</vt:lpwstr>
  </property>
  <property fmtid="{D5CDD505-2E9C-101B-9397-08002B2CF9AE}" pid="10" name="MSIP_Label_7f850223-87a8-40c3-9eb2-432606efca2a_Extended_MSFT_Method">
    <vt:lpwstr>Manual</vt:lpwstr>
  </property>
  <property fmtid="{D5CDD505-2E9C-101B-9397-08002B2CF9AE}" pid="11" name="Sensitivity">
    <vt:lpwstr>NO CLASSIFICATION</vt:lpwstr>
  </property>
</Properties>
</file>