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videC_MIT/MIT_2020/PROJECTS/Diatom_Bacteria/NitriteNitrateQuantification/"/>
    </mc:Choice>
  </mc:AlternateContent>
  <xr:revisionPtr revIDLastSave="0" documentId="13_ncr:1_{768F373F-E131-BC4D-A674-A318CA8ED366}" xr6:coauthVersionLast="45" xr6:coauthVersionMax="45" xr10:uidLastSave="{00000000-0000-0000-0000-000000000000}"/>
  <bookViews>
    <workbookView xWindow="2180" yWindow="460" windowWidth="28260" windowHeight="19840" xr2:uid="{012F1B92-0B0D-5648-856D-092B7AD2F7C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4" i="1" l="1"/>
  <c r="R20" i="1"/>
  <c r="R16" i="1"/>
  <c r="R12" i="1"/>
  <c r="A291" i="1" l="1"/>
  <c r="J276" i="1"/>
  <c r="J260" i="1" l="1"/>
  <c r="J259" i="1"/>
  <c r="R257" i="1"/>
  <c r="R255" i="1"/>
  <c r="N257" i="1"/>
  <c r="N256" i="1"/>
  <c r="N255" i="1"/>
  <c r="J257" i="1"/>
  <c r="J256" i="1"/>
  <c r="J255" i="1"/>
  <c r="R254" i="1"/>
  <c r="R253" i="1"/>
  <c r="R252" i="1"/>
  <c r="N253" i="1"/>
  <c r="N252" i="1"/>
  <c r="J254" i="1"/>
  <c r="J253" i="1"/>
  <c r="J252" i="1"/>
  <c r="D254" i="1"/>
  <c r="D253" i="1"/>
  <c r="D252" i="1"/>
  <c r="B206" i="1" l="1"/>
  <c r="D188" i="1" l="1"/>
  <c r="D184" i="1"/>
  <c r="D173" i="1"/>
  <c r="D169" i="1"/>
  <c r="F112" i="1" l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11" i="1"/>
  <c r="F90" i="1"/>
  <c r="F91" i="1"/>
  <c r="F92" i="1"/>
  <c r="F93" i="1"/>
  <c r="F94" i="1"/>
  <c r="F95" i="1"/>
  <c r="F96" i="1"/>
  <c r="F97" i="1"/>
  <c r="F98" i="1"/>
  <c r="F99" i="1"/>
  <c r="F100" i="1"/>
  <c r="F101" i="1"/>
  <c r="F89" i="1"/>
  <c r="E75" i="1"/>
  <c r="E76" i="1"/>
  <c r="E77" i="1"/>
  <c r="E78" i="1"/>
  <c r="E79" i="1"/>
  <c r="E80" i="1"/>
  <c r="E81" i="1"/>
  <c r="E74" i="1"/>
  <c r="B126" i="1" l="1"/>
  <c r="D114" i="1" s="1"/>
  <c r="E114" i="1" s="1"/>
  <c r="B102" i="1"/>
  <c r="D94" i="1" s="1"/>
  <c r="E94" i="1" s="1"/>
  <c r="B82" i="1"/>
  <c r="D81" i="1" s="1"/>
  <c r="D101" i="1" l="1"/>
  <c r="E101" i="1" s="1"/>
  <c r="D93" i="1"/>
  <c r="E93" i="1" s="1"/>
  <c r="D80" i="1"/>
  <c r="D121" i="1"/>
  <c r="E121" i="1" s="1"/>
  <c r="D79" i="1"/>
  <c r="D100" i="1"/>
  <c r="E100" i="1" s="1"/>
  <c r="D92" i="1"/>
  <c r="E92" i="1" s="1"/>
  <c r="D120" i="1"/>
  <c r="E120" i="1" s="1"/>
  <c r="D99" i="1"/>
  <c r="E99" i="1" s="1"/>
  <c r="D77" i="1"/>
  <c r="D98" i="1"/>
  <c r="E98" i="1" s="1"/>
  <c r="D90" i="1"/>
  <c r="E90" i="1" s="1"/>
  <c r="D111" i="1"/>
  <c r="E111" i="1" s="1"/>
  <c r="D118" i="1"/>
  <c r="E118" i="1" s="1"/>
  <c r="D76" i="1"/>
  <c r="D97" i="1"/>
  <c r="E97" i="1" s="1"/>
  <c r="D125" i="1"/>
  <c r="E125" i="1" s="1"/>
  <c r="D117" i="1"/>
  <c r="E117" i="1" s="1"/>
  <c r="D96" i="1"/>
  <c r="E96" i="1" s="1"/>
  <c r="D124" i="1"/>
  <c r="E124" i="1" s="1"/>
  <c r="D116" i="1"/>
  <c r="E116" i="1" s="1"/>
  <c r="D112" i="1"/>
  <c r="E112" i="1" s="1"/>
  <c r="D78" i="1"/>
  <c r="D91" i="1"/>
  <c r="E91" i="1" s="1"/>
  <c r="D119" i="1"/>
  <c r="E119" i="1" s="1"/>
  <c r="D75" i="1"/>
  <c r="D74" i="1"/>
  <c r="D113" i="1"/>
  <c r="E113" i="1" s="1"/>
  <c r="D95" i="1"/>
  <c r="E95" i="1" s="1"/>
  <c r="D123" i="1"/>
  <c r="E123" i="1" s="1"/>
  <c r="D115" i="1"/>
  <c r="E115" i="1" s="1"/>
  <c r="D89" i="1"/>
  <c r="E89" i="1" s="1"/>
  <c r="D122" i="1"/>
  <c r="E122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D32" i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31" i="1"/>
  <c r="E31" i="1" s="1"/>
  <c r="D10" i="1"/>
  <c r="D12" i="1"/>
  <c r="D13" i="1"/>
  <c r="D11" i="1"/>
  <c r="D16" i="1"/>
  <c r="D17" i="1"/>
  <c r="D18" i="1"/>
  <c r="D19" i="1"/>
  <c r="D20" i="1"/>
  <c r="D21" i="1"/>
  <c r="D14" i="1"/>
  <c r="D15" i="1"/>
  <c r="D22" i="1"/>
  <c r="E66" i="1" l="1"/>
  <c r="F64" i="1" s="1"/>
  <c r="E32" i="1"/>
  <c r="F53" i="1" l="1"/>
  <c r="F63" i="1"/>
  <c r="F55" i="1"/>
  <c r="F61" i="1"/>
  <c r="F59" i="1"/>
  <c r="F57" i="1"/>
  <c r="F58" i="1"/>
  <c r="F62" i="1"/>
  <c r="F65" i="1"/>
  <c r="F60" i="1"/>
  <c r="F56" i="1"/>
  <c r="F54" i="1"/>
</calcChain>
</file>

<file path=xl/sharedStrings.xml><?xml version="1.0" encoding="utf-8"?>
<sst xmlns="http://schemas.openxmlformats.org/spreadsheetml/2006/main" count="122" uniqueCount="53">
  <si>
    <t>µM</t>
  </si>
  <si>
    <t>Standard curve</t>
  </si>
  <si>
    <t>CA 19 isolates</t>
  </si>
  <si>
    <t>time point</t>
  </si>
  <si>
    <t>zero</t>
  </si>
  <si>
    <t>NNN CA</t>
  </si>
  <si>
    <t>NO3 µM</t>
  </si>
  <si>
    <t>NO2 µM</t>
  </si>
  <si>
    <t>µl volume</t>
  </si>
  <si>
    <t>Area</t>
  </si>
  <si>
    <t>Area corrected</t>
  </si>
  <si>
    <t>Time point</t>
  </si>
  <si>
    <t>µM*Volume</t>
  </si>
  <si>
    <t>NND</t>
  </si>
  <si>
    <t>5 Isolates experiment #1 small broken diatoms</t>
  </si>
  <si>
    <t>replicates</t>
  </si>
  <si>
    <t>MD</t>
  </si>
  <si>
    <t>NND = Pseudomonas auruginosa + diatom</t>
  </si>
  <si>
    <t>MD = 5 marine isolates, tested to be denitrifiers</t>
  </si>
  <si>
    <t>OD = only diatoms (which carried xenic bacteria that were tested and showed to be able to perform denitrification)</t>
  </si>
  <si>
    <t>OM = only 5 marine isolates, tested to be denitrifiers, which seems to be able to grow in agarose, however with lower yield than in the presence of diatoms.</t>
  </si>
  <si>
    <t>OD</t>
  </si>
  <si>
    <t>OM</t>
  </si>
  <si>
    <t>NEW RUN</t>
  </si>
  <si>
    <t>5 MARINE ISOLATES # SMALL BROKEN DIATOMS</t>
  </si>
  <si>
    <t>5 MARINE ISOLATES #2 INTACT DIATOMS</t>
  </si>
  <si>
    <t>5 Isolates experiment #2 intact diatoms</t>
  </si>
  <si>
    <t>T12 END POINT BOTTLE</t>
  </si>
  <si>
    <t>NND1</t>
  </si>
  <si>
    <t>MD1</t>
  </si>
  <si>
    <t>MD2</t>
  </si>
  <si>
    <t>NND2</t>
  </si>
  <si>
    <t>NND3</t>
  </si>
  <si>
    <t>OD1</t>
  </si>
  <si>
    <t>OD2</t>
  </si>
  <si>
    <t>0M1</t>
  </si>
  <si>
    <t>OM2</t>
  </si>
  <si>
    <t>OM3</t>
  </si>
  <si>
    <t>OD3</t>
  </si>
  <si>
    <t>Check of nitrate residue in the sea water at the beguninning of the experiment</t>
  </si>
  <si>
    <t>SW</t>
  </si>
  <si>
    <t>NNDT3-ALLT4-5</t>
  </si>
  <si>
    <t>6_7</t>
  </si>
  <si>
    <t>8_9</t>
  </si>
  <si>
    <t xml:space="preserve">T0 </t>
  </si>
  <si>
    <t>1_3</t>
  </si>
  <si>
    <t>Sample</t>
  </si>
  <si>
    <t>[Nox]</t>
  </si>
  <si>
    <t>Ave. Area</t>
  </si>
  <si>
    <t>cit</t>
  </si>
  <si>
    <t>NN</t>
  </si>
  <si>
    <t>DD</t>
  </si>
  <si>
    <t>Free floating particle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</si>
</sst>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3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Sheet1!$D$10:$D$15</c:f>
              <c:numCache>
                <c:formatCode>General</c:formatCode>
                <c:ptCount val="6"/>
                <c:pt idx="0">
                  <c:v>5.2099999999999994E-2</c:v>
                </c:pt>
                <c:pt idx="1">
                  <c:v>7.400000000000001E-2</c:v>
                </c:pt>
                <c:pt idx="2">
                  <c:v>0.11700000000000001</c:v>
                </c:pt>
                <c:pt idx="3">
                  <c:v>0.14300000000000002</c:v>
                </c:pt>
                <c:pt idx="4">
                  <c:v>0.26100000000000001</c:v>
                </c:pt>
                <c:pt idx="5">
                  <c:v>0.40900000000000003</c:v>
                </c:pt>
              </c:numCache>
            </c:numRef>
          </c:xVal>
          <c:yVal>
            <c:numRef>
              <c:f>Sheet1!$A$10:$A$15</c:f>
              <c:numCache>
                <c:formatCode>General</c:formatCode>
                <c:ptCount val="6"/>
                <c:pt idx="0">
                  <c:v>0</c:v>
                </c:pt>
                <c:pt idx="1">
                  <c:v>0.15</c:v>
                </c:pt>
                <c:pt idx="2">
                  <c:v>0.25</c:v>
                </c:pt>
                <c:pt idx="3">
                  <c:v>0.3</c:v>
                </c:pt>
                <c:pt idx="4">
                  <c:v>0.5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7-6443-AC70-546130190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nitrite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Sheet1!$B$145:$B$147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xVal>
          <c:yVal>
            <c:numRef>
              <c:f>Sheet1!$D$145:$D$147</c:f>
              <c:numCache>
                <c:formatCode>General</c:formatCode>
                <c:ptCount val="3"/>
                <c:pt idx="0">
                  <c:v>50832.55</c:v>
                </c:pt>
                <c:pt idx="1">
                  <c:v>24077.5</c:v>
                </c:pt>
                <c:pt idx="2">
                  <c:v>9502.5499999999993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9-9448-B1DD-DDAB9F200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T2 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Sheet1!$B$148:$B$150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xVal>
          <c:yVal>
            <c:numRef>
              <c:f>Sheet1!$D$148:$D$150</c:f>
              <c:numCache>
                <c:formatCode>General</c:formatCode>
                <c:ptCount val="3"/>
                <c:pt idx="0">
                  <c:v>54736.36</c:v>
                </c:pt>
                <c:pt idx="1">
                  <c:v>24625.54</c:v>
                </c:pt>
                <c:pt idx="2">
                  <c:v>9720.5499999999993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4-D94F-940E-12997B59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T3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Sheet1!$B$151:$B$153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xVal>
          <c:yVal>
            <c:numRef>
              <c:f>Sheet1!$D$151:$D$153</c:f>
              <c:numCache>
                <c:formatCode>General</c:formatCode>
                <c:ptCount val="3"/>
                <c:pt idx="0">
                  <c:v>52028.3</c:v>
                </c:pt>
                <c:pt idx="1">
                  <c:v>23734.22</c:v>
                </c:pt>
                <c:pt idx="2">
                  <c:v>8341.69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4-644D-9361-6CD8DEED1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T4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Sheet1!$B$155:$B$158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Sheet1!$D$155:$D$158</c:f>
              <c:numCache>
                <c:formatCode>General</c:formatCode>
                <c:ptCount val="4"/>
                <c:pt idx="0">
                  <c:v>90900.71</c:v>
                </c:pt>
                <c:pt idx="1">
                  <c:v>42196.32</c:v>
                </c:pt>
                <c:pt idx="2">
                  <c:v>16119.48</c:v>
                </c:pt>
                <c:pt idx="3">
                  <c:v>10725.44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1-D544-9D82-3453316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T5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Sheet1!$B$159:$B$162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Sheet1!$D$159:$D$162</c:f>
              <c:numCache>
                <c:formatCode>General</c:formatCode>
                <c:ptCount val="4"/>
                <c:pt idx="0">
                  <c:v>73145.31</c:v>
                </c:pt>
                <c:pt idx="1">
                  <c:v>32975.75</c:v>
                </c:pt>
                <c:pt idx="2">
                  <c:v>12355.55</c:v>
                </c:pt>
                <c:pt idx="3">
                  <c:v>8106.43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7-AA4E-905D-3355CD754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T6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Sheet1!$B$164:$B$167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Sheet1!$D$164:$D$167</c:f>
              <c:numCache>
                <c:formatCode>General</c:formatCode>
                <c:ptCount val="4"/>
                <c:pt idx="0">
                  <c:v>58860.66</c:v>
                </c:pt>
                <c:pt idx="1">
                  <c:v>44187.34</c:v>
                </c:pt>
                <c:pt idx="2">
                  <c:v>16930</c:v>
                </c:pt>
                <c:pt idx="3">
                  <c:v>11820.06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5-944B-A113-9732AE44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T7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Sheet1!$B$169:$B$172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Sheet1!$D$169:$D$172</c:f>
              <c:numCache>
                <c:formatCode>General</c:formatCode>
                <c:ptCount val="4"/>
                <c:pt idx="0">
                  <c:v>94549.45</c:v>
                </c:pt>
                <c:pt idx="1">
                  <c:v>43656.75</c:v>
                </c:pt>
                <c:pt idx="2">
                  <c:v>17243.55</c:v>
                </c:pt>
                <c:pt idx="3">
                  <c:v>11932.67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4-8E49-A6E6-F606D61CF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T8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Sheet1!$B$173:$B$176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Sheet1!$D$173:$D$176</c:f>
              <c:numCache>
                <c:formatCode>General</c:formatCode>
                <c:ptCount val="4"/>
                <c:pt idx="0">
                  <c:v>94395.950000000012</c:v>
                </c:pt>
                <c:pt idx="1">
                  <c:v>43193.72</c:v>
                </c:pt>
                <c:pt idx="2">
                  <c:v>16812.060000000001</c:v>
                </c:pt>
                <c:pt idx="3">
                  <c:v>11866.64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0-6B49-9DAB-12F9548BF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T9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Sheet1!$B$177:$B$180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Sheet1!$D$177:$D$180</c:f>
              <c:numCache>
                <c:formatCode>General</c:formatCode>
                <c:ptCount val="4"/>
                <c:pt idx="0">
                  <c:v>102719.43</c:v>
                </c:pt>
                <c:pt idx="1">
                  <c:v>46305.78</c:v>
                </c:pt>
                <c:pt idx="2">
                  <c:v>18349.169999999998</c:v>
                </c:pt>
                <c:pt idx="3">
                  <c:v>12683.38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784E-B6CA-240F659E6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T10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Sheet1!$B$181:$B$183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Sheet1!$D$181:$D$183</c:f>
              <c:numCache>
                <c:formatCode>General</c:formatCode>
                <c:ptCount val="3"/>
                <c:pt idx="0">
                  <c:v>45972.800000000003</c:v>
                </c:pt>
                <c:pt idx="1">
                  <c:v>17582.419999999998</c:v>
                </c:pt>
                <c:pt idx="2">
                  <c:v>12850.51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E-0240-9651-331830B9E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T11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Sheet1!$A$32:$A$46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Sheet1!$E$32:$E$46</c:f>
              <c:numCache>
                <c:formatCode>General</c:formatCode>
                <c:ptCount val="15"/>
                <c:pt idx="0">
                  <c:v>2.4685440000000001</c:v>
                </c:pt>
                <c:pt idx="1">
                  <c:v>1.4279760000000001</c:v>
                </c:pt>
                <c:pt idx="2">
                  <c:v>0.62868000000000013</c:v>
                </c:pt>
                <c:pt idx="3">
                  <c:v>1.326408</c:v>
                </c:pt>
                <c:pt idx="4">
                  <c:v>0.22461600000000004</c:v>
                </c:pt>
                <c:pt idx="5">
                  <c:v>4.5768000000000003E-2</c:v>
                </c:pt>
                <c:pt idx="6">
                  <c:v>5.460000000000001E-2</c:v>
                </c:pt>
                <c:pt idx="7">
                  <c:v>3.8160000000000069E-3</c:v>
                </c:pt>
                <c:pt idx="8">
                  <c:v>6.1224000000000015E-2</c:v>
                </c:pt>
                <c:pt idx="9">
                  <c:v>5.2391999999999994E-2</c:v>
                </c:pt>
                <c:pt idx="10">
                  <c:v>1.0440000000000005E-2</c:v>
                </c:pt>
                <c:pt idx="11">
                  <c:v>7.6680000000000012E-2</c:v>
                </c:pt>
                <c:pt idx="12">
                  <c:v>5.4599999999999996E-2</c:v>
                </c:pt>
                <c:pt idx="13">
                  <c:v>3.2519999999999993E-2</c:v>
                </c:pt>
                <c:pt idx="14">
                  <c:v>5.4599999999999982E-2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E-E14C-8AC4-9A555A70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62543"/>
        <c:axId val="660764175"/>
      </c:lineChart>
      <c:cat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auto val="1"/>
        <c:lblAlgn val="ctr"/>
        <c:lblOffset val="100"/>
        <c:noMultiLvlLbl val="0"/>
      </c:cat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Sheet1!$B$184:$B$187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Sheet1!$D$184:$D$187</c:f>
              <c:numCache>
                <c:formatCode>General</c:formatCode>
                <c:ptCount val="4"/>
                <c:pt idx="0">
                  <c:v>98030.01999999999</c:v>
                </c:pt>
                <c:pt idx="1">
                  <c:v>47915.22</c:v>
                </c:pt>
                <c:pt idx="2">
                  <c:v>18020.32</c:v>
                </c:pt>
                <c:pt idx="3">
                  <c:v>12871.15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0-4145-85B1-4527F8E68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T12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Sheet1!$B$252:$B$263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Sheet1!$D$252:$D$263</c:f>
              <c:numCache>
                <c:formatCode>General</c:formatCode>
                <c:ptCount val="12"/>
                <c:pt idx="0">
                  <c:v>102160.66</c:v>
                </c:pt>
                <c:pt idx="1">
                  <c:v>101753.73999999999</c:v>
                </c:pt>
                <c:pt idx="2">
                  <c:v>92263.61</c:v>
                </c:pt>
                <c:pt idx="3">
                  <c:v>53065.94</c:v>
                </c:pt>
                <c:pt idx="4">
                  <c:v>50981.26</c:v>
                </c:pt>
                <c:pt idx="5">
                  <c:v>52171.32</c:v>
                </c:pt>
                <c:pt idx="6">
                  <c:v>22026.85</c:v>
                </c:pt>
                <c:pt idx="7">
                  <c:v>22027.35</c:v>
                </c:pt>
                <c:pt idx="8">
                  <c:v>22285.16</c:v>
                </c:pt>
                <c:pt idx="9">
                  <c:v>15210.06</c:v>
                </c:pt>
                <c:pt idx="10">
                  <c:v>15031.7</c:v>
                </c:pt>
                <c:pt idx="11">
                  <c:v>15054.55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5-484F-927B-6E0FF07D3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T1 T3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Sheet1!$B$264:$B$266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Sheet1!$D$264:$D$266</c:f>
              <c:numCache>
                <c:formatCode>General</c:formatCode>
                <c:ptCount val="3"/>
                <c:pt idx="0">
                  <c:v>58349.64</c:v>
                </c:pt>
                <c:pt idx="1">
                  <c:v>25650.91</c:v>
                </c:pt>
                <c:pt idx="2">
                  <c:v>18142.91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0-A545-A0E9-D09AC6F8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NNDT3-ALLT4-5 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Sheet1!$B$267:$B$269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Sheet1!$D$267:$D$269</c:f>
              <c:numCache>
                <c:formatCode>General</c:formatCode>
                <c:ptCount val="3"/>
                <c:pt idx="0">
                  <c:v>46281.38</c:v>
                </c:pt>
                <c:pt idx="1">
                  <c:v>20175.73</c:v>
                </c:pt>
                <c:pt idx="2">
                  <c:v>14567.13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2-F545-BE3A-A95E7F2B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6_7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Sheet1!$B$270:$B$272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Sheet1!$D$270:$D$272</c:f>
              <c:numCache>
                <c:formatCode>General</c:formatCode>
                <c:ptCount val="3"/>
                <c:pt idx="0">
                  <c:v>54568.35</c:v>
                </c:pt>
                <c:pt idx="1">
                  <c:v>23917.3</c:v>
                </c:pt>
                <c:pt idx="2">
                  <c:v>16014.68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1-3948-B74A-A4C50ADA6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8_9 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Sheet1!$B$273:$B$275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Sheet1!$D$273:$D$275</c:f>
              <c:numCache>
                <c:formatCode>General</c:formatCode>
                <c:ptCount val="3"/>
                <c:pt idx="0">
                  <c:v>40983.89</c:v>
                </c:pt>
                <c:pt idx="1">
                  <c:v>18070.169999999998</c:v>
                </c:pt>
                <c:pt idx="2">
                  <c:v>12555.52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7-5249-92E1-42292DD4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10 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Sheet1!$B$276:$B$278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Sheet1!$D$276:$D$278</c:f>
              <c:numCache>
                <c:formatCode>General</c:formatCode>
                <c:ptCount val="3"/>
                <c:pt idx="0">
                  <c:v>40705.550000000003</c:v>
                </c:pt>
                <c:pt idx="1">
                  <c:v>17319.89</c:v>
                </c:pt>
                <c:pt idx="2">
                  <c:v>10886.32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C-9741-8D24-1519B5EB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11 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Sheet1!$B$279:$B$281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Sheet1!$D$279:$D$281</c:f>
              <c:numCache>
                <c:formatCode>General</c:formatCode>
                <c:ptCount val="3"/>
                <c:pt idx="0">
                  <c:v>36298.57</c:v>
                </c:pt>
                <c:pt idx="1">
                  <c:v>16014.68</c:v>
                </c:pt>
                <c:pt idx="2">
                  <c:v>14180.81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6B-9249-95CB-2B39A5C31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12 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Sheet1!$B$282:$B$285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Sheet1!$D$282:$D$285</c:f>
              <c:numCache>
                <c:formatCode>General</c:formatCode>
                <c:ptCount val="4"/>
                <c:pt idx="0">
                  <c:v>102501.93</c:v>
                </c:pt>
                <c:pt idx="1">
                  <c:v>49495.87</c:v>
                </c:pt>
                <c:pt idx="2">
                  <c:v>22368.9</c:v>
                </c:pt>
                <c:pt idx="3">
                  <c:v>16037.56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9-174C-BD64-2446AC635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13 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</a:t>
            </a:r>
            <a:r>
              <a:rPr lang="en-US" baseline="0"/>
              <a:t>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[1]Sheet1!$A$2:$A$17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</c:numCache>
            </c:numRef>
          </c:xVal>
          <c:yVal>
            <c:numRef>
              <c:f>[1]Sheet1!$B$2:$B$17</c:f>
              <c:numCache>
                <c:formatCode>General</c:formatCode>
                <c:ptCount val="16"/>
                <c:pt idx="0">
                  <c:v>11938</c:v>
                </c:pt>
                <c:pt idx="1">
                  <c:v>11973</c:v>
                </c:pt>
                <c:pt idx="2">
                  <c:v>12289</c:v>
                </c:pt>
                <c:pt idx="3">
                  <c:v>12176</c:v>
                </c:pt>
                <c:pt idx="4">
                  <c:v>20594</c:v>
                </c:pt>
                <c:pt idx="5">
                  <c:v>22103</c:v>
                </c:pt>
                <c:pt idx="6">
                  <c:v>22048</c:v>
                </c:pt>
                <c:pt idx="7">
                  <c:v>21722</c:v>
                </c:pt>
                <c:pt idx="8">
                  <c:v>39244</c:v>
                </c:pt>
                <c:pt idx="9">
                  <c:v>38730</c:v>
                </c:pt>
                <c:pt idx="10">
                  <c:v>38651</c:v>
                </c:pt>
                <c:pt idx="11">
                  <c:v>38069</c:v>
                </c:pt>
                <c:pt idx="12">
                  <c:v>56736</c:v>
                </c:pt>
                <c:pt idx="13">
                  <c:v>58052</c:v>
                </c:pt>
                <c:pt idx="14">
                  <c:v>54092</c:v>
                </c:pt>
                <c:pt idx="15">
                  <c:v>54883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F-FF4F-9CAB-B2EA8CA7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20392"/>
        <c:axId val="324725968"/>
      </c:scatterChart>
      <c:valAx>
        <c:axId val="32472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725968"/>
        <c:crosses val="autoZero"/>
        <c:crossBetween val="midCat"/>
      </c:valAx>
      <c:valAx>
        <c:axId val="3247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472039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Sheet1!$A$53:$A$65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Sheet1!$E$53:$E$65</c:f>
              <c:numCache>
                <c:formatCode>General</c:formatCode>
                <c:ptCount val="13"/>
                <c:pt idx="0">
                  <c:v>1.0439999999999935E-2</c:v>
                </c:pt>
                <c:pt idx="1">
                  <c:v>1.0440000000000005E-2</c:v>
                </c:pt>
                <c:pt idx="2">
                  <c:v>-6.0216000000000006E-2</c:v>
                </c:pt>
                <c:pt idx="3">
                  <c:v>1.0439999999999935E-2</c:v>
                </c:pt>
                <c:pt idx="4">
                  <c:v>-5.3592000000000001E-2</c:v>
                </c:pt>
                <c:pt idx="5">
                  <c:v>-3.3720000000000104E-2</c:v>
                </c:pt>
                <c:pt idx="6">
                  <c:v>1.044000000000006E-2</c:v>
                </c:pt>
                <c:pt idx="7">
                  <c:v>2.1479999999999985E-2</c:v>
                </c:pt>
                <c:pt idx="8">
                  <c:v>4.3560000000000001E-2</c:v>
                </c:pt>
                <c:pt idx="9">
                  <c:v>4.5768000000000003E-2</c:v>
                </c:pt>
                <c:pt idx="10">
                  <c:v>0.26877600000000007</c:v>
                </c:pt>
                <c:pt idx="11">
                  <c:v>1.706400000000001E-2</c:v>
                </c:pt>
                <c:pt idx="12">
                  <c:v>-3.3719999999999986E-2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6-F44F-BD10-95E991475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62543"/>
        <c:axId val="660764175"/>
      </c:lineChart>
      <c:cat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auto val="1"/>
        <c:lblAlgn val="ctr"/>
        <c:lblOffset val="100"/>
        <c:noMultiLvlLbl val="0"/>
      </c:cat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Sheet1!$D$74:$D$81</c:f>
              <c:numCache>
                <c:formatCode>General</c:formatCode>
                <c:ptCount val="8"/>
                <c:pt idx="0">
                  <c:v>1396.9760000000001</c:v>
                </c:pt>
                <c:pt idx="1">
                  <c:v>2564</c:v>
                </c:pt>
                <c:pt idx="2">
                  <c:v>4144.51</c:v>
                </c:pt>
                <c:pt idx="3">
                  <c:v>6656.13</c:v>
                </c:pt>
                <c:pt idx="4">
                  <c:v>10459.280000000001</c:v>
                </c:pt>
                <c:pt idx="5">
                  <c:v>14713.75</c:v>
                </c:pt>
                <c:pt idx="6">
                  <c:v>18379.04</c:v>
                </c:pt>
                <c:pt idx="7">
                  <c:v>28462.09</c:v>
                </c:pt>
              </c:numCache>
            </c:numRef>
          </c:xVal>
          <c:yVal>
            <c:numRef>
              <c:f>Sheet1!$A$74:$A$81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4-D442-828E-7E79CC9D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Nitrate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Sheet1!$A$53:$A$65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Sheet1!$F$89:$F$101</c:f>
              <c:numCache>
                <c:formatCode>General</c:formatCode>
                <c:ptCount val="13"/>
                <c:pt idx="0">
                  <c:v>25.918970529555946</c:v>
                </c:pt>
                <c:pt idx="1">
                  <c:v>11.80856751980847</c:v>
                </c:pt>
                <c:pt idx="2">
                  <c:v>6.0583024568203845</c:v>
                </c:pt>
                <c:pt idx="3">
                  <c:v>6.9097474776264036</c:v>
                </c:pt>
                <c:pt idx="4">
                  <c:v>0.50488969959528018</c:v>
                </c:pt>
                <c:pt idx="5">
                  <c:v>0.57644644587584803</c:v>
                </c:pt>
                <c:pt idx="6">
                  <c:v>1.0327127629253834</c:v>
                </c:pt>
                <c:pt idx="7">
                  <c:v>0.59948412472211143</c:v>
                </c:pt>
                <c:pt idx="8">
                  <c:v>0.57999714986034323</c:v>
                </c:pt>
                <c:pt idx="9">
                  <c:v>1.3882636949210512</c:v>
                </c:pt>
                <c:pt idx="10">
                  <c:v>0.80735108020293</c:v>
                </c:pt>
                <c:pt idx="11">
                  <c:v>1.0055657527218835</c:v>
                </c:pt>
                <c:pt idx="12">
                  <c:v>1.4253708031693555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1-3542-9DF6-BF43DC5F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62543"/>
        <c:axId val="660764175"/>
      </c:lineChart>
      <c:cat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auto val="1"/>
        <c:lblAlgn val="ctr"/>
        <c:lblOffset val="100"/>
        <c:noMultiLvlLbl val="0"/>
      </c:cat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Nitrate</a:t>
                </a:r>
                <a:r>
                  <a:rPr lang="en-GB" baseline="0"/>
                  <a:t>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Sheet1!$A$53:$A$65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Sheet1!$F$111:$F$125</c:f>
              <c:numCache>
                <c:formatCode>General</c:formatCode>
                <c:ptCount val="15"/>
                <c:pt idx="0">
                  <c:v>7.7274240437781465</c:v>
                </c:pt>
                <c:pt idx="1">
                  <c:v>3.4766003534173175</c:v>
                </c:pt>
                <c:pt idx="2">
                  <c:v>2.1778544148663284</c:v>
                </c:pt>
                <c:pt idx="3">
                  <c:v>2.638910106595223</c:v>
                </c:pt>
                <c:pt idx="4">
                  <c:v>1.7544752892891755</c:v>
                </c:pt>
                <c:pt idx="5">
                  <c:v>1.0340443481730606</c:v>
                </c:pt>
                <c:pt idx="6">
                  <c:v>1.3645841646240666</c:v>
                </c:pt>
                <c:pt idx="7">
                  <c:v>0.8546884797355071</c:v>
                </c:pt>
                <c:pt idx="8">
                  <c:v>0.96546998802941353</c:v>
                </c:pt>
                <c:pt idx="9">
                  <c:v>1.2035068118337802</c:v>
                </c:pt>
                <c:pt idx="10">
                  <c:v>1.7339725246537081</c:v>
                </c:pt>
                <c:pt idx="11">
                  <c:v>1.3988496836344981</c:v>
                </c:pt>
                <c:pt idx="12">
                  <c:v>0.72517015333751356</c:v>
                </c:pt>
                <c:pt idx="13">
                  <c:v>1.4881548195861598</c:v>
                </c:pt>
                <c:pt idx="14">
                  <c:v>0.62536738300176709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0-B347-8782-C56A5A496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62543"/>
        <c:axId val="660764175"/>
      </c:lineChart>
      <c:cat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auto val="1"/>
        <c:lblAlgn val="ctr"/>
        <c:lblOffset val="100"/>
        <c:noMultiLvlLbl val="0"/>
      </c:cat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Nitrate</a:t>
                </a:r>
                <a:r>
                  <a:rPr lang="en-GB" baseline="0"/>
                  <a:t>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Sheet1!$E$74:$E$81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400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</c:numCache>
            </c:numRef>
          </c:xVal>
          <c:yVal>
            <c:numRef>
              <c:f>Sheet1!$C$74:$C$81</c:f>
              <c:numCache>
                <c:formatCode>General</c:formatCode>
                <c:ptCount val="8"/>
                <c:pt idx="0">
                  <c:v>6984.88</c:v>
                </c:pt>
                <c:pt idx="1">
                  <c:v>12820</c:v>
                </c:pt>
                <c:pt idx="2">
                  <c:v>8289.02</c:v>
                </c:pt>
                <c:pt idx="3">
                  <c:v>6656.13</c:v>
                </c:pt>
                <c:pt idx="4">
                  <c:v>10459.280000000001</c:v>
                </c:pt>
                <c:pt idx="5">
                  <c:v>14713.75</c:v>
                </c:pt>
                <c:pt idx="6">
                  <c:v>18379.04</c:v>
                </c:pt>
                <c:pt idx="7">
                  <c:v>28462.09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A-E541-A934-ACC9E6E7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Nitrate 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Sheet1!$A$53:$A$65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Sheet1!$F$53:$F$65</c:f>
              <c:numCache>
                <c:formatCode>General</c:formatCode>
                <c:ptCount val="13"/>
                <c:pt idx="0">
                  <c:v>7.0655999999999941E-2</c:v>
                </c:pt>
                <c:pt idx="1">
                  <c:v>7.065600000000001E-2</c:v>
                </c:pt>
                <c:pt idx="2">
                  <c:v>0</c:v>
                </c:pt>
                <c:pt idx="3">
                  <c:v>7.0655999999999941E-2</c:v>
                </c:pt>
                <c:pt idx="4">
                  <c:v>6.6240000000000049E-3</c:v>
                </c:pt>
                <c:pt idx="5">
                  <c:v>2.6495999999999902E-2</c:v>
                </c:pt>
                <c:pt idx="6">
                  <c:v>7.0656000000000066E-2</c:v>
                </c:pt>
                <c:pt idx="7">
                  <c:v>8.1695999999999991E-2</c:v>
                </c:pt>
                <c:pt idx="8">
                  <c:v>0.10377600000000001</c:v>
                </c:pt>
                <c:pt idx="9">
                  <c:v>0.10598400000000001</c:v>
                </c:pt>
                <c:pt idx="10">
                  <c:v>0.32899200000000006</c:v>
                </c:pt>
                <c:pt idx="11">
                  <c:v>7.7280000000000015E-2</c:v>
                </c:pt>
                <c:pt idx="12">
                  <c:v>2.649600000000002E-2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4-5746-96E1-A12B8005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62543"/>
        <c:axId val="660764175"/>
      </c:lineChart>
      <c:cat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auto val="1"/>
        <c:lblAlgn val="ctr"/>
        <c:lblOffset val="100"/>
        <c:noMultiLvlLbl val="0"/>
      </c:cat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nitrite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Sheet1!$B$141:$B$144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Sheet1!$D$141:$D$144</c:f>
              <c:numCache>
                <c:formatCode>General</c:formatCode>
                <c:ptCount val="4"/>
                <c:pt idx="0">
                  <c:v>51275.65</c:v>
                </c:pt>
                <c:pt idx="1">
                  <c:v>27486.33</c:v>
                </c:pt>
                <c:pt idx="2">
                  <c:v>8498.06</c:v>
                </c:pt>
                <c:pt idx="3">
                  <c:v>5699.32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D-104F-90DF-D2D5966F0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62543"/>
        <c:axId val="660764175"/>
      </c:scatterChart>
      <c:valAx>
        <c:axId val="660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T1 Nitrate (µM)</a:t>
                </a:r>
                <a:endParaRPr lang="it-IT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4175"/>
        <c:crosses val="autoZero"/>
        <c:crossBetween val="midCat"/>
      </c:valAx>
      <c:valAx>
        <c:axId val="6607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7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9</xdr:row>
      <xdr:rowOff>31750</xdr:rowOff>
    </xdr:from>
    <xdr:to>
      <xdr:col>10</xdr:col>
      <xdr:colOff>419100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F9417E-BEFA-CF40-B1E1-7B751DA03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30</xdr:row>
      <xdr:rowOff>190500</xdr:rowOff>
    </xdr:from>
    <xdr:to>
      <xdr:col>12</xdr:col>
      <xdr:colOff>685800</xdr:colOff>
      <xdr:row>44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078E52-7916-134E-8A97-09755988D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50</xdr:row>
      <xdr:rowOff>88900</xdr:rowOff>
    </xdr:from>
    <xdr:to>
      <xdr:col>12</xdr:col>
      <xdr:colOff>520700</xdr:colOff>
      <xdr:row>63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A10410-2DBF-1B49-A5F3-D9C96A80F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72</xdr:row>
      <xdr:rowOff>0</xdr:rowOff>
    </xdr:from>
    <xdr:to>
      <xdr:col>13</xdr:col>
      <xdr:colOff>444500</xdr:colOff>
      <xdr:row>85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82641-7F58-9D47-A08C-D7B97EBCD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13</xdr:col>
      <xdr:colOff>444500</xdr:colOff>
      <xdr:row>103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0CB60C-3FDA-814D-AE79-A07C56DC9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812800</xdr:colOff>
      <xdr:row>109</xdr:row>
      <xdr:rowOff>190500</xdr:rowOff>
    </xdr:from>
    <xdr:to>
      <xdr:col>13</xdr:col>
      <xdr:colOff>431800</xdr:colOff>
      <xdr:row>123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3F76A6-C4A8-3A48-8F6B-306454317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292100</xdr:colOff>
      <xdr:row>71</xdr:row>
      <xdr:rowOff>152400</xdr:rowOff>
    </xdr:from>
    <xdr:to>
      <xdr:col>19</xdr:col>
      <xdr:colOff>736600</xdr:colOff>
      <xdr:row>85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B60D8C-A5C0-E544-A56A-EA6FFF82F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444500</xdr:colOff>
      <xdr:row>50</xdr:row>
      <xdr:rowOff>165100</xdr:rowOff>
    </xdr:from>
    <xdr:to>
      <xdr:col>19</xdr:col>
      <xdr:colOff>63500</xdr:colOff>
      <xdr:row>64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62B1AC-671E-B149-AF35-7FB6A50CA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180</xdr:row>
      <xdr:rowOff>0</xdr:rowOff>
    </xdr:from>
    <xdr:to>
      <xdr:col>12</xdr:col>
      <xdr:colOff>444500</xdr:colOff>
      <xdr:row>193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996244-7507-1945-8982-53FB33B41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180</xdr:row>
      <xdr:rowOff>0</xdr:rowOff>
    </xdr:from>
    <xdr:to>
      <xdr:col>18</xdr:col>
      <xdr:colOff>444500</xdr:colOff>
      <xdr:row>193</xdr:row>
      <xdr:rowOff>101600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C1873E9-671D-884C-8F1C-5E8830D3B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180</xdr:row>
      <xdr:rowOff>0</xdr:rowOff>
    </xdr:from>
    <xdr:to>
      <xdr:col>25</xdr:col>
      <xdr:colOff>444500</xdr:colOff>
      <xdr:row>193</xdr:row>
      <xdr:rowOff>101600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6C003AA-6B22-5A45-82AC-9A0C30FB0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12</xdr:col>
      <xdr:colOff>444500</xdr:colOff>
      <xdr:row>209</xdr:row>
      <xdr:rowOff>101599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BD77E2A-855D-5740-99E5-557028E75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18</xdr:col>
      <xdr:colOff>444499</xdr:colOff>
      <xdr:row>209</xdr:row>
      <xdr:rowOff>101599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C5EE15A-64BB-234A-9005-3AF91326C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196</xdr:row>
      <xdr:rowOff>0</xdr:rowOff>
    </xdr:from>
    <xdr:to>
      <xdr:col>25</xdr:col>
      <xdr:colOff>444500</xdr:colOff>
      <xdr:row>209</xdr:row>
      <xdr:rowOff>101599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AF79BE-DF8B-3445-B790-576D7D888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212</xdr:row>
      <xdr:rowOff>0</xdr:rowOff>
    </xdr:from>
    <xdr:to>
      <xdr:col>12</xdr:col>
      <xdr:colOff>444500</xdr:colOff>
      <xdr:row>225</xdr:row>
      <xdr:rowOff>101600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D804771-617E-E840-B70C-3104E55F6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212</xdr:row>
      <xdr:rowOff>0</xdr:rowOff>
    </xdr:from>
    <xdr:to>
      <xdr:col>18</xdr:col>
      <xdr:colOff>444499</xdr:colOff>
      <xdr:row>225</xdr:row>
      <xdr:rowOff>101600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4CF4065-FCFD-8645-9B1A-2637CD83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212</xdr:row>
      <xdr:rowOff>0</xdr:rowOff>
    </xdr:from>
    <xdr:to>
      <xdr:col>25</xdr:col>
      <xdr:colOff>444500</xdr:colOff>
      <xdr:row>225</xdr:row>
      <xdr:rowOff>101600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5DF15C-8054-7C45-9BA4-CC69B1AF7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228</xdr:row>
      <xdr:rowOff>0</xdr:rowOff>
    </xdr:from>
    <xdr:to>
      <xdr:col>12</xdr:col>
      <xdr:colOff>444500</xdr:colOff>
      <xdr:row>241</xdr:row>
      <xdr:rowOff>101599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F91A358-9713-B14E-B0E3-A9CE364A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228</xdr:row>
      <xdr:rowOff>0</xdr:rowOff>
    </xdr:from>
    <xdr:to>
      <xdr:col>18</xdr:col>
      <xdr:colOff>444499</xdr:colOff>
      <xdr:row>241</xdr:row>
      <xdr:rowOff>101599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6D11BF5-EDA1-7D4B-853B-4417C9E51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0</xdr:colOff>
      <xdr:row>228</xdr:row>
      <xdr:rowOff>0</xdr:rowOff>
    </xdr:from>
    <xdr:to>
      <xdr:col>25</xdr:col>
      <xdr:colOff>444500</xdr:colOff>
      <xdr:row>241</xdr:row>
      <xdr:rowOff>101599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CF5221B-5AEA-884A-AF72-6BB794412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293</xdr:row>
      <xdr:rowOff>0</xdr:rowOff>
    </xdr:from>
    <xdr:to>
      <xdr:col>12</xdr:col>
      <xdr:colOff>444500</xdr:colOff>
      <xdr:row>306</xdr:row>
      <xdr:rowOff>101599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D4C4828-0BAD-CC49-97AD-CFEA2F7BA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293</xdr:row>
      <xdr:rowOff>0</xdr:rowOff>
    </xdr:from>
    <xdr:to>
      <xdr:col>19</xdr:col>
      <xdr:colOff>444499</xdr:colOff>
      <xdr:row>306</xdr:row>
      <xdr:rowOff>101599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F63AF69-D892-6049-A1C0-FB5D10470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624920</xdr:colOff>
      <xdr:row>309</xdr:row>
      <xdr:rowOff>40317</xdr:rowOff>
    </xdr:from>
    <xdr:to>
      <xdr:col>12</xdr:col>
      <xdr:colOff>242912</xdr:colOff>
      <xdr:row>322</xdr:row>
      <xdr:rowOff>141916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DA4D3AC-148D-404C-A445-D309BBDD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806350</xdr:colOff>
      <xdr:row>308</xdr:row>
      <xdr:rowOff>181428</xdr:rowOff>
    </xdr:from>
    <xdr:to>
      <xdr:col>19</xdr:col>
      <xdr:colOff>424341</xdr:colOff>
      <xdr:row>322</xdr:row>
      <xdr:rowOff>81440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579B32D-F829-8B4B-BBEE-D41294005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645079</xdr:colOff>
      <xdr:row>325</xdr:row>
      <xdr:rowOff>80635</xdr:rowOff>
    </xdr:from>
    <xdr:to>
      <xdr:col>12</xdr:col>
      <xdr:colOff>263071</xdr:colOff>
      <xdr:row>338</xdr:row>
      <xdr:rowOff>182234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CCF2E4E-A47D-F748-A75D-67D8FC0E1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1</xdr:colOff>
      <xdr:row>325</xdr:row>
      <xdr:rowOff>80635</xdr:rowOff>
    </xdr:from>
    <xdr:to>
      <xdr:col>19</xdr:col>
      <xdr:colOff>444500</xdr:colOff>
      <xdr:row>338</xdr:row>
      <xdr:rowOff>182234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ECDCAFF-1EAC-9B4D-8ECC-E0C86961F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705555</xdr:colOff>
      <xdr:row>340</xdr:row>
      <xdr:rowOff>120952</xdr:rowOff>
    </xdr:from>
    <xdr:to>
      <xdr:col>12</xdr:col>
      <xdr:colOff>323547</xdr:colOff>
      <xdr:row>354</xdr:row>
      <xdr:rowOff>20964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23E0967-50CB-D44C-814B-3EC7B52B6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745873</xdr:colOff>
      <xdr:row>341</xdr:row>
      <xdr:rowOff>20159</xdr:rowOff>
    </xdr:from>
    <xdr:to>
      <xdr:col>19</xdr:col>
      <xdr:colOff>363864</xdr:colOff>
      <xdr:row>354</xdr:row>
      <xdr:rowOff>121758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9A1ECCA-AF08-B44C-B132-E4CDB481D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176212</xdr:colOff>
      <xdr:row>9</xdr:row>
      <xdr:rowOff>100012</xdr:rowOff>
    </xdr:from>
    <xdr:to>
      <xdr:col>26</xdr:col>
      <xdr:colOff>481012</xdr:colOff>
      <xdr:row>23</xdr:row>
      <xdr:rowOff>176212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9B95E56-B300-9149-AE69-CD9F4B417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DavideC_MIT/MIT_2020/PROJECTS/Diatom_Bacteria/Results/ShortChain/NoxBox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5</v>
          </cell>
          <cell r="B2">
            <v>11938</v>
          </cell>
        </row>
        <row r="3">
          <cell r="A3">
            <v>5</v>
          </cell>
          <cell r="B3">
            <v>11973</v>
          </cell>
        </row>
        <row r="4">
          <cell r="A4">
            <v>5</v>
          </cell>
          <cell r="B4">
            <v>12289</v>
          </cell>
        </row>
        <row r="5">
          <cell r="A5">
            <v>5</v>
          </cell>
          <cell r="B5">
            <v>12176</v>
          </cell>
        </row>
        <row r="6">
          <cell r="A6">
            <v>10</v>
          </cell>
          <cell r="B6">
            <v>20594</v>
          </cell>
        </row>
        <row r="7">
          <cell r="A7">
            <v>10</v>
          </cell>
          <cell r="B7">
            <v>22103</v>
          </cell>
        </row>
        <row r="8">
          <cell r="A8">
            <v>10</v>
          </cell>
          <cell r="B8">
            <v>22048</v>
          </cell>
        </row>
        <row r="9">
          <cell r="A9">
            <v>10</v>
          </cell>
          <cell r="B9">
            <v>21722</v>
          </cell>
        </row>
        <row r="10">
          <cell r="A10">
            <v>18</v>
          </cell>
          <cell r="B10">
            <v>39244</v>
          </cell>
        </row>
        <row r="11">
          <cell r="A11">
            <v>18</v>
          </cell>
          <cell r="B11">
            <v>38730</v>
          </cell>
        </row>
        <row r="12">
          <cell r="A12">
            <v>18</v>
          </cell>
          <cell r="B12">
            <v>38651</v>
          </cell>
        </row>
        <row r="13">
          <cell r="A13">
            <v>18</v>
          </cell>
          <cell r="B13">
            <v>38069</v>
          </cell>
        </row>
        <row r="14">
          <cell r="A14">
            <v>25</v>
          </cell>
          <cell r="B14">
            <v>56736</v>
          </cell>
        </row>
        <row r="15">
          <cell r="A15">
            <v>25</v>
          </cell>
          <cell r="B15">
            <v>58052</v>
          </cell>
        </row>
        <row r="16">
          <cell r="A16">
            <v>25</v>
          </cell>
          <cell r="B16">
            <v>54092</v>
          </cell>
        </row>
        <row r="17">
          <cell r="A17">
            <v>25</v>
          </cell>
          <cell r="B17">
            <v>54883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6CFA-9035-E245-AD91-88A69AEB79E5}">
  <dimension ref="A4:V291"/>
  <sheetViews>
    <sheetView tabSelected="1" zoomScale="90" zoomScaleNormal="90" workbookViewId="0">
      <selection activeCell="V37" sqref="O35:V37"/>
    </sheetView>
  </sheetViews>
  <sheetFormatPr baseColWidth="10" defaultRowHeight="16" x14ac:dyDescent="0.2"/>
  <sheetData>
    <row r="4" spans="1:18" x14ac:dyDescent="0.2">
      <c r="O4" t="s">
        <v>52</v>
      </c>
    </row>
    <row r="7" spans="1:18" x14ac:dyDescent="0.2">
      <c r="A7" t="s">
        <v>1</v>
      </c>
    </row>
    <row r="8" spans="1:18" x14ac:dyDescent="0.2">
      <c r="O8" t="s">
        <v>46</v>
      </c>
      <c r="P8" t="s">
        <v>9</v>
      </c>
      <c r="Q8" t="s">
        <v>47</v>
      </c>
      <c r="R8" t="s">
        <v>48</v>
      </c>
    </row>
    <row r="9" spans="1:18" x14ac:dyDescent="0.2">
      <c r="A9" t="s">
        <v>7</v>
      </c>
      <c r="B9" s="1">
        <v>543</v>
      </c>
      <c r="C9" s="1">
        <v>750</v>
      </c>
      <c r="O9">
        <v>5</v>
      </c>
      <c r="P9">
        <v>11938</v>
      </c>
    </row>
    <row r="10" spans="1:18" x14ac:dyDescent="0.2">
      <c r="A10">
        <v>0</v>
      </c>
      <c r="B10">
        <v>0.09</v>
      </c>
      <c r="C10">
        <v>3.7900000000000003E-2</v>
      </c>
      <c r="D10">
        <f>B10-C10</f>
        <v>5.2099999999999994E-2</v>
      </c>
      <c r="O10">
        <v>5</v>
      </c>
      <c r="P10">
        <v>11973</v>
      </c>
    </row>
    <row r="11" spans="1:18" x14ac:dyDescent="0.2">
      <c r="A11">
        <v>0.15</v>
      </c>
      <c r="B11">
        <v>0.16800000000000001</v>
      </c>
      <c r="C11">
        <v>9.4E-2</v>
      </c>
      <c r="D11">
        <f t="shared" ref="D11:D22" si="0">B11-C11</f>
        <v>7.400000000000001E-2</v>
      </c>
      <c r="O11">
        <v>5</v>
      </c>
      <c r="P11">
        <v>12289</v>
      </c>
    </row>
    <row r="12" spans="1:18" x14ac:dyDescent="0.2">
      <c r="A12">
        <v>0.25</v>
      </c>
      <c r="B12">
        <v>0.16500000000000001</v>
      </c>
      <c r="C12">
        <v>4.8000000000000001E-2</v>
      </c>
      <c r="D12">
        <f>B12-C12</f>
        <v>0.11700000000000001</v>
      </c>
      <c r="O12">
        <v>5</v>
      </c>
      <c r="P12">
        <v>12176</v>
      </c>
      <c r="Q12">
        <v>5</v>
      </c>
      <c r="R12">
        <f>AVERAGE(P9:P12)</f>
        <v>12094</v>
      </c>
    </row>
    <row r="13" spans="1:18" x14ac:dyDescent="0.2">
      <c r="A13">
        <v>0.3</v>
      </c>
      <c r="B13">
        <v>0.188</v>
      </c>
      <c r="C13">
        <v>4.4999999999999998E-2</v>
      </c>
      <c r="D13">
        <f>B13-C13</f>
        <v>0.14300000000000002</v>
      </c>
      <c r="O13">
        <v>10</v>
      </c>
      <c r="P13">
        <v>20594</v>
      </c>
    </row>
    <row r="14" spans="1:18" x14ac:dyDescent="0.2">
      <c r="A14">
        <v>0.5</v>
      </c>
      <c r="B14">
        <v>0.30599999999999999</v>
      </c>
      <c r="C14">
        <v>4.4999999999999998E-2</v>
      </c>
      <c r="D14">
        <f t="shared" si="0"/>
        <v>0.26100000000000001</v>
      </c>
      <c r="O14">
        <v>10</v>
      </c>
      <c r="P14">
        <v>22103</v>
      </c>
    </row>
    <row r="15" spans="1:18" x14ac:dyDescent="0.2">
      <c r="A15">
        <v>1</v>
      </c>
      <c r="B15">
        <v>0.45300000000000001</v>
      </c>
      <c r="C15">
        <v>4.3999999999999997E-2</v>
      </c>
      <c r="D15">
        <f t="shared" si="0"/>
        <v>0.40900000000000003</v>
      </c>
      <c r="O15">
        <v>10</v>
      </c>
      <c r="P15">
        <v>22048</v>
      </c>
    </row>
    <row r="16" spans="1:18" x14ac:dyDescent="0.2">
      <c r="A16">
        <v>2</v>
      </c>
      <c r="B16">
        <v>1.28</v>
      </c>
      <c r="C16">
        <v>4.4999999999999998E-2</v>
      </c>
      <c r="D16">
        <f t="shared" si="0"/>
        <v>1.2350000000000001</v>
      </c>
      <c r="O16">
        <v>10</v>
      </c>
      <c r="P16">
        <v>21722</v>
      </c>
      <c r="Q16">
        <v>10</v>
      </c>
      <c r="R16">
        <f>AVERAGE(P13:P16)</f>
        <v>21616.75</v>
      </c>
    </row>
    <row r="17" spans="1:22" x14ac:dyDescent="0.2">
      <c r="A17">
        <v>4</v>
      </c>
      <c r="B17">
        <v>1.69</v>
      </c>
      <c r="C17">
        <v>6.5000000000000002E-2</v>
      </c>
      <c r="D17">
        <f t="shared" si="0"/>
        <v>1.625</v>
      </c>
      <c r="O17">
        <v>18</v>
      </c>
      <c r="P17">
        <v>39244</v>
      </c>
    </row>
    <row r="18" spans="1:22" x14ac:dyDescent="0.2">
      <c r="A18">
        <v>6</v>
      </c>
      <c r="B18">
        <v>1.89</v>
      </c>
      <c r="C18">
        <v>6.0999999999999999E-2</v>
      </c>
      <c r="D18">
        <f t="shared" si="0"/>
        <v>1.829</v>
      </c>
      <c r="O18">
        <v>18</v>
      </c>
      <c r="P18">
        <v>38730</v>
      </c>
    </row>
    <row r="19" spans="1:22" x14ac:dyDescent="0.2">
      <c r="A19">
        <v>8</v>
      </c>
      <c r="B19">
        <v>2</v>
      </c>
      <c r="C19">
        <v>6.3E-2</v>
      </c>
      <c r="D19">
        <f t="shared" si="0"/>
        <v>1.9370000000000001</v>
      </c>
      <c r="O19">
        <v>18</v>
      </c>
      <c r="P19">
        <v>38651</v>
      </c>
    </row>
    <row r="20" spans="1:22" x14ac:dyDescent="0.2">
      <c r="A20">
        <v>10</v>
      </c>
      <c r="B20">
        <v>2.0499999999999998</v>
      </c>
      <c r="C20">
        <v>6.3E-2</v>
      </c>
      <c r="D20">
        <f t="shared" si="0"/>
        <v>1.9869999999999999</v>
      </c>
      <c r="O20">
        <v>18</v>
      </c>
      <c r="P20">
        <v>38069</v>
      </c>
      <c r="Q20">
        <v>18</v>
      </c>
      <c r="R20">
        <f>AVERAGE(P17:P20)</f>
        <v>38673.5</v>
      </c>
    </row>
    <row r="21" spans="1:22" x14ac:dyDescent="0.2">
      <c r="A21">
        <v>15</v>
      </c>
      <c r="B21">
        <v>2.0699999999999998</v>
      </c>
      <c r="C21">
        <v>0.06</v>
      </c>
      <c r="D21">
        <f t="shared" si="0"/>
        <v>2.0099999999999998</v>
      </c>
      <c r="O21">
        <v>25</v>
      </c>
      <c r="P21">
        <v>56736</v>
      </c>
    </row>
    <row r="22" spans="1:22" x14ac:dyDescent="0.2">
      <c r="A22">
        <v>20</v>
      </c>
      <c r="B22">
        <v>2.1</v>
      </c>
      <c r="C22">
        <v>7.1999999999999995E-2</v>
      </c>
      <c r="D22">
        <f t="shared" si="0"/>
        <v>2.028</v>
      </c>
      <c r="O22">
        <v>25</v>
      </c>
      <c r="P22">
        <v>58052</v>
      </c>
    </row>
    <row r="23" spans="1:22" x14ac:dyDescent="0.2">
      <c r="O23">
        <v>25</v>
      </c>
      <c r="P23">
        <v>54092</v>
      </c>
    </row>
    <row r="24" spans="1:22" x14ac:dyDescent="0.2">
      <c r="O24">
        <v>25</v>
      </c>
      <c r="P24">
        <v>54883</v>
      </c>
      <c r="Q24">
        <v>25</v>
      </c>
      <c r="R24">
        <f>AVERAGE(P21:P24)</f>
        <v>55940.75</v>
      </c>
    </row>
    <row r="27" spans="1:22" x14ac:dyDescent="0.2">
      <c r="A27" t="s">
        <v>2</v>
      </c>
    </row>
    <row r="28" spans="1:22" x14ac:dyDescent="0.2">
      <c r="O28" t="s">
        <v>49</v>
      </c>
    </row>
    <row r="29" spans="1:22" x14ac:dyDescent="0.2">
      <c r="O29">
        <v>20307</v>
      </c>
      <c r="P29">
        <v>19665</v>
      </c>
      <c r="Q29">
        <v>11677</v>
      </c>
      <c r="R29">
        <v>19828</v>
      </c>
      <c r="S29">
        <v>18356</v>
      </c>
      <c r="T29">
        <v>18652</v>
      </c>
      <c r="U29">
        <v>14367</v>
      </c>
      <c r="V29">
        <v>10267</v>
      </c>
    </row>
    <row r="30" spans="1:22" x14ac:dyDescent="0.2">
      <c r="A30" s="1" t="s">
        <v>3</v>
      </c>
      <c r="B30" s="1">
        <v>543</v>
      </c>
      <c r="C30" s="1">
        <v>750</v>
      </c>
      <c r="E30" t="s">
        <v>0</v>
      </c>
      <c r="O30">
        <v>20310</v>
      </c>
      <c r="P30">
        <v>21425</v>
      </c>
      <c r="Q30">
        <v>11756</v>
      </c>
      <c r="R30">
        <v>18597</v>
      </c>
      <c r="S30">
        <v>16869</v>
      </c>
      <c r="T30">
        <v>13569</v>
      </c>
      <c r="U30">
        <v>9161</v>
      </c>
      <c r="V30">
        <v>4410</v>
      </c>
    </row>
    <row r="31" spans="1:22" x14ac:dyDescent="0.2">
      <c r="A31" t="s">
        <v>4</v>
      </c>
      <c r="B31">
        <v>6.6000000000000003E-2</v>
      </c>
      <c r="C31">
        <v>2.1000000000000001E-2</v>
      </c>
      <c r="D31">
        <f t="shared" ref="D31:D46" si="1">B31-C31</f>
        <v>4.4999999999999998E-2</v>
      </c>
      <c r="E31">
        <f>D31*2.208-0.0558</f>
        <v>4.3560000000000001E-2</v>
      </c>
      <c r="O31">
        <v>18901</v>
      </c>
      <c r="P31">
        <v>19275</v>
      </c>
      <c r="Q31">
        <v>11345</v>
      </c>
      <c r="R31">
        <v>18086</v>
      </c>
      <c r="S31">
        <v>18126</v>
      </c>
      <c r="T31">
        <v>13096</v>
      </c>
      <c r="U31">
        <v>7857</v>
      </c>
      <c r="V31">
        <v>8630</v>
      </c>
    </row>
    <row r="32" spans="1:22" x14ac:dyDescent="0.2">
      <c r="A32">
        <v>1</v>
      </c>
      <c r="B32">
        <v>1.4</v>
      </c>
      <c r="C32">
        <v>0.23699999999999999</v>
      </c>
      <c r="D32">
        <f t="shared" si="1"/>
        <v>1.1629999999999998</v>
      </c>
      <c r="E32">
        <f>(D32*2.208-0.0558)-E31</f>
        <v>2.4685440000000001</v>
      </c>
    </row>
    <row r="33" spans="1:22" x14ac:dyDescent="0.2">
      <c r="A33">
        <v>2</v>
      </c>
      <c r="B33">
        <v>0.75</v>
      </c>
      <c r="C33">
        <v>7.8E-2</v>
      </c>
      <c r="D33">
        <f t="shared" si="1"/>
        <v>0.67200000000000004</v>
      </c>
      <c r="E33">
        <f t="shared" ref="E33:E46" si="2">D33*2.208-0.0558</f>
        <v>1.4279760000000001</v>
      </c>
    </row>
    <row r="34" spans="1:22" x14ac:dyDescent="0.2">
      <c r="A34">
        <v>3</v>
      </c>
      <c r="B34">
        <v>0.5</v>
      </c>
      <c r="C34">
        <v>0.19</v>
      </c>
      <c r="D34">
        <f t="shared" si="1"/>
        <v>0.31</v>
      </c>
      <c r="E34">
        <f t="shared" si="2"/>
        <v>0.62868000000000013</v>
      </c>
      <c r="O34" t="s">
        <v>50</v>
      </c>
    </row>
    <row r="35" spans="1:22" x14ac:dyDescent="0.2">
      <c r="A35">
        <v>4</v>
      </c>
      <c r="B35">
        <v>0.66</v>
      </c>
      <c r="C35">
        <v>3.4000000000000002E-2</v>
      </c>
      <c r="D35">
        <f t="shared" si="1"/>
        <v>0.626</v>
      </c>
      <c r="E35">
        <f t="shared" si="2"/>
        <v>1.326408</v>
      </c>
      <c r="O35">
        <v>17141</v>
      </c>
      <c r="P35">
        <v>9262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>
        <v>5</v>
      </c>
      <c r="B36">
        <v>0.16300000000000001</v>
      </c>
      <c r="C36">
        <v>3.5999999999999997E-2</v>
      </c>
      <c r="D36">
        <f t="shared" si="1"/>
        <v>0.127</v>
      </c>
      <c r="E36">
        <f t="shared" si="2"/>
        <v>0.22461600000000004</v>
      </c>
      <c r="O36">
        <v>19157</v>
      </c>
      <c r="P36">
        <v>10895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6</v>
      </c>
      <c r="B37">
        <v>9.4E-2</v>
      </c>
      <c r="C37">
        <v>4.8000000000000001E-2</v>
      </c>
      <c r="D37">
        <f t="shared" si="1"/>
        <v>4.5999999999999999E-2</v>
      </c>
      <c r="E37">
        <f t="shared" si="2"/>
        <v>4.5768000000000003E-2</v>
      </c>
      <c r="O37">
        <v>18972</v>
      </c>
      <c r="P37">
        <v>14997</v>
      </c>
      <c r="Q37">
        <v>5618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>
        <v>7</v>
      </c>
      <c r="B38">
        <v>7.0000000000000007E-2</v>
      </c>
      <c r="C38">
        <v>0.02</v>
      </c>
      <c r="D38">
        <f t="shared" si="1"/>
        <v>0.05</v>
      </c>
      <c r="E38">
        <f t="shared" si="2"/>
        <v>5.460000000000001E-2</v>
      </c>
    </row>
    <row r="39" spans="1:22" x14ac:dyDescent="0.2">
      <c r="A39">
        <v>8</v>
      </c>
      <c r="B39">
        <v>8.1000000000000003E-2</v>
      </c>
      <c r="C39">
        <v>5.3999999999999999E-2</v>
      </c>
      <c r="D39">
        <f t="shared" si="1"/>
        <v>2.7000000000000003E-2</v>
      </c>
      <c r="E39">
        <f t="shared" si="2"/>
        <v>3.8160000000000069E-3</v>
      </c>
    </row>
    <row r="40" spans="1:22" x14ac:dyDescent="0.2">
      <c r="A40">
        <v>9</v>
      </c>
      <c r="B40">
        <v>0.113</v>
      </c>
      <c r="C40">
        <v>0.06</v>
      </c>
      <c r="D40">
        <f t="shared" si="1"/>
        <v>5.3000000000000005E-2</v>
      </c>
      <c r="E40">
        <f t="shared" si="2"/>
        <v>6.1224000000000015E-2</v>
      </c>
      <c r="O40" t="s">
        <v>51</v>
      </c>
    </row>
    <row r="41" spans="1:22" x14ac:dyDescent="0.2">
      <c r="A41">
        <v>10</v>
      </c>
      <c r="B41">
        <v>0.09</v>
      </c>
      <c r="C41">
        <v>4.1000000000000002E-2</v>
      </c>
      <c r="D41">
        <f t="shared" si="1"/>
        <v>4.8999999999999995E-2</v>
      </c>
      <c r="E41">
        <f t="shared" si="2"/>
        <v>5.2391999999999994E-2</v>
      </c>
      <c r="O41">
        <v>20107</v>
      </c>
      <c r="P41">
        <v>11316</v>
      </c>
      <c r="Q41">
        <v>14080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11</v>
      </c>
      <c r="B42">
        <v>0.12</v>
      </c>
      <c r="C42">
        <v>0.09</v>
      </c>
      <c r="D42">
        <f t="shared" si="1"/>
        <v>0.03</v>
      </c>
      <c r="E42">
        <f t="shared" si="2"/>
        <v>1.0440000000000005E-2</v>
      </c>
      <c r="O42">
        <v>20368</v>
      </c>
      <c r="P42">
        <v>11377</v>
      </c>
      <c r="Q42">
        <v>17250</v>
      </c>
      <c r="R42">
        <v>13045</v>
      </c>
      <c r="S42">
        <v>5981</v>
      </c>
      <c r="T42">
        <v>0</v>
      </c>
      <c r="U42">
        <v>0</v>
      </c>
      <c r="V42">
        <v>0</v>
      </c>
    </row>
    <row r="43" spans="1:22" x14ac:dyDescent="0.2">
      <c r="A43">
        <v>12</v>
      </c>
      <c r="B43">
        <v>0.16</v>
      </c>
      <c r="C43">
        <v>0.1</v>
      </c>
      <c r="D43">
        <f t="shared" si="1"/>
        <v>0.06</v>
      </c>
      <c r="E43">
        <f t="shared" si="2"/>
        <v>7.6680000000000012E-2</v>
      </c>
      <c r="O43">
        <v>18803</v>
      </c>
      <c r="P43">
        <v>10373</v>
      </c>
      <c r="Q43">
        <v>13663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>
        <v>13</v>
      </c>
      <c r="B44">
        <v>0.09</v>
      </c>
      <c r="C44">
        <v>0.04</v>
      </c>
      <c r="D44">
        <f t="shared" si="1"/>
        <v>4.9999999999999996E-2</v>
      </c>
      <c r="E44">
        <f t="shared" si="2"/>
        <v>5.4599999999999996E-2</v>
      </c>
    </row>
    <row r="45" spans="1:22" x14ac:dyDescent="0.2">
      <c r="A45">
        <v>14</v>
      </c>
      <c r="B45">
        <v>0.15</v>
      </c>
      <c r="C45">
        <v>0.11</v>
      </c>
      <c r="D45">
        <f t="shared" si="1"/>
        <v>3.9999999999999994E-2</v>
      </c>
      <c r="E45">
        <f t="shared" si="2"/>
        <v>3.2519999999999993E-2</v>
      </c>
    </row>
    <row r="46" spans="1:22" x14ac:dyDescent="0.2">
      <c r="A46">
        <v>15</v>
      </c>
      <c r="B46">
        <v>0.12</v>
      </c>
      <c r="C46">
        <v>7.0000000000000007E-2</v>
      </c>
      <c r="D46">
        <f t="shared" si="1"/>
        <v>4.9999999999999989E-2</v>
      </c>
      <c r="E46">
        <f t="shared" si="2"/>
        <v>5.4599999999999982E-2</v>
      </c>
    </row>
    <row r="49" spans="1:6" x14ac:dyDescent="0.2">
      <c r="A49" t="s">
        <v>5</v>
      </c>
    </row>
    <row r="51" spans="1:6" x14ac:dyDescent="0.2">
      <c r="A51" s="1" t="s">
        <v>3</v>
      </c>
      <c r="B51" s="1">
        <v>543</v>
      </c>
      <c r="C51" s="1">
        <v>750</v>
      </c>
      <c r="E51" t="s">
        <v>0</v>
      </c>
    </row>
    <row r="52" spans="1:6" x14ac:dyDescent="0.2">
      <c r="A52" t="s">
        <v>4</v>
      </c>
      <c r="B52">
        <v>0.5</v>
      </c>
      <c r="C52">
        <v>0.5</v>
      </c>
      <c r="D52">
        <f t="shared" ref="D52:D65" si="3">B52-C52</f>
        <v>0</v>
      </c>
    </row>
    <row r="53" spans="1:6" x14ac:dyDescent="0.2">
      <c r="A53">
        <v>1</v>
      </c>
      <c r="B53">
        <v>0.36</v>
      </c>
      <c r="C53">
        <v>0.33</v>
      </c>
      <c r="D53">
        <f t="shared" si="3"/>
        <v>2.9999999999999971E-2</v>
      </c>
      <c r="E53">
        <f>D53*2.208-0.0558</f>
        <v>1.0439999999999935E-2</v>
      </c>
      <c r="F53">
        <f>(E53+ABS($E$66))</f>
        <v>7.0655999999999941E-2</v>
      </c>
    </row>
    <row r="54" spans="1:6" x14ac:dyDescent="0.2">
      <c r="A54">
        <v>2</v>
      </c>
      <c r="B54">
        <v>0.09</v>
      </c>
      <c r="C54">
        <v>0.06</v>
      </c>
      <c r="D54">
        <f t="shared" si="3"/>
        <v>0.03</v>
      </c>
      <c r="E54">
        <f t="shared" ref="E54:E65" si="4">D54*2.208-0.0558</f>
        <v>1.0440000000000005E-2</v>
      </c>
      <c r="F54">
        <f t="shared" ref="F54:F65" si="5">(E54+ABS($E$66))</f>
        <v>7.065600000000001E-2</v>
      </c>
    </row>
    <row r="55" spans="1:6" x14ac:dyDescent="0.2">
      <c r="A55">
        <v>3</v>
      </c>
      <c r="B55">
        <v>0.153</v>
      </c>
      <c r="C55">
        <v>0.155</v>
      </c>
      <c r="D55">
        <f>B55-C55</f>
        <v>-2.0000000000000018E-3</v>
      </c>
      <c r="E55">
        <f t="shared" si="4"/>
        <v>-6.0216000000000006E-2</v>
      </c>
      <c r="F55">
        <f t="shared" si="5"/>
        <v>0</v>
      </c>
    </row>
    <row r="56" spans="1:6" x14ac:dyDescent="0.2">
      <c r="A56">
        <v>4</v>
      </c>
      <c r="B56">
        <v>0.31</v>
      </c>
      <c r="C56">
        <v>0.28000000000000003</v>
      </c>
      <c r="D56">
        <f t="shared" si="3"/>
        <v>2.9999999999999971E-2</v>
      </c>
      <c r="E56">
        <f t="shared" si="4"/>
        <v>1.0439999999999935E-2</v>
      </c>
      <c r="F56">
        <f t="shared" si="5"/>
        <v>7.0655999999999941E-2</v>
      </c>
    </row>
    <row r="57" spans="1:6" x14ac:dyDescent="0.2">
      <c r="A57">
        <v>5</v>
      </c>
      <c r="B57">
        <v>0.35</v>
      </c>
      <c r="C57">
        <v>0.34899999999999998</v>
      </c>
      <c r="D57">
        <f>B57-C57</f>
        <v>1.0000000000000009E-3</v>
      </c>
      <c r="E57">
        <f t="shared" si="4"/>
        <v>-5.3592000000000001E-2</v>
      </c>
      <c r="F57">
        <f t="shared" si="5"/>
        <v>6.6240000000000049E-3</v>
      </c>
    </row>
    <row r="58" spans="1:6" x14ac:dyDescent="0.2">
      <c r="A58">
        <v>6</v>
      </c>
      <c r="B58">
        <v>0.28999999999999998</v>
      </c>
      <c r="C58">
        <v>0.28000000000000003</v>
      </c>
      <c r="D58">
        <f t="shared" si="3"/>
        <v>9.9999999999999534E-3</v>
      </c>
      <c r="E58">
        <f t="shared" si="4"/>
        <v>-3.3720000000000104E-2</v>
      </c>
      <c r="F58">
        <f t="shared" si="5"/>
        <v>2.6495999999999902E-2</v>
      </c>
    </row>
    <row r="59" spans="1:6" x14ac:dyDescent="0.2">
      <c r="A59">
        <v>7</v>
      </c>
      <c r="B59">
        <v>0.33</v>
      </c>
      <c r="C59">
        <v>0.3</v>
      </c>
      <c r="D59">
        <f t="shared" si="3"/>
        <v>3.0000000000000027E-2</v>
      </c>
      <c r="E59">
        <f t="shared" si="4"/>
        <v>1.044000000000006E-2</v>
      </c>
      <c r="F59">
        <f t="shared" si="5"/>
        <v>7.0656000000000066E-2</v>
      </c>
    </row>
    <row r="60" spans="1:6" x14ac:dyDescent="0.2">
      <c r="A60">
        <v>8</v>
      </c>
      <c r="B60">
        <v>0.14499999999999999</v>
      </c>
      <c r="C60">
        <v>0.11</v>
      </c>
      <c r="D60">
        <f t="shared" si="3"/>
        <v>3.4999999999999989E-2</v>
      </c>
      <c r="E60">
        <f t="shared" si="4"/>
        <v>2.1479999999999985E-2</v>
      </c>
      <c r="F60">
        <f t="shared" si="5"/>
        <v>8.1695999999999991E-2</v>
      </c>
    </row>
    <row r="61" spans="1:6" x14ac:dyDescent="0.2">
      <c r="A61">
        <v>9</v>
      </c>
      <c r="B61">
        <v>0.125</v>
      </c>
      <c r="C61">
        <v>0.08</v>
      </c>
      <c r="D61">
        <f t="shared" si="3"/>
        <v>4.4999999999999998E-2</v>
      </c>
      <c r="E61">
        <f t="shared" si="4"/>
        <v>4.3560000000000001E-2</v>
      </c>
      <c r="F61">
        <f t="shared" si="5"/>
        <v>0.10377600000000001</v>
      </c>
    </row>
    <row r="62" spans="1:6" x14ac:dyDescent="0.2">
      <c r="A62">
        <v>10</v>
      </c>
      <c r="B62">
        <v>0.126</v>
      </c>
      <c r="C62">
        <v>0.08</v>
      </c>
      <c r="D62">
        <f t="shared" si="3"/>
        <v>4.5999999999999999E-2</v>
      </c>
      <c r="E62">
        <f t="shared" si="4"/>
        <v>4.5768000000000003E-2</v>
      </c>
      <c r="F62">
        <f t="shared" si="5"/>
        <v>0.10598400000000001</v>
      </c>
    </row>
    <row r="63" spans="1:6" x14ac:dyDescent="0.2">
      <c r="A63">
        <v>11</v>
      </c>
      <c r="B63">
        <v>0.27700000000000002</v>
      </c>
      <c r="C63">
        <v>0.13</v>
      </c>
      <c r="D63">
        <f t="shared" si="3"/>
        <v>0.14700000000000002</v>
      </c>
      <c r="E63">
        <f t="shared" si="4"/>
        <v>0.26877600000000007</v>
      </c>
      <c r="F63">
        <f t="shared" si="5"/>
        <v>0.32899200000000006</v>
      </c>
    </row>
    <row r="64" spans="1:6" x14ac:dyDescent="0.2">
      <c r="A64">
        <v>12</v>
      </c>
      <c r="B64">
        <v>0.13300000000000001</v>
      </c>
      <c r="C64">
        <v>0.1</v>
      </c>
      <c r="D64">
        <f t="shared" si="3"/>
        <v>3.3000000000000002E-2</v>
      </c>
      <c r="E64">
        <f t="shared" si="4"/>
        <v>1.706400000000001E-2</v>
      </c>
      <c r="F64">
        <f t="shared" si="5"/>
        <v>7.7280000000000015E-2</v>
      </c>
    </row>
    <row r="65" spans="1:6" x14ac:dyDescent="0.2">
      <c r="A65">
        <v>13</v>
      </c>
      <c r="B65">
        <v>0.22</v>
      </c>
      <c r="C65">
        <v>0.21</v>
      </c>
      <c r="D65">
        <f t="shared" si="3"/>
        <v>1.0000000000000009E-2</v>
      </c>
      <c r="E65">
        <f t="shared" si="4"/>
        <v>-3.3719999999999986E-2</v>
      </c>
      <c r="F65">
        <f t="shared" si="5"/>
        <v>2.649600000000002E-2</v>
      </c>
    </row>
    <row r="66" spans="1:6" x14ac:dyDescent="0.2">
      <c r="E66">
        <f xml:space="preserve"> MIN(E53:E65)</f>
        <v>-6.0216000000000006E-2</v>
      </c>
    </row>
    <row r="71" spans="1:6" x14ac:dyDescent="0.2">
      <c r="A71" t="s">
        <v>1</v>
      </c>
    </row>
    <row r="73" spans="1:6" x14ac:dyDescent="0.2">
      <c r="A73" s="1" t="s">
        <v>6</v>
      </c>
      <c r="B73" t="s">
        <v>8</v>
      </c>
      <c r="C73" t="s">
        <v>9</v>
      </c>
      <c r="D73" t="s">
        <v>10</v>
      </c>
      <c r="E73" t="s">
        <v>12</v>
      </c>
    </row>
    <row r="74" spans="1:6" x14ac:dyDescent="0.2">
      <c r="A74">
        <v>0.5</v>
      </c>
      <c r="B74">
        <v>500</v>
      </c>
      <c r="C74">
        <v>6984.88</v>
      </c>
      <c r="D74">
        <f>C74/(B74/$B$82)</f>
        <v>1396.9760000000001</v>
      </c>
      <c r="E74">
        <f>A74*B74</f>
        <v>250</v>
      </c>
    </row>
    <row r="75" spans="1:6" x14ac:dyDescent="0.2">
      <c r="A75">
        <v>1</v>
      </c>
      <c r="B75">
        <v>500</v>
      </c>
      <c r="C75">
        <v>12820</v>
      </c>
      <c r="D75">
        <f t="shared" ref="D75:D81" si="6">C75/(B75/$B$82)</f>
        <v>2564</v>
      </c>
      <c r="E75">
        <f t="shared" ref="E75:E81" si="7">A75*B75</f>
        <v>500</v>
      </c>
    </row>
    <row r="76" spans="1:6" x14ac:dyDescent="0.2">
      <c r="A76">
        <v>2</v>
      </c>
      <c r="B76">
        <v>200</v>
      </c>
      <c r="C76">
        <v>8289.02</v>
      </c>
      <c r="D76">
        <f t="shared" si="6"/>
        <v>4144.51</v>
      </c>
      <c r="E76">
        <f t="shared" si="7"/>
        <v>400</v>
      </c>
    </row>
    <row r="77" spans="1:6" x14ac:dyDescent="0.2">
      <c r="A77">
        <v>4</v>
      </c>
      <c r="B77">
        <v>100</v>
      </c>
      <c r="C77">
        <v>6656.13</v>
      </c>
      <c r="D77">
        <f t="shared" si="6"/>
        <v>6656.13</v>
      </c>
      <c r="E77">
        <f t="shared" si="7"/>
        <v>400</v>
      </c>
    </row>
    <row r="78" spans="1:6" x14ac:dyDescent="0.2">
      <c r="A78">
        <v>6</v>
      </c>
      <c r="B78">
        <v>100</v>
      </c>
      <c r="C78">
        <v>10459.280000000001</v>
      </c>
      <c r="D78">
        <f t="shared" si="6"/>
        <v>10459.280000000001</v>
      </c>
      <c r="E78">
        <f t="shared" si="7"/>
        <v>600</v>
      </c>
    </row>
    <row r="79" spans="1:6" x14ac:dyDescent="0.2">
      <c r="A79">
        <v>8</v>
      </c>
      <c r="B79">
        <v>100</v>
      </c>
      <c r="C79">
        <v>14713.75</v>
      </c>
      <c r="D79">
        <f t="shared" si="6"/>
        <v>14713.75</v>
      </c>
      <c r="E79">
        <f t="shared" si="7"/>
        <v>800</v>
      </c>
    </row>
    <row r="80" spans="1:6" x14ac:dyDescent="0.2">
      <c r="A80">
        <v>10</v>
      </c>
      <c r="B80">
        <v>100</v>
      </c>
      <c r="C80">
        <v>18379.04</v>
      </c>
      <c r="D80">
        <f t="shared" si="6"/>
        <v>18379.04</v>
      </c>
      <c r="E80">
        <f t="shared" si="7"/>
        <v>1000</v>
      </c>
    </row>
    <row r="81" spans="1:6" x14ac:dyDescent="0.2">
      <c r="A81">
        <v>15</v>
      </c>
      <c r="B81">
        <v>100</v>
      </c>
      <c r="C81">
        <v>28462.09</v>
      </c>
      <c r="D81">
        <f t="shared" si="6"/>
        <v>28462.09</v>
      </c>
      <c r="E81">
        <f t="shared" si="7"/>
        <v>1500</v>
      </c>
    </row>
    <row r="82" spans="1:6" x14ac:dyDescent="0.2">
      <c r="B82">
        <f>MIN(B74:B81)</f>
        <v>100</v>
      </c>
    </row>
    <row r="87" spans="1:6" x14ac:dyDescent="0.2">
      <c r="A87" t="s">
        <v>5</v>
      </c>
    </row>
    <row r="88" spans="1:6" x14ac:dyDescent="0.2">
      <c r="A88" s="1" t="s">
        <v>11</v>
      </c>
      <c r="B88" t="s">
        <v>8</v>
      </c>
      <c r="C88" t="s">
        <v>9</v>
      </c>
      <c r="D88" t="s">
        <v>10</v>
      </c>
      <c r="E88" t="s">
        <v>0</v>
      </c>
    </row>
    <row r="89" spans="1:6" x14ac:dyDescent="0.2">
      <c r="A89">
        <v>1</v>
      </c>
      <c r="B89">
        <v>100</v>
      </c>
      <c r="C89">
        <v>46863.95</v>
      </c>
      <c r="D89">
        <f>C89/(B89/$B$102)</f>
        <v>234319.74999999997</v>
      </c>
      <c r="E89">
        <f>D89*0.0005-0.038</f>
        <v>117.12187499999999</v>
      </c>
      <c r="F89">
        <f>(C89-1394.3)/17.543/B89</f>
        <v>25.918970529555946</v>
      </c>
    </row>
    <row r="90" spans="1:6" x14ac:dyDescent="0.2">
      <c r="A90">
        <v>2</v>
      </c>
      <c r="B90">
        <v>100</v>
      </c>
      <c r="C90">
        <v>22110.07</v>
      </c>
      <c r="D90">
        <f t="shared" ref="D90:D101" si="8">C90/(B90/$B$102)</f>
        <v>110550.34999999999</v>
      </c>
      <c r="E90">
        <f t="shared" ref="E90:E101" si="9">D90*0.0005-0.038</f>
        <v>55.237175000000001</v>
      </c>
      <c r="F90">
        <f t="shared" ref="F90:F101" si="10">(C90-1394.3)/17.543/B90</f>
        <v>11.80856751980847</v>
      </c>
    </row>
    <row r="91" spans="1:6" x14ac:dyDescent="0.2">
      <c r="A91">
        <v>3</v>
      </c>
      <c r="B91">
        <v>100</v>
      </c>
      <c r="C91">
        <v>12022.38</v>
      </c>
      <c r="D91">
        <f t="shared" si="8"/>
        <v>60111.899999999994</v>
      </c>
      <c r="E91">
        <f t="shared" si="9"/>
        <v>30.017949999999999</v>
      </c>
      <c r="F91">
        <f t="shared" si="10"/>
        <v>6.0583024568203845</v>
      </c>
    </row>
    <row r="92" spans="1:6" x14ac:dyDescent="0.2">
      <c r="A92">
        <v>4</v>
      </c>
      <c r="B92">
        <v>100</v>
      </c>
      <c r="C92">
        <v>13516.07</v>
      </c>
      <c r="D92">
        <f t="shared" si="8"/>
        <v>67580.349999999991</v>
      </c>
      <c r="E92">
        <f t="shared" si="9"/>
        <v>33.752175000000001</v>
      </c>
      <c r="F92">
        <f t="shared" si="10"/>
        <v>6.9097474776264036</v>
      </c>
    </row>
    <row r="93" spans="1:6" x14ac:dyDescent="0.2">
      <c r="A93">
        <v>5</v>
      </c>
      <c r="B93">
        <v>500</v>
      </c>
      <c r="C93">
        <v>5822.94</v>
      </c>
      <c r="D93">
        <f t="shared" si="8"/>
        <v>5822.94</v>
      </c>
      <c r="E93">
        <f t="shared" si="9"/>
        <v>2.8734700000000002</v>
      </c>
      <c r="F93">
        <f t="shared" si="10"/>
        <v>0.50488969959528018</v>
      </c>
    </row>
    <row r="94" spans="1:6" x14ac:dyDescent="0.2">
      <c r="A94">
        <v>6</v>
      </c>
      <c r="B94">
        <v>500</v>
      </c>
      <c r="C94">
        <v>6450.6</v>
      </c>
      <c r="D94">
        <f t="shared" si="8"/>
        <v>6450.6</v>
      </c>
      <c r="E94">
        <f t="shared" si="9"/>
        <v>3.1873000000000005</v>
      </c>
      <c r="F94">
        <f t="shared" si="10"/>
        <v>0.57644644587584803</v>
      </c>
    </row>
    <row r="95" spans="1:6" x14ac:dyDescent="0.2">
      <c r="A95">
        <v>7</v>
      </c>
      <c r="B95">
        <v>1000</v>
      </c>
      <c r="C95">
        <v>19511.18</v>
      </c>
      <c r="D95">
        <f t="shared" si="8"/>
        <v>9755.59</v>
      </c>
      <c r="E95">
        <f t="shared" si="9"/>
        <v>4.8397949999999996</v>
      </c>
      <c r="F95">
        <f t="shared" si="10"/>
        <v>1.0327127629253834</v>
      </c>
    </row>
    <row r="96" spans="1:6" x14ac:dyDescent="0.2">
      <c r="A96">
        <v>8</v>
      </c>
      <c r="B96">
        <v>1000</v>
      </c>
      <c r="C96">
        <v>11911.05</v>
      </c>
      <c r="D96">
        <f t="shared" si="8"/>
        <v>5955.5249999999996</v>
      </c>
      <c r="E96">
        <f t="shared" si="9"/>
        <v>2.9397625000000001</v>
      </c>
      <c r="F96">
        <f t="shared" si="10"/>
        <v>0.59948412472211143</v>
      </c>
    </row>
    <row r="97" spans="1:6" x14ac:dyDescent="0.2">
      <c r="A97">
        <v>9</v>
      </c>
      <c r="B97">
        <v>1000</v>
      </c>
      <c r="C97">
        <v>11569.19</v>
      </c>
      <c r="D97">
        <f t="shared" si="8"/>
        <v>5784.5950000000003</v>
      </c>
      <c r="E97">
        <f t="shared" si="9"/>
        <v>2.8542975000000004</v>
      </c>
      <c r="F97">
        <f t="shared" si="10"/>
        <v>0.57999714986034323</v>
      </c>
    </row>
    <row r="98" spans="1:6" x14ac:dyDescent="0.2">
      <c r="A98">
        <v>10</v>
      </c>
      <c r="B98">
        <v>1000</v>
      </c>
      <c r="C98">
        <v>25748.61</v>
      </c>
      <c r="D98">
        <f t="shared" si="8"/>
        <v>12874.305</v>
      </c>
      <c r="E98">
        <f t="shared" si="9"/>
        <v>6.3991525000000005</v>
      </c>
      <c r="F98">
        <f t="shared" si="10"/>
        <v>1.3882636949210512</v>
      </c>
    </row>
    <row r="99" spans="1:6" x14ac:dyDescent="0.2">
      <c r="A99">
        <v>11</v>
      </c>
      <c r="B99">
        <v>1000</v>
      </c>
      <c r="C99">
        <v>15557.66</v>
      </c>
      <c r="D99">
        <f t="shared" si="8"/>
        <v>7778.83</v>
      </c>
      <c r="E99">
        <f t="shared" si="9"/>
        <v>3.8514150000000003</v>
      </c>
      <c r="F99">
        <f t="shared" si="10"/>
        <v>0.80735108020293</v>
      </c>
    </row>
    <row r="100" spans="1:6" x14ac:dyDescent="0.2">
      <c r="A100">
        <v>12</v>
      </c>
      <c r="B100">
        <v>1000</v>
      </c>
      <c r="C100">
        <v>19034.939999999999</v>
      </c>
      <c r="D100">
        <f t="shared" si="8"/>
        <v>9517.4699999999993</v>
      </c>
      <c r="E100">
        <f t="shared" si="9"/>
        <v>4.7207349999999995</v>
      </c>
      <c r="F100">
        <f t="shared" si="10"/>
        <v>1.0055657527218835</v>
      </c>
    </row>
    <row r="101" spans="1:6" x14ac:dyDescent="0.2">
      <c r="A101">
        <v>13</v>
      </c>
      <c r="B101">
        <v>1000</v>
      </c>
      <c r="C101">
        <v>26399.58</v>
      </c>
      <c r="D101">
        <f t="shared" si="8"/>
        <v>13199.79</v>
      </c>
      <c r="E101">
        <f t="shared" si="9"/>
        <v>6.5618950000000007</v>
      </c>
      <c r="F101">
        <f t="shared" si="10"/>
        <v>1.4253708031693555</v>
      </c>
    </row>
    <row r="102" spans="1:6" x14ac:dyDescent="0.2">
      <c r="B102">
        <f>MIN(B94:B101)</f>
        <v>500</v>
      </c>
    </row>
    <row r="109" spans="1:6" x14ac:dyDescent="0.2">
      <c r="A109" t="s">
        <v>2</v>
      </c>
    </row>
    <row r="110" spans="1:6" x14ac:dyDescent="0.2">
      <c r="A110" s="1" t="s">
        <v>11</v>
      </c>
      <c r="B110" t="s">
        <v>8</v>
      </c>
      <c r="C110" t="s">
        <v>9</v>
      </c>
      <c r="D110" t="s">
        <v>10</v>
      </c>
      <c r="E110" t="s">
        <v>0</v>
      </c>
    </row>
    <row r="111" spans="1:6" x14ac:dyDescent="0.2">
      <c r="A111">
        <v>1</v>
      </c>
      <c r="B111">
        <v>100</v>
      </c>
      <c r="C111">
        <v>14950.52</v>
      </c>
      <c r="D111">
        <f>C111/(B111/$B$126)</f>
        <v>14950.52</v>
      </c>
      <c r="E111">
        <f>D111*0.0005-0.038</f>
        <v>7.4372600000000002</v>
      </c>
      <c r="F111">
        <f>(C111-1394.3)/17.543/B111</f>
        <v>7.7274240437781465</v>
      </c>
    </row>
    <row r="112" spans="1:6" x14ac:dyDescent="0.2">
      <c r="A112">
        <v>2</v>
      </c>
      <c r="B112">
        <v>100</v>
      </c>
      <c r="C112">
        <v>7493.3</v>
      </c>
      <c r="D112">
        <f t="shared" ref="D112:D125" si="11">C112/(B112/$B$126)</f>
        <v>7493.3</v>
      </c>
      <c r="E112">
        <f t="shared" ref="E112:E125" si="12">D112*0.0005-0.038</f>
        <v>3.7086500000000004</v>
      </c>
      <c r="F112">
        <f t="shared" ref="F112:F125" si="13">(C112-1394.3)/17.543/B112</f>
        <v>3.4766003534173175</v>
      </c>
    </row>
    <row r="113" spans="1:6" x14ac:dyDescent="0.2">
      <c r="A113">
        <v>3</v>
      </c>
      <c r="B113">
        <v>100</v>
      </c>
      <c r="C113">
        <v>5214.91</v>
      </c>
      <c r="D113">
        <f t="shared" si="11"/>
        <v>5214.91</v>
      </c>
      <c r="E113">
        <f t="shared" si="12"/>
        <v>2.569455</v>
      </c>
      <c r="F113">
        <f t="shared" si="13"/>
        <v>2.1778544148663284</v>
      </c>
    </row>
    <row r="114" spans="1:6" x14ac:dyDescent="0.2">
      <c r="A114">
        <v>4</v>
      </c>
      <c r="B114">
        <v>100</v>
      </c>
      <c r="C114">
        <v>6023.74</v>
      </c>
      <c r="D114">
        <f t="shared" si="11"/>
        <v>6023.74</v>
      </c>
      <c r="E114">
        <f t="shared" si="12"/>
        <v>2.9738700000000002</v>
      </c>
      <c r="F114">
        <f t="shared" si="13"/>
        <v>2.638910106595223</v>
      </c>
    </row>
    <row r="115" spans="1:6" x14ac:dyDescent="0.2">
      <c r="A115">
        <v>5</v>
      </c>
      <c r="B115">
        <v>500</v>
      </c>
      <c r="C115">
        <v>16783.68</v>
      </c>
      <c r="D115">
        <f t="shared" si="11"/>
        <v>3356.7359999999999</v>
      </c>
      <c r="E115">
        <f t="shared" si="12"/>
        <v>1.640368</v>
      </c>
      <c r="F115">
        <f t="shared" si="13"/>
        <v>1.7544752892891755</v>
      </c>
    </row>
    <row r="116" spans="1:6" x14ac:dyDescent="0.2">
      <c r="A116">
        <v>6</v>
      </c>
      <c r="B116">
        <v>500</v>
      </c>
      <c r="C116">
        <v>10464.42</v>
      </c>
      <c r="D116">
        <f t="shared" si="11"/>
        <v>2092.884</v>
      </c>
      <c r="E116">
        <f t="shared" si="12"/>
        <v>1.0084420000000001</v>
      </c>
      <c r="F116">
        <f t="shared" si="13"/>
        <v>1.0340443481730606</v>
      </c>
    </row>
    <row r="117" spans="1:6" x14ac:dyDescent="0.2">
      <c r="A117">
        <v>7</v>
      </c>
      <c r="B117">
        <v>500</v>
      </c>
      <c r="C117">
        <v>13363.75</v>
      </c>
      <c r="D117">
        <f t="shared" si="11"/>
        <v>2672.75</v>
      </c>
      <c r="E117">
        <f t="shared" si="12"/>
        <v>1.2983750000000001</v>
      </c>
      <c r="F117">
        <f t="shared" si="13"/>
        <v>1.3645841646240666</v>
      </c>
    </row>
    <row r="118" spans="1:6" x14ac:dyDescent="0.2">
      <c r="A118">
        <v>8</v>
      </c>
      <c r="B118">
        <v>500</v>
      </c>
      <c r="C118">
        <v>8891.2000000000007</v>
      </c>
      <c r="D118">
        <f t="shared" si="11"/>
        <v>1778.2400000000002</v>
      </c>
      <c r="E118">
        <f t="shared" si="12"/>
        <v>0.8511200000000001</v>
      </c>
      <c r="F118">
        <f t="shared" si="13"/>
        <v>0.8546884797355071</v>
      </c>
    </row>
    <row r="119" spans="1:6" x14ac:dyDescent="0.2">
      <c r="A119">
        <v>9</v>
      </c>
      <c r="B119">
        <v>500</v>
      </c>
      <c r="C119">
        <v>9862.92</v>
      </c>
      <c r="D119">
        <f t="shared" si="11"/>
        <v>1972.5840000000001</v>
      </c>
      <c r="E119">
        <f t="shared" si="12"/>
        <v>0.94829200000000002</v>
      </c>
      <c r="F119">
        <f t="shared" si="13"/>
        <v>0.96546998802941353</v>
      </c>
    </row>
    <row r="120" spans="1:6" x14ac:dyDescent="0.2">
      <c r="A120">
        <v>10</v>
      </c>
      <c r="B120">
        <v>500</v>
      </c>
      <c r="C120">
        <v>11950.86</v>
      </c>
      <c r="D120">
        <f t="shared" si="11"/>
        <v>2390.172</v>
      </c>
      <c r="E120">
        <f t="shared" si="12"/>
        <v>1.1570860000000001</v>
      </c>
      <c r="F120">
        <f t="shared" si="13"/>
        <v>1.2035068118337802</v>
      </c>
    </row>
    <row r="121" spans="1:6" x14ac:dyDescent="0.2">
      <c r="A121">
        <v>11</v>
      </c>
      <c r="B121">
        <v>500</v>
      </c>
      <c r="C121">
        <v>16603.84</v>
      </c>
      <c r="D121">
        <f t="shared" si="11"/>
        <v>3320.768</v>
      </c>
      <c r="E121">
        <f t="shared" si="12"/>
        <v>1.622384</v>
      </c>
      <c r="F121">
        <f t="shared" si="13"/>
        <v>1.7339725246537081</v>
      </c>
    </row>
    <row r="122" spans="1:6" x14ac:dyDescent="0.2">
      <c r="A122">
        <v>12</v>
      </c>
      <c r="B122">
        <v>500</v>
      </c>
      <c r="C122">
        <v>13664.31</v>
      </c>
      <c r="D122">
        <f t="shared" si="11"/>
        <v>2732.8620000000001</v>
      </c>
      <c r="E122">
        <f t="shared" si="12"/>
        <v>1.3284310000000001</v>
      </c>
      <c r="F122">
        <f t="shared" si="13"/>
        <v>1.3988496836344981</v>
      </c>
    </row>
    <row r="123" spans="1:6" x14ac:dyDescent="0.2">
      <c r="A123">
        <v>13</v>
      </c>
      <c r="B123">
        <v>500</v>
      </c>
      <c r="C123">
        <v>7755.13</v>
      </c>
      <c r="D123">
        <f t="shared" si="11"/>
        <v>1551.0260000000001</v>
      </c>
      <c r="E123">
        <f t="shared" si="12"/>
        <v>0.73751299999999997</v>
      </c>
      <c r="F123">
        <f t="shared" si="13"/>
        <v>0.72517015333751356</v>
      </c>
    </row>
    <row r="124" spans="1:6" x14ac:dyDescent="0.2">
      <c r="A124">
        <v>14</v>
      </c>
      <c r="B124">
        <v>500</v>
      </c>
      <c r="C124">
        <v>14447.65</v>
      </c>
      <c r="D124">
        <f t="shared" si="11"/>
        <v>2889.5299999999997</v>
      </c>
      <c r="E124">
        <f t="shared" si="12"/>
        <v>1.4067649999999998</v>
      </c>
      <c r="F124">
        <f t="shared" si="13"/>
        <v>1.4881548195861598</v>
      </c>
    </row>
    <row r="125" spans="1:6" x14ac:dyDescent="0.2">
      <c r="A125">
        <v>15</v>
      </c>
      <c r="B125">
        <v>500</v>
      </c>
      <c r="C125">
        <v>6879.71</v>
      </c>
      <c r="D125">
        <f t="shared" si="11"/>
        <v>1375.942</v>
      </c>
      <c r="E125">
        <f t="shared" si="12"/>
        <v>0.64997099999999997</v>
      </c>
      <c r="F125">
        <f t="shared" si="13"/>
        <v>0.62536738300176709</v>
      </c>
    </row>
    <row r="126" spans="1:6" x14ac:dyDescent="0.2">
      <c r="B126">
        <f>MIN(B111:B125)</f>
        <v>100</v>
      </c>
    </row>
    <row r="133" spans="1:22" x14ac:dyDescent="0.2">
      <c r="A133" s="5" t="s">
        <v>24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5" spans="1:22" x14ac:dyDescent="0.2">
      <c r="H135" t="s">
        <v>17</v>
      </c>
    </row>
    <row r="136" spans="1:22" x14ac:dyDescent="0.2">
      <c r="H136" t="s">
        <v>18</v>
      </c>
    </row>
    <row r="137" spans="1:22" x14ac:dyDescent="0.2">
      <c r="A137" t="s">
        <v>14</v>
      </c>
      <c r="H137" t="s">
        <v>19</v>
      </c>
    </row>
    <row r="138" spans="1:22" x14ac:dyDescent="0.2">
      <c r="A138" t="s">
        <v>1</v>
      </c>
      <c r="H138" t="s">
        <v>20</v>
      </c>
    </row>
    <row r="140" spans="1:22" x14ac:dyDescent="0.2">
      <c r="B140" s="1" t="s">
        <v>6</v>
      </c>
      <c r="C140" t="s">
        <v>8</v>
      </c>
      <c r="D140" t="s">
        <v>9</v>
      </c>
      <c r="E140" t="s">
        <v>10</v>
      </c>
      <c r="F140" t="s">
        <v>12</v>
      </c>
      <c r="H140" t="s">
        <v>3</v>
      </c>
      <c r="I140" t="s">
        <v>15</v>
      </c>
      <c r="J140" t="s">
        <v>13</v>
      </c>
      <c r="L140" t="s">
        <v>3</v>
      </c>
      <c r="M140" t="s">
        <v>15</v>
      </c>
      <c r="N140" t="s">
        <v>16</v>
      </c>
      <c r="P140" t="s">
        <v>3</v>
      </c>
      <c r="Q140" t="s">
        <v>15</v>
      </c>
      <c r="R140" t="s">
        <v>21</v>
      </c>
      <c r="T140" t="s">
        <v>3</v>
      </c>
      <c r="U140" t="s">
        <v>15</v>
      </c>
      <c r="V140" t="s">
        <v>22</v>
      </c>
    </row>
    <row r="141" spans="1:22" x14ac:dyDescent="0.2">
      <c r="A141" s="3">
        <v>1</v>
      </c>
      <c r="B141" s="3">
        <v>10</v>
      </c>
      <c r="C141" s="3">
        <v>500</v>
      </c>
      <c r="D141" s="3">
        <v>51275.65</v>
      </c>
      <c r="H141" s="2">
        <v>1</v>
      </c>
      <c r="I141" s="2">
        <v>1</v>
      </c>
      <c r="J141" s="2">
        <v>59719.32</v>
      </c>
      <c r="L141" s="2">
        <v>1</v>
      </c>
      <c r="M141" s="2">
        <v>1</v>
      </c>
      <c r="N141" s="2">
        <v>55000.81</v>
      </c>
      <c r="P141" s="2">
        <v>1</v>
      </c>
      <c r="Q141" s="2">
        <v>1</v>
      </c>
      <c r="R141" s="2">
        <v>55151.39</v>
      </c>
      <c r="T141" s="2">
        <v>1</v>
      </c>
      <c r="U141" s="2">
        <v>1</v>
      </c>
      <c r="V141" s="2">
        <v>51136.53</v>
      </c>
    </row>
    <row r="142" spans="1:22" x14ac:dyDescent="0.2">
      <c r="A142" s="3">
        <v>1</v>
      </c>
      <c r="B142" s="3">
        <v>5</v>
      </c>
      <c r="C142" s="3">
        <v>500</v>
      </c>
      <c r="D142" s="3">
        <v>27486.33</v>
      </c>
      <c r="H142" s="2">
        <v>1</v>
      </c>
      <c r="I142" s="2">
        <v>2</v>
      </c>
      <c r="J142" s="2">
        <v>51859.86</v>
      </c>
      <c r="L142" s="2">
        <v>1</v>
      </c>
      <c r="M142" s="2">
        <v>2</v>
      </c>
      <c r="N142" s="2">
        <v>56633.69</v>
      </c>
      <c r="P142" s="2">
        <v>1</v>
      </c>
      <c r="Q142" s="2">
        <v>2</v>
      </c>
      <c r="R142" s="2">
        <v>56413.35</v>
      </c>
      <c r="T142" s="2">
        <v>1</v>
      </c>
      <c r="U142" s="2">
        <v>2</v>
      </c>
      <c r="V142" s="2">
        <v>53125.02</v>
      </c>
    </row>
    <row r="143" spans="1:22" x14ac:dyDescent="0.2">
      <c r="A143" s="3">
        <v>1</v>
      </c>
      <c r="B143" s="3">
        <v>2</v>
      </c>
      <c r="C143" s="3">
        <v>500</v>
      </c>
      <c r="D143" s="3">
        <v>8498.06</v>
      </c>
      <c r="H143" s="2">
        <v>1</v>
      </c>
      <c r="I143" s="2">
        <v>3</v>
      </c>
      <c r="J143" s="2">
        <v>54789.74</v>
      </c>
      <c r="L143" s="2">
        <v>1</v>
      </c>
      <c r="M143" s="2">
        <v>3</v>
      </c>
      <c r="N143" s="2">
        <v>62754.62</v>
      </c>
      <c r="P143" s="2">
        <v>1</v>
      </c>
      <c r="Q143" s="2">
        <v>3</v>
      </c>
      <c r="R143" s="2">
        <v>68968.14</v>
      </c>
      <c r="T143" s="2">
        <v>1</v>
      </c>
      <c r="U143" s="2">
        <v>3</v>
      </c>
      <c r="V143" s="2">
        <v>55971.63</v>
      </c>
    </row>
    <row r="144" spans="1:22" x14ac:dyDescent="0.2">
      <c r="A144" s="3">
        <v>1</v>
      </c>
      <c r="B144" s="3">
        <v>1</v>
      </c>
      <c r="C144" s="3">
        <v>500</v>
      </c>
      <c r="D144" s="3">
        <v>5699.32</v>
      </c>
      <c r="H144">
        <v>2</v>
      </c>
      <c r="I144">
        <v>1</v>
      </c>
      <c r="J144" s="3">
        <v>56156.26</v>
      </c>
      <c r="L144">
        <v>2</v>
      </c>
      <c r="M144">
        <v>1</v>
      </c>
      <c r="N144" s="3">
        <v>52756.1</v>
      </c>
      <c r="P144">
        <v>2</v>
      </c>
      <c r="Q144">
        <v>1</v>
      </c>
      <c r="R144" s="3">
        <v>57773.35</v>
      </c>
      <c r="T144">
        <v>2</v>
      </c>
      <c r="U144">
        <v>1</v>
      </c>
      <c r="V144" s="3">
        <v>54043.99</v>
      </c>
    </row>
    <row r="145" spans="1:22" x14ac:dyDescent="0.2">
      <c r="A145" s="4">
        <v>2</v>
      </c>
      <c r="B145" s="4">
        <v>10</v>
      </c>
      <c r="C145" s="4">
        <v>500</v>
      </c>
      <c r="D145" s="4">
        <v>50832.55</v>
      </c>
      <c r="H145">
        <v>2</v>
      </c>
      <c r="I145">
        <v>2</v>
      </c>
      <c r="J145" s="3">
        <v>57180.07</v>
      </c>
      <c r="L145">
        <v>2</v>
      </c>
      <c r="M145">
        <v>2</v>
      </c>
      <c r="N145" s="3">
        <v>48458.31</v>
      </c>
      <c r="P145">
        <v>2</v>
      </c>
      <c r="Q145">
        <v>2</v>
      </c>
      <c r="R145" s="3">
        <v>53539.360000000001</v>
      </c>
      <c r="T145">
        <v>2</v>
      </c>
      <c r="U145">
        <v>2</v>
      </c>
      <c r="V145" s="3">
        <v>46785.39</v>
      </c>
    </row>
    <row r="146" spans="1:22" x14ac:dyDescent="0.2">
      <c r="A146" s="4">
        <v>2</v>
      </c>
      <c r="B146" s="4">
        <v>5</v>
      </c>
      <c r="C146" s="4">
        <v>500</v>
      </c>
      <c r="D146" s="4">
        <v>24077.5</v>
      </c>
      <c r="H146">
        <v>2</v>
      </c>
      <c r="I146">
        <v>3</v>
      </c>
      <c r="J146" s="3">
        <v>56650.95</v>
      </c>
      <c r="L146">
        <v>2</v>
      </c>
      <c r="M146">
        <v>3</v>
      </c>
      <c r="N146" s="3">
        <v>54307.1</v>
      </c>
      <c r="P146">
        <v>2</v>
      </c>
      <c r="Q146">
        <v>3</v>
      </c>
      <c r="R146" s="3">
        <v>59100.62</v>
      </c>
      <c r="T146">
        <v>2</v>
      </c>
      <c r="U146">
        <v>3</v>
      </c>
      <c r="V146" s="3">
        <v>49824.31</v>
      </c>
    </row>
    <row r="147" spans="1:22" x14ac:dyDescent="0.2">
      <c r="A147" s="4">
        <v>2</v>
      </c>
      <c r="B147" s="4">
        <v>2</v>
      </c>
      <c r="C147" s="4">
        <v>500</v>
      </c>
      <c r="D147" s="4">
        <v>9502.5499999999993</v>
      </c>
      <c r="H147" s="2">
        <v>3</v>
      </c>
      <c r="I147" s="2">
        <v>1</v>
      </c>
      <c r="J147" s="2">
        <v>56597.93</v>
      </c>
      <c r="L147" s="2">
        <v>3</v>
      </c>
      <c r="M147" s="2">
        <v>1</v>
      </c>
      <c r="N147" s="2">
        <v>50850.59</v>
      </c>
      <c r="P147" s="2">
        <v>3</v>
      </c>
      <c r="Q147" s="2">
        <v>1</v>
      </c>
      <c r="R147" s="2">
        <v>48165.18</v>
      </c>
      <c r="T147" s="2">
        <v>3</v>
      </c>
      <c r="U147" s="2">
        <v>1</v>
      </c>
      <c r="V147" s="2">
        <v>48192.53</v>
      </c>
    </row>
    <row r="148" spans="1:22" x14ac:dyDescent="0.2">
      <c r="A148" s="3">
        <v>3</v>
      </c>
      <c r="B148" s="3">
        <v>10</v>
      </c>
      <c r="C148" s="3">
        <v>500</v>
      </c>
      <c r="D148" s="3">
        <v>54736.36</v>
      </c>
      <c r="H148" s="2">
        <v>3</v>
      </c>
      <c r="I148" s="2">
        <v>2</v>
      </c>
      <c r="J148" s="2">
        <v>52890.51</v>
      </c>
      <c r="L148" s="2">
        <v>3</v>
      </c>
      <c r="M148" s="2">
        <v>2</v>
      </c>
      <c r="N148" s="2">
        <v>42031.22</v>
      </c>
      <c r="P148" s="2">
        <v>3</v>
      </c>
      <c r="Q148" s="2">
        <v>2</v>
      </c>
      <c r="R148" s="2">
        <v>55468.72</v>
      </c>
      <c r="T148" s="2">
        <v>3</v>
      </c>
      <c r="U148" s="2">
        <v>2</v>
      </c>
      <c r="V148" s="2">
        <v>52742.43</v>
      </c>
    </row>
    <row r="149" spans="1:22" x14ac:dyDescent="0.2">
      <c r="A149" s="3">
        <v>3</v>
      </c>
      <c r="B149" s="3">
        <v>5</v>
      </c>
      <c r="C149" s="3">
        <v>500</v>
      </c>
      <c r="D149" s="3">
        <v>24625.54</v>
      </c>
      <c r="H149" s="2">
        <v>3</v>
      </c>
      <c r="I149" s="2">
        <v>3</v>
      </c>
      <c r="J149" s="2">
        <v>51507.32</v>
      </c>
      <c r="L149" s="2">
        <v>3</v>
      </c>
      <c r="M149" s="2">
        <v>3</v>
      </c>
      <c r="N149" s="2">
        <v>40921.589999999997</v>
      </c>
      <c r="P149" s="2">
        <v>3</v>
      </c>
      <c r="Q149" s="2">
        <v>3</v>
      </c>
      <c r="R149" s="2">
        <v>48007.09</v>
      </c>
      <c r="T149" s="2">
        <v>3</v>
      </c>
      <c r="U149" s="2">
        <v>3</v>
      </c>
      <c r="V149" s="2">
        <v>46743.82</v>
      </c>
    </row>
    <row r="150" spans="1:22" x14ac:dyDescent="0.2">
      <c r="A150" s="3">
        <v>3</v>
      </c>
      <c r="B150" s="3">
        <v>2</v>
      </c>
      <c r="C150" s="3">
        <v>500</v>
      </c>
      <c r="D150" s="3">
        <v>9720.5499999999993</v>
      </c>
      <c r="H150">
        <v>4</v>
      </c>
      <c r="I150">
        <v>1</v>
      </c>
      <c r="J150" s="3">
        <v>43544.71</v>
      </c>
      <c r="L150">
        <v>4</v>
      </c>
      <c r="M150">
        <v>1</v>
      </c>
      <c r="N150" s="3">
        <v>16697.23</v>
      </c>
      <c r="P150">
        <v>4</v>
      </c>
      <c r="Q150">
        <v>1</v>
      </c>
      <c r="R150" s="3">
        <v>21267.89</v>
      </c>
      <c r="T150">
        <v>4</v>
      </c>
      <c r="U150">
        <v>1</v>
      </c>
      <c r="V150" s="3">
        <v>39584.339999999997</v>
      </c>
    </row>
    <row r="151" spans="1:22" x14ac:dyDescent="0.2">
      <c r="A151" s="4">
        <v>4</v>
      </c>
      <c r="B151" s="4">
        <v>10</v>
      </c>
      <c r="C151" s="4">
        <v>500</v>
      </c>
      <c r="D151" s="4">
        <v>52028.3</v>
      </c>
      <c r="H151">
        <v>4</v>
      </c>
      <c r="I151">
        <v>2</v>
      </c>
      <c r="J151" s="3">
        <v>21433.1</v>
      </c>
      <c r="L151">
        <v>4</v>
      </c>
      <c r="M151">
        <v>2</v>
      </c>
      <c r="N151" s="3">
        <v>10397.719999999999</v>
      </c>
      <c r="P151">
        <v>4</v>
      </c>
      <c r="Q151">
        <v>2</v>
      </c>
      <c r="R151" s="3">
        <v>55166.17</v>
      </c>
      <c r="T151">
        <v>4</v>
      </c>
      <c r="U151">
        <v>2</v>
      </c>
      <c r="V151" s="3">
        <v>20206.34</v>
      </c>
    </row>
    <row r="152" spans="1:22" x14ac:dyDescent="0.2">
      <c r="A152" s="4">
        <v>4</v>
      </c>
      <c r="B152" s="4">
        <v>5</v>
      </c>
      <c r="C152" s="4">
        <v>500</v>
      </c>
      <c r="D152" s="4">
        <v>23734.22</v>
      </c>
      <c r="H152">
        <v>4</v>
      </c>
      <c r="I152">
        <v>3</v>
      </c>
      <c r="J152" s="3">
        <v>24024.26</v>
      </c>
      <c r="L152">
        <v>4</v>
      </c>
      <c r="M152">
        <v>3</v>
      </c>
      <c r="N152" s="3">
        <v>63477.96</v>
      </c>
      <c r="P152">
        <v>4</v>
      </c>
      <c r="Q152">
        <v>3</v>
      </c>
      <c r="R152" s="3">
        <v>26397</v>
      </c>
      <c r="T152">
        <v>4</v>
      </c>
      <c r="U152">
        <v>3</v>
      </c>
      <c r="V152" s="3">
        <v>19873.419999999998</v>
      </c>
    </row>
    <row r="153" spans="1:22" x14ac:dyDescent="0.2">
      <c r="A153" s="4">
        <v>4</v>
      </c>
      <c r="B153" s="4">
        <v>2</v>
      </c>
      <c r="C153" s="4">
        <v>500</v>
      </c>
      <c r="D153" s="4">
        <v>8341.69</v>
      </c>
      <c r="H153" s="2">
        <v>5</v>
      </c>
      <c r="I153" s="2">
        <v>1</v>
      </c>
      <c r="J153" s="2">
        <v>17124</v>
      </c>
      <c r="L153" s="2">
        <v>5</v>
      </c>
      <c r="M153" s="2">
        <v>1</v>
      </c>
      <c r="N153" s="2">
        <v>14277.46</v>
      </c>
      <c r="P153" s="2">
        <v>5</v>
      </c>
      <c r="Q153" s="2">
        <v>1</v>
      </c>
      <c r="R153" s="2">
        <v>0</v>
      </c>
      <c r="T153" s="2">
        <v>5</v>
      </c>
      <c r="U153" s="2">
        <v>1</v>
      </c>
      <c r="V153" s="2">
        <v>19538.14</v>
      </c>
    </row>
    <row r="154" spans="1:22" x14ac:dyDescent="0.2">
      <c r="A154" t="s">
        <v>23</v>
      </c>
      <c r="H154" s="2">
        <v>5</v>
      </c>
      <c r="I154" s="2">
        <v>2</v>
      </c>
      <c r="J154" s="2">
        <v>0</v>
      </c>
      <c r="L154" s="2">
        <v>5</v>
      </c>
      <c r="M154" s="2">
        <v>2</v>
      </c>
      <c r="N154" s="2">
        <v>0</v>
      </c>
      <c r="P154" s="2">
        <v>5</v>
      </c>
      <c r="Q154" s="2">
        <v>2</v>
      </c>
      <c r="R154" s="2">
        <v>19036.96</v>
      </c>
      <c r="T154" s="2">
        <v>5</v>
      </c>
      <c r="U154" s="2">
        <v>2</v>
      </c>
      <c r="V154" s="2">
        <v>0</v>
      </c>
    </row>
    <row r="155" spans="1:22" x14ac:dyDescent="0.2">
      <c r="A155" s="3">
        <v>5</v>
      </c>
      <c r="B155" s="3">
        <v>10</v>
      </c>
      <c r="C155" s="3"/>
      <c r="D155" s="3">
        <v>90900.71</v>
      </c>
      <c r="H155" s="2">
        <v>5</v>
      </c>
      <c r="I155" s="2">
        <v>3</v>
      </c>
      <c r="J155" s="2">
        <v>12204.34</v>
      </c>
      <c r="L155" s="2">
        <v>5</v>
      </c>
      <c r="M155" s="2">
        <v>3</v>
      </c>
      <c r="N155" s="2">
        <v>8352.2999999999993</v>
      </c>
      <c r="P155" s="2">
        <v>5</v>
      </c>
      <c r="Q155" s="2">
        <v>3</v>
      </c>
      <c r="R155" s="2">
        <v>21453.48</v>
      </c>
      <c r="T155" s="2">
        <v>5</v>
      </c>
      <c r="U155" s="2">
        <v>3</v>
      </c>
      <c r="V155" s="2">
        <v>1396.29</v>
      </c>
    </row>
    <row r="156" spans="1:22" x14ac:dyDescent="0.2">
      <c r="A156" s="3">
        <v>5</v>
      </c>
      <c r="B156" s="3">
        <v>5</v>
      </c>
      <c r="C156" s="3"/>
      <c r="D156" s="3">
        <v>42196.32</v>
      </c>
      <c r="H156">
        <v>6</v>
      </c>
      <c r="I156">
        <v>1</v>
      </c>
      <c r="J156" s="3">
        <v>26370.35</v>
      </c>
      <c r="L156">
        <v>6</v>
      </c>
      <c r="M156">
        <v>1</v>
      </c>
      <c r="N156" s="3">
        <v>19186.36</v>
      </c>
      <c r="P156">
        <v>6</v>
      </c>
      <c r="Q156">
        <v>1</v>
      </c>
      <c r="R156" s="3">
        <v>0</v>
      </c>
      <c r="T156">
        <v>6</v>
      </c>
      <c r="U156">
        <v>1</v>
      </c>
      <c r="V156" s="3">
        <v>17148.580000000002</v>
      </c>
    </row>
    <row r="157" spans="1:22" x14ac:dyDescent="0.2">
      <c r="A157" s="3">
        <v>5</v>
      </c>
      <c r="B157" s="3">
        <v>2</v>
      </c>
      <c r="C157" s="3"/>
      <c r="D157" s="3">
        <v>16119.48</v>
      </c>
      <c r="H157">
        <v>6</v>
      </c>
      <c r="I157">
        <v>2</v>
      </c>
      <c r="J157" s="3">
        <v>0</v>
      </c>
      <c r="L157">
        <v>6</v>
      </c>
      <c r="M157">
        <v>2</v>
      </c>
      <c r="N157" s="3">
        <v>0</v>
      </c>
      <c r="P157">
        <v>6</v>
      </c>
      <c r="Q157">
        <v>2</v>
      </c>
      <c r="R157" s="3">
        <v>19995.59</v>
      </c>
      <c r="T157">
        <v>6</v>
      </c>
      <c r="U157">
        <v>2</v>
      </c>
      <c r="V157" s="3">
        <v>0</v>
      </c>
    </row>
    <row r="158" spans="1:22" x14ac:dyDescent="0.2">
      <c r="A158" s="3">
        <v>5</v>
      </c>
      <c r="B158" s="3">
        <v>1</v>
      </c>
      <c r="C158" s="3"/>
      <c r="D158" s="3">
        <v>10725.44</v>
      </c>
      <c r="H158">
        <v>6</v>
      </c>
      <c r="I158">
        <v>3</v>
      </c>
      <c r="J158" s="3">
        <v>14623.92</v>
      </c>
      <c r="L158">
        <v>6</v>
      </c>
      <c r="M158">
        <v>3</v>
      </c>
      <c r="N158" s="3">
        <v>12180.77</v>
      </c>
      <c r="P158">
        <v>6</v>
      </c>
      <c r="Q158">
        <v>3</v>
      </c>
      <c r="R158" s="3">
        <v>11013.83</v>
      </c>
      <c r="T158">
        <v>6</v>
      </c>
      <c r="U158">
        <v>3</v>
      </c>
      <c r="V158" s="3">
        <v>7340.28</v>
      </c>
    </row>
    <row r="159" spans="1:22" x14ac:dyDescent="0.2">
      <c r="A159" s="4">
        <v>6</v>
      </c>
      <c r="B159" s="4">
        <v>10</v>
      </c>
      <c r="C159" s="4"/>
      <c r="D159" s="4">
        <v>73145.31</v>
      </c>
      <c r="H159" s="2">
        <v>7</v>
      </c>
      <c r="I159" s="2">
        <v>1</v>
      </c>
      <c r="J159" s="2">
        <v>19630.64</v>
      </c>
      <c r="L159" s="2">
        <v>7</v>
      </c>
      <c r="M159" s="2">
        <v>1</v>
      </c>
      <c r="N159" s="2">
        <v>16586.02</v>
      </c>
      <c r="P159" s="2">
        <v>7</v>
      </c>
      <c r="Q159" s="2">
        <v>1</v>
      </c>
      <c r="R159" s="2">
        <v>6094.55</v>
      </c>
      <c r="T159" s="2">
        <v>7</v>
      </c>
      <c r="U159" s="2">
        <v>1</v>
      </c>
      <c r="V159" s="2">
        <v>0</v>
      </c>
    </row>
    <row r="160" spans="1:22" x14ac:dyDescent="0.2">
      <c r="A160" s="4">
        <v>6</v>
      </c>
      <c r="B160" s="4">
        <v>5</v>
      </c>
      <c r="C160" s="4"/>
      <c r="D160" s="4">
        <v>32975.75</v>
      </c>
      <c r="H160" s="2">
        <v>7</v>
      </c>
      <c r="I160" s="2">
        <v>2</v>
      </c>
      <c r="J160" s="2">
        <v>0</v>
      </c>
      <c r="L160" s="2">
        <v>7</v>
      </c>
      <c r="M160" s="2">
        <v>2</v>
      </c>
      <c r="N160" s="2">
        <v>0</v>
      </c>
      <c r="P160" s="2">
        <v>7</v>
      </c>
      <c r="Q160" s="2">
        <v>2</v>
      </c>
      <c r="R160" s="2">
        <v>25046.11</v>
      </c>
      <c r="T160" s="2">
        <v>7</v>
      </c>
      <c r="U160" s="2">
        <v>2</v>
      </c>
      <c r="V160" s="2">
        <v>0</v>
      </c>
    </row>
    <row r="161" spans="1:22" x14ac:dyDescent="0.2">
      <c r="A161" s="4">
        <v>6</v>
      </c>
      <c r="B161" s="4">
        <v>2</v>
      </c>
      <c r="C161" s="4"/>
      <c r="D161" s="4">
        <v>12355.55</v>
      </c>
      <c r="H161" s="2">
        <v>7</v>
      </c>
      <c r="I161" s="2">
        <v>3</v>
      </c>
      <c r="J161" s="2">
        <v>29923.05</v>
      </c>
      <c r="L161" s="2">
        <v>7</v>
      </c>
      <c r="M161" s="2">
        <v>3</v>
      </c>
      <c r="N161" s="2">
        <v>30381.27</v>
      </c>
      <c r="P161" s="2">
        <v>7</v>
      </c>
      <c r="Q161" s="2">
        <v>3</v>
      </c>
      <c r="R161" s="2">
        <v>0</v>
      </c>
      <c r="T161" s="2">
        <v>7</v>
      </c>
      <c r="U161" s="2">
        <v>3</v>
      </c>
      <c r="V161" s="2">
        <v>14828.76</v>
      </c>
    </row>
    <row r="162" spans="1:22" x14ac:dyDescent="0.2">
      <c r="A162" s="4">
        <v>6</v>
      </c>
      <c r="B162" s="4">
        <v>1</v>
      </c>
      <c r="C162" s="4"/>
      <c r="D162" s="4">
        <v>8106.43</v>
      </c>
      <c r="H162">
        <v>8</v>
      </c>
      <c r="I162">
        <v>1</v>
      </c>
      <c r="J162" s="3">
        <v>38375.040000000001</v>
      </c>
      <c r="L162">
        <v>8</v>
      </c>
      <c r="M162">
        <v>1</v>
      </c>
      <c r="N162" s="3">
        <v>35214.230000000003</v>
      </c>
      <c r="P162">
        <v>8</v>
      </c>
      <c r="Q162">
        <v>1</v>
      </c>
      <c r="R162" s="3">
        <v>9610.75</v>
      </c>
      <c r="T162">
        <v>8</v>
      </c>
      <c r="U162">
        <v>1</v>
      </c>
      <c r="V162" s="3">
        <v>23225.26</v>
      </c>
    </row>
    <row r="163" spans="1:22" x14ac:dyDescent="0.2">
      <c r="A163" t="s">
        <v>23</v>
      </c>
      <c r="H163">
        <v>8</v>
      </c>
      <c r="I163">
        <v>2</v>
      </c>
      <c r="J163" s="3">
        <v>0</v>
      </c>
      <c r="L163">
        <v>8</v>
      </c>
      <c r="M163">
        <v>2</v>
      </c>
      <c r="N163" s="3">
        <v>1059.6500000000001</v>
      </c>
      <c r="P163">
        <v>8</v>
      </c>
      <c r="Q163">
        <v>2</v>
      </c>
      <c r="R163" s="3">
        <v>40970.400000000001</v>
      </c>
      <c r="T163">
        <v>8</v>
      </c>
      <c r="U163">
        <v>2</v>
      </c>
      <c r="V163" s="3">
        <v>8548.44</v>
      </c>
    </row>
    <row r="164" spans="1:22" x14ac:dyDescent="0.2">
      <c r="A164" s="3">
        <v>7</v>
      </c>
      <c r="B164" s="3">
        <v>10</v>
      </c>
      <c r="C164" s="3"/>
      <c r="D164" s="3">
        <v>58860.66</v>
      </c>
      <c r="H164">
        <v>8</v>
      </c>
      <c r="I164">
        <v>3</v>
      </c>
      <c r="J164" s="3">
        <v>33422.870000000003</v>
      </c>
      <c r="L164">
        <v>8</v>
      </c>
      <c r="M164">
        <v>3</v>
      </c>
      <c r="N164" s="3">
        <v>15338.66</v>
      </c>
      <c r="P164">
        <v>8</v>
      </c>
      <c r="Q164">
        <v>3</v>
      </c>
      <c r="R164" s="3">
        <v>0</v>
      </c>
      <c r="T164">
        <v>8</v>
      </c>
      <c r="U164">
        <v>3</v>
      </c>
      <c r="V164" s="3">
        <v>13423.25</v>
      </c>
    </row>
    <row r="165" spans="1:22" x14ac:dyDescent="0.2">
      <c r="A165" s="3">
        <v>7</v>
      </c>
      <c r="B165" s="3">
        <v>5</v>
      </c>
      <c r="C165" s="3"/>
      <c r="D165" s="3">
        <v>44187.34</v>
      </c>
      <c r="H165" s="2">
        <v>9</v>
      </c>
      <c r="I165" s="2">
        <v>1</v>
      </c>
      <c r="J165" s="2">
        <v>42748.7</v>
      </c>
      <c r="L165" s="2">
        <v>9</v>
      </c>
      <c r="M165" s="2">
        <v>1</v>
      </c>
      <c r="N165" s="2">
        <v>43246.79</v>
      </c>
      <c r="P165" s="2">
        <v>9</v>
      </c>
      <c r="Q165" s="2">
        <v>1</v>
      </c>
      <c r="R165" s="2">
        <v>10208.91</v>
      </c>
      <c r="T165" s="2">
        <v>9</v>
      </c>
      <c r="U165" s="2">
        <v>1</v>
      </c>
      <c r="V165" s="2">
        <v>23864.3</v>
      </c>
    </row>
    <row r="166" spans="1:22" x14ac:dyDescent="0.2">
      <c r="A166" s="3">
        <v>7</v>
      </c>
      <c r="B166" s="3">
        <v>2</v>
      </c>
      <c r="C166" s="3"/>
      <c r="D166" s="3">
        <v>16930</v>
      </c>
      <c r="H166" s="2">
        <v>9</v>
      </c>
      <c r="I166" s="2">
        <v>2</v>
      </c>
      <c r="J166" s="2">
        <v>7283.68</v>
      </c>
      <c r="L166" s="2">
        <v>9</v>
      </c>
      <c r="M166" s="2">
        <v>2</v>
      </c>
      <c r="N166" s="2">
        <v>9348.5300000000007</v>
      </c>
      <c r="P166" s="2">
        <v>9</v>
      </c>
      <c r="Q166" s="2">
        <v>2</v>
      </c>
      <c r="R166" s="2">
        <v>38338.699999999997</v>
      </c>
      <c r="T166" s="2">
        <v>9</v>
      </c>
      <c r="U166" s="2">
        <v>2</v>
      </c>
      <c r="V166" s="2">
        <v>8361.4599999999991</v>
      </c>
    </row>
    <row r="167" spans="1:22" x14ac:dyDescent="0.2">
      <c r="A167" s="3">
        <v>7</v>
      </c>
      <c r="B167" s="3">
        <v>1</v>
      </c>
      <c r="C167" s="3"/>
      <c r="D167" s="3">
        <v>11820.06</v>
      </c>
      <c r="H167" s="2">
        <v>9</v>
      </c>
      <c r="I167" s="2">
        <v>3</v>
      </c>
      <c r="J167" s="2">
        <v>29612.19</v>
      </c>
      <c r="L167" s="2">
        <v>9</v>
      </c>
      <c r="M167" s="2">
        <v>3</v>
      </c>
      <c r="N167" s="2">
        <v>27617.01</v>
      </c>
      <c r="P167" s="2">
        <v>9</v>
      </c>
      <c r="Q167" s="2">
        <v>3</v>
      </c>
      <c r="R167" s="2">
        <v>10650.75</v>
      </c>
      <c r="T167" s="2">
        <v>9</v>
      </c>
      <c r="U167" s="2">
        <v>3</v>
      </c>
      <c r="V167" s="2">
        <v>39123.56</v>
      </c>
    </row>
    <row r="168" spans="1:22" x14ac:dyDescent="0.2">
      <c r="A168" t="s">
        <v>23</v>
      </c>
      <c r="H168">
        <v>10</v>
      </c>
      <c r="I168">
        <v>1</v>
      </c>
      <c r="J168" s="3">
        <v>29211.08</v>
      </c>
      <c r="L168">
        <v>10</v>
      </c>
      <c r="M168">
        <v>1</v>
      </c>
      <c r="N168" s="3">
        <v>41767.5</v>
      </c>
      <c r="P168">
        <v>10</v>
      </c>
      <c r="Q168">
        <v>1</v>
      </c>
      <c r="R168" s="3">
        <v>0</v>
      </c>
      <c r="T168">
        <v>10</v>
      </c>
      <c r="U168">
        <v>1</v>
      </c>
      <c r="V168" s="3">
        <v>24251.52</v>
      </c>
    </row>
    <row r="169" spans="1:22" x14ac:dyDescent="0.2">
      <c r="A169" s="4">
        <v>8</v>
      </c>
      <c r="B169" s="4">
        <v>10</v>
      </c>
      <c r="C169" s="4"/>
      <c r="D169" s="4">
        <f>35606.65+9474.05+49468.75</f>
        <v>94549.45</v>
      </c>
      <c r="H169">
        <v>10</v>
      </c>
      <c r="I169">
        <v>2</v>
      </c>
      <c r="J169" s="3">
        <v>0</v>
      </c>
      <c r="L169">
        <v>10</v>
      </c>
      <c r="M169">
        <v>2</v>
      </c>
      <c r="N169" s="3">
        <v>0</v>
      </c>
      <c r="P169">
        <v>10</v>
      </c>
      <c r="Q169">
        <v>2</v>
      </c>
      <c r="R169" s="3">
        <v>27924.400000000001</v>
      </c>
      <c r="T169">
        <v>10</v>
      </c>
      <c r="U169">
        <v>2</v>
      </c>
      <c r="V169" s="3">
        <v>26448.560000000001</v>
      </c>
    </row>
    <row r="170" spans="1:22" x14ac:dyDescent="0.2">
      <c r="A170" s="4">
        <v>8</v>
      </c>
      <c r="B170" s="4">
        <v>5</v>
      </c>
      <c r="C170" s="4"/>
      <c r="D170" s="4">
        <v>43656.75</v>
      </c>
      <c r="H170">
        <v>10</v>
      </c>
      <c r="I170">
        <v>3</v>
      </c>
      <c r="J170" s="3">
        <v>202834.15</v>
      </c>
      <c r="L170">
        <v>10</v>
      </c>
      <c r="M170">
        <v>3</v>
      </c>
      <c r="N170" s="3">
        <v>23591.84</v>
      </c>
      <c r="P170">
        <v>10</v>
      </c>
      <c r="Q170">
        <v>3</v>
      </c>
      <c r="R170" s="3">
        <v>29175.040000000001</v>
      </c>
      <c r="T170">
        <v>10</v>
      </c>
      <c r="U170">
        <v>3</v>
      </c>
      <c r="V170" s="3">
        <v>27217.1</v>
      </c>
    </row>
    <row r="171" spans="1:22" x14ac:dyDescent="0.2">
      <c r="A171" s="4">
        <v>8</v>
      </c>
      <c r="B171" s="4">
        <v>2</v>
      </c>
      <c r="C171" s="4"/>
      <c r="D171" s="4">
        <v>17243.55</v>
      </c>
      <c r="H171" s="2">
        <v>11</v>
      </c>
      <c r="I171" s="2">
        <v>1</v>
      </c>
      <c r="J171" s="2">
        <v>47891.46</v>
      </c>
      <c r="L171" s="2">
        <v>11</v>
      </c>
      <c r="M171" s="2">
        <v>1</v>
      </c>
      <c r="N171" s="2">
        <v>46086.36</v>
      </c>
      <c r="P171" s="2">
        <v>11</v>
      </c>
      <c r="Q171" s="2">
        <v>1</v>
      </c>
      <c r="R171" s="2">
        <v>12463.35</v>
      </c>
      <c r="T171" s="2">
        <v>11</v>
      </c>
      <c r="U171" s="2">
        <v>1</v>
      </c>
      <c r="V171" s="2">
        <v>35033.85</v>
      </c>
    </row>
    <row r="172" spans="1:22" x14ac:dyDescent="0.2">
      <c r="A172" s="4">
        <v>8</v>
      </c>
      <c r="B172" s="4">
        <v>1</v>
      </c>
      <c r="C172" s="4"/>
      <c r="D172" s="4">
        <v>11932.67</v>
      </c>
      <c r="H172" s="2">
        <v>11</v>
      </c>
      <c r="I172" s="2">
        <v>2</v>
      </c>
      <c r="J172" s="2">
        <v>17770.740000000002</v>
      </c>
      <c r="L172" s="2">
        <v>11</v>
      </c>
      <c r="M172" s="2">
        <v>2</v>
      </c>
      <c r="N172" s="2">
        <v>7718.84</v>
      </c>
      <c r="P172" s="2">
        <v>11</v>
      </c>
      <c r="Q172" s="2">
        <v>2</v>
      </c>
      <c r="R172" s="2">
        <v>38163.11</v>
      </c>
      <c r="T172" s="2">
        <v>11</v>
      </c>
      <c r="U172" s="2">
        <v>2</v>
      </c>
      <c r="V172" s="2">
        <v>7172.07</v>
      </c>
    </row>
    <row r="173" spans="1:22" x14ac:dyDescent="0.2">
      <c r="A173" s="3">
        <v>9</v>
      </c>
      <c r="B173" s="3">
        <v>10</v>
      </c>
      <c r="C173" s="3"/>
      <c r="D173" s="3">
        <f>30249+4308.66+5170.61+54667.68</f>
        <v>94395.950000000012</v>
      </c>
      <c r="H173" s="2">
        <v>11</v>
      </c>
      <c r="I173" s="2">
        <v>3</v>
      </c>
      <c r="J173" s="2">
        <v>34917.760000000002</v>
      </c>
      <c r="L173" s="2">
        <v>11</v>
      </c>
      <c r="M173" s="2">
        <v>3</v>
      </c>
      <c r="N173" s="2">
        <v>27463.47</v>
      </c>
      <c r="P173" s="2">
        <v>11</v>
      </c>
      <c r="Q173" s="2">
        <v>3</v>
      </c>
      <c r="R173" s="2">
        <v>16400.04</v>
      </c>
      <c r="T173" s="2">
        <v>11</v>
      </c>
      <c r="U173" s="2">
        <v>3</v>
      </c>
      <c r="V173" s="2">
        <v>17853.759999999998</v>
      </c>
    </row>
    <row r="174" spans="1:22" x14ac:dyDescent="0.2">
      <c r="A174" s="3">
        <v>9</v>
      </c>
      <c r="B174" s="3">
        <v>5</v>
      </c>
      <c r="C174" s="3"/>
      <c r="D174" s="3">
        <v>43193.72</v>
      </c>
      <c r="H174">
        <v>12</v>
      </c>
      <c r="I174">
        <v>1</v>
      </c>
      <c r="J174" s="3">
        <v>57275.199999999997</v>
      </c>
      <c r="L174">
        <v>12</v>
      </c>
      <c r="M174">
        <v>1</v>
      </c>
      <c r="N174" s="3">
        <v>53849.64</v>
      </c>
      <c r="P174">
        <v>12</v>
      </c>
      <c r="Q174">
        <v>1</v>
      </c>
      <c r="R174" s="3">
        <v>20344.3</v>
      </c>
      <c r="T174">
        <v>12</v>
      </c>
      <c r="U174">
        <v>1</v>
      </c>
      <c r="V174" s="3">
        <v>44366.5</v>
      </c>
    </row>
    <row r="175" spans="1:22" x14ac:dyDescent="0.2">
      <c r="A175" s="3">
        <v>9</v>
      </c>
      <c r="B175" s="3">
        <v>2</v>
      </c>
      <c r="C175" s="3"/>
      <c r="D175" s="3">
        <v>16812.060000000001</v>
      </c>
      <c r="H175">
        <v>12</v>
      </c>
      <c r="I175">
        <v>2</v>
      </c>
      <c r="J175" s="3">
        <v>20291.14</v>
      </c>
      <c r="L175">
        <v>12</v>
      </c>
      <c r="M175">
        <v>2</v>
      </c>
      <c r="N175" s="3">
        <v>7891.88</v>
      </c>
      <c r="P175">
        <v>12</v>
      </c>
      <c r="Q175">
        <v>2</v>
      </c>
      <c r="R175" s="3">
        <v>35866.39</v>
      </c>
      <c r="T175">
        <v>12</v>
      </c>
      <c r="U175">
        <v>2</v>
      </c>
      <c r="V175" s="3">
        <v>6650.3</v>
      </c>
    </row>
    <row r="176" spans="1:22" x14ac:dyDescent="0.2">
      <c r="A176" s="3">
        <v>9</v>
      </c>
      <c r="B176" s="3">
        <v>1</v>
      </c>
      <c r="C176" s="3"/>
      <c r="D176" s="3">
        <v>11866.64</v>
      </c>
      <c r="H176">
        <v>12</v>
      </c>
      <c r="I176">
        <v>3</v>
      </c>
      <c r="J176" s="3">
        <v>38539.519999999997</v>
      </c>
      <c r="L176">
        <v>12</v>
      </c>
      <c r="M176">
        <v>3</v>
      </c>
      <c r="N176" s="3">
        <v>28195.67</v>
      </c>
      <c r="P176">
        <v>12</v>
      </c>
      <c r="Q176">
        <v>3</v>
      </c>
      <c r="R176" s="3">
        <v>15307.94</v>
      </c>
      <c r="T176">
        <v>12</v>
      </c>
      <c r="U176">
        <v>3</v>
      </c>
      <c r="V176" s="3">
        <v>11794.43</v>
      </c>
    </row>
    <row r="177" spans="1:4" x14ac:dyDescent="0.2">
      <c r="A177" s="4">
        <v>10</v>
      </c>
      <c r="B177" s="4">
        <v>10</v>
      </c>
      <c r="C177" s="4"/>
      <c r="D177" s="4">
        <v>102719.43</v>
      </c>
    </row>
    <row r="178" spans="1:4" x14ac:dyDescent="0.2">
      <c r="A178" s="4">
        <v>10</v>
      </c>
      <c r="B178" s="4">
        <v>5</v>
      </c>
      <c r="C178" s="4"/>
      <c r="D178" s="4">
        <v>46305.78</v>
      </c>
    </row>
    <row r="179" spans="1:4" x14ac:dyDescent="0.2">
      <c r="A179" s="4">
        <v>10</v>
      </c>
      <c r="B179" s="4">
        <v>2</v>
      </c>
      <c r="C179" s="4"/>
      <c r="D179" s="4">
        <v>18349.169999999998</v>
      </c>
    </row>
    <row r="180" spans="1:4" x14ac:dyDescent="0.2">
      <c r="A180" s="4">
        <v>10</v>
      </c>
      <c r="B180" s="4">
        <v>1</v>
      </c>
      <c r="C180" s="4"/>
      <c r="D180" s="4">
        <v>12683.38</v>
      </c>
    </row>
    <row r="181" spans="1:4" x14ac:dyDescent="0.2">
      <c r="A181" s="3">
        <v>11</v>
      </c>
      <c r="B181" s="3">
        <v>5</v>
      </c>
      <c r="C181" s="3"/>
      <c r="D181" s="3">
        <v>45972.800000000003</v>
      </c>
    </row>
    <row r="182" spans="1:4" x14ac:dyDescent="0.2">
      <c r="A182" s="3">
        <v>11</v>
      </c>
      <c r="B182" s="3">
        <v>2</v>
      </c>
      <c r="C182" s="3"/>
      <c r="D182" s="3">
        <v>17582.419999999998</v>
      </c>
    </row>
    <row r="183" spans="1:4" x14ac:dyDescent="0.2">
      <c r="A183" s="3">
        <v>11</v>
      </c>
      <c r="B183" s="3">
        <v>1</v>
      </c>
      <c r="C183" s="3"/>
      <c r="D183" s="3">
        <v>12850.51</v>
      </c>
    </row>
    <row r="184" spans="1:4" x14ac:dyDescent="0.2">
      <c r="A184" s="4">
        <v>12</v>
      </c>
      <c r="B184" s="4">
        <v>10</v>
      </c>
      <c r="C184" s="4"/>
      <c r="D184" s="4">
        <f>29534.19+10985.83+57510</f>
        <v>98030.01999999999</v>
      </c>
    </row>
    <row r="185" spans="1:4" x14ac:dyDescent="0.2">
      <c r="A185" s="4">
        <v>12</v>
      </c>
      <c r="B185" s="4">
        <v>5</v>
      </c>
      <c r="C185" s="4"/>
      <c r="D185" s="4">
        <v>47915.22</v>
      </c>
    </row>
    <row r="186" spans="1:4" x14ac:dyDescent="0.2">
      <c r="A186" s="4">
        <v>12</v>
      </c>
      <c r="B186" s="4">
        <v>2</v>
      </c>
      <c r="C186" s="4"/>
      <c r="D186" s="4">
        <v>18020.32</v>
      </c>
    </row>
    <row r="187" spans="1:4" x14ac:dyDescent="0.2">
      <c r="A187" s="4">
        <v>12</v>
      </c>
      <c r="B187" s="4">
        <v>1</v>
      </c>
      <c r="C187" s="4"/>
      <c r="D187" s="4">
        <v>12871.15</v>
      </c>
    </row>
    <row r="188" spans="1:4" x14ac:dyDescent="0.2">
      <c r="A188" s="3">
        <v>12</v>
      </c>
      <c r="B188" s="3">
        <v>10</v>
      </c>
      <c r="D188">
        <f>31046.8+21110.16+40249.41</f>
        <v>92406.37</v>
      </c>
    </row>
    <row r="189" spans="1:4" x14ac:dyDescent="0.2">
      <c r="A189" s="3">
        <v>12</v>
      </c>
      <c r="B189" s="3">
        <v>5</v>
      </c>
      <c r="D189">
        <v>48827.67</v>
      </c>
    </row>
    <row r="190" spans="1:4" x14ac:dyDescent="0.2">
      <c r="A190" s="3">
        <v>12</v>
      </c>
      <c r="B190" s="3">
        <v>2</v>
      </c>
      <c r="D190">
        <v>18681.55</v>
      </c>
    </row>
    <row r="191" spans="1:4" x14ac:dyDescent="0.2">
      <c r="A191" s="3">
        <v>12</v>
      </c>
      <c r="B191" s="3">
        <v>1</v>
      </c>
      <c r="D191">
        <v>12973.34</v>
      </c>
    </row>
    <row r="195" spans="1:2" x14ac:dyDescent="0.2">
      <c r="A195" t="s">
        <v>27</v>
      </c>
    </row>
    <row r="196" spans="1:2" x14ac:dyDescent="0.2">
      <c r="A196" t="s">
        <v>28</v>
      </c>
      <c r="B196">
        <v>87509.98</v>
      </c>
    </row>
    <row r="197" spans="1:2" x14ac:dyDescent="0.2">
      <c r="A197" t="s">
        <v>29</v>
      </c>
    </row>
    <row r="198" spans="1:2" x14ac:dyDescent="0.2">
      <c r="A198" t="s">
        <v>29</v>
      </c>
      <c r="B198">
        <v>84035.38</v>
      </c>
    </row>
    <row r="199" spans="1:2" x14ac:dyDescent="0.2">
      <c r="A199" t="s">
        <v>30</v>
      </c>
    </row>
    <row r="200" spans="1:2" x14ac:dyDescent="0.2">
      <c r="A200" t="s">
        <v>31</v>
      </c>
      <c r="B200">
        <v>79390.100000000006</v>
      </c>
    </row>
    <row r="201" spans="1:2" x14ac:dyDescent="0.2">
      <c r="A201" t="s">
        <v>32</v>
      </c>
    </row>
    <row r="202" spans="1:2" x14ac:dyDescent="0.2">
      <c r="A202" t="s">
        <v>33</v>
      </c>
      <c r="B202">
        <v>79577.63</v>
      </c>
    </row>
    <row r="203" spans="1:2" x14ac:dyDescent="0.2">
      <c r="A203" t="s">
        <v>34</v>
      </c>
    </row>
    <row r="204" spans="1:2" x14ac:dyDescent="0.2">
      <c r="A204" t="s">
        <v>35</v>
      </c>
      <c r="B204">
        <v>82328.42</v>
      </c>
    </row>
    <row r="205" spans="1:2" x14ac:dyDescent="0.2">
      <c r="A205" t="s">
        <v>36</v>
      </c>
    </row>
    <row r="206" spans="1:2" x14ac:dyDescent="0.2">
      <c r="A206" t="s">
        <v>37</v>
      </c>
      <c r="B206">
        <f>43402.92+41531.48</f>
        <v>84934.399999999994</v>
      </c>
    </row>
    <row r="207" spans="1:2" x14ac:dyDescent="0.2">
      <c r="A207" t="s">
        <v>38</v>
      </c>
    </row>
    <row r="210" spans="1:4" x14ac:dyDescent="0.2">
      <c r="A210" t="s">
        <v>39</v>
      </c>
    </row>
    <row r="212" spans="1:4" x14ac:dyDescent="0.2">
      <c r="A212" t="s">
        <v>40</v>
      </c>
      <c r="B212">
        <v>0</v>
      </c>
    </row>
    <row r="213" spans="1:4" x14ac:dyDescent="0.2">
      <c r="A213" t="s">
        <v>40</v>
      </c>
      <c r="B213">
        <v>0</v>
      </c>
    </row>
    <row r="214" spans="1:4" x14ac:dyDescent="0.2">
      <c r="A214" t="s">
        <v>40</v>
      </c>
      <c r="B214">
        <v>0</v>
      </c>
    </row>
    <row r="216" spans="1:4" x14ac:dyDescent="0.2">
      <c r="B216" s="1" t="s">
        <v>6</v>
      </c>
      <c r="C216" t="s">
        <v>8</v>
      </c>
      <c r="D216" t="s">
        <v>9</v>
      </c>
    </row>
    <row r="244" spans="1:22" x14ac:dyDescent="0.2">
      <c r="A244" s="5" t="s">
        <v>25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8" spans="1:22" x14ac:dyDescent="0.2">
      <c r="A248" s="7" t="s">
        <v>26</v>
      </c>
      <c r="B248" s="7"/>
      <c r="C248" s="7"/>
      <c r="D248" s="7"/>
      <c r="E248" s="7"/>
      <c r="F248" s="7"/>
    </row>
    <row r="249" spans="1:22" x14ac:dyDescent="0.2">
      <c r="A249" s="7" t="s">
        <v>1</v>
      </c>
      <c r="B249" s="7"/>
      <c r="C249" s="7"/>
      <c r="D249" s="7"/>
      <c r="E249" s="7"/>
      <c r="F249" s="7"/>
    </row>
    <row r="250" spans="1:22" x14ac:dyDescent="0.2">
      <c r="A250" s="7"/>
      <c r="B250" s="7"/>
      <c r="C250" s="7"/>
      <c r="D250" s="7"/>
      <c r="E250" s="7"/>
      <c r="F250" s="7"/>
    </row>
    <row r="251" spans="1:22" x14ac:dyDescent="0.2">
      <c r="A251" s="7"/>
      <c r="B251" s="8" t="s">
        <v>6</v>
      </c>
      <c r="C251" s="7" t="s">
        <v>8</v>
      </c>
      <c r="D251" s="7" t="s">
        <v>9</v>
      </c>
      <c r="E251" s="7" t="s">
        <v>10</v>
      </c>
      <c r="F251" s="7" t="s">
        <v>12</v>
      </c>
      <c r="H251" t="s">
        <v>3</v>
      </c>
      <c r="I251" t="s">
        <v>15</v>
      </c>
      <c r="J251" t="s">
        <v>21</v>
      </c>
      <c r="L251" t="s">
        <v>3</v>
      </c>
      <c r="M251" t="s">
        <v>15</v>
      </c>
      <c r="N251" t="s">
        <v>13</v>
      </c>
      <c r="P251" t="s">
        <v>3</v>
      </c>
      <c r="Q251" t="s">
        <v>15</v>
      </c>
      <c r="R251" t="s">
        <v>16</v>
      </c>
    </row>
    <row r="252" spans="1:22" x14ac:dyDescent="0.2">
      <c r="A252" s="3" t="s">
        <v>45</v>
      </c>
      <c r="B252" s="3">
        <v>10</v>
      </c>
      <c r="C252" s="3">
        <v>500</v>
      </c>
      <c r="D252">
        <f>37386.39+64774.27</f>
        <v>102160.66</v>
      </c>
      <c r="H252">
        <v>1</v>
      </c>
      <c r="I252">
        <v>1</v>
      </c>
      <c r="J252">
        <f>27358.59+7632.22+11871.93+13567.7+53766.72</f>
        <v>114197.16</v>
      </c>
      <c r="L252">
        <v>1</v>
      </c>
      <c r="M252">
        <v>1</v>
      </c>
      <c r="N252">
        <f>39977.92+6789.14+9334.3+8485.82+56494.78</f>
        <v>121081.95999999999</v>
      </c>
      <c r="P252">
        <v>1</v>
      </c>
      <c r="Q252">
        <v>1</v>
      </c>
      <c r="R252">
        <f>32141.61+11885.66+11034.54+9336.77+12732.82+46105.36</f>
        <v>123236.76</v>
      </c>
    </row>
    <row r="253" spans="1:22" x14ac:dyDescent="0.2">
      <c r="A253" t="s">
        <v>45</v>
      </c>
      <c r="B253">
        <v>10</v>
      </c>
      <c r="C253">
        <v>500</v>
      </c>
      <c r="D253">
        <f>38129.78+10209.13+53414.83</f>
        <v>101753.73999999999</v>
      </c>
      <c r="H253">
        <v>1</v>
      </c>
      <c r="I253">
        <v>2</v>
      </c>
      <c r="J253">
        <f>27100.56+21213.72+11030.33+9333.03+46857.11</f>
        <v>115534.75</v>
      </c>
      <c r="L253">
        <v>1</v>
      </c>
      <c r="M253">
        <v>2</v>
      </c>
      <c r="N253">
        <f>24500.25+15265.51+8480.29+10176.73+64617.16</f>
        <v>123039.94</v>
      </c>
      <c r="P253">
        <v>1</v>
      </c>
      <c r="Q253">
        <v>2</v>
      </c>
      <c r="R253">
        <f>32006.86+13593.55+16991.59+4247.57+9344.63+34490.38</f>
        <v>110674.58000000002</v>
      </c>
    </row>
    <row r="254" spans="1:22" x14ac:dyDescent="0.2">
      <c r="A254" t="s">
        <v>45</v>
      </c>
      <c r="B254">
        <v>10</v>
      </c>
      <c r="C254">
        <v>500</v>
      </c>
      <c r="D254">
        <f>38949.2+12748.25+40566.16</f>
        <v>92263.61</v>
      </c>
      <c r="H254">
        <v>1</v>
      </c>
      <c r="I254">
        <v>3</v>
      </c>
      <c r="J254">
        <f>44713.27+10182.1+65268.47</f>
        <v>120163.84</v>
      </c>
      <c r="L254">
        <v>1</v>
      </c>
      <c r="M254">
        <v>3</v>
      </c>
      <c r="P254">
        <v>1</v>
      </c>
      <c r="Q254">
        <v>3</v>
      </c>
      <c r="R254">
        <f>22396.98+22078.68+20376.66+10186.83+40706.76</f>
        <v>115745.91</v>
      </c>
    </row>
    <row r="255" spans="1:22" x14ac:dyDescent="0.2">
      <c r="A255" s="3" t="s">
        <v>45</v>
      </c>
      <c r="B255" s="3">
        <v>5</v>
      </c>
      <c r="C255" s="3">
        <v>500</v>
      </c>
      <c r="D255" s="3">
        <v>53065.94</v>
      </c>
      <c r="H255" s="4">
        <v>2</v>
      </c>
      <c r="I255" s="4">
        <v>1</v>
      </c>
      <c r="J255" s="4">
        <f>38281.41+20394.97+54700.35</f>
        <v>113376.73000000001</v>
      </c>
      <c r="L255" s="4">
        <v>2</v>
      </c>
      <c r="M255" s="4">
        <v>1</v>
      </c>
      <c r="N255" s="4">
        <f>36459.44+20392.05+9345.6+4304.6</f>
        <v>70501.690000000017</v>
      </c>
      <c r="P255" s="4">
        <v>2</v>
      </c>
      <c r="Q255" s="4">
        <v>1</v>
      </c>
      <c r="R255" s="4">
        <f>35279.36+17032.9+42291.06</f>
        <v>94603.32</v>
      </c>
    </row>
    <row r="256" spans="1:22" x14ac:dyDescent="0.2">
      <c r="A256" s="3" t="s">
        <v>45</v>
      </c>
      <c r="B256" s="3">
        <v>5</v>
      </c>
      <c r="C256" s="3">
        <v>500</v>
      </c>
      <c r="D256" s="3">
        <v>50981.26</v>
      </c>
      <c r="H256" s="4">
        <v>2</v>
      </c>
      <c r="I256" s="4">
        <v>2</v>
      </c>
      <c r="J256" s="4">
        <f>28312.69+10200+20400.96+58099.15</f>
        <v>117012.8</v>
      </c>
      <c r="L256" s="4">
        <v>2</v>
      </c>
      <c r="M256" s="4">
        <v>2</v>
      </c>
      <c r="N256" s="4">
        <f>31636.8+10207.67+10206.69+11056.94+46136.38</f>
        <v>109244.48000000001</v>
      </c>
      <c r="P256" s="4">
        <v>2</v>
      </c>
      <c r="Q256" s="4">
        <v>2</v>
      </c>
      <c r="R256" s="4">
        <v>86763.96</v>
      </c>
    </row>
    <row r="257" spans="1:18" x14ac:dyDescent="0.2">
      <c r="A257" s="3" t="s">
        <v>45</v>
      </c>
      <c r="B257" s="3">
        <v>5</v>
      </c>
      <c r="C257" s="3">
        <v>500</v>
      </c>
      <c r="D257" s="3">
        <v>52171.32</v>
      </c>
      <c r="H257" s="4">
        <v>2</v>
      </c>
      <c r="I257" s="4">
        <v>3</v>
      </c>
      <c r="J257" s="4">
        <f>24595.68+10205.9+9354.62+60778.89</f>
        <v>104935.09</v>
      </c>
      <c r="L257" s="4">
        <v>2</v>
      </c>
      <c r="M257" s="4">
        <v>3</v>
      </c>
      <c r="N257" s="4">
        <f>31900.91+6804.61+17861.19+52880.04</f>
        <v>109446.75</v>
      </c>
      <c r="P257" s="4">
        <v>2</v>
      </c>
      <c r="Q257" s="4">
        <v>3</v>
      </c>
      <c r="R257" s="4">
        <f>33788.45+8513.59+57182.26</f>
        <v>99484.299999999988</v>
      </c>
    </row>
    <row r="258" spans="1:18" x14ac:dyDescent="0.2">
      <c r="A258" s="3" t="s">
        <v>45</v>
      </c>
      <c r="B258" s="3">
        <v>2</v>
      </c>
      <c r="C258" s="3">
        <v>500</v>
      </c>
      <c r="D258" s="3">
        <v>22026.85</v>
      </c>
      <c r="H258" s="3">
        <v>3</v>
      </c>
      <c r="I258" s="3">
        <v>1</v>
      </c>
      <c r="J258">
        <v>70032.350000000006</v>
      </c>
      <c r="L258" s="3">
        <v>3</v>
      </c>
      <c r="M258" s="3">
        <v>1</v>
      </c>
      <c r="N258" s="3">
        <v>67239.460000000006</v>
      </c>
      <c r="P258" s="3">
        <v>3</v>
      </c>
      <c r="Q258" s="3">
        <v>1</v>
      </c>
      <c r="R258" s="3">
        <v>0</v>
      </c>
    </row>
    <row r="259" spans="1:18" x14ac:dyDescent="0.2">
      <c r="A259" s="3" t="s">
        <v>45</v>
      </c>
      <c r="B259" s="3">
        <v>2</v>
      </c>
      <c r="C259" s="3">
        <v>500</v>
      </c>
      <c r="D259">
        <v>22027.35</v>
      </c>
      <c r="H259" s="3">
        <v>3</v>
      </c>
      <c r="I259" s="3">
        <v>2</v>
      </c>
      <c r="J259">
        <f>20070.77+10211.33+11062.5+22124.56+36804.79</f>
        <v>100273.95000000001</v>
      </c>
      <c r="L259" s="3">
        <v>3</v>
      </c>
      <c r="M259" s="3">
        <v>2</v>
      </c>
      <c r="N259" s="3">
        <v>61014.31</v>
      </c>
      <c r="P259" s="3">
        <v>3</v>
      </c>
      <c r="Q259" s="3">
        <v>2</v>
      </c>
      <c r="R259" s="3">
        <v>0</v>
      </c>
    </row>
    <row r="260" spans="1:18" x14ac:dyDescent="0.2">
      <c r="A260" s="3" t="s">
        <v>45</v>
      </c>
      <c r="B260" s="3">
        <v>2</v>
      </c>
      <c r="C260" s="3">
        <v>500</v>
      </c>
      <c r="D260">
        <v>22285.16</v>
      </c>
      <c r="H260" s="3">
        <v>3</v>
      </c>
      <c r="I260" s="3">
        <v>3</v>
      </c>
      <c r="J260">
        <f>1723.66</f>
        <v>1723.66</v>
      </c>
      <c r="L260" s="3">
        <v>3</v>
      </c>
      <c r="M260" s="3">
        <v>3</v>
      </c>
      <c r="N260" s="3">
        <v>60950.43</v>
      </c>
      <c r="P260" s="3">
        <v>3</v>
      </c>
      <c r="Q260" s="3">
        <v>3</v>
      </c>
      <c r="R260" s="3">
        <v>0</v>
      </c>
    </row>
    <row r="261" spans="1:18" x14ac:dyDescent="0.2">
      <c r="A261" s="3" t="s">
        <v>45</v>
      </c>
      <c r="B261" s="3">
        <v>1</v>
      </c>
      <c r="C261" s="3">
        <v>500</v>
      </c>
      <c r="D261" s="3">
        <v>15210.06</v>
      </c>
      <c r="H261" s="4">
        <v>4</v>
      </c>
      <c r="I261" s="4">
        <v>1</v>
      </c>
      <c r="J261" s="4">
        <v>0</v>
      </c>
      <c r="L261" s="4">
        <v>4</v>
      </c>
      <c r="M261" s="4">
        <v>1</v>
      </c>
      <c r="N261" s="4">
        <v>0</v>
      </c>
      <c r="P261" s="4">
        <v>4</v>
      </c>
      <c r="Q261" s="4">
        <v>1</v>
      </c>
      <c r="R261" s="4">
        <v>0</v>
      </c>
    </row>
    <row r="262" spans="1:18" x14ac:dyDescent="0.2">
      <c r="A262" s="3" t="s">
        <v>45</v>
      </c>
      <c r="B262" s="3">
        <v>1</v>
      </c>
      <c r="C262" s="3">
        <v>500</v>
      </c>
      <c r="D262" s="3">
        <v>15031.7</v>
      </c>
      <c r="H262" s="4">
        <v>4</v>
      </c>
      <c r="I262" s="4">
        <v>2</v>
      </c>
      <c r="J262" s="4">
        <v>0</v>
      </c>
      <c r="L262" s="4">
        <v>4</v>
      </c>
      <c r="M262" s="4">
        <v>2</v>
      </c>
      <c r="N262" s="4">
        <v>0</v>
      </c>
      <c r="P262" s="4">
        <v>4</v>
      </c>
      <c r="Q262" s="4">
        <v>2</v>
      </c>
      <c r="R262" s="4">
        <v>0</v>
      </c>
    </row>
    <row r="263" spans="1:18" x14ac:dyDescent="0.2">
      <c r="A263" s="3" t="s">
        <v>45</v>
      </c>
      <c r="B263" s="3">
        <v>1</v>
      </c>
      <c r="C263" s="3">
        <v>500</v>
      </c>
      <c r="D263" s="3">
        <v>15054.55</v>
      </c>
      <c r="H263" s="4">
        <v>4</v>
      </c>
      <c r="I263" s="4">
        <v>3</v>
      </c>
      <c r="J263" s="4">
        <v>0</v>
      </c>
      <c r="L263" s="4">
        <v>4</v>
      </c>
      <c r="M263" s="4">
        <v>3</v>
      </c>
      <c r="N263" s="4">
        <v>0</v>
      </c>
      <c r="P263" s="4">
        <v>4</v>
      </c>
      <c r="Q263" s="4">
        <v>3</v>
      </c>
      <c r="R263" s="4">
        <v>0</v>
      </c>
    </row>
    <row r="264" spans="1:18" x14ac:dyDescent="0.2">
      <c r="A264" s="4" t="s">
        <v>41</v>
      </c>
      <c r="B264" s="4">
        <v>5</v>
      </c>
      <c r="C264" s="4">
        <v>500</v>
      </c>
      <c r="D264" s="4">
        <v>58349.64</v>
      </c>
      <c r="H264" s="3">
        <v>5</v>
      </c>
      <c r="I264" s="3">
        <v>1</v>
      </c>
      <c r="J264">
        <v>0</v>
      </c>
      <c r="L264" s="3">
        <v>5</v>
      </c>
      <c r="M264" s="3">
        <v>1</v>
      </c>
      <c r="N264">
        <v>0</v>
      </c>
      <c r="P264" s="3">
        <v>5</v>
      </c>
      <c r="Q264" s="3">
        <v>1</v>
      </c>
      <c r="R264">
        <v>0</v>
      </c>
    </row>
    <row r="265" spans="1:18" x14ac:dyDescent="0.2">
      <c r="A265" s="4" t="s">
        <v>41</v>
      </c>
      <c r="B265" s="4">
        <v>2</v>
      </c>
      <c r="C265" s="4">
        <v>500</v>
      </c>
      <c r="D265" s="4">
        <v>25650.91</v>
      </c>
      <c r="H265" s="3">
        <v>5</v>
      </c>
      <c r="I265" s="3">
        <v>2</v>
      </c>
      <c r="J265">
        <v>0</v>
      </c>
      <c r="L265" s="3">
        <v>5</v>
      </c>
      <c r="M265" s="3">
        <v>2</v>
      </c>
      <c r="N265">
        <v>0</v>
      </c>
      <c r="P265" s="3">
        <v>5</v>
      </c>
      <c r="Q265" s="3">
        <v>2</v>
      </c>
      <c r="R265">
        <v>0</v>
      </c>
    </row>
    <row r="266" spans="1:18" x14ac:dyDescent="0.2">
      <c r="A266" s="4" t="s">
        <v>41</v>
      </c>
      <c r="B266" s="4">
        <v>1</v>
      </c>
      <c r="C266" s="4">
        <v>500</v>
      </c>
      <c r="D266" s="4">
        <v>18142.91</v>
      </c>
      <c r="H266" s="3">
        <v>5</v>
      </c>
      <c r="I266" s="3">
        <v>3</v>
      </c>
      <c r="J266">
        <v>0</v>
      </c>
      <c r="L266" s="3">
        <v>5</v>
      </c>
      <c r="M266" s="3">
        <v>3</v>
      </c>
      <c r="N266">
        <v>0</v>
      </c>
      <c r="P266" s="3">
        <v>5</v>
      </c>
      <c r="Q266" s="3">
        <v>3</v>
      </c>
      <c r="R266">
        <v>0</v>
      </c>
    </row>
    <row r="267" spans="1:18" x14ac:dyDescent="0.2">
      <c r="A267" s="9" t="s">
        <v>42</v>
      </c>
      <c r="B267" s="3">
        <v>5</v>
      </c>
      <c r="C267" s="3">
        <v>500</v>
      </c>
      <c r="D267" s="3">
        <v>46281.38</v>
      </c>
      <c r="H267" s="4">
        <v>6</v>
      </c>
      <c r="I267" s="4">
        <v>1</v>
      </c>
      <c r="J267" s="4">
        <v>0</v>
      </c>
      <c r="L267" s="4">
        <v>6</v>
      </c>
      <c r="M267" s="4">
        <v>1</v>
      </c>
      <c r="N267" s="4">
        <v>0</v>
      </c>
      <c r="P267" s="4">
        <v>6</v>
      </c>
      <c r="Q267" s="4">
        <v>1</v>
      </c>
      <c r="R267" s="4">
        <v>0</v>
      </c>
    </row>
    <row r="268" spans="1:18" x14ac:dyDescent="0.2">
      <c r="A268" s="3" t="s">
        <v>42</v>
      </c>
      <c r="B268" s="3">
        <v>2</v>
      </c>
      <c r="C268" s="3">
        <v>500</v>
      </c>
      <c r="D268" s="3">
        <v>20175.73</v>
      </c>
      <c r="H268" s="4">
        <v>6</v>
      </c>
      <c r="I268" s="4">
        <v>2</v>
      </c>
      <c r="J268" s="4">
        <v>0</v>
      </c>
      <c r="L268" s="4">
        <v>6</v>
      </c>
      <c r="M268" s="4">
        <v>2</v>
      </c>
      <c r="N268" s="4">
        <v>0</v>
      </c>
      <c r="P268" s="4">
        <v>6</v>
      </c>
      <c r="Q268" s="4">
        <v>2</v>
      </c>
      <c r="R268" s="4">
        <v>0</v>
      </c>
    </row>
    <row r="269" spans="1:18" x14ac:dyDescent="0.2">
      <c r="A269" s="3" t="s">
        <v>42</v>
      </c>
      <c r="B269" s="3">
        <v>1</v>
      </c>
      <c r="C269" s="3">
        <v>500</v>
      </c>
      <c r="D269" s="3">
        <v>14567.13</v>
      </c>
      <c r="H269" s="4">
        <v>6</v>
      </c>
      <c r="I269" s="4">
        <v>3</v>
      </c>
      <c r="J269" s="4">
        <v>0</v>
      </c>
      <c r="L269" s="4">
        <v>6</v>
      </c>
      <c r="M269" s="4">
        <v>3</v>
      </c>
      <c r="N269" s="4">
        <v>0</v>
      </c>
      <c r="P269" s="4">
        <v>6</v>
      </c>
      <c r="Q269" s="4">
        <v>3</v>
      </c>
      <c r="R269" s="4">
        <v>0</v>
      </c>
    </row>
    <row r="270" spans="1:18" x14ac:dyDescent="0.2">
      <c r="A270" s="4" t="s">
        <v>43</v>
      </c>
      <c r="B270" s="4">
        <v>5</v>
      </c>
      <c r="C270" s="4">
        <v>500</v>
      </c>
      <c r="D270" s="4">
        <v>54568.35</v>
      </c>
      <c r="H270" s="3">
        <v>7</v>
      </c>
      <c r="I270" s="3">
        <v>1</v>
      </c>
      <c r="J270">
        <v>0</v>
      </c>
      <c r="L270" s="3">
        <v>7</v>
      </c>
      <c r="M270" s="3">
        <v>1</v>
      </c>
      <c r="N270">
        <v>0</v>
      </c>
      <c r="P270" s="3">
        <v>7</v>
      </c>
      <c r="Q270" s="3">
        <v>1</v>
      </c>
      <c r="R270">
        <v>0</v>
      </c>
    </row>
    <row r="271" spans="1:18" x14ac:dyDescent="0.2">
      <c r="A271" s="4" t="s">
        <v>43</v>
      </c>
      <c r="B271" s="4">
        <v>2</v>
      </c>
      <c r="C271" s="4">
        <v>500</v>
      </c>
      <c r="D271" s="4">
        <v>23917.3</v>
      </c>
      <c r="H271" s="3">
        <v>7</v>
      </c>
      <c r="I271" s="3">
        <v>2</v>
      </c>
      <c r="J271">
        <v>0</v>
      </c>
      <c r="L271" s="3">
        <v>7</v>
      </c>
      <c r="M271" s="3">
        <v>2</v>
      </c>
      <c r="N271">
        <v>0</v>
      </c>
      <c r="P271" s="3">
        <v>7</v>
      </c>
      <c r="Q271" s="3">
        <v>2</v>
      </c>
      <c r="R271">
        <v>0</v>
      </c>
    </row>
    <row r="272" spans="1:18" x14ac:dyDescent="0.2">
      <c r="A272" s="4" t="s">
        <v>43</v>
      </c>
      <c r="B272" s="4">
        <v>1</v>
      </c>
      <c r="C272" s="4">
        <v>500</v>
      </c>
      <c r="D272" s="4">
        <v>16014.68</v>
      </c>
      <c r="H272" s="3">
        <v>7</v>
      </c>
      <c r="I272" s="3">
        <v>3</v>
      </c>
      <c r="J272">
        <v>0</v>
      </c>
      <c r="L272" s="3">
        <v>7</v>
      </c>
      <c r="M272" s="3">
        <v>3</v>
      </c>
      <c r="N272">
        <v>0</v>
      </c>
      <c r="P272" s="3">
        <v>7</v>
      </c>
      <c r="Q272" s="3">
        <v>3</v>
      </c>
      <c r="R272">
        <v>0</v>
      </c>
    </row>
    <row r="273" spans="1:18" x14ac:dyDescent="0.2">
      <c r="A273">
        <v>10</v>
      </c>
      <c r="B273" s="3">
        <v>5</v>
      </c>
      <c r="C273" s="3">
        <v>500</v>
      </c>
      <c r="D273" s="3">
        <v>40983.89</v>
      </c>
      <c r="H273" s="4">
        <v>8</v>
      </c>
      <c r="I273" s="4">
        <v>1</v>
      </c>
      <c r="J273" s="4">
        <v>0</v>
      </c>
      <c r="L273" s="4">
        <v>8</v>
      </c>
      <c r="M273" s="4">
        <v>1</v>
      </c>
      <c r="N273" s="4">
        <v>0</v>
      </c>
      <c r="P273" s="4">
        <v>8</v>
      </c>
      <c r="Q273" s="4">
        <v>1</v>
      </c>
      <c r="R273" s="4">
        <v>0</v>
      </c>
    </row>
    <row r="274" spans="1:18" x14ac:dyDescent="0.2">
      <c r="A274">
        <v>10</v>
      </c>
      <c r="B274" s="3">
        <v>2</v>
      </c>
      <c r="C274" s="3">
        <v>500</v>
      </c>
      <c r="D274" s="3">
        <v>18070.169999999998</v>
      </c>
      <c r="H274" s="4">
        <v>8</v>
      </c>
      <c r="I274" s="4">
        <v>2</v>
      </c>
      <c r="J274" s="4">
        <v>0</v>
      </c>
      <c r="L274" s="4">
        <v>8</v>
      </c>
      <c r="M274" s="4">
        <v>2</v>
      </c>
      <c r="N274" s="4">
        <v>0</v>
      </c>
      <c r="P274" s="4">
        <v>8</v>
      </c>
      <c r="Q274" s="4">
        <v>2</v>
      </c>
      <c r="R274" s="4">
        <v>0</v>
      </c>
    </row>
    <row r="275" spans="1:18" x14ac:dyDescent="0.2">
      <c r="A275">
        <v>10</v>
      </c>
      <c r="B275" s="3">
        <v>1</v>
      </c>
      <c r="C275" s="3">
        <v>500</v>
      </c>
      <c r="D275" s="3">
        <v>12555.52</v>
      </c>
      <c r="H275" s="4">
        <v>8</v>
      </c>
      <c r="I275" s="4">
        <v>3</v>
      </c>
      <c r="J275" s="4">
        <v>0</v>
      </c>
      <c r="L275" s="4">
        <v>8</v>
      </c>
      <c r="M275" s="4">
        <v>3</v>
      </c>
      <c r="N275" s="4">
        <v>0</v>
      </c>
      <c r="P275" s="4">
        <v>8</v>
      </c>
      <c r="Q275" s="4">
        <v>3</v>
      </c>
      <c r="R275" s="4">
        <v>0</v>
      </c>
    </row>
    <row r="276" spans="1:18" x14ac:dyDescent="0.2">
      <c r="A276" s="4">
        <v>11</v>
      </c>
      <c r="B276" s="4">
        <v>5</v>
      </c>
      <c r="C276" s="4">
        <v>500</v>
      </c>
      <c r="D276" s="4">
        <v>40705.550000000003</v>
      </c>
      <c r="H276" s="3">
        <v>9</v>
      </c>
      <c r="I276" s="3">
        <v>1</v>
      </c>
      <c r="J276">
        <f>25434.59+10264.05+9408.46+11974.4+13684.26+39628.02</f>
        <v>110393.78</v>
      </c>
      <c r="L276" s="3">
        <v>9</v>
      </c>
      <c r="M276" s="3">
        <v>1</v>
      </c>
      <c r="N276">
        <v>0</v>
      </c>
      <c r="P276" s="3">
        <v>9</v>
      </c>
      <c r="Q276" s="3">
        <v>1</v>
      </c>
      <c r="R276">
        <v>0</v>
      </c>
    </row>
    <row r="277" spans="1:18" x14ac:dyDescent="0.2">
      <c r="A277" s="4">
        <v>11</v>
      </c>
      <c r="B277" s="4">
        <v>2</v>
      </c>
      <c r="C277" s="4">
        <v>500</v>
      </c>
      <c r="D277" s="4">
        <v>17319.89</v>
      </c>
      <c r="H277" s="3">
        <v>9</v>
      </c>
      <c r="I277" s="3">
        <v>2</v>
      </c>
      <c r="J277">
        <v>0</v>
      </c>
      <c r="L277" s="3">
        <v>9</v>
      </c>
      <c r="M277" s="3">
        <v>2</v>
      </c>
      <c r="N277">
        <v>0</v>
      </c>
      <c r="P277" s="3">
        <v>9</v>
      </c>
      <c r="Q277" s="3">
        <v>2</v>
      </c>
      <c r="R277">
        <v>0</v>
      </c>
    </row>
    <row r="278" spans="1:18" x14ac:dyDescent="0.2">
      <c r="A278" s="4">
        <v>11</v>
      </c>
      <c r="B278" s="4">
        <v>1</v>
      </c>
      <c r="C278" s="4">
        <v>500</v>
      </c>
      <c r="D278" s="4">
        <v>10886.32</v>
      </c>
      <c r="H278" s="3">
        <v>9</v>
      </c>
      <c r="I278" s="3">
        <v>3</v>
      </c>
      <c r="J278">
        <v>0</v>
      </c>
      <c r="L278" s="3">
        <v>9</v>
      </c>
      <c r="M278" s="3">
        <v>3</v>
      </c>
      <c r="N278">
        <v>0</v>
      </c>
      <c r="P278" s="3">
        <v>9</v>
      </c>
      <c r="Q278" s="3">
        <v>3</v>
      </c>
      <c r="R278">
        <v>0</v>
      </c>
    </row>
    <row r="279" spans="1:18" x14ac:dyDescent="0.2">
      <c r="A279">
        <v>12</v>
      </c>
      <c r="B279" s="3">
        <v>5</v>
      </c>
      <c r="C279" s="3">
        <v>500</v>
      </c>
      <c r="D279" s="3">
        <v>36298.57</v>
      </c>
      <c r="H279" s="4">
        <v>10</v>
      </c>
      <c r="I279" s="4">
        <v>1</v>
      </c>
      <c r="J279" s="4">
        <v>0</v>
      </c>
      <c r="L279" s="4">
        <v>10</v>
      </c>
      <c r="M279" s="4">
        <v>1</v>
      </c>
      <c r="N279" s="4">
        <v>0</v>
      </c>
      <c r="P279" s="4">
        <v>10</v>
      </c>
      <c r="Q279" s="4">
        <v>1</v>
      </c>
      <c r="R279" s="4">
        <v>0</v>
      </c>
    </row>
    <row r="280" spans="1:18" x14ac:dyDescent="0.2">
      <c r="A280">
        <v>12</v>
      </c>
      <c r="B280" s="3">
        <v>2</v>
      </c>
      <c r="C280" s="3">
        <v>500</v>
      </c>
      <c r="D280" s="3">
        <v>16014.68</v>
      </c>
      <c r="H280" s="4">
        <v>10</v>
      </c>
      <c r="I280" s="4">
        <v>2</v>
      </c>
      <c r="J280" s="4">
        <v>0</v>
      </c>
      <c r="L280" s="4">
        <v>10</v>
      </c>
      <c r="M280" s="4">
        <v>2</v>
      </c>
      <c r="N280" s="4">
        <v>0</v>
      </c>
      <c r="P280" s="4">
        <v>10</v>
      </c>
      <c r="Q280" s="4">
        <v>2</v>
      </c>
      <c r="R280" s="4">
        <v>0</v>
      </c>
    </row>
    <row r="281" spans="1:18" x14ac:dyDescent="0.2">
      <c r="A281">
        <v>12</v>
      </c>
      <c r="B281" s="3">
        <v>1</v>
      </c>
      <c r="C281" s="3">
        <v>500</v>
      </c>
      <c r="D281" s="3">
        <v>14180.81</v>
      </c>
      <c r="H281" s="4">
        <v>10</v>
      </c>
      <c r="I281" s="4">
        <v>3</v>
      </c>
      <c r="J281" s="4">
        <v>0</v>
      </c>
      <c r="L281" s="4">
        <v>10</v>
      </c>
      <c r="M281" s="4">
        <v>3</v>
      </c>
      <c r="N281" s="4">
        <v>0</v>
      </c>
      <c r="P281" s="4">
        <v>10</v>
      </c>
      <c r="Q281" s="4">
        <v>3</v>
      </c>
      <c r="R281" s="4">
        <v>0</v>
      </c>
    </row>
    <row r="282" spans="1:18" x14ac:dyDescent="0.2">
      <c r="A282" s="4">
        <v>13</v>
      </c>
      <c r="B282" s="4">
        <v>10</v>
      </c>
      <c r="C282" s="4">
        <v>500</v>
      </c>
      <c r="D282" s="4">
        <v>102501.93</v>
      </c>
      <c r="H282" s="3">
        <v>11</v>
      </c>
      <c r="I282" s="3">
        <v>1</v>
      </c>
      <c r="J282">
        <v>0</v>
      </c>
      <c r="L282" s="3">
        <v>11</v>
      </c>
      <c r="M282" s="3">
        <v>1</v>
      </c>
      <c r="N282">
        <v>0</v>
      </c>
      <c r="P282" s="3">
        <v>11</v>
      </c>
      <c r="Q282" s="3">
        <v>1</v>
      </c>
      <c r="R282">
        <v>0</v>
      </c>
    </row>
    <row r="283" spans="1:18" x14ac:dyDescent="0.2">
      <c r="A283" s="4">
        <v>13</v>
      </c>
      <c r="B283" s="4">
        <v>5</v>
      </c>
      <c r="C283" s="4">
        <v>500</v>
      </c>
      <c r="D283" s="4">
        <v>49495.87</v>
      </c>
      <c r="H283" s="3">
        <v>11</v>
      </c>
      <c r="I283" s="3">
        <v>2</v>
      </c>
      <c r="J283">
        <v>0</v>
      </c>
      <c r="L283" s="3">
        <v>11</v>
      </c>
      <c r="M283" s="3">
        <v>2</v>
      </c>
      <c r="N283">
        <v>0</v>
      </c>
      <c r="P283" s="3">
        <v>11</v>
      </c>
      <c r="Q283" s="3">
        <v>2</v>
      </c>
      <c r="R283">
        <v>0</v>
      </c>
    </row>
    <row r="284" spans="1:18" x14ac:dyDescent="0.2">
      <c r="A284" s="4">
        <v>13</v>
      </c>
      <c r="B284" s="4">
        <v>2</v>
      </c>
      <c r="C284" s="4">
        <v>500</v>
      </c>
      <c r="D284" s="4">
        <v>22368.9</v>
      </c>
      <c r="H284" s="3">
        <v>11</v>
      </c>
      <c r="I284" s="3">
        <v>3</v>
      </c>
      <c r="J284">
        <v>0</v>
      </c>
      <c r="L284" s="3">
        <v>11</v>
      </c>
      <c r="M284" s="3">
        <v>3</v>
      </c>
      <c r="N284">
        <v>0</v>
      </c>
      <c r="P284" s="3">
        <v>11</v>
      </c>
      <c r="Q284" s="3">
        <v>3</v>
      </c>
      <c r="R284">
        <v>0</v>
      </c>
    </row>
    <row r="285" spans="1:18" x14ac:dyDescent="0.2">
      <c r="A285" s="4">
        <v>13</v>
      </c>
      <c r="B285" s="4">
        <v>1</v>
      </c>
      <c r="C285" s="4">
        <v>500</v>
      </c>
      <c r="D285" s="4">
        <v>16037.56</v>
      </c>
      <c r="H285" s="4">
        <v>12</v>
      </c>
      <c r="I285" s="4">
        <v>3</v>
      </c>
      <c r="J285" s="4">
        <v>0</v>
      </c>
      <c r="L285" s="4">
        <v>12</v>
      </c>
      <c r="M285" s="4">
        <v>3</v>
      </c>
      <c r="N285" s="4">
        <v>0</v>
      </c>
      <c r="P285" s="4">
        <v>12</v>
      </c>
      <c r="Q285" s="4">
        <v>3</v>
      </c>
      <c r="R285" s="4">
        <v>0</v>
      </c>
    </row>
    <row r="286" spans="1:18" x14ac:dyDescent="0.2">
      <c r="H286" s="4">
        <v>12</v>
      </c>
      <c r="I286" s="4">
        <v>1</v>
      </c>
      <c r="J286" s="4">
        <v>0</v>
      </c>
      <c r="L286" s="4">
        <v>12</v>
      </c>
      <c r="M286" s="4">
        <v>1</v>
      </c>
      <c r="N286" s="4">
        <v>0</v>
      </c>
      <c r="P286" s="4">
        <v>12</v>
      </c>
      <c r="Q286" s="4">
        <v>1</v>
      </c>
      <c r="R286" s="4">
        <v>0</v>
      </c>
    </row>
    <row r="287" spans="1:18" x14ac:dyDescent="0.2">
      <c r="H287" s="4">
        <v>12</v>
      </c>
      <c r="I287" s="4">
        <v>2</v>
      </c>
      <c r="J287" s="4">
        <v>0</v>
      </c>
      <c r="L287" s="4">
        <v>12</v>
      </c>
      <c r="M287" s="4">
        <v>2</v>
      </c>
      <c r="N287" s="4">
        <v>0</v>
      </c>
      <c r="P287" s="4">
        <v>12</v>
      </c>
      <c r="Q287" s="4">
        <v>2</v>
      </c>
      <c r="R287" s="4">
        <v>0</v>
      </c>
    </row>
    <row r="288" spans="1:18" x14ac:dyDescent="0.2">
      <c r="H288" s="3">
        <v>13</v>
      </c>
      <c r="I288" s="3">
        <v>3</v>
      </c>
      <c r="J288">
        <v>43647.96</v>
      </c>
      <c r="L288" s="3">
        <v>13</v>
      </c>
      <c r="M288" s="3">
        <v>3</v>
      </c>
      <c r="N288">
        <v>0</v>
      </c>
      <c r="P288" s="3">
        <v>13</v>
      </c>
      <c r="Q288" s="3">
        <v>3</v>
      </c>
      <c r="R288">
        <v>37909.1</v>
      </c>
    </row>
    <row r="289" spans="1:18" x14ac:dyDescent="0.2">
      <c r="A289" t="s">
        <v>44</v>
      </c>
      <c r="H289" s="3">
        <v>13</v>
      </c>
      <c r="I289" s="3">
        <v>1</v>
      </c>
      <c r="J289">
        <v>35570.61</v>
      </c>
      <c r="L289" s="3">
        <v>13</v>
      </c>
      <c r="M289" s="3">
        <v>1</v>
      </c>
      <c r="N289">
        <v>0</v>
      </c>
      <c r="P289" s="3">
        <v>13</v>
      </c>
      <c r="Q289" s="3">
        <v>1</v>
      </c>
      <c r="R289">
        <v>37087.550000000003</v>
      </c>
    </row>
    <row r="290" spans="1:18" x14ac:dyDescent="0.2">
      <c r="H290" s="3">
        <v>13</v>
      </c>
      <c r="I290" s="3">
        <v>2</v>
      </c>
      <c r="J290">
        <v>30474.04</v>
      </c>
      <c r="L290" s="3">
        <v>13</v>
      </c>
      <c r="M290" s="3">
        <v>2</v>
      </c>
      <c r="N290">
        <v>0</v>
      </c>
      <c r="P290" s="3">
        <v>13</v>
      </c>
      <c r="Q290" s="3">
        <v>2</v>
      </c>
      <c r="R290">
        <v>37447.699999999997</v>
      </c>
    </row>
    <row r="291" spans="1:18" x14ac:dyDescent="0.2">
      <c r="A291">
        <f>27711.16+6865.07+57766.31+11156.19</f>
        <v>103498.73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cdavide@student.ethz.ch</dc:creator>
  <cp:lastModifiedBy>cdavide@student.ethz.ch</cp:lastModifiedBy>
  <dcterms:created xsi:type="dcterms:W3CDTF">2021-12-29T21:08:01Z</dcterms:created>
  <dcterms:modified xsi:type="dcterms:W3CDTF">2022-06-14T20:41:48Z</dcterms:modified>
</cp:coreProperties>
</file>