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520" windowHeight="9468" activeTab="3"/>
  </bookViews>
  <sheets>
    <sheet name="u_istat" sheetId="5" r:id="rId1"/>
    <sheet name="u_prodotti" sheetId="7" r:id="rId2"/>
    <sheet name="u_riparto" sheetId="1" r:id="rId3"/>
    <sheet name="nuclei" sheetId="2" r:id="rId4"/>
    <sheet name="u_blocchi" sheetId="8" r:id="rId5"/>
    <sheet name="u_lim_blocchi" sheetId="10" r:id="rId6"/>
    <sheet name="punti assegnati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C14" i="11"/>
  <c r="AC10" i="7"/>
  <c r="D14" i="11"/>
  <c r="G2" i="2" l="1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D3" i="11" l="1"/>
  <c r="D10" i="11"/>
  <c r="D6" i="11"/>
  <c r="D9" i="11"/>
  <c r="D5" i="11"/>
  <c r="D2" i="11"/>
  <c r="D8" i="11"/>
  <c r="D4" i="11"/>
  <c r="D11" i="11"/>
  <c r="D7" i="11"/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C86" i="7" l="1"/>
  <c r="D86" i="7"/>
  <c r="E86" i="7"/>
  <c r="F86" i="7"/>
  <c r="P86" i="7"/>
  <c r="Q86" i="7"/>
  <c r="R86" i="7" s="1"/>
  <c r="AC86" i="7"/>
  <c r="E1" i="10" l="1"/>
  <c r="M1" i="10"/>
  <c r="J1" i="10"/>
  <c r="N1" i="10"/>
  <c r="K1" i="10"/>
  <c r="H1" i="10"/>
  <c r="L1" i="10"/>
  <c r="I1" i="10"/>
  <c r="F1" i="10"/>
  <c r="G1" i="10"/>
  <c r="Y86" i="7"/>
  <c r="Z86" i="7" s="1"/>
  <c r="AA86" i="7" s="1"/>
  <c r="T86" i="7"/>
  <c r="U86" i="7" s="1"/>
  <c r="V86" i="7" s="1"/>
  <c r="AE2" i="7"/>
  <c r="AG3" i="7"/>
  <c r="O1" i="10" l="1"/>
  <c r="F2" i="10" s="1"/>
  <c r="AD86" i="7"/>
  <c r="AE86" i="7" s="1"/>
  <c r="AG86" i="7" s="1"/>
  <c r="AC80" i="7"/>
  <c r="AC79" i="7"/>
  <c r="AC77" i="7"/>
  <c r="AC76" i="7"/>
  <c r="AC75" i="7"/>
  <c r="AC74" i="7"/>
  <c r="AC73" i="7"/>
  <c r="AC72" i="7"/>
  <c r="AC70" i="7"/>
  <c r="AC69" i="7"/>
  <c r="AC68" i="7"/>
  <c r="AC67" i="7"/>
  <c r="AC65" i="7"/>
  <c r="AC64" i="7"/>
  <c r="L2" i="10" l="1"/>
  <c r="J2" i="10"/>
  <c r="N2" i="10"/>
  <c r="I2" i="10"/>
  <c r="H2" i="10"/>
  <c r="M2" i="10"/>
  <c r="K2" i="10"/>
  <c r="E2" i="10"/>
  <c r="G2" i="10"/>
  <c r="AF86" i="7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1" i="1"/>
  <c r="B1" i="1"/>
  <c r="A1" i="1"/>
  <c r="AC85" i="7"/>
  <c r="P85" i="7"/>
  <c r="Q85" i="7" s="1"/>
  <c r="F85" i="7"/>
  <c r="E85" i="7"/>
  <c r="D85" i="7"/>
  <c r="C85" i="7"/>
  <c r="AC84" i="7"/>
  <c r="P84" i="7"/>
  <c r="Q84" i="7" s="1"/>
  <c r="F84" i="7"/>
  <c r="AC83" i="7"/>
  <c r="P83" i="7"/>
  <c r="Q83" i="7" s="1"/>
  <c r="F83" i="7"/>
  <c r="AC82" i="7"/>
  <c r="P82" i="7"/>
  <c r="Q82" i="7" s="1"/>
  <c r="F82" i="7"/>
  <c r="AC81" i="7"/>
  <c r="P81" i="7"/>
  <c r="Q81" i="7" s="1"/>
  <c r="F81" i="7"/>
  <c r="P80" i="7"/>
  <c r="F80" i="7"/>
  <c r="P79" i="7"/>
  <c r="F79" i="7"/>
  <c r="AC78" i="7"/>
  <c r="P78" i="7"/>
  <c r="Q78" i="7" s="1"/>
  <c r="F78" i="7"/>
  <c r="P77" i="7"/>
  <c r="F77" i="7"/>
  <c r="P76" i="7"/>
  <c r="F76" i="7"/>
  <c r="P75" i="7"/>
  <c r="F75" i="7"/>
  <c r="P74" i="7"/>
  <c r="F74" i="7"/>
  <c r="P73" i="7"/>
  <c r="F73" i="7"/>
  <c r="P72" i="7"/>
  <c r="F72" i="7"/>
  <c r="P71" i="7"/>
  <c r="F71" i="7"/>
  <c r="P70" i="7"/>
  <c r="F70" i="7"/>
  <c r="P69" i="7"/>
  <c r="F69" i="7"/>
  <c r="P68" i="7"/>
  <c r="F68" i="7"/>
  <c r="P67" i="7"/>
  <c r="F67" i="7"/>
  <c r="AC66" i="7"/>
  <c r="P66" i="7"/>
  <c r="Q66" i="7" s="1"/>
  <c r="F66" i="7"/>
  <c r="P65" i="7"/>
  <c r="F65" i="7"/>
  <c r="P64" i="7"/>
  <c r="F64" i="7"/>
  <c r="AC63" i="7"/>
  <c r="P63" i="7"/>
  <c r="F63" i="7"/>
  <c r="E63" i="7"/>
  <c r="D63" i="7"/>
  <c r="C63" i="7"/>
  <c r="AC62" i="7"/>
  <c r="P62" i="7"/>
  <c r="F62" i="7"/>
  <c r="E62" i="7"/>
  <c r="D62" i="7"/>
  <c r="C62" i="7"/>
  <c r="AC61" i="7"/>
  <c r="P61" i="7"/>
  <c r="F61" i="7"/>
  <c r="AC60" i="7"/>
  <c r="P60" i="7"/>
  <c r="F60" i="7"/>
  <c r="E60" i="7"/>
  <c r="D60" i="7"/>
  <c r="C60" i="7"/>
  <c r="AC59" i="7"/>
  <c r="P59" i="7"/>
  <c r="F59" i="7"/>
  <c r="E59" i="7"/>
  <c r="D59" i="7"/>
  <c r="C59" i="7"/>
  <c r="AC58" i="7"/>
  <c r="P58" i="7"/>
  <c r="Q58" i="7" s="1"/>
  <c r="F58" i="7"/>
  <c r="AC57" i="7"/>
  <c r="P57" i="7"/>
  <c r="F57" i="7"/>
  <c r="E57" i="7"/>
  <c r="D57" i="7"/>
  <c r="C57" i="7"/>
  <c r="AC56" i="7"/>
  <c r="P56" i="7"/>
  <c r="F56" i="7"/>
  <c r="E56" i="7"/>
  <c r="D56" i="7"/>
  <c r="C56" i="7"/>
  <c r="AC55" i="7"/>
  <c r="P55" i="7"/>
  <c r="F55" i="7"/>
  <c r="AC54" i="7"/>
  <c r="P54" i="7"/>
  <c r="F54" i="7"/>
  <c r="E54" i="7"/>
  <c r="D54" i="7"/>
  <c r="C54" i="7"/>
  <c r="AC53" i="7"/>
  <c r="P53" i="7"/>
  <c r="F53" i="7"/>
  <c r="E53" i="7"/>
  <c r="D53" i="7"/>
  <c r="C53" i="7"/>
  <c r="AC52" i="7"/>
  <c r="P52" i="7"/>
  <c r="F52" i="7"/>
  <c r="AC51" i="7"/>
  <c r="P51" i="7"/>
  <c r="F51" i="7"/>
  <c r="E51" i="7"/>
  <c r="D51" i="7"/>
  <c r="C51" i="7"/>
  <c r="AC50" i="7"/>
  <c r="P50" i="7"/>
  <c r="F50" i="7"/>
  <c r="AC49" i="7"/>
  <c r="P49" i="7"/>
  <c r="F49" i="7"/>
  <c r="E49" i="7"/>
  <c r="D49" i="7"/>
  <c r="C49" i="7"/>
  <c r="AC48" i="7"/>
  <c r="P48" i="7"/>
  <c r="F48" i="7"/>
  <c r="E48" i="7"/>
  <c r="D48" i="7"/>
  <c r="C48" i="7"/>
  <c r="AC47" i="7"/>
  <c r="P47" i="7"/>
  <c r="F47" i="7"/>
  <c r="AC46" i="7"/>
  <c r="P46" i="7"/>
  <c r="F46" i="7"/>
  <c r="E46" i="7"/>
  <c r="D46" i="7"/>
  <c r="C46" i="7"/>
  <c r="AC45" i="7"/>
  <c r="P45" i="7"/>
  <c r="F45" i="7"/>
  <c r="E45" i="7"/>
  <c r="D45" i="7"/>
  <c r="C45" i="7"/>
  <c r="AC44" i="7"/>
  <c r="P44" i="7"/>
  <c r="F44" i="7"/>
  <c r="AC43" i="7"/>
  <c r="P43" i="7"/>
  <c r="F43" i="7"/>
  <c r="E43" i="7"/>
  <c r="D43" i="7"/>
  <c r="C43" i="7"/>
  <c r="AC42" i="7"/>
  <c r="P42" i="7"/>
  <c r="Q42" i="7" s="1"/>
  <c r="F42" i="7"/>
  <c r="AC41" i="7"/>
  <c r="P41" i="7"/>
  <c r="F41" i="7"/>
  <c r="E41" i="7"/>
  <c r="D41" i="7"/>
  <c r="C41" i="7"/>
  <c r="AC40" i="7"/>
  <c r="P40" i="7"/>
  <c r="F40" i="7"/>
  <c r="AC39" i="7"/>
  <c r="P39" i="7"/>
  <c r="F39" i="7"/>
  <c r="AC38" i="7"/>
  <c r="P38" i="7"/>
  <c r="F38" i="7"/>
  <c r="E38" i="7"/>
  <c r="D38" i="7"/>
  <c r="C38" i="7"/>
  <c r="AC37" i="7"/>
  <c r="P37" i="7"/>
  <c r="F37" i="7"/>
  <c r="E37" i="7"/>
  <c r="D37" i="7"/>
  <c r="C37" i="7"/>
  <c r="AC36" i="7"/>
  <c r="P36" i="7"/>
  <c r="F36" i="7"/>
  <c r="E36" i="7"/>
  <c r="D36" i="7"/>
  <c r="C36" i="7"/>
  <c r="AC35" i="7"/>
  <c r="P35" i="7"/>
  <c r="F35" i="7"/>
  <c r="AC34" i="7"/>
  <c r="P34" i="7"/>
  <c r="Q34" i="7" s="1"/>
  <c r="F34" i="7"/>
  <c r="AC33" i="7"/>
  <c r="P33" i="7"/>
  <c r="Q33" i="7" s="1"/>
  <c r="F33" i="7"/>
  <c r="AC32" i="7"/>
  <c r="P32" i="7"/>
  <c r="Q32" i="7" s="1"/>
  <c r="F32" i="7"/>
  <c r="P31" i="7"/>
  <c r="Q31" i="7" s="1"/>
  <c r="F31" i="7"/>
  <c r="AC30" i="7"/>
  <c r="P30" i="7"/>
  <c r="Q30" i="7" s="1"/>
  <c r="F30" i="7"/>
  <c r="AC29" i="7"/>
  <c r="P29" i="7"/>
  <c r="Q29" i="7" s="1"/>
  <c r="F29" i="7"/>
  <c r="AC28" i="7"/>
  <c r="P28" i="7"/>
  <c r="F28" i="7"/>
  <c r="AC27" i="7"/>
  <c r="P27" i="7"/>
  <c r="Q27" i="7" s="1"/>
  <c r="F27" i="7"/>
  <c r="AC26" i="7"/>
  <c r="P26" i="7"/>
  <c r="M26" i="7"/>
  <c r="F26" i="7"/>
  <c r="E26" i="7"/>
  <c r="D26" i="7"/>
  <c r="C26" i="7"/>
  <c r="AC25" i="7"/>
  <c r="P25" i="7"/>
  <c r="M25" i="7"/>
  <c r="F25" i="7"/>
  <c r="E25" i="7"/>
  <c r="D25" i="7"/>
  <c r="C25" i="7"/>
  <c r="AC24" i="7"/>
  <c r="P24" i="7"/>
  <c r="M24" i="7"/>
  <c r="F24" i="7"/>
  <c r="E24" i="7"/>
  <c r="D24" i="7"/>
  <c r="C24" i="7"/>
  <c r="AC23" i="7"/>
  <c r="P23" i="7"/>
  <c r="Q23" i="7" s="1"/>
  <c r="F23" i="7"/>
  <c r="AC22" i="7"/>
  <c r="P22" i="7"/>
  <c r="M22" i="7"/>
  <c r="F22" i="7"/>
  <c r="E22" i="7"/>
  <c r="D22" i="7"/>
  <c r="C22" i="7"/>
  <c r="AC21" i="7"/>
  <c r="P21" i="7"/>
  <c r="M21" i="7"/>
  <c r="F21" i="7"/>
  <c r="E21" i="7"/>
  <c r="D21" i="7"/>
  <c r="C21" i="7"/>
  <c r="AC20" i="7"/>
  <c r="P20" i="7"/>
  <c r="M20" i="7"/>
  <c r="F20" i="7"/>
  <c r="E20" i="7"/>
  <c r="D20" i="7"/>
  <c r="C20" i="7"/>
  <c r="AC19" i="7"/>
  <c r="P19" i="7"/>
  <c r="Q19" i="7" s="1"/>
  <c r="F19" i="7"/>
  <c r="AC18" i="7"/>
  <c r="P18" i="7"/>
  <c r="Q18" i="7" s="1"/>
  <c r="F18" i="7"/>
  <c r="AC17" i="7"/>
  <c r="P17" i="7"/>
  <c r="F17" i="7"/>
  <c r="E17" i="7"/>
  <c r="D17" i="7"/>
  <c r="C17" i="7"/>
  <c r="AC16" i="7"/>
  <c r="P16" i="7"/>
  <c r="Q16" i="7" s="1"/>
  <c r="F16" i="7"/>
  <c r="AC15" i="7"/>
  <c r="P15" i="7"/>
  <c r="M15" i="7"/>
  <c r="F15" i="7"/>
  <c r="E15" i="7"/>
  <c r="D15" i="7"/>
  <c r="C15" i="7"/>
  <c r="AC14" i="7"/>
  <c r="P14" i="7"/>
  <c r="M14" i="7"/>
  <c r="F14" i="7"/>
  <c r="E14" i="7"/>
  <c r="D14" i="7"/>
  <c r="C14" i="7"/>
  <c r="AC13" i="7"/>
  <c r="P13" i="7"/>
  <c r="M13" i="7"/>
  <c r="F13" i="7"/>
  <c r="E13" i="7"/>
  <c r="D13" i="7"/>
  <c r="C13" i="7"/>
  <c r="AC12" i="7"/>
  <c r="P12" i="7"/>
  <c r="Q12" i="7" s="1"/>
  <c r="F12" i="7"/>
  <c r="AC11" i="7"/>
  <c r="P11" i="7"/>
  <c r="F11" i="7"/>
  <c r="E11" i="7"/>
  <c r="D11" i="7"/>
  <c r="C11" i="7"/>
  <c r="P10" i="7"/>
  <c r="Q10" i="7" s="1"/>
  <c r="F10" i="7"/>
  <c r="AC9" i="7"/>
  <c r="P9" i="7"/>
  <c r="F9" i="7"/>
  <c r="E9" i="7"/>
  <c r="D9" i="7"/>
  <c r="C9" i="7"/>
  <c r="AC8" i="7"/>
  <c r="O8" i="7"/>
  <c r="P8" i="7" s="1"/>
  <c r="Q8" i="7" s="1"/>
  <c r="F8" i="7"/>
  <c r="AC7" i="7"/>
  <c r="P7" i="7"/>
  <c r="Q7" i="7" s="1"/>
  <c r="F7" i="7"/>
  <c r="AC6" i="7"/>
  <c r="P6" i="7"/>
  <c r="F6" i="7"/>
  <c r="E6" i="7"/>
  <c r="D6" i="7"/>
  <c r="C6" i="7"/>
  <c r="AC5" i="7"/>
  <c r="P5" i="7"/>
  <c r="F5" i="7"/>
  <c r="E5" i="7"/>
  <c r="C5" i="7" s="1"/>
  <c r="AC2" i="7"/>
  <c r="AG2" i="7" s="1"/>
  <c r="AH86" i="7" s="1"/>
  <c r="X2" i="7"/>
  <c r="AB86" i="7" s="1"/>
  <c r="S2" i="7"/>
  <c r="W86" i="7" s="1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Q5" i="7" l="1"/>
  <c r="C6" i="10"/>
  <c r="D6" i="10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  <c r="C51" i="10"/>
  <c r="D51" i="10" s="1"/>
  <c r="C55" i="10"/>
  <c r="D55" i="10" s="1"/>
  <c r="C20" i="10"/>
  <c r="D20" i="10" s="1"/>
  <c r="C32" i="10"/>
  <c r="D32" i="10" s="1"/>
  <c r="C44" i="10"/>
  <c r="D44" i="10" s="1"/>
  <c r="C52" i="10"/>
  <c r="D52" i="10" s="1"/>
  <c r="C8" i="10"/>
  <c r="D8" i="10" s="1"/>
  <c r="C12" i="10"/>
  <c r="D12" i="10" s="1"/>
  <c r="C24" i="10"/>
  <c r="D24" i="10" s="1"/>
  <c r="C36" i="10"/>
  <c r="D36" i="10" s="1"/>
  <c r="C56" i="10"/>
  <c r="D56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C16" i="10"/>
  <c r="D16" i="10" s="1"/>
  <c r="C28" i="10"/>
  <c r="D28" i="10" s="1"/>
  <c r="C40" i="10"/>
  <c r="D40" i="10" s="1"/>
  <c r="C48" i="10"/>
  <c r="D48" i="10" s="1"/>
  <c r="R12" i="7"/>
  <c r="R16" i="7"/>
  <c r="R19" i="7"/>
  <c r="R23" i="7"/>
  <c r="R27" i="7"/>
  <c r="R31" i="7"/>
  <c r="R82" i="7"/>
  <c r="R85" i="7"/>
  <c r="R18" i="7"/>
  <c r="R30" i="7"/>
  <c r="R34" i="7"/>
  <c r="R42" i="7"/>
  <c r="R66" i="7"/>
  <c r="R81" i="7"/>
  <c r="R5" i="7"/>
  <c r="R8" i="7"/>
  <c r="R29" i="7"/>
  <c r="R33" i="7"/>
  <c r="R78" i="7"/>
  <c r="R84" i="7"/>
  <c r="R7" i="7"/>
  <c r="R10" i="7"/>
  <c r="R32" i="7"/>
  <c r="R58" i="7"/>
  <c r="R83" i="7"/>
  <c r="Q13" i="7"/>
  <c r="Q28" i="7"/>
  <c r="Q53" i="7"/>
  <c r="Q70" i="7"/>
  <c r="Q74" i="7"/>
  <c r="Q20" i="7"/>
  <c r="Q24" i="7"/>
  <c r="Q43" i="7"/>
  <c r="Q6" i="7"/>
  <c r="Q9" i="7"/>
  <c r="Q35" i="7"/>
  <c r="Q37" i="7"/>
  <c r="Q40" i="7"/>
  <c r="Q45" i="7"/>
  <c r="Q50" i="7"/>
  <c r="Q55" i="7"/>
  <c r="Q57" i="7"/>
  <c r="Q62" i="7"/>
  <c r="Q65" i="7"/>
  <c r="Q69" i="7"/>
  <c r="Q73" i="7"/>
  <c r="Q77" i="7"/>
  <c r="Q48" i="7"/>
  <c r="Q60" i="7"/>
  <c r="Q11" i="7"/>
  <c r="Q15" i="7"/>
  <c r="Q22" i="7"/>
  <c r="Q26" i="7"/>
  <c r="Q39" i="7"/>
  <c r="Q47" i="7"/>
  <c r="Q49" i="7"/>
  <c r="Q52" i="7"/>
  <c r="Q54" i="7"/>
  <c r="Q59" i="7"/>
  <c r="Q64" i="7"/>
  <c r="Q68" i="7"/>
  <c r="Q72" i="7"/>
  <c r="Q76" i="7"/>
  <c r="Q80" i="7"/>
  <c r="Q14" i="7"/>
  <c r="Q17" i="7"/>
  <c r="Q21" i="7"/>
  <c r="Q25" i="7"/>
  <c r="Q36" i="7"/>
  <c r="Q38" i="7"/>
  <c r="Q41" i="7"/>
  <c r="Q44" i="7"/>
  <c r="Q46" i="7"/>
  <c r="Q51" i="7"/>
  <c r="Q56" i="7"/>
  <c r="Q61" i="7"/>
  <c r="Q63" i="7"/>
  <c r="Q67" i="7"/>
  <c r="Q71" i="7"/>
  <c r="Q75" i="7"/>
  <c r="Q79" i="7"/>
  <c r="E7" i="7"/>
  <c r="D5" i="7"/>
  <c r="AI2" i="7"/>
  <c r="N6" i="10" l="1"/>
  <c r="L6" i="10"/>
  <c r="E6" i="10"/>
  <c r="F6" i="10"/>
  <c r="K6" i="10"/>
  <c r="M6" i="10"/>
  <c r="J6" i="10"/>
  <c r="I6" i="10"/>
  <c r="G6" i="10"/>
  <c r="H6" i="10"/>
  <c r="K28" i="10"/>
  <c r="H28" i="10"/>
  <c r="F28" i="10"/>
  <c r="L28" i="10"/>
  <c r="J28" i="10"/>
  <c r="E28" i="10"/>
  <c r="I28" i="10"/>
  <c r="M28" i="10"/>
  <c r="G28" i="10"/>
  <c r="N28" i="10"/>
  <c r="I46" i="10"/>
  <c r="E46" i="10"/>
  <c r="G46" i="10"/>
  <c r="L46" i="10"/>
  <c r="H46" i="10"/>
  <c r="N46" i="10"/>
  <c r="J46" i="10"/>
  <c r="F46" i="10"/>
  <c r="K46" i="10"/>
  <c r="M46" i="10"/>
  <c r="G30" i="10"/>
  <c r="F30" i="10"/>
  <c r="K30" i="10"/>
  <c r="E30" i="10"/>
  <c r="M30" i="10"/>
  <c r="J30" i="10"/>
  <c r="H30" i="10"/>
  <c r="N30" i="10"/>
  <c r="L30" i="10"/>
  <c r="I30" i="10"/>
  <c r="G14" i="10"/>
  <c r="F14" i="10"/>
  <c r="K14" i="10"/>
  <c r="E14" i="10"/>
  <c r="M14" i="10"/>
  <c r="J14" i="10"/>
  <c r="H14" i="10"/>
  <c r="I14" i="10"/>
  <c r="N14" i="10"/>
  <c r="L14" i="10"/>
  <c r="F45" i="10"/>
  <c r="M45" i="10"/>
  <c r="I45" i="10"/>
  <c r="L45" i="10"/>
  <c r="K45" i="10"/>
  <c r="E45" i="10"/>
  <c r="H45" i="10"/>
  <c r="G45" i="10"/>
  <c r="N45" i="10"/>
  <c r="J45" i="10"/>
  <c r="F29" i="10"/>
  <c r="G29" i="10"/>
  <c r="I29" i="10"/>
  <c r="K29" i="10"/>
  <c r="M29" i="10"/>
  <c r="H29" i="10"/>
  <c r="L29" i="10"/>
  <c r="E29" i="10"/>
  <c r="N29" i="10"/>
  <c r="J29" i="10"/>
  <c r="F13" i="10"/>
  <c r="G13" i="10"/>
  <c r="I13" i="10"/>
  <c r="K13" i="10"/>
  <c r="M13" i="10"/>
  <c r="H13" i="10"/>
  <c r="L13" i="10"/>
  <c r="E13" i="10"/>
  <c r="J13" i="10"/>
  <c r="N13" i="10"/>
  <c r="L24" i="10"/>
  <c r="J24" i="10"/>
  <c r="I24" i="10"/>
  <c r="N24" i="10"/>
  <c r="M24" i="10"/>
  <c r="E24" i="10"/>
  <c r="G24" i="10"/>
  <c r="K24" i="10"/>
  <c r="F24" i="10"/>
  <c r="H24" i="10"/>
  <c r="G44" i="10"/>
  <c r="F44" i="10"/>
  <c r="I44" i="10"/>
  <c r="N44" i="10"/>
  <c r="J44" i="10"/>
  <c r="E44" i="10"/>
  <c r="L44" i="10"/>
  <c r="K44" i="10"/>
  <c r="H44" i="10"/>
  <c r="M44" i="10"/>
  <c r="H51" i="10"/>
  <c r="G51" i="10"/>
  <c r="J51" i="10"/>
  <c r="F51" i="10"/>
  <c r="K51" i="10"/>
  <c r="M51" i="10"/>
  <c r="N51" i="10"/>
  <c r="I51" i="10"/>
  <c r="E51" i="10"/>
  <c r="L51" i="10"/>
  <c r="H35" i="10"/>
  <c r="L35" i="10"/>
  <c r="I35" i="10"/>
  <c r="N35" i="10"/>
  <c r="F35" i="10"/>
  <c r="M35" i="10"/>
  <c r="G35" i="10"/>
  <c r="E35" i="10"/>
  <c r="K35" i="10"/>
  <c r="J35" i="10"/>
  <c r="H19" i="10"/>
  <c r="I19" i="10"/>
  <c r="N19" i="10"/>
  <c r="K19" i="10"/>
  <c r="L19" i="10"/>
  <c r="M19" i="10"/>
  <c r="G19" i="10"/>
  <c r="E19" i="10"/>
  <c r="F19" i="10"/>
  <c r="J19" i="10"/>
  <c r="N34" i="10"/>
  <c r="L34" i="10"/>
  <c r="E34" i="10"/>
  <c r="G34" i="10"/>
  <c r="F34" i="10"/>
  <c r="K34" i="10"/>
  <c r="J34" i="10"/>
  <c r="H34" i="10"/>
  <c r="I34" i="10"/>
  <c r="M34" i="10"/>
  <c r="J41" i="10"/>
  <c r="H41" i="10"/>
  <c r="E41" i="10"/>
  <c r="L41" i="10"/>
  <c r="G41" i="10"/>
  <c r="I41" i="10"/>
  <c r="K41" i="10"/>
  <c r="M41" i="10"/>
  <c r="N41" i="10"/>
  <c r="F41" i="10"/>
  <c r="G32" i="10"/>
  <c r="K32" i="10"/>
  <c r="M32" i="10"/>
  <c r="E32" i="10"/>
  <c r="H32" i="10"/>
  <c r="F32" i="10"/>
  <c r="L32" i="10"/>
  <c r="J32" i="10"/>
  <c r="N32" i="10"/>
  <c r="I32" i="10"/>
  <c r="H40" i="10"/>
  <c r="F40" i="10"/>
  <c r="L40" i="10"/>
  <c r="J40" i="10"/>
  <c r="I40" i="10"/>
  <c r="N40" i="10"/>
  <c r="K40" i="10"/>
  <c r="E40" i="10"/>
  <c r="M40" i="10"/>
  <c r="G40" i="10"/>
  <c r="G16" i="10"/>
  <c r="K16" i="10"/>
  <c r="M16" i="10"/>
  <c r="E16" i="10"/>
  <c r="H16" i="10"/>
  <c r="F16" i="10"/>
  <c r="J16" i="10"/>
  <c r="N16" i="10"/>
  <c r="L16" i="10"/>
  <c r="I16" i="10"/>
  <c r="F42" i="10"/>
  <c r="K42" i="10"/>
  <c r="J42" i="10"/>
  <c r="H42" i="10"/>
  <c r="N42" i="10"/>
  <c r="L42" i="10"/>
  <c r="E42" i="10"/>
  <c r="I42" i="10"/>
  <c r="G42" i="10"/>
  <c r="M42" i="10"/>
  <c r="F26" i="10"/>
  <c r="K26" i="10"/>
  <c r="J26" i="10"/>
  <c r="H26" i="10"/>
  <c r="M26" i="10"/>
  <c r="N26" i="10"/>
  <c r="L26" i="10"/>
  <c r="E26" i="10"/>
  <c r="G26" i="10"/>
  <c r="I26" i="10"/>
  <c r="F10" i="10"/>
  <c r="K10" i="10"/>
  <c r="J10" i="10"/>
  <c r="H10" i="10"/>
  <c r="N10" i="10"/>
  <c r="L10" i="10"/>
  <c r="E10" i="10"/>
  <c r="G10" i="10"/>
  <c r="M10" i="10"/>
  <c r="I10" i="10"/>
  <c r="J25" i="10"/>
  <c r="H25" i="10"/>
  <c r="L25" i="10"/>
  <c r="G25" i="10"/>
  <c r="I25" i="10"/>
  <c r="F25" i="10"/>
  <c r="K25" i="10"/>
  <c r="M25" i="10"/>
  <c r="E25" i="10"/>
  <c r="N25" i="10"/>
  <c r="J9" i="10"/>
  <c r="H9" i="10"/>
  <c r="L9" i="10"/>
  <c r="G9" i="10"/>
  <c r="I9" i="10"/>
  <c r="K9" i="10"/>
  <c r="M9" i="10"/>
  <c r="N9" i="10"/>
  <c r="F9" i="10"/>
  <c r="E9" i="10"/>
  <c r="K12" i="10"/>
  <c r="H12" i="10"/>
  <c r="F12" i="10"/>
  <c r="L12" i="10"/>
  <c r="J12" i="10"/>
  <c r="E12" i="10"/>
  <c r="N12" i="10"/>
  <c r="G12" i="10"/>
  <c r="I12" i="10"/>
  <c r="M12" i="10"/>
  <c r="H47" i="10"/>
  <c r="K47" i="10"/>
  <c r="G47" i="10"/>
  <c r="N47" i="10"/>
  <c r="J47" i="10"/>
  <c r="I47" i="10"/>
  <c r="F47" i="10"/>
  <c r="L47" i="10"/>
  <c r="E47" i="10"/>
  <c r="M47" i="10"/>
  <c r="L31" i="10"/>
  <c r="M31" i="10"/>
  <c r="G31" i="10"/>
  <c r="H31" i="10"/>
  <c r="J31" i="10"/>
  <c r="F31" i="10"/>
  <c r="K31" i="10"/>
  <c r="E31" i="10"/>
  <c r="I31" i="10"/>
  <c r="N31" i="10"/>
  <c r="L15" i="10"/>
  <c r="M15" i="10"/>
  <c r="G15" i="10"/>
  <c r="E15" i="10"/>
  <c r="F15" i="10"/>
  <c r="K15" i="10"/>
  <c r="H15" i="10"/>
  <c r="J15" i="10"/>
  <c r="N15" i="10"/>
  <c r="I15" i="10"/>
  <c r="G48" i="10"/>
  <c r="N48" i="10"/>
  <c r="J48" i="10"/>
  <c r="E48" i="10"/>
  <c r="F48" i="10"/>
  <c r="M48" i="10"/>
  <c r="L48" i="10"/>
  <c r="I48" i="10"/>
  <c r="H48" i="10"/>
  <c r="K48" i="10"/>
  <c r="I54" i="10"/>
  <c r="L54" i="10"/>
  <c r="H54" i="10"/>
  <c r="K54" i="10"/>
  <c r="J54" i="10"/>
  <c r="E54" i="10"/>
  <c r="G54" i="10"/>
  <c r="F54" i="10"/>
  <c r="N54" i="10"/>
  <c r="M54" i="10"/>
  <c r="J38" i="10"/>
  <c r="H38" i="10"/>
  <c r="N38" i="10"/>
  <c r="L38" i="10"/>
  <c r="G38" i="10"/>
  <c r="F38" i="10"/>
  <c r="K38" i="10"/>
  <c r="E38" i="10"/>
  <c r="I38" i="10"/>
  <c r="M38" i="10"/>
  <c r="J22" i="10"/>
  <c r="H22" i="10"/>
  <c r="N22" i="10"/>
  <c r="L22" i="10"/>
  <c r="G22" i="10"/>
  <c r="F22" i="10"/>
  <c r="K22" i="10"/>
  <c r="E22" i="10"/>
  <c r="M22" i="10"/>
  <c r="I22" i="10"/>
  <c r="F53" i="10"/>
  <c r="E53" i="10"/>
  <c r="H53" i="10"/>
  <c r="M53" i="10"/>
  <c r="I53" i="10"/>
  <c r="N53" i="10"/>
  <c r="K53" i="10"/>
  <c r="G53" i="10"/>
  <c r="L53" i="10"/>
  <c r="J53" i="10"/>
  <c r="N37" i="10"/>
  <c r="G37" i="10"/>
  <c r="I37" i="10"/>
  <c r="K37" i="10"/>
  <c r="M37" i="10"/>
  <c r="E37" i="10"/>
  <c r="J37" i="10"/>
  <c r="H37" i="10"/>
  <c r="L37" i="10"/>
  <c r="F37" i="10"/>
  <c r="N21" i="10"/>
  <c r="G21" i="10"/>
  <c r="I21" i="10"/>
  <c r="K21" i="10"/>
  <c r="M21" i="10"/>
  <c r="E21" i="10"/>
  <c r="H21" i="10"/>
  <c r="L21" i="10"/>
  <c r="J21" i="10"/>
  <c r="F21" i="10"/>
  <c r="G56" i="10"/>
  <c r="J56" i="10"/>
  <c r="F56" i="10"/>
  <c r="M56" i="10"/>
  <c r="I56" i="10"/>
  <c r="H56" i="10"/>
  <c r="N56" i="10"/>
  <c r="E56" i="10"/>
  <c r="K56" i="10"/>
  <c r="L56" i="10"/>
  <c r="L8" i="10"/>
  <c r="J8" i="10"/>
  <c r="I8" i="10"/>
  <c r="N8" i="10"/>
  <c r="K8" i="10"/>
  <c r="H8" i="10"/>
  <c r="G8" i="10"/>
  <c r="M8" i="10"/>
  <c r="E8" i="10"/>
  <c r="F8" i="10"/>
  <c r="G20" i="10"/>
  <c r="I20" i="10"/>
  <c r="N20" i="10"/>
  <c r="M20" i="10"/>
  <c r="F20" i="10"/>
  <c r="H20" i="10"/>
  <c r="K20" i="10"/>
  <c r="L20" i="10"/>
  <c r="J20" i="10"/>
  <c r="E20" i="10"/>
  <c r="M43" i="10"/>
  <c r="H43" i="10"/>
  <c r="N43" i="10"/>
  <c r="I43" i="10"/>
  <c r="K43" i="10"/>
  <c r="F43" i="10"/>
  <c r="L43" i="10"/>
  <c r="J43" i="10"/>
  <c r="G43" i="10"/>
  <c r="E43" i="10"/>
  <c r="H27" i="10"/>
  <c r="F27" i="10"/>
  <c r="K27" i="10"/>
  <c r="N27" i="10"/>
  <c r="J27" i="10"/>
  <c r="I27" i="10"/>
  <c r="L27" i="10"/>
  <c r="M27" i="10"/>
  <c r="E27" i="10"/>
  <c r="G27" i="10"/>
  <c r="H11" i="10"/>
  <c r="F11" i="10"/>
  <c r="K11" i="10"/>
  <c r="I11" i="10"/>
  <c r="J11" i="10"/>
  <c r="N11" i="10"/>
  <c r="G11" i="10"/>
  <c r="E11" i="10"/>
  <c r="L11" i="10"/>
  <c r="M11" i="10"/>
  <c r="I50" i="10"/>
  <c r="E50" i="10"/>
  <c r="L50" i="10"/>
  <c r="H50" i="10"/>
  <c r="N50" i="10"/>
  <c r="K50" i="10"/>
  <c r="J50" i="10"/>
  <c r="M50" i="10"/>
  <c r="G50" i="10"/>
  <c r="F50" i="10"/>
  <c r="N18" i="10"/>
  <c r="L18" i="10"/>
  <c r="E18" i="10"/>
  <c r="G18" i="10"/>
  <c r="F18" i="10"/>
  <c r="K18" i="10"/>
  <c r="J18" i="10"/>
  <c r="H18" i="10"/>
  <c r="I18" i="10"/>
  <c r="M18" i="10"/>
  <c r="F49" i="10"/>
  <c r="I49" i="10"/>
  <c r="L49" i="10"/>
  <c r="E49" i="10"/>
  <c r="H49" i="10"/>
  <c r="G49" i="10"/>
  <c r="M49" i="10"/>
  <c r="N49" i="10"/>
  <c r="J49" i="10"/>
  <c r="K49" i="10"/>
  <c r="H33" i="10"/>
  <c r="L33" i="10"/>
  <c r="G33" i="10"/>
  <c r="I33" i="10"/>
  <c r="E33" i="10"/>
  <c r="J33" i="10"/>
  <c r="K33" i="10"/>
  <c r="M33" i="10"/>
  <c r="N33" i="10"/>
  <c r="F33" i="10"/>
  <c r="H17" i="10"/>
  <c r="L17" i="10"/>
  <c r="N17" i="10"/>
  <c r="G17" i="10"/>
  <c r="I17" i="10"/>
  <c r="E17" i="10"/>
  <c r="K17" i="10"/>
  <c r="M17" i="10"/>
  <c r="F17" i="10"/>
  <c r="J17" i="10"/>
  <c r="G36" i="10"/>
  <c r="I36" i="10"/>
  <c r="N36" i="10"/>
  <c r="M36" i="10"/>
  <c r="H36" i="10"/>
  <c r="E36" i="10"/>
  <c r="L36" i="10"/>
  <c r="K36" i="10"/>
  <c r="F36" i="10"/>
  <c r="J36" i="10"/>
  <c r="G52" i="10"/>
  <c r="N52" i="10"/>
  <c r="J52" i="10"/>
  <c r="F52" i="10"/>
  <c r="M52" i="10"/>
  <c r="L52" i="10"/>
  <c r="I52" i="10"/>
  <c r="H52" i="10"/>
  <c r="K52" i="10"/>
  <c r="E52" i="10"/>
  <c r="H55" i="10"/>
  <c r="F55" i="10"/>
  <c r="K55" i="10"/>
  <c r="G55" i="10"/>
  <c r="N55" i="10"/>
  <c r="M55" i="10"/>
  <c r="J55" i="10"/>
  <c r="I55" i="10"/>
  <c r="E55" i="10"/>
  <c r="L55" i="10"/>
  <c r="H39" i="10"/>
  <c r="L39" i="10"/>
  <c r="J39" i="10"/>
  <c r="E39" i="10"/>
  <c r="M39" i="10"/>
  <c r="I39" i="10"/>
  <c r="N39" i="10"/>
  <c r="G39" i="10"/>
  <c r="K39" i="10"/>
  <c r="F39" i="10"/>
  <c r="H23" i="10"/>
  <c r="L23" i="10"/>
  <c r="J23" i="10"/>
  <c r="E23" i="10"/>
  <c r="G23" i="10"/>
  <c r="I23" i="10"/>
  <c r="N23" i="10"/>
  <c r="M23" i="10"/>
  <c r="K23" i="10"/>
  <c r="F23" i="10"/>
  <c r="H7" i="10"/>
  <c r="L7" i="10"/>
  <c r="J7" i="10"/>
  <c r="E7" i="10"/>
  <c r="M7" i="10"/>
  <c r="I7" i="10"/>
  <c r="N7" i="10"/>
  <c r="G7" i="10"/>
  <c r="F7" i="10"/>
  <c r="K7" i="10"/>
  <c r="W79" i="7"/>
  <c r="AB79" i="7"/>
  <c r="W36" i="7"/>
  <c r="AB36" i="7"/>
  <c r="W52" i="7"/>
  <c r="AB52" i="7"/>
  <c r="W60" i="7"/>
  <c r="AB60" i="7"/>
  <c r="W55" i="7"/>
  <c r="AB55" i="7"/>
  <c r="W43" i="7"/>
  <c r="AB43" i="7"/>
  <c r="W75" i="7"/>
  <c r="AB75" i="7"/>
  <c r="W80" i="7"/>
  <c r="AB80" i="7"/>
  <c r="W22" i="7"/>
  <c r="AB22" i="7"/>
  <c r="W65" i="7"/>
  <c r="AB65" i="7"/>
  <c r="W35" i="7"/>
  <c r="AB35" i="7"/>
  <c r="W53" i="7"/>
  <c r="AB53" i="7"/>
  <c r="W56" i="7"/>
  <c r="AB56" i="7"/>
  <c r="W21" i="7"/>
  <c r="AB21" i="7"/>
  <c r="W59" i="7"/>
  <c r="AB59" i="7"/>
  <c r="W15" i="7"/>
  <c r="AB15" i="7"/>
  <c r="W77" i="7"/>
  <c r="AB77" i="7"/>
  <c r="W62" i="7"/>
  <c r="AB62" i="7"/>
  <c r="W45" i="7"/>
  <c r="AB45" i="7"/>
  <c r="W9" i="7"/>
  <c r="AB9" i="7"/>
  <c r="W20" i="7"/>
  <c r="AB20" i="7"/>
  <c r="W28" i="7"/>
  <c r="AB28" i="7"/>
  <c r="W46" i="7"/>
  <c r="AB46" i="7"/>
  <c r="W68" i="7"/>
  <c r="AB68" i="7"/>
  <c r="W69" i="7"/>
  <c r="AB69" i="7"/>
  <c r="W70" i="7"/>
  <c r="AB70" i="7"/>
  <c r="W61" i="7"/>
  <c r="AB61" i="7"/>
  <c r="W25" i="7"/>
  <c r="AB25" i="7"/>
  <c r="W49" i="7"/>
  <c r="AB49" i="7"/>
  <c r="W48" i="7"/>
  <c r="AB48" i="7"/>
  <c r="W50" i="7"/>
  <c r="AB50" i="7"/>
  <c r="W24" i="7"/>
  <c r="AB24" i="7"/>
  <c r="W71" i="7"/>
  <c r="AB71" i="7"/>
  <c r="W41" i="7"/>
  <c r="AB41" i="7"/>
  <c r="W76" i="7"/>
  <c r="AB76" i="7"/>
  <c r="W47" i="7"/>
  <c r="AB47" i="7"/>
  <c r="W67" i="7"/>
  <c r="AB67" i="7"/>
  <c r="W51" i="7"/>
  <c r="AB51" i="7"/>
  <c r="W38" i="7"/>
  <c r="AB38" i="7"/>
  <c r="W17" i="7"/>
  <c r="AB17" i="7"/>
  <c r="W72" i="7"/>
  <c r="AB72" i="7"/>
  <c r="W54" i="7"/>
  <c r="AB54" i="7"/>
  <c r="W39" i="7"/>
  <c r="AB39" i="7"/>
  <c r="W11" i="7"/>
  <c r="AB11" i="7"/>
  <c r="W73" i="7"/>
  <c r="AB73" i="7"/>
  <c r="W57" i="7"/>
  <c r="AB57" i="7"/>
  <c r="W40" i="7"/>
  <c r="AB40" i="7"/>
  <c r="W6" i="7"/>
  <c r="AB6" i="7"/>
  <c r="W74" i="7"/>
  <c r="AB74" i="7"/>
  <c r="W13" i="7"/>
  <c r="AB13" i="7"/>
  <c r="W37" i="7"/>
  <c r="AB37" i="7"/>
  <c r="W63" i="7"/>
  <c r="AB63" i="7"/>
  <c r="W14" i="7"/>
  <c r="AB14" i="7"/>
  <c r="W26" i="7"/>
  <c r="AB26" i="7"/>
  <c r="W64" i="7"/>
  <c r="AB64" i="7"/>
  <c r="T81" i="7"/>
  <c r="U81" i="7" s="1"/>
  <c r="Y81" i="7"/>
  <c r="Z81" i="7" s="1"/>
  <c r="AA81" i="7" s="1"/>
  <c r="AB81" i="7" s="1"/>
  <c r="T7" i="7"/>
  <c r="U7" i="7" s="1"/>
  <c r="V7" i="7" s="1"/>
  <c r="W7" i="7" s="1"/>
  <c r="Y7" i="7"/>
  <c r="T66" i="7"/>
  <c r="U66" i="7" s="1"/>
  <c r="V66" i="7" s="1"/>
  <c r="W66" i="7" s="1"/>
  <c r="Y66" i="7"/>
  <c r="Z66" i="7" s="1"/>
  <c r="T12" i="7"/>
  <c r="Y12" i="7"/>
  <c r="T58" i="7"/>
  <c r="Y58" i="7"/>
  <c r="Z58" i="7" s="1"/>
  <c r="T84" i="7"/>
  <c r="U84" i="7" s="1"/>
  <c r="Y84" i="7"/>
  <c r="Z84" i="7" s="1"/>
  <c r="T8" i="7"/>
  <c r="U8" i="7" s="1"/>
  <c r="V8" i="7" s="1"/>
  <c r="W8" i="7" s="1"/>
  <c r="Y8" i="7"/>
  <c r="T42" i="7"/>
  <c r="Y42" i="7"/>
  <c r="Z42" i="7" s="1"/>
  <c r="AA42" i="7" s="1"/>
  <c r="AB42" i="7" s="1"/>
  <c r="T85" i="7"/>
  <c r="U85" i="7" s="1"/>
  <c r="Y85" i="7"/>
  <c r="T23" i="7"/>
  <c r="Y23" i="7"/>
  <c r="Z23" i="7" s="1"/>
  <c r="T33" i="7"/>
  <c r="Y33" i="7"/>
  <c r="Z33" i="7" s="1"/>
  <c r="T31" i="7"/>
  <c r="U31" i="7" s="1"/>
  <c r="Y31" i="7"/>
  <c r="T29" i="7"/>
  <c r="Y29" i="7"/>
  <c r="Z29" i="7" s="1"/>
  <c r="AA29" i="7" s="1"/>
  <c r="AB29" i="7" s="1"/>
  <c r="T18" i="7"/>
  <c r="Y18" i="7"/>
  <c r="Z18" i="7" s="1"/>
  <c r="T32" i="7"/>
  <c r="Y32" i="7"/>
  <c r="T78" i="7"/>
  <c r="U78" i="7" s="1"/>
  <c r="V78" i="7" s="1"/>
  <c r="W78" i="7" s="1"/>
  <c r="Y78" i="7"/>
  <c r="T5" i="7"/>
  <c r="U5" i="7" s="1"/>
  <c r="V5" i="7" s="1"/>
  <c r="W5" i="7" s="1"/>
  <c r="Y5" i="7"/>
  <c r="T34" i="7"/>
  <c r="Y34" i="7"/>
  <c r="Z34" i="7" s="1"/>
  <c r="AA34" i="7" s="1"/>
  <c r="AB34" i="7" s="1"/>
  <c r="T82" i="7"/>
  <c r="U82" i="7" s="1"/>
  <c r="Y82" i="7"/>
  <c r="Z82" i="7" s="1"/>
  <c r="AA82" i="7" s="1"/>
  <c r="AB82" i="7" s="1"/>
  <c r="T19" i="7"/>
  <c r="U19" i="7" s="1"/>
  <c r="Y19" i="7"/>
  <c r="Z19" i="7" s="1"/>
  <c r="T30" i="7"/>
  <c r="U30" i="7" s="1"/>
  <c r="Y30" i="7"/>
  <c r="Z30" i="7" s="1"/>
  <c r="T10" i="7"/>
  <c r="Y10" i="7"/>
  <c r="T16" i="7"/>
  <c r="U16" i="7" s="1"/>
  <c r="V16" i="7" s="1"/>
  <c r="W16" i="7" s="1"/>
  <c r="Y16" i="7"/>
  <c r="T83" i="7"/>
  <c r="U83" i="7" s="1"/>
  <c r="V83" i="7" s="1"/>
  <c r="W83" i="7" s="1"/>
  <c r="Y83" i="7"/>
  <c r="Z83" i="7" s="1"/>
  <c r="T27" i="7"/>
  <c r="Y27" i="7"/>
  <c r="R56" i="7"/>
  <c r="R41" i="7"/>
  <c r="R76" i="7"/>
  <c r="R59" i="7"/>
  <c r="R15" i="7"/>
  <c r="R77" i="7"/>
  <c r="R62" i="7"/>
  <c r="R9" i="7"/>
  <c r="R20" i="7"/>
  <c r="R67" i="7"/>
  <c r="R51" i="7"/>
  <c r="R38" i="7"/>
  <c r="R17" i="7"/>
  <c r="R72" i="7"/>
  <c r="R54" i="7"/>
  <c r="R39" i="7"/>
  <c r="R11" i="7"/>
  <c r="R73" i="7"/>
  <c r="R57" i="7"/>
  <c r="R40" i="7"/>
  <c r="R6" i="7"/>
  <c r="R74" i="7"/>
  <c r="R13" i="7"/>
  <c r="R79" i="7"/>
  <c r="R63" i="7"/>
  <c r="R46" i="7"/>
  <c r="R36" i="7"/>
  <c r="R14" i="7"/>
  <c r="R68" i="7"/>
  <c r="R52" i="7"/>
  <c r="R26" i="7"/>
  <c r="R60" i="7"/>
  <c r="R69" i="7"/>
  <c r="R55" i="7"/>
  <c r="R37" i="7"/>
  <c r="R43" i="7"/>
  <c r="R70" i="7"/>
  <c r="R61" i="7"/>
  <c r="R25" i="7"/>
  <c r="R64" i="7"/>
  <c r="R22" i="7"/>
  <c r="R35" i="7"/>
  <c r="R53" i="7"/>
  <c r="R71" i="7"/>
  <c r="E14" i="11" s="1"/>
  <c r="F14" i="11" s="1"/>
  <c r="R21" i="7"/>
  <c r="R47" i="7"/>
  <c r="R45" i="7"/>
  <c r="R28" i="7"/>
  <c r="R75" i="7"/>
  <c r="R44" i="7"/>
  <c r="R49" i="7"/>
  <c r="R48" i="7"/>
  <c r="R65" i="7"/>
  <c r="R50" i="7"/>
  <c r="R80" i="7"/>
  <c r="R24" i="7"/>
  <c r="D7" i="7"/>
  <c r="E8" i="7"/>
  <c r="C7" i="7"/>
  <c r="AF49" i="7" l="1"/>
  <c r="AH49" i="7"/>
  <c r="AH37" i="7"/>
  <c r="AF37" i="7"/>
  <c r="AH13" i="7"/>
  <c r="AF13" i="7"/>
  <c r="AH51" i="7"/>
  <c r="AF51" i="7"/>
  <c r="AF76" i="7"/>
  <c r="AH76" i="7"/>
  <c r="AH65" i="7"/>
  <c r="AF65" i="7"/>
  <c r="AF75" i="7"/>
  <c r="AH75" i="7"/>
  <c r="AH22" i="7"/>
  <c r="AF22" i="7"/>
  <c r="AH69" i="7"/>
  <c r="AF69" i="7"/>
  <c r="AH63" i="7"/>
  <c r="AF63" i="7"/>
  <c r="AH11" i="7"/>
  <c r="AF11" i="7"/>
  <c r="AF24" i="7"/>
  <c r="AH24" i="7"/>
  <c r="AH48" i="7"/>
  <c r="AF48" i="7"/>
  <c r="AH28" i="7"/>
  <c r="AF28" i="7"/>
  <c r="AF71" i="7"/>
  <c r="AH71" i="7"/>
  <c r="AH64" i="7"/>
  <c r="AF64" i="7"/>
  <c r="AF43" i="7"/>
  <c r="AH43" i="7"/>
  <c r="AH60" i="7"/>
  <c r="AF60" i="7"/>
  <c r="AF14" i="7"/>
  <c r="AH14" i="7"/>
  <c r="AH79" i="7"/>
  <c r="AF79" i="7"/>
  <c r="AH40" i="7"/>
  <c r="AF40" i="7"/>
  <c r="AF39" i="7"/>
  <c r="AH39" i="7"/>
  <c r="AF38" i="7"/>
  <c r="AH38" i="7"/>
  <c r="AF9" i="7"/>
  <c r="AH9" i="7"/>
  <c r="AF59" i="7"/>
  <c r="AH59" i="7"/>
  <c r="AH25" i="7"/>
  <c r="AF25" i="7"/>
  <c r="AH54" i="7"/>
  <c r="AF54" i="7"/>
  <c r="AF45" i="7"/>
  <c r="AH45" i="7"/>
  <c r="AH26" i="7"/>
  <c r="AF26" i="7"/>
  <c r="AF57" i="7"/>
  <c r="AH57" i="7"/>
  <c r="AF62" i="7"/>
  <c r="AH62" i="7"/>
  <c r="AF50" i="7"/>
  <c r="AH50" i="7"/>
  <c r="AH47" i="7"/>
  <c r="AF47" i="7"/>
  <c r="AF35" i="7"/>
  <c r="AH35" i="7"/>
  <c r="AH61" i="7"/>
  <c r="AF61" i="7"/>
  <c r="AH55" i="7"/>
  <c r="AF55" i="7"/>
  <c r="AH52" i="7"/>
  <c r="AF52" i="7"/>
  <c r="AF46" i="7"/>
  <c r="AH46" i="7"/>
  <c r="AF74" i="7"/>
  <c r="AH74" i="7"/>
  <c r="AH73" i="7"/>
  <c r="AF73" i="7"/>
  <c r="AH72" i="7"/>
  <c r="AF72" i="7"/>
  <c r="AF67" i="7"/>
  <c r="AH67" i="7"/>
  <c r="AH77" i="7"/>
  <c r="AF77" i="7"/>
  <c r="AH41" i="7"/>
  <c r="AF41" i="7"/>
  <c r="AF80" i="7"/>
  <c r="AH80" i="7"/>
  <c r="AF53" i="7"/>
  <c r="AH53" i="7"/>
  <c r="AH36" i="7"/>
  <c r="AF36" i="7"/>
  <c r="AH21" i="7"/>
  <c r="AF21" i="7"/>
  <c r="AF70" i="7"/>
  <c r="AH70" i="7"/>
  <c r="AF68" i="7"/>
  <c r="AH68" i="7"/>
  <c r="AH6" i="7"/>
  <c r="AF6" i="7"/>
  <c r="AH20" i="7"/>
  <c r="AF20" i="7"/>
  <c r="AF15" i="7"/>
  <c r="AH15" i="7"/>
  <c r="AF56" i="7"/>
  <c r="AH56" i="7"/>
  <c r="AF17" i="7"/>
  <c r="AH17" i="7"/>
  <c r="AG28" i="7"/>
  <c r="AE28" i="7"/>
  <c r="AG64" i="7"/>
  <c r="AE64" i="7"/>
  <c r="AE79" i="7"/>
  <c r="AG79" i="7"/>
  <c r="AE59" i="7"/>
  <c r="AG59" i="7"/>
  <c r="AG80" i="7"/>
  <c r="AE80" i="7"/>
  <c r="AG53" i="7"/>
  <c r="AE53" i="7"/>
  <c r="AG26" i="7"/>
  <c r="AE26" i="7"/>
  <c r="AG54" i="7"/>
  <c r="AE54" i="7"/>
  <c r="AG76" i="7"/>
  <c r="AE76" i="7"/>
  <c r="AE48" i="7"/>
  <c r="AG48" i="7"/>
  <c r="AE60" i="7"/>
  <c r="AG60" i="7"/>
  <c r="AE39" i="7"/>
  <c r="AG39" i="7"/>
  <c r="AG49" i="7"/>
  <c r="AE49" i="7"/>
  <c r="AG37" i="7"/>
  <c r="AE37" i="7"/>
  <c r="AG13" i="7"/>
  <c r="AE13" i="7"/>
  <c r="AE51" i="7"/>
  <c r="AG51" i="7"/>
  <c r="AE50" i="7"/>
  <c r="AG50" i="7"/>
  <c r="AE47" i="7"/>
  <c r="AG47" i="7"/>
  <c r="AE61" i="7"/>
  <c r="AG61" i="7"/>
  <c r="AG46" i="7"/>
  <c r="AE46" i="7"/>
  <c r="AG73" i="7"/>
  <c r="AE73" i="7"/>
  <c r="AG67" i="7"/>
  <c r="AE67" i="7"/>
  <c r="AG41" i="7"/>
  <c r="AE41" i="7"/>
  <c r="AG24" i="7"/>
  <c r="AE24" i="7"/>
  <c r="AE43" i="7"/>
  <c r="AG43" i="7"/>
  <c r="AG40" i="7"/>
  <c r="AE40" i="7"/>
  <c r="AG9" i="7"/>
  <c r="AE9" i="7"/>
  <c r="AG45" i="7"/>
  <c r="AE45" i="7"/>
  <c r="AG25" i="7"/>
  <c r="AE25" i="7"/>
  <c r="AG36" i="7"/>
  <c r="AE36" i="7"/>
  <c r="AG57" i="7"/>
  <c r="AE57" i="7"/>
  <c r="AG62" i="7"/>
  <c r="AE62" i="7"/>
  <c r="AE35" i="7"/>
  <c r="AG35" i="7"/>
  <c r="AE55" i="7"/>
  <c r="AG55" i="7"/>
  <c r="AG52" i="7"/>
  <c r="AE52" i="7"/>
  <c r="AG74" i="7"/>
  <c r="AE74" i="7"/>
  <c r="AG72" i="7"/>
  <c r="AE72" i="7"/>
  <c r="AG77" i="7"/>
  <c r="AE77" i="7"/>
  <c r="AE65" i="7"/>
  <c r="AG65" i="7"/>
  <c r="AG75" i="7"/>
  <c r="AE75" i="7"/>
  <c r="AG21" i="7"/>
  <c r="AE21" i="7"/>
  <c r="AG22" i="7"/>
  <c r="AE22" i="7"/>
  <c r="AE70" i="7"/>
  <c r="AG70" i="7"/>
  <c r="AG69" i="7"/>
  <c r="AE69" i="7"/>
  <c r="AE68" i="7"/>
  <c r="AG68" i="7"/>
  <c r="AE63" i="7"/>
  <c r="AG63" i="7"/>
  <c r="AG6" i="7"/>
  <c r="AE6" i="7"/>
  <c r="AE11" i="7"/>
  <c r="AG11" i="7"/>
  <c r="AE17" i="7"/>
  <c r="AG17" i="7"/>
  <c r="AG20" i="7"/>
  <c r="AE20" i="7"/>
  <c r="AE15" i="7"/>
  <c r="AG15" i="7"/>
  <c r="AE56" i="7"/>
  <c r="AG56" i="7"/>
  <c r="AG71" i="7"/>
  <c r="AE71" i="7"/>
  <c r="AG14" i="7"/>
  <c r="AE14" i="7"/>
  <c r="AG38" i="7"/>
  <c r="AE38" i="7"/>
  <c r="AA30" i="7"/>
  <c r="AB30" i="7" s="1"/>
  <c r="AD30" i="7"/>
  <c r="Z16" i="7"/>
  <c r="AA16" i="7" s="1"/>
  <c r="AB16" i="7" s="1"/>
  <c r="Z8" i="7"/>
  <c r="AA8" i="7" s="1"/>
  <c r="AB8" i="7" s="1"/>
  <c r="AD82" i="7"/>
  <c r="Z7" i="7"/>
  <c r="AA7" i="7" s="1"/>
  <c r="AB7" i="7" s="1"/>
  <c r="Z31" i="7"/>
  <c r="AA31" i="7" s="1"/>
  <c r="AB31" i="7" s="1"/>
  <c r="AA66" i="7"/>
  <c r="AB66" i="7" s="1"/>
  <c r="AD66" i="7"/>
  <c r="AD81" i="7"/>
  <c r="AD19" i="7"/>
  <c r="AA84" i="7"/>
  <c r="AB84" i="7" s="1"/>
  <c r="AD84" i="7"/>
  <c r="Z35" i="7"/>
  <c r="AD35" i="7"/>
  <c r="AA35" i="7"/>
  <c r="Z55" i="7"/>
  <c r="AD55" i="7"/>
  <c r="AA55" i="7"/>
  <c r="AD46" i="7"/>
  <c r="AA46" i="7"/>
  <c r="Z46" i="7"/>
  <c r="AD73" i="7"/>
  <c r="AA73" i="7"/>
  <c r="Z73" i="7"/>
  <c r="AD77" i="7"/>
  <c r="AA77" i="7"/>
  <c r="Z77" i="7"/>
  <c r="AA18" i="7"/>
  <c r="AB18" i="7" s="1"/>
  <c r="AA58" i="7"/>
  <c r="AB58" i="7" s="1"/>
  <c r="Z75" i="7"/>
  <c r="AD75" i="7"/>
  <c r="AA75" i="7"/>
  <c r="AA70" i="7"/>
  <c r="AD70" i="7"/>
  <c r="Z70" i="7"/>
  <c r="Z63" i="7"/>
  <c r="AD63" i="7"/>
  <c r="AA63" i="7"/>
  <c r="AD17" i="7"/>
  <c r="Z17" i="7"/>
  <c r="AA17" i="7"/>
  <c r="AA20" i="7"/>
  <c r="Z20" i="7"/>
  <c r="AD20" i="7"/>
  <c r="Z15" i="7"/>
  <c r="AD15" i="7"/>
  <c r="AA15" i="7"/>
  <c r="AA56" i="7"/>
  <c r="Z56" i="7"/>
  <c r="AD56" i="7"/>
  <c r="Z85" i="7"/>
  <c r="AA85" i="7" s="1"/>
  <c r="AB85" i="7" s="1"/>
  <c r="Z12" i="7"/>
  <c r="AA12" i="7" s="1"/>
  <c r="AB12" i="7" s="1"/>
  <c r="AA23" i="7"/>
  <c r="AB23" i="7" s="1"/>
  <c r="AA19" i="7"/>
  <c r="AB19" i="7" s="1"/>
  <c r="Z78" i="7"/>
  <c r="AA78" i="7" s="1"/>
  <c r="AB78" i="7" s="1"/>
  <c r="Z32" i="7"/>
  <c r="AA32" i="7" s="1"/>
  <c r="AB32" i="7" s="1"/>
  <c r="Z27" i="7"/>
  <c r="AA27" i="7" s="1"/>
  <c r="AB27" i="7" s="1"/>
  <c r="AA83" i="7"/>
  <c r="AB83" i="7" s="1"/>
  <c r="AD21" i="7"/>
  <c r="AA21" i="7"/>
  <c r="Z21" i="7"/>
  <c r="AA68" i="7"/>
  <c r="Z68" i="7"/>
  <c r="AD68" i="7"/>
  <c r="Z11" i="7"/>
  <c r="AD11" i="7"/>
  <c r="AA11" i="7"/>
  <c r="AA48" i="7"/>
  <c r="Z48" i="7"/>
  <c r="AD48" i="7"/>
  <c r="Z71" i="7"/>
  <c r="AD71" i="7"/>
  <c r="AA71" i="7"/>
  <c r="Z43" i="7"/>
  <c r="AD43" i="7"/>
  <c r="AA43" i="7"/>
  <c r="AD14" i="7"/>
  <c r="AA14" i="7"/>
  <c r="Z14" i="7"/>
  <c r="AA40" i="7"/>
  <c r="Z40" i="7"/>
  <c r="AD40" i="7"/>
  <c r="AD38" i="7"/>
  <c r="AA38" i="7"/>
  <c r="Z38" i="7"/>
  <c r="Z10" i="7"/>
  <c r="AA10" i="7" s="1"/>
  <c r="AB10" i="7" s="1"/>
  <c r="Z5" i="7"/>
  <c r="AD5" i="7" s="1"/>
  <c r="AD83" i="7"/>
  <c r="AD50" i="7"/>
  <c r="AA50" i="7"/>
  <c r="Z50" i="7"/>
  <c r="Z47" i="7"/>
  <c r="AD47" i="7"/>
  <c r="AA47" i="7"/>
  <c r="AD61" i="7"/>
  <c r="Z61" i="7"/>
  <c r="AA61" i="7"/>
  <c r="AA52" i="7"/>
  <c r="Z52" i="7"/>
  <c r="AD52" i="7"/>
  <c r="AD74" i="7"/>
  <c r="AA74" i="7"/>
  <c r="Z74" i="7"/>
  <c r="AA72" i="7"/>
  <c r="Z72" i="7"/>
  <c r="AD72" i="7"/>
  <c r="Z67" i="7"/>
  <c r="AD67" i="7"/>
  <c r="AA67" i="7"/>
  <c r="AD41" i="7"/>
  <c r="AA41" i="7"/>
  <c r="Z41" i="7"/>
  <c r="AA33" i="7"/>
  <c r="AB33" i="7" s="1"/>
  <c r="AD8" i="7"/>
  <c r="AD65" i="7"/>
  <c r="AA65" i="7"/>
  <c r="Z65" i="7"/>
  <c r="AD22" i="7"/>
  <c r="AA22" i="7"/>
  <c r="Z22" i="7"/>
  <c r="AD69" i="7"/>
  <c r="Z69" i="7"/>
  <c r="AA69" i="7"/>
  <c r="AD6" i="7"/>
  <c r="AA6" i="7"/>
  <c r="Z6" i="7"/>
  <c r="AA24" i="7"/>
  <c r="Z24" i="7"/>
  <c r="AD24" i="7"/>
  <c r="AA28" i="7"/>
  <c r="Z28" i="7"/>
  <c r="AD28" i="7"/>
  <c r="AA64" i="7"/>
  <c r="Z64" i="7"/>
  <c r="AD64" i="7"/>
  <c r="AA60" i="7"/>
  <c r="Z60" i="7"/>
  <c r="AD60" i="7"/>
  <c r="Z79" i="7"/>
  <c r="AD79" i="7"/>
  <c r="AA79" i="7"/>
  <c r="Z39" i="7"/>
  <c r="AD39" i="7"/>
  <c r="AA39" i="7"/>
  <c r="AD9" i="7"/>
  <c r="AA9" i="7"/>
  <c r="Z9" i="7"/>
  <c r="Z59" i="7"/>
  <c r="AD59" i="7"/>
  <c r="AA59" i="7"/>
  <c r="AA80" i="7"/>
  <c r="Z80" i="7"/>
  <c r="AD80" i="7"/>
  <c r="AD49" i="7"/>
  <c r="Z49" i="7"/>
  <c r="AA49" i="7"/>
  <c r="AD45" i="7"/>
  <c r="AA45" i="7"/>
  <c r="Z45" i="7"/>
  <c r="AD53" i="7"/>
  <c r="AA53" i="7"/>
  <c r="Z53" i="7"/>
  <c r="AD25" i="7"/>
  <c r="AA25" i="7"/>
  <c r="Z25" i="7"/>
  <c r="AD37" i="7"/>
  <c r="Z37" i="7"/>
  <c r="AA37" i="7"/>
  <c r="AD26" i="7"/>
  <c r="AA26" i="7"/>
  <c r="Z26" i="7"/>
  <c r="AA36" i="7"/>
  <c r="Z36" i="7"/>
  <c r="AD36" i="7"/>
  <c r="AD13" i="7"/>
  <c r="AA13" i="7"/>
  <c r="Z13" i="7"/>
  <c r="AD57" i="7"/>
  <c r="AA57" i="7"/>
  <c r="Z57" i="7"/>
  <c r="AD54" i="7"/>
  <c r="AA54" i="7"/>
  <c r="Z54" i="7"/>
  <c r="Z51" i="7"/>
  <c r="AD51" i="7"/>
  <c r="AA51" i="7"/>
  <c r="AD62" i="7"/>
  <c r="AA62" i="7"/>
  <c r="Z62" i="7"/>
  <c r="AA76" i="7"/>
  <c r="Z76" i="7"/>
  <c r="AD76" i="7"/>
  <c r="AD16" i="7"/>
  <c r="AD78" i="7"/>
  <c r="U27" i="7"/>
  <c r="V82" i="7"/>
  <c r="W82" i="7" s="1"/>
  <c r="V48" i="7"/>
  <c r="U48" i="7"/>
  <c r="V64" i="7"/>
  <c r="U64" i="7"/>
  <c r="V79" i="7"/>
  <c r="U79" i="7"/>
  <c r="V38" i="7"/>
  <c r="U38" i="7"/>
  <c r="U59" i="7"/>
  <c r="V59" i="7"/>
  <c r="V85" i="7"/>
  <c r="W85" i="7" s="1"/>
  <c r="V30" i="7"/>
  <c r="W30" i="7" s="1"/>
  <c r="U49" i="7"/>
  <c r="V49" i="7"/>
  <c r="V25" i="7"/>
  <c r="U25" i="7"/>
  <c r="V26" i="7"/>
  <c r="U26" i="7"/>
  <c r="V13" i="7"/>
  <c r="U13" i="7"/>
  <c r="V54" i="7"/>
  <c r="U54" i="7"/>
  <c r="V62" i="7"/>
  <c r="U62" i="7"/>
  <c r="V76" i="7"/>
  <c r="U76" i="7"/>
  <c r="U23" i="7"/>
  <c r="U42" i="7"/>
  <c r="U58" i="7"/>
  <c r="U12" i="7"/>
  <c r="U29" i="7"/>
  <c r="V31" i="7"/>
  <c r="W31" i="7" s="1"/>
  <c r="V81" i="7"/>
  <c r="W81" i="7" s="1"/>
  <c r="U10" i="7"/>
  <c r="V84" i="7"/>
  <c r="W84" i="7" s="1"/>
  <c r="U32" i="7"/>
  <c r="U71" i="7"/>
  <c r="V71" i="7"/>
  <c r="V60" i="7"/>
  <c r="U60" i="7"/>
  <c r="V40" i="7"/>
  <c r="U40" i="7"/>
  <c r="V9" i="7"/>
  <c r="U9" i="7"/>
  <c r="U33" i="7"/>
  <c r="V80" i="7"/>
  <c r="U80" i="7"/>
  <c r="V45" i="7"/>
  <c r="U45" i="7"/>
  <c r="U53" i="7"/>
  <c r="V53" i="7"/>
  <c r="U37" i="7"/>
  <c r="V37" i="7"/>
  <c r="V36" i="7"/>
  <c r="U36" i="7"/>
  <c r="V57" i="7"/>
  <c r="U57" i="7"/>
  <c r="U51" i="7"/>
  <c r="V51" i="7"/>
  <c r="V50" i="7"/>
  <c r="U50" i="7"/>
  <c r="V47" i="7"/>
  <c r="U47" i="7"/>
  <c r="V35" i="7"/>
  <c r="U35" i="7"/>
  <c r="U61" i="7"/>
  <c r="V61" i="7"/>
  <c r="V55" i="7"/>
  <c r="U55" i="7"/>
  <c r="V52" i="7"/>
  <c r="U52" i="7"/>
  <c r="V46" i="7"/>
  <c r="U46" i="7"/>
  <c r="V74" i="7"/>
  <c r="U74" i="7"/>
  <c r="V73" i="7"/>
  <c r="U73" i="7"/>
  <c r="V72" i="7"/>
  <c r="U72" i="7"/>
  <c r="V67" i="7"/>
  <c r="U67" i="7"/>
  <c r="U77" i="7"/>
  <c r="V77" i="7"/>
  <c r="V41" i="7"/>
  <c r="U41" i="7"/>
  <c r="U18" i="7"/>
  <c r="V19" i="7"/>
  <c r="W19" i="7" s="1"/>
  <c r="U34" i="7"/>
  <c r="V24" i="7"/>
  <c r="U24" i="7"/>
  <c r="V28" i="7"/>
  <c r="U28" i="7"/>
  <c r="U43" i="7"/>
  <c r="V43" i="7"/>
  <c r="V14" i="7"/>
  <c r="U14" i="7"/>
  <c r="U39" i="7"/>
  <c r="V39" i="7"/>
  <c r="V65" i="7"/>
  <c r="U65" i="7"/>
  <c r="U75" i="7"/>
  <c r="V75" i="7"/>
  <c r="U21" i="7"/>
  <c r="V21" i="7"/>
  <c r="V22" i="7"/>
  <c r="U22" i="7"/>
  <c r="V70" i="7"/>
  <c r="U70" i="7"/>
  <c r="U69" i="7"/>
  <c r="V69" i="7"/>
  <c r="V68" i="7"/>
  <c r="U68" i="7"/>
  <c r="U63" i="7"/>
  <c r="V63" i="7"/>
  <c r="V6" i="7"/>
  <c r="U6" i="7"/>
  <c r="U11" i="7"/>
  <c r="V11" i="7"/>
  <c r="U17" i="7"/>
  <c r="V17" i="7"/>
  <c r="V20" i="7"/>
  <c r="U20" i="7"/>
  <c r="V15" i="7"/>
  <c r="U15" i="7"/>
  <c r="V56" i="7"/>
  <c r="U56" i="7"/>
  <c r="T64" i="7"/>
  <c r="Y64" i="7"/>
  <c r="T14" i="7"/>
  <c r="Y14" i="7"/>
  <c r="T38" i="7"/>
  <c r="Y38" i="7"/>
  <c r="T45" i="7"/>
  <c r="Y45" i="7"/>
  <c r="T26" i="7"/>
  <c r="Y26" i="7"/>
  <c r="T57" i="7"/>
  <c r="Y57" i="7"/>
  <c r="T62" i="7"/>
  <c r="Y62" i="7"/>
  <c r="T24" i="7"/>
  <c r="Y24" i="7"/>
  <c r="T71" i="7"/>
  <c r="Y71" i="7"/>
  <c r="T60" i="7"/>
  <c r="Y60" i="7"/>
  <c r="T39" i="7"/>
  <c r="Y39" i="7"/>
  <c r="T59" i="7"/>
  <c r="Y59" i="7"/>
  <c r="T80" i="7"/>
  <c r="Y80" i="7"/>
  <c r="T53" i="7"/>
  <c r="Y53" i="7"/>
  <c r="T25" i="7"/>
  <c r="Y25" i="7"/>
  <c r="T36" i="7"/>
  <c r="Y36" i="7"/>
  <c r="T54" i="7"/>
  <c r="Y54" i="7"/>
  <c r="T76" i="7"/>
  <c r="Y76" i="7"/>
  <c r="Y50" i="7"/>
  <c r="Y44" i="7"/>
  <c r="T35" i="7"/>
  <c r="Y35" i="7"/>
  <c r="T52" i="7"/>
  <c r="Y52" i="7"/>
  <c r="T74" i="7"/>
  <c r="Y74" i="7"/>
  <c r="T67" i="7"/>
  <c r="Y67" i="7"/>
  <c r="T28" i="7"/>
  <c r="Y28" i="7"/>
  <c r="T79" i="7"/>
  <c r="Y79" i="7"/>
  <c r="Y49" i="7"/>
  <c r="T37" i="7"/>
  <c r="Y37" i="7"/>
  <c r="T13" i="7"/>
  <c r="Y13" i="7"/>
  <c r="T51" i="7"/>
  <c r="Y51" i="7"/>
  <c r="T47" i="7"/>
  <c r="Y47" i="7"/>
  <c r="T61" i="7"/>
  <c r="Y61" i="7"/>
  <c r="T55" i="7"/>
  <c r="Y55" i="7"/>
  <c r="T46" i="7"/>
  <c r="Y46" i="7"/>
  <c r="T73" i="7"/>
  <c r="Y73" i="7"/>
  <c r="T72" i="7"/>
  <c r="Y72" i="7"/>
  <c r="T77" i="7"/>
  <c r="Y77" i="7"/>
  <c r="T41" i="7"/>
  <c r="Y41" i="7"/>
  <c r="Y65" i="7"/>
  <c r="Y75" i="7"/>
  <c r="T21" i="7"/>
  <c r="Y21" i="7"/>
  <c r="T22" i="7"/>
  <c r="Y22" i="7"/>
  <c r="T70" i="7"/>
  <c r="Y70" i="7"/>
  <c r="T69" i="7"/>
  <c r="Y69" i="7"/>
  <c r="T68" i="7"/>
  <c r="Y68" i="7"/>
  <c r="T63" i="7"/>
  <c r="Y63" i="7"/>
  <c r="T6" i="7"/>
  <c r="Y6" i="7"/>
  <c r="T11" i="7"/>
  <c r="Y11" i="7"/>
  <c r="T17" i="7"/>
  <c r="Y17" i="7"/>
  <c r="T20" i="7"/>
  <c r="Y20" i="7"/>
  <c r="T15" i="7"/>
  <c r="Y15" i="7"/>
  <c r="T56" i="7"/>
  <c r="Y56" i="7"/>
  <c r="T48" i="7"/>
  <c r="Y48" i="7"/>
  <c r="T43" i="7"/>
  <c r="Y43" i="7"/>
  <c r="T40" i="7"/>
  <c r="Y40" i="7"/>
  <c r="T9" i="7"/>
  <c r="Y9" i="7"/>
  <c r="T50" i="7"/>
  <c r="T44" i="7"/>
  <c r="U44" i="7" s="1"/>
  <c r="T65" i="7"/>
  <c r="T49" i="7"/>
  <c r="T75" i="7"/>
  <c r="D8" i="7"/>
  <c r="C8" i="7"/>
  <c r="E10" i="7"/>
  <c r="E12" i="7" s="1"/>
  <c r="Z44" i="7" l="1"/>
  <c r="AA44" i="7" s="1"/>
  <c r="AB44" i="7" s="1"/>
  <c r="V44" i="7"/>
  <c r="W44" i="7" s="1"/>
  <c r="AE8" i="7"/>
  <c r="AE83" i="7"/>
  <c r="AF83" i="7" s="1"/>
  <c r="AE78" i="7"/>
  <c r="AE5" i="7"/>
  <c r="AE19" i="7"/>
  <c r="AE81" i="7"/>
  <c r="AE30" i="7"/>
  <c r="AE16" i="7"/>
  <c r="AE84" i="7"/>
  <c r="AE66" i="7"/>
  <c r="AE82" i="7"/>
  <c r="AD7" i="7"/>
  <c r="AD85" i="7"/>
  <c r="AD31" i="7"/>
  <c r="V29" i="7"/>
  <c r="W29" i="7" s="1"/>
  <c r="AD29" i="7"/>
  <c r="V23" i="7"/>
  <c r="W23" i="7" s="1"/>
  <c r="AD23" i="7"/>
  <c r="V27" i="7"/>
  <c r="W27" i="7" s="1"/>
  <c r="AD27" i="7"/>
  <c r="V42" i="7"/>
  <c r="W42" i="7" s="1"/>
  <c r="AD42" i="7"/>
  <c r="V34" i="7"/>
  <c r="W34" i="7" s="1"/>
  <c r="AD34" i="7"/>
  <c r="V10" i="7"/>
  <c r="W10" i="7" s="1"/>
  <c r="AD10" i="7"/>
  <c r="V12" i="7"/>
  <c r="W12" i="7" s="1"/>
  <c r="AD12" i="7"/>
  <c r="V18" i="7"/>
  <c r="W18" i="7" s="1"/>
  <c r="AD18" i="7"/>
  <c r="V32" i="7"/>
  <c r="W32" i="7" s="1"/>
  <c r="AD32" i="7"/>
  <c r="V33" i="7"/>
  <c r="W33" i="7" s="1"/>
  <c r="AD33" i="7"/>
  <c r="V58" i="7"/>
  <c r="W58" i="7" s="1"/>
  <c r="AD58" i="7"/>
  <c r="AA5" i="7"/>
  <c r="AB5" i="7" s="1"/>
  <c r="C12" i="7"/>
  <c r="D12" i="7"/>
  <c r="D10" i="7"/>
  <c r="C10" i="7"/>
  <c r="E16" i="7"/>
  <c r="AD44" i="7" l="1"/>
  <c r="AE44" i="7" s="1"/>
  <c r="AF44" i="7" s="1"/>
  <c r="AG44" i="7"/>
  <c r="AH44" i="7" s="1"/>
  <c r="B2" i="1"/>
  <c r="AG82" i="7"/>
  <c r="AH82" i="7" s="1"/>
  <c r="AF82" i="7"/>
  <c r="AG30" i="7"/>
  <c r="AH30" i="7" s="1"/>
  <c r="AF30" i="7"/>
  <c r="AG78" i="7"/>
  <c r="AH78" i="7" s="1"/>
  <c r="AF78" i="7"/>
  <c r="AG83" i="7"/>
  <c r="AH83" i="7" s="1"/>
  <c r="AG66" i="7"/>
  <c r="AH66" i="7" s="1"/>
  <c r="AF66" i="7"/>
  <c r="AG81" i="7"/>
  <c r="AH81" i="7" s="1"/>
  <c r="AF81" i="7"/>
  <c r="AG84" i="7"/>
  <c r="AH84" i="7" s="1"/>
  <c r="AF84" i="7"/>
  <c r="AG19" i="7"/>
  <c r="AH19" i="7" s="1"/>
  <c r="AF19" i="7"/>
  <c r="AG16" i="7"/>
  <c r="AH16" i="7" s="1"/>
  <c r="AF16" i="7"/>
  <c r="AG5" i="7"/>
  <c r="AH5" i="7" s="1"/>
  <c r="AF5" i="7"/>
  <c r="AG8" i="7"/>
  <c r="AH8" i="7" s="1"/>
  <c r="AF8" i="7"/>
  <c r="AE33" i="7"/>
  <c r="AE23" i="7"/>
  <c r="AF23" i="7" s="1"/>
  <c r="AE10" i="7"/>
  <c r="AE18" i="7"/>
  <c r="AE42" i="7"/>
  <c r="AE31" i="7"/>
  <c r="A2" i="1"/>
  <c r="AE85" i="7"/>
  <c r="AE58" i="7"/>
  <c r="AE32" i="7"/>
  <c r="AE12" i="7"/>
  <c r="AE34" i="7"/>
  <c r="AE27" i="7"/>
  <c r="AE29" i="7"/>
  <c r="AE7" i="7"/>
  <c r="D16" i="7"/>
  <c r="C16" i="7"/>
  <c r="E18" i="7"/>
  <c r="AG58" i="7" l="1"/>
  <c r="AH58" i="7" s="1"/>
  <c r="AF58" i="7"/>
  <c r="AG29" i="7"/>
  <c r="AH29" i="7" s="1"/>
  <c r="AF29" i="7"/>
  <c r="AG32" i="7"/>
  <c r="AH32" i="7" s="1"/>
  <c r="AF32" i="7"/>
  <c r="AG31" i="7"/>
  <c r="AH31" i="7" s="1"/>
  <c r="AF31" i="7"/>
  <c r="AG23" i="7"/>
  <c r="AH23" i="7" s="1"/>
  <c r="AG27" i="7"/>
  <c r="AH27" i="7" s="1"/>
  <c r="AF27" i="7"/>
  <c r="AG42" i="7"/>
  <c r="AH42" i="7" s="1"/>
  <c r="AF42" i="7"/>
  <c r="AG85" i="7"/>
  <c r="AH85" i="7" s="1"/>
  <c r="AF85" i="7"/>
  <c r="AG33" i="7"/>
  <c r="AH33" i="7" s="1"/>
  <c r="AF33" i="7"/>
  <c r="AG34" i="7"/>
  <c r="AH34" i="7" s="1"/>
  <c r="AF34" i="7"/>
  <c r="AG18" i="7"/>
  <c r="AH18" i="7" s="1"/>
  <c r="AF18" i="7"/>
  <c r="AG7" i="7"/>
  <c r="AH7" i="7" s="1"/>
  <c r="AF7" i="7"/>
  <c r="AG12" i="7"/>
  <c r="AH12" i="7" s="1"/>
  <c r="AF12" i="7"/>
  <c r="AG10" i="7"/>
  <c r="AH10" i="7" s="1"/>
  <c r="AF10" i="7"/>
  <c r="D18" i="7"/>
  <c r="C18" i="7"/>
  <c r="E19" i="7"/>
  <c r="C2" i="1" l="1"/>
  <c r="L21" i="2" s="1"/>
  <c r="D2" i="1"/>
  <c r="D19" i="7"/>
  <c r="C19" i="7"/>
  <c r="E23" i="7"/>
  <c r="L6" i="2" l="1"/>
  <c r="L59" i="2"/>
  <c r="L98" i="2"/>
  <c r="L92" i="2"/>
  <c r="L50" i="2"/>
  <c r="L36" i="2"/>
  <c r="L24" i="2"/>
  <c r="L96" i="2"/>
  <c r="L47" i="2"/>
  <c r="L65" i="2"/>
  <c r="L39" i="2"/>
  <c r="L40" i="2"/>
  <c r="L86" i="2"/>
  <c r="L49" i="2"/>
  <c r="L28" i="2"/>
  <c r="L70" i="2"/>
  <c r="L44" i="2"/>
  <c r="L17" i="2"/>
  <c r="L32" i="2"/>
  <c r="L10" i="2"/>
  <c r="L43" i="2"/>
  <c r="L63" i="2"/>
  <c r="L54" i="2"/>
  <c r="L81" i="2"/>
  <c r="L16" i="2"/>
  <c r="L57" i="2"/>
  <c r="L69" i="2"/>
  <c r="L34" i="2"/>
  <c r="L93" i="2"/>
  <c r="L91" i="2"/>
  <c r="L23" i="2"/>
  <c r="L78" i="2"/>
  <c r="L68" i="2"/>
  <c r="L25" i="2"/>
  <c r="L67" i="2"/>
  <c r="L106" i="2"/>
  <c r="L56" i="2"/>
  <c r="L53" i="2"/>
  <c r="L2" i="2"/>
  <c r="L61" i="2"/>
  <c r="L7" i="2"/>
  <c r="L46" i="2"/>
  <c r="L105" i="2"/>
  <c r="L9" i="2"/>
  <c r="L51" i="2"/>
  <c r="L90" i="2"/>
  <c r="L101" i="2"/>
  <c r="L37" i="2"/>
  <c r="L72" i="2"/>
  <c r="L31" i="2"/>
  <c r="L22" i="2"/>
  <c r="L97" i="2"/>
  <c r="L33" i="2"/>
  <c r="L52" i="2"/>
  <c r="L80" i="2"/>
  <c r="L45" i="2"/>
  <c r="L71" i="2"/>
  <c r="L88" i="2"/>
  <c r="L30" i="2"/>
  <c r="L89" i="2"/>
  <c r="L60" i="2"/>
  <c r="L35" i="2"/>
  <c r="L58" i="2"/>
  <c r="L85" i="2"/>
  <c r="L5" i="2"/>
  <c r="L4" i="2"/>
  <c r="L104" i="2"/>
  <c r="L26" i="2"/>
  <c r="L42" i="2"/>
  <c r="L74" i="2"/>
  <c r="L76" i="2"/>
  <c r="L3" i="2"/>
  <c r="L19" i="2"/>
  <c r="L83" i="2"/>
  <c r="L99" i="2"/>
  <c r="L84" i="2"/>
  <c r="L48" i="2"/>
  <c r="L11" i="2"/>
  <c r="L75" i="2"/>
  <c r="L41" i="2"/>
  <c r="L73" i="2"/>
  <c r="L20" i="2"/>
  <c r="L14" i="2"/>
  <c r="L62" i="2"/>
  <c r="L94" i="2"/>
  <c r="L55" i="2"/>
  <c r="L87" i="2"/>
  <c r="L12" i="2"/>
  <c r="L27" i="2"/>
  <c r="L13" i="2"/>
  <c r="L29" i="2"/>
  <c r="L77" i="2"/>
  <c r="L18" i="2"/>
  <c r="L66" i="2"/>
  <c r="L82" i="2"/>
  <c r="L38" i="2"/>
  <c r="L102" i="2"/>
  <c r="L8" i="2"/>
  <c r="L64" i="2"/>
  <c r="L15" i="2"/>
  <c r="L79" i="2"/>
  <c r="L95" i="2"/>
  <c r="L103" i="2"/>
  <c r="L100" i="2"/>
  <c r="D23" i="7"/>
  <c r="C23" i="7"/>
  <c r="E27" i="7"/>
  <c r="C10" i="11" l="1"/>
  <c r="E10" i="11" s="1"/>
  <c r="F10" i="11" s="1"/>
  <c r="C7" i="11"/>
  <c r="E7" i="11" s="1"/>
  <c r="F7" i="11" s="1"/>
  <c r="C11" i="11"/>
  <c r="E11" i="11" s="1"/>
  <c r="F11" i="11" s="1"/>
  <c r="C8" i="11"/>
  <c r="E8" i="11" s="1"/>
  <c r="F8" i="11" s="1"/>
  <c r="C6" i="11"/>
  <c r="E6" i="11" s="1"/>
  <c r="F6" i="11" s="1"/>
  <c r="C9" i="11"/>
  <c r="E9" i="11" s="1"/>
  <c r="F9" i="11" s="1"/>
  <c r="C5" i="11"/>
  <c r="E5" i="11" s="1"/>
  <c r="F5" i="11" s="1"/>
  <c r="C4" i="11"/>
  <c r="E4" i="11" s="1"/>
  <c r="F4" i="11" s="1"/>
  <c r="C3" i="11"/>
  <c r="E3" i="11" s="1"/>
  <c r="F3" i="11" s="1"/>
  <c r="C2" i="11"/>
  <c r="L107" i="2"/>
  <c r="C27" i="7"/>
  <c r="D27" i="7"/>
  <c r="E28" i="7"/>
  <c r="C12" i="11" l="1"/>
  <c r="C15" i="11" s="1"/>
  <c r="E2" i="11"/>
  <c r="F2" i="11" s="1"/>
  <c r="D28" i="7"/>
  <c r="C28" i="7"/>
  <c r="E29" i="7"/>
  <c r="D29" i="7" l="1"/>
  <c r="C29" i="7"/>
  <c r="E30" i="7"/>
  <c r="D30" i="7" l="1"/>
  <c r="C30" i="7"/>
  <c r="E31" i="7"/>
  <c r="C31" i="7" l="1"/>
  <c r="D31" i="7"/>
  <c r="E32" i="7"/>
  <c r="D32" i="7" l="1"/>
  <c r="C32" i="7"/>
  <c r="E33" i="7"/>
  <c r="C33" i="7" l="1"/>
  <c r="D33" i="7"/>
  <c r="E34" i="7"/>
  <c r="D34" i="7" l="1"/>
  <c r="C34" i="7"/>
  <c r="E35" i="7"/>
  <c r="D35" i="7" l="1"/>
  <c r="C35" i="7"/>
  <c r="E39" i="7"/>
  <c r="D39" i="7" l="1"/>
  <c r="C39" i="7"/>
  <c r="E40" i="7"/>
  <c r="C40" i="7" l="1"/>
  <c r="D40" i="7"/>
  <c r="E42" i="7"/>
  <c r="D42" i="7" l="1"/>
  <c r="C42" i="7"/>
  <c r="E44" i="7"/>
  <c r="C44" i="7" l="1"/>
  <c r="D44" i="7"/>
  <c r="E47" i="7"/>
  <c r="C47" i="7" l="1"/>
  <c r="D47" i="7"/>
  <c r="E50" i="7"/>
  <c r="C50" i="7" l="1"/>
  <c r="D50" i="7"/>
  <c r="E52" i="7"/>
  <c r="D52" i="7" l="1"/>
  <c r="C52" i="7"/>
  <c r="E55" i="7"/>
  <c r="C55" i="7" l="1"/>
  <c r="D55" i="7"/>
  <c r="E58" i="7"/>
  <c r="C58" i="7" l="1"/>
  <c r="D58" i="7"/>
  <c r="E61" i="7"/>
  <c r="D61" i="7" l="1"/>
  <c r="C61" i="7"/>
  <c r="E64" i="7"/>
  <c r="D64" i="7" l="1"/>
  <c r="C64" i="7"/>
  <c r="E65" i="7"/>
  <c r="D65" i="7" l="1"/>
  <c r="C65" i="7"/>
  <c r="E66" i="7"/>
  <c r="C66" i="7" l="1"/>
  <c r="D66" i="7"/>
  <c r="E67" i="7"/>
  <c r="C67" i="7" l="1"/>
  <c r="D67" i="7"/>
  <c r="E68" i="7"/>
  <c r="D68" i="7" l="1"/>
  <c r="C68" i="7"/>
  <c r="E69" i="7"/>
  <c r="D69" i="7" l="1"/>
  <c r="C69" i="7"/>
  <c r="E70" i="7"/>
  <c r="C70" i="7" l="1"/>
  <c r="D70" i="7"/>
  <c r="E71" i="7"/>
  <c r="C71" i="7" l="1"/>
  <c r="D71" i="7"/>
  <c r="E72" i="7"/>
  <c r="D72" i="7" l="1"/>
  <c r="C72" i="7"/>
  <c r="E73" i="7"/>
  <c r="D73" i="7" l="1"/>
  <c r="C73" i="7"/>
  <c r="E74" i="7"/>
  <c r="C74" i="7" l="1"/>
  <c r="D74" i="7"/>
  <c r="E75" i="7"/>
  <c r="C75" i="7" l="1"/>
  <c r="D75" i="7"/>
  <c r="E76" i="7"/>
  <c r="D76" i="7" l="1"/>
  <c r="C76" i="7"/>
  <c r="E77" i="7"/>
  <c r="D77" i="7" l="1"/>
  <c r="C77" i="7"/>
  <c r="E78" i="7"/>
  <c r="C78" i="7" l="1"/>
  <c r="D78" i="7"/>
  <c r="E79" i="7"/>
  <c r="C79" i="7" l="1"/>
  <c r="D79" i="7"/>
  <c r="E80" i="7"/>
  <c r="D80" i="7" l="1"/>
  <c r="C80" i="7"/>
  <c r="E81" i="7"/>
  <c r="D81" i="7" l="1"/>
  <c r="C81" i="7"/>
  <c r="E82" i="7"/>
  <c r="C82" i="7" l="1"/>
  <c r="D82" i="7"/>
  <c r="E83" i="7"/>
  <c r="C83" i="7" l="1"/>
  <c r="D83" i="7"/>
  <c r="E84" i="7"/>
  <c r="D84" i="7" l="1"/>
  <c r="C84" i="7"/>
</calcChain>
</file>

<file path=xl/comments1.xml><?xml version="1.0" encoding="utf-8"?>
<comments xmlns="http://schemas.openxmlformats.org/spreadsheetml/2006/main">
  <authors>
    <author>Davide Cosio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s=secco
f=fresco</t>
        </r>
      </text>
    </comment>
  </commentList>
</comments>
</file>

<file path=xl/comments2.xml><?xml version="1.0" encoding="utf-8"?>
<comments xmlns="http://schemas.openxmlformats.org/spreadsheetml/2006/main">
  <authors>
    <author>Davide Cosio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Categoria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Maco Categoria Utility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Macro Prodotto Utility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ID Prodotto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unità di misura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Davide Cosio: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<sst xmlns="http://schemas.openxmlformats.org/spreadsheetml/2006/main" count="849" uniqueCount="352">
  <si>
    <t>KG</t>
  </si>
  <si>
    <t>prodotto</t>
  </si>
  <si>
    <t>unità</t>
  </si>
  <si>
    <t>Prodotto</t>
  </si>
  <si>
    <t>min</t>
  </si>
  <si>
    <t>media</t>
  </si>
  <si>
    <t>max</t>
  </si>
  <si>
    <t>Macro_categoria</t>
  </si>
  <si>
    <t>f</t>
  </si>
  <si>
    <t>s/f</t>
  </si>
  <si>
    <t>s</t>
  </si>
  <si>
    <t>prezzo_rif</t>
  </si>
  <si>
    <t>peso/conf</t>
  </si>
  <si>
    <t>prezzo</t>
  </si>
  <si>
    <t xml:space="preserve">Riso </t>
  </si>
  <si>
    <t xml:space="preserve">Farina di frumento </t>
  </si>
  <si>
    <t xml:space="preserve">Pasta di semola di grano duro </t>
  </si>
  <si>
    <t xml:space="preserve">Biscotti </t>
  </si>
  <si>
    <t xml:space="preserve">Tonno in scatola </t>
  </si>
  <si>
    <t xml:space="preserve">Latte scremato a lunga conservazione </t>
  </si>
  <si>
    <t xml:space="preserve">Olio extra vergine di oliva </t>
  </si>
  <si>
    <t xml:space="preserve">Legumi </t>
  </si>
  <si>
    <t xml:space="preserve">Pomodori pelati </t>
  </si>
  <si>
    <t xml:space="preserve">Zucchero </t>
  </si>
  <si>
    <t xml:space="preserve">Succo di frutta </t>
  </si>
  <si>
    <t xml:space="preserve">Bibita </t>
  </si>
  <si>
    <t xml:space="preserve">Dado </t>
  </si>
  <si>
    <t xml:space="preserve">Omogeneizzati </t>
  </si>
  <si>
    <t xml:space="preserve">Salsa </t>
  </si>
  <si>
    <t xml:space="preserve">Sale </t>
  </si>
  <si>
    <t xml:space="preserve">Snack </t>
  </si>
  <si>
    <t>gr</t>
  </si>
  <si>
    <t>cl</t>
  </si>
  <si>
    <t>ml</t>
  </si>
  <si>
    <t>u.m.</t>
  </si>
  <si>
    <t xml:space="preserve">Pane fresco </t>
  </si>
  <si>
    <t xml:space="preserve">Pane a fette </t>
  </si>
  <si>
    <t xml:space="preserve">Merenda preconfezionata </t>
  </si>
  <si>
    <t xml:space="preserve">Pasta senza glutine </t>
  </si>
  <si>
    <t xml:space="preserve">Cereali per colazione </t>
  </si>
  <si>
    <t xml:space="preserve">Carne fresca bovino adulto, primo taglio </t>
  </si>
  <si>
    <t xml:space="preserve">Carne fresca suina con osso </t>
  </si>
  <si>
    <t xml:space="preserve">Petto di pollo </t>
  </si>
  <si>
    <t xml:space="preserve">Prosciutto cotto </t>
  </si>
  <si>
    <t xml:space="preserve">Prosciutto crudo </t>
  </si>
  <si>
    <t xml:space="preserve">Pancetta in confezione </t>
  </si>
  <si>
    <t xml:space="preserve">Latte intero fresco </t>
  </si>
  <si>
    <t xml:space="preserve">Latte intero alta qualità </t>
  </si>
  <si>
    <t xml:space="preserve">Latte scremato alta digeribilità </t>
  </si>
  <si>
    <t xml:space="preserve">Latte in polvere </t>
  </si>
  <si>
    <t xml:space="preserve">Yogurt </t>
  </si>
  <si>
    <t xml:space="preserve">Parmigiano Reggiano </t>
  </si>
  <si>
    <t xml:space="preserve">Stracchino o crescenza </t>
  </si>
  <si>
    <t xml:space="preserve">Fior di latte </t>
  </si>
  <si>
    <t xml:space="preserve">Bevande vegetali </t>
  </si>
  <si>
    <t xml:space="preserve">Uova di gallina </t>
  </si>
  <si>
    <t xml:space="preserve">Burro </t>
  </si>
  <si>
    <t xml:space="preserve">Olio di semi di girasole </t>
  </si>
  <si>
    <t xml:space="preserve">Piselli surgelati </t>
  </si>
  <si>
    <t xml:space="preserve">Spinaci surgelati </t>
  </si>
  <si>
    <t xml:space="preserve">Insalata in confezione </t>
  </si>
  <si>
    <t xml:space="preserve">Passata di pomodoro </t>
  </si>
  <si>
    <t xml:space="preserve">Patate surgelate </t>
  </si>
  <si>
    <t xml:space="preserve">Miele </t>
  </si>
  <si>
    <t xml:space="preserve">Cioccolato in tavolette </t>
  </si>
  <si>
    <t xml:space="preserve">Vaschetta di gelato </t>
  </si>
  <si>
    <t xml:space="preserve">Aceto di vino </t>
  </si>
  <si>
    <t xml:space="preserve">Bastoncini di pesce surgelati </t>
  </si>
  <si>
    <t xml:space="preserve">Caffè tostato </t>
  </si>
  <si>
    <t xml:space="preserve">Tè </t>
  </si>
  <si>
    <t xml:space="preserve">Acqua minerale </t>
  </si>
  <si>
    <t xml:space="preserve">Bevanda gassata </t>
  </si>
  <si>
    <t xml:space="preserve">Vino da tavola </t>
  </si>
  <si>
    <t xml:space="preserve">Vino spumante </t>
  </si>
  <si>
    <t xml:space="preserve">Birra </t>
  </si>
  <si>
    <t>pz</t>
  </si>
  <si>
    <t>Macro_prodotto</t>
  </si>
  <si>
    <t>Riso</t>
  </si>
  <si>
    <t xml:space="preserve">Yogurt da bere </t>
  </si>
  <si>
    <t xml:space="preserve">Mozzarella </t>
  </si>
  <si>
    <t xml:space="preserve">Formaggio </t>
  </si>
  <si>
    <t xml:space="preserve">Panna </t>
  </si>
  <si>
    <t xml:space="preserve">Pasta fresca </t>
  </si>
  <si>
    <t xml:space="preserve">Pasta ripiena </t>
  </si>
  <si>
    <t xml:space="preserve">Gnocchi </t>
  </si>
  <si>
    <t xml:space="preserve">Semolino </t>
  </si>
  <si>
    <t xml:space="preserve">Canederli </t>
  </si>
  <si>
    <t xml:space="preserve">Merendine </t>
  </si>
  <si>
    <t xml:space="preserve">Zuppa </t>
  </si>
  <si>
    <t xml:space="preserve">Wurstel </t>
  </si>
  <si>
    <t xml:space="preserve">Salumi vari </t>
  </si>
  <si>
    <t xml:space="preserve">Marmellata </t>
  </si>
  <si>
    <t xml:space="preserve">Dolciumi </t>
  </si>
  <si>
    <t xml:space="preserve">Rosticceria </t>
  </si>
  <si>
    <t>quantità</t>
  </si>
  <si>
    <t>u_macro</t>
  </si>
  <si>
    <t>IDP</t>
  </si>
  <si>
    <t>IDMP</t>
  </si>
  <si>
    <t>IDMPU</t>
  </si>
  <si>
    <t>L</t>
  </si>
  <si>
    <t>PZ</t>
  </si>
  <si>
    <t>margine</t>
  </si>
  <si>
    <t>famiglia</t>
  </si>
  <si>
    <t>n</t>
  </si>
  <si>
    <t>PPM
(Punti per Mese)</t>
  </si>
  <si>
    <t>neonato
(0-2)</t>
  </si>
  <si>
    <t>% n</t>
  </si>
  <si>
    <t>% b</t>
  </si>
  <si>
    <t>€/p.c. n</t>
  </si>
  <si>
    <t>€/p.c. b</t>
  </si>
  <si>
    <t>% a</t>
  </si>
  <si>
    <t>IDMC</t>
  </si>
  <si>
    <t>IDMCU</t>
  </si>
  <si>
    <t>Macro_Cat1</t>
  </si>
  <si>
    <t>Macro_Cat2</t>
  </si>
  <si>
    <t>Macro_Cat3</t>
  </si>
  <si>
    <t>Macro_Cat4</t>
  </si>
  <si>
    <t>% margine</t>
  </si>
  <si>
    <t>ID</t>
  </si>
  <si>
    <t>neonati (0-2)</t>
  </si>
  <si>
    <t>Carne in scatola</t>
  </si>
  <si>
    <t>Tortellini</t>
  </si>
  <si>
    <t>Cioccolato</t>
  </si>
  <si>
    <t>Crackers</t>
  </si>
  <si>
    <t>Farina</t>
  </si>
  <si>
    <t>Primi piatti</t>
  </si>
  <si>
    <t>Prodotti colazione</t>
  </si>
  <si>
    <t>Prodotti in scatola</t>
  </si>
  <si>
    <t>Condimenti</t>
  </si>
  <si>
    <t>Sughi</t>
  </si>
  <si>
    <t>Bevande</t>
  </si>
  <si>
    <t>Prodotti infanzia</t>
  </si>
  <si>
    <t>Varie</t>
  </si>
  <si>
    <t>Pane</t>
  </si>
  <si>
    <t>Latte</t>
  </si>
  <si>
    <t>Formaggi</t>
  </si>
  <si>
    <t>Prodotti frigo</t>
  </si>
  <si>
    <t>Verdure</t>
  </si>
  <si>
    <t>Affettati e salumi</t>
  </si>
  <si>
    <t>Olio di semi</t>
  </si>
  <si>
    <t>TOTALE</t>
  </si>
  <si>
    <t>Q/p.c.</t>
  </si>
  <si>
    <t>bambino
(3-10)</t>
  </si>
  <si>
    <t>adulto
(&gt;10)</t>
  </si>
  <si>
    <t>media mensile</t>
  </si>
  <si>
    <t>bambini (3-10)</t>
  </si>
  <si>
    <t>adulti (&gt;10)</t>
  </si>
  <si>
    <t>€ gruppo noenati</t>
  </si>
  <si>
    <t>€ gruppo bambino</t>
  </si>
  <si>
    <t>€ gruppo adulto</t>
  </si>
  <si>
    <t>% decurtazione</t>
  </si>
  <si>
    <t>€ decurtato</t>
  </si>
  <si>
    <t>% decurtazione b</t>
  </si>
  <si>
    <t>€ decurtato b</t>
  </si>
  <si>
    <t>Totale</t>
  </si>
  <si>
    <t>€/p.c. a da 1 a 2</t>
  </si>
  <si>
    <t>€/p.c. a &gt;2</t>
  </si>
  <si>
    <t>€ gruppo a da 1 a 2</t>
  </si>
  <si>
    <t>€ gruppo a &gt;2</t>
  </si>
  <si>
    <t>adullto gruppo 1-2</t>
  </si>
  <si>
    <t>Formaggio da tavola</t>
  </si>
  <si>
    <t>BLOCCO</t>
  </si>
  <si>
    <t>ADULTI</t>
  </si>
  <si>
    <t>BAMBINI</t>
  </si>
  <si>
    <t>p-004</t>
  </si>
  <si>
    <t>p-006</t>
  </si>
  <si>
    <t>p-007</t>
  </si>
  <si>
    <t>p-009</t>
  </si>
  <si>
    <t>p-011</t>
  </si>
  <si>
    <t>p-015</t>
  </si>
  <si>
    <t>p-017</t>
  </si>
  <si>
    <t>p-018</t>
  </si>
  <si>
    <t>p-022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</si>
  <si>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</si>
  <si>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</si>
  <si>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</si>
  <si>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</si>
  <si>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</si>
  <si>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</si>
  <si>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</si>
  <si>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</si>
  <si>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</si>
  <si>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p-038</t>
  </si>
  <si>
    <t>p-039</t>
  </si>
  <si>
    <t>p-041</t>
  </si>
  <si>
    <t>p-043</t>
  </si>
  <si>
    <t>p-046</t>
  </si>
  <si>
    <t>p-049</t>
  </si>
  <si>
    <t>p-051</t>
  </si>
  <si>
    <t>p-054</t>
  </si>
  <si>
    <t>p-057</t>
  </si>
  <si>
    <t>p-060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</si>
  <si>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</si>
  <si>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</si>
  <si>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</si>
  <si>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</si>
  <si>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</si>
  <si>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</si>
  <si>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</si>
  <si>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</si>
  <si>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</si>
  <si>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</si>
  <si>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</si>
  <si>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</si>
  <si>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</si>
  <si>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</si>
  <si>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</si>
  <si>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</si>
  <si>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</si>
  <si>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</si>
  <si>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</si>
  <si>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</si>
  <si>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</si>
  <si>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</si>
  <si>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</si>
  <si>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PRODOTTO</t>
  </si>
  <si>
    <t>QUANTITÁ</t>
  </si>
  <si>
    <t>Q/M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</si>
  <si>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</si>
  <si>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</si>
  <si>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</si>
  <si>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</si>
  <si>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</si>
  <si>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</si>
  <si>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</si>
  <si>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</si>
  <si>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</si>
  <si>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</si>
  <si>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categoria 1</t>
  </si>
  <si>
    <t>categoria 2</t>
  </si>
  <si>
    <t>categoria 3</t>
  </si>
  <si>
    <t>categoria 4</t>
  </si>
  <si>
    <t>categoria 5</t>
  </si>
  <si>
    <t>categoria 6</t>
  </si>
  <si>
    <t>categoria 7</t>
  </si>
  <si>
    <t>categoria 8</t>
  </si>
  <si>
    <t>categoria 9</t>
  </si>
  <si>
    <t>categoria 10</t>
  </si>
  <si>
    <t>id categoria</t>
  </si>
  <si>
    <t>categoria</t>
  </si>
  <si>
    <t>punti totale per categoria</t>
  </si>
  <si>
    <t>num. Di famiglie per categoria</t>
  </si>
  <si>
    <t>punti medi per categoria</t>
  </si>
  <si>
    <t>punti assegnati ad ogni famiglia della categoria</t>
  </si>
  <si>
    <t>Neonati</t>
  </si>
  <si>
    <t>AAKRUNE AMINA</t>
  </si>
  <si>
    <t>ADIB MOHAMED</t>
  </si>
  <si>
    <t>AIT SI HAMD SANA</t>
  </si>
  <si>
    <t>AKOMANING BELINDA</t>
  </si>
  <si>
    <t>AMPOFO AKOTO JANET</t>
  </si>
  <si>
    <t>ANGLAS TEJADA ZOCIMA</t>
  </si>
  <si>
    <t>ARIFOSKI RUFAT</t>
  </si>
  <si>
    <t>ASHIK FETIJE</t>
  </si>
  <si>
    <t>AYAD FOUZIA</t>
  </si>
  <si>
    <t>AYLING PAUL FREDERICK</t>
  </si>
  <si>
    <t>BECERRI DORIANA</t>
  </si>
  <si>
    <t>BELKADI ABDERRAHIM</t>
  </si>
  <si>
    <t>BERNARDI MANUELA</t>
  </si>
  <si>
    <t>BONSU LAUME OSEI</t>
  </si>
  <si>
    <t>BOUAZZA ABIB</t>
  </si>
  <si>
    <t>CAMPERO BLANCA</t>
  </si>
  <si>
    <t>CARRI SAMOA</t>
  </si>
  <si>
    <t>CAVAZZA BERNADETTE</t>
  </si>
  <si>
    <t>CELADITA ROXANA</t>
  </si>
  <si>
    <t>CERCEA DANIEL</t>
  </si>
  <si>
    <t>DAVTYAN MARIANNA</t>
  </si>
  <si>
    <t>DEGLI INNOCENTI GENNI</t>
  </si>
  <si>
    <t>DICOLOMBI JENNIFER</t>
  </si>
  <si>
    <t>DIMISTRIJEVSKI DRAGAN</t>
  </si>
  <si>
    <t>EL BAKRI SAIDA</t>
  </si>
  <si>
    <t>EL GHAZI LAYLA</t>
  </si>
  <si>
    <t>EL HAMIDI RACHIDA</t>
  </si>
  <si>
    <t>EL KAROUANI FOUZIA</t>
  </si>
  <si>
    <t>EL MANSSOURI MILOUDA</t>
  </si>
  <si>
    <t>EL OMARI MIMOUNA</t>
  </si>
  <si>
    <t>EN NADI GHIZLANE</t>
  </si>
  <si>
    <t>EL AKRI NAIMA</t>
  </si>
  <si>
    <t>EZ ZAAFRANI RKIA</t>
  </si>
  <si>
    <t>FERRARI PAOLA</t>
  </si>
  <si>
    <t>FETTACH BOUCHRA</t>
  </si>
  <si>
    <t>GABRIELLI CINZIA</t>
  </si>
  <si>
    <t>GABRIELLI MARIA ALBINA</t>
  </si>
  <si>
    <t>GARDINI ANDREA</t>
  </si>
  <si>
    <t>GHALY FATIHA</t>
  </si>
  <si>
    <t>GONCHARUK GANNA</t>
  </si>
  <si>
    <t>HAJJI RKIA</t>
  </si>
  <si>
    <t>HELD LUCIANA</t>
  </si>
  <si>
    <t>HUANCAPAZA ANNA MARIA</t>
  </si>
  <si>
    <t>ILNICA ISUF</t>
  </si>
  <si>
    <t>ILNICA VERDI</t>
  </si>
  <si>
    <t>ISSA AROUNA</t>
  </si>
  <si>
    <t>JARJU DAWDA</t>
  </si>
  <si>
    <t>KHELIFI KHAOULA</t>
  </si>
  <si>
    <t>KLUKANOVA PETRA</t>
  </si>
  <si>
    <t>KORKAI ELJON</t>
  </si>
  <si>
    <t>KRUJA BLERINA</t>
  </si>
  <si>
    <t>ZOUAD LAKBIRA</t>
  </si>
  <si>
    <t>LAMHRI SALAH</t>
  </si>
  <si>
    <t>LEFTER PETRU</t>
  </si>
  <si>
    <t>LOMBARDI RITA</t>
  </si>
  <si>
    <t>MAHRAOUI HANANE</t>
  </si>
  <si>
    <t>MALIK FAROOQ</t>
  </si>
  <si>
    <t>MARA SHQIPRIJE</t>
  </si>
  <si>
    <t>MARCOLINI ROBERTO</t>
  </si>
  <si>
    <t>MAYER ANTER</t>
  </si>
  <si>
    <t>MENNANI KHADDOUJ</t>
  </si>
  <si>
    <t>MENSAH ALEXANDER</t>
  </si>
  <si>
    <t>MIKAIL MUSTAFA PEIMAN</t>
  </si>
  <si>
    <t>MOURAM HIND</t>
  </si>
  <si>
    <t>MUHAJ AIDA</t>
  </si>
  <si>
    <t>MULUD MIKAIL</t>
  </si>
  <si>
    <t>NALIN NADIA</t>
  </si>
  <si>
    <t>NASSIR NAJIA</t>
  </si>
  <si>
    <t>OBBAD KARIMA</t>
  </si>
  <si>
    <t>OBBAD RACHIDA</t>
  </si>
  <si>
    <t>OMORURI RITA</t>
  </si>
  <si>
    <t>OMORUYI CINTHIA</t>
  </si>
  <si>
    <t>OZDEMIR NAZIFE</t>
  </si>
  <si>
    <t>OTERI ANTONGIULIO</t>
  </si>
  <si>
    <t>OULED SETTI NOURA</t>
  </si>
  <si>
    <t>OWUSUAA ADWOA</t>
  </si>
  <si>
    <t>POPP SABINE</t>
  </si>
  <si>
    <t>REDZEPOVSKI ERDZAN</t>
  </si>
  <si>
    <t>RIZZARDI GIORGIO</t>
  </si>
  <si>
    <t>RUIZ MEJIA PATRICIA</t>
  </si>
  <si>
    <t>RUSHITI AGIM</t>
  </si>
  <si>
    <t>SAHIHI LAILA</t>
  </si>
  <si>
    <t>SAYED TORAB</t>
  </si>
  <si>
    <t>SARR EBRIMA</t>
  </si>
  <si>
    <t>SCHROTT RITA</t>
  </si>
  <si>
    <t>SEDA CLIRIM</t>
  </si>
  <si>
    <t>SOUAFI MARIEM</t>
  </si>
  <si>
    <t>TABII MERIEM</t>
  </si>
  <si>
    <t>TAOUFIK HAFIDA</t>
  </si>
  <si>
    <t>TAUMANN MARION</t>
  </si>
  <si>
    <t>TENCA PIERA</t>
  </si>
  <si>
    <t>TOMA ENGJELL</t>
  </si>
  <si>
    <t>TOMASELLI PAOLO</t>
  </si>
  <si>
    <t>TORCASO MARIA ROSA</t>
  </si>
  <si>
    <t>TOULOT SAMIA</t>
  </si>
  <si>
    <t>UDEH CAROLINE</t>
  </si>
  <si>
    <t>VACCARO BENITO</t>
  </si>
  <si>
    <t>VAFADAR MOHSEN</t>
  </si>
  <si>
    <t>VAJA SABRI</t>
  </si>
  <si>
    <t>VERONESE GABRIELLA</t>
  </si>
  <si>
    <t>WAHID SIHAM</t>
  </si>
  <si>
    <t>WAHID MUSTAPHA</t>
  </si>
  <si>
    <t>WIREDU SARA</t>
  </si>
  <si>
    <t>XOXI ZAMIRA</t>
  </si>
  <si>
    <t>YEBOAH AYMOSE</t>
  </si>
  <si>
    <t>PPM 
(DEFINITIVI)</t>
  </si>
  <si>
    <t>Categoria assegnata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</si>
</sst>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#,##0.00\ &quot;€&quot;"/>
    <numFmt numFmtId="165" formatCode="0.0%"/>
    <numFmt numFmtId="166" formatCode="0.00000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9" fontId="0" fillId="3" borderId="7" xfId="2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164" fontId="2" fillId="0" borderId="2" xfId="0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1" applyNumberFormat="1" applyFont="1" applyBorder="1" applyAlignment="1">
      <alignment horizontal="center" vertical="center"/>
    </xf>
    <xf numFmtId="9" fontId="0" fillId="3" borderId="0" xfId="2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9" fontId="0" fillId="3" borderId="8" xfId="2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 wrapText="1"/>
    </xf>
    <xf numFmtId="9" fontId="0" fillId="3" borderId="8" xfId="2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</cellXfs>
  <cellStyles count="3">
    <cellStyle name="Normale" xfId="0" builtinId="0"/>
    <cellStyle name="Percentuale" xfId="2" builtinId="5"/>
    <cellStyle name="Valuta" xfId="1" builtinId="4"/>
  </cellStyles>
  <dxfs count="99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4" formatCode="#,##0.00\ &quot;€&quot;"/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€&quot;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border>
        <left/>
        <right/>
        <bottom style="thin">
          <color theme="0" tint="-4.9989318521683403E-2"/>
        </bottom>
        <vertical style="thick">
          <color theme="0"/>
        </vertical>
        <horizontal style="thin">
          <color theme="0" tint="-4.9989318521683403E-2"/>
        </horizontal>
      </border>
    </dxf>
    <dxf>
      <font>
        <b/>
        <i val="0"/>
        <color theme="0"/>
      </font>
      <fill>
        <patternFill>
          <bgColor theme="1" tint="0.34998626667073579"/>
        </patternFill>
      </fill>
      <border>
        <left/>
        <right/>
        <vertical style="thick">
          <color theme="0"/>
        </vertical>
      </border>
    </dxf>
  </dxfs>
  <tableStyles count="1" defaultTableStyle="TableStyleMedium2" defaultPivotStyle="PivotStyleLight16">
    <tableStyle name="Stile tabella 1" pivot="0" count="3">
      <tableStyleElement type="headerRow" dxfId="98"/>
      <tableStyleElement type="firstRowStripe" dxfId="97"/>
      <tableStyleElement type="secondRowStrip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H51" totalsRowShown="0" headerRowDxfId="95" dataDxfId="94">
  <autoFilter ref="A1:H51"/>
  <tableColumns count="8">
    <tableColumn id="3" name="Prodotto" dataDxfId="93"/>
    <tableColumn id="10" name="peso/conf" dataDxfId="92"/>
    <tableColumn id="9" name="u.m." dataDxfId="91"/>
    <tableColumn id="4" name="s/f" dataDxfId="90"/>
    <tableColumn id="5" name="min" dataDxfId="89"/>
    <tableColumn id="6" name="media" dataDxfId="88"/>
    <tableColumn id="7" name="max" dataDxfId="87"/>
    <tableColumn id="8" name="prezzo_rif" dataDxfId="86">
      <calculatedColumnFormula>MROUND(Tabella1[[#This Row],[media]],0.5)</calculatedColumnFormula>
    </tableColumn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id="2" name="Tabella2" displayName="Tabella2" ref="A4:AH86" totalsRowShown="0" headerRowDxfId="85" dataDxfId="84">
  <autoFilter ref="A4:AH86">
    <filterColumn colId="2">
      <filters>
        <filter val="M-1"/>
        <filter val="M-10"/>
        <filter val="M-11"/>
        <filter val="M-12"/>
        <filter val="M-13"/>
        <filter val="M-14"/>
        <filter val="M-15"/>
        <filter val="M-16"/>
        <filter val="M-17"/>
        <filter val="M-18"/>
        <filter val="M-19"/>
        <filter val="M-2"/>
        <filter val="M-20"/>
        <filter val="M-21"/>
        <filter val="M-22"/>
        <filter val="M-23"/>
        <filter val="M-24"/>
        <filter val="M-25"/>
        <filter val="M-26"/>
        <filter val="M-27"/>
        <filter val="M-28"/>
        <filter val="M-29"/>
        <filter val="M-3"/>
        <filter val="M-30"/>
        <filter val="M-31"/>
        <filter val="M-32"/>
        <filter val="M-33"/>
        <filter val="M-34"/>
        <filter val="M-35"/>
        <filter val="M-36"/>
        <filter val="M-37"/>
        <filter val="M-38"/>
        <filter val="M-39"/>
        <filter val="M-4"/>
        <filter val="M-40"/>
        <filter val="M-41"/>
        <filter val="M-42"/>
        <filter val="M-43"/>
        <filter val="M-44"/>
        <filter val="M-45"/>
        <filter val="M-5"/>
        <filter val="M-6"/>
        <filter val="M-7"/>
        <filter val="M-8"/>
        <filter val="M-9"/>
      </filters>
    </filterColumn>
  </autoFilter>
  <tableColumns count="34">
    <tableColumn id="1" name="IDMC" dataDxfId="83"/>
    <tableColumn id="27" name="IDMCU" dataDxfId="82"/>
    <tableColumn id="26" name="IDMP" dataDxfId="81">
      <calculatedColumnFormula>IF(Tabella2[[#This Row],[Macro_prodotto]]&lt;&gt;"",CONCATENATE("M-",Tabella2[[#This Row],[u_macro]]),A4)</calculatedColumnFormula>
    </tableColumn>
    <tableColumn id="12" name="IDMPU" dataDxfId="80">
      <calculatedColumnFormula>IF(Tabella2[[#This Row],[Macro_prodotto]]&lt;&gt;"",CONCATENATE("M-",Tabella2[[#This Row],[u_macro]]),"")</calculatedColumnFormula>
    </tableColumn>
    <tableColumn id="11" name="u_macro" dataDxfId="79">
      <calculatedColumnFormula>IF(Tabella2[[#This Row],[Macro_prodotto]]="","",(COUNT(E$4:E4))+1)</calculatedColumnFormula>
    </tableColumn>
    <tableColumn id="2" name="IDP" dataDxfId="78">
      <calculatedColumnFormula>IF((ROW(A4))&lt;10,CONCATENATE("p-00",(ROW(A4))),IF(AND((ROW(A4))&gt;=10,(ROW(A4))&lt;100),CONCATENATE("p-0",(ROW(A4))),CONCATENATE("p-",(ROW(A4)))))</calculatedColumnFormula>
    </tableColumn>
    <tableColumn id="3" name="Macro_prodotto" dataDxfId="77"/>
    <tableColumn id="25" name="Macro_categoria" dataDxfId="76"/>
    <tableColumn id="4" name="prodotto" dataDxfId="75"/>
    <tableColumn id="5" name="s/f" dataDxfId="74"/>
    <tableColumn id="6" name="peso/conf" dataDxfId="73"/>
    <tableColumn id="7" name="u.m." dataDxfId="72"/>
    <tableColumn id="8" name="prezzo" dataDxfId="71" dataCellStyle="Valuta"/>
    <tableColumn id="9" name="unità" dataDxfId="70"/>
    <tableColumn id="10" name="quantità" dataDxfId="69"/>
    <tableColumn id="14" name="margine" dataDxfId="68">
      <calculatedColumnFormula>IF(Tabella2[[#This Row],[quantità]]="","",Tabella2[[#This Row],[quantità]]-Tabella2[[#This Row],[quantità]]*P$2)</calculatedColumnFormula>
    </tableColumn>
    <tableColumn id="13" name="media mensile" dataDxfId="67">
      <calculatedColumnFormula>IF(Tabella2[[#This Row],[margine]]="","",Tabella2[[#This Row],[margine]]/11)</calculatedColumnFormula>
    </tableColumn>
    <tableColumn id="24" name="Q/p.c." dataDxfId="66">
      <calculatedColumnFormula>IF(Tabella2[[#This Row],[media mensile]]="","",Tabella2[[#This Row],[media mensile]]*Tabella2[[#This Row],[prezzo]])</calculatedColumnFormula>
    </tableColumn>
    <tableColumn id="15" name="% n" dataDxfId="65" dataCellStyle="Percentuale"/>
    <tableColumn id="19" name="€ gruppo noenati" dataDxfId="64" dataCellStyle="Percentuale">
      <calculatedColumnFormula>IF(Tabella2[[#This Row],[Q/p.c.]]="","",Tabella2[[#This Row],[Q/p.c.]]*Tabella2[[#This Row],[% n]])</calculatedColumnFormula>
    </tableColumn>
    <tableColumn id="16" name="% decurtazione" dataDxfId="63" dataCellStyle="Percentuale">
      <calculatedColumnFormula>IF(Tabella2[[#This Row],[Q/p.c.]]="","",Tabella2[[#This Row],[€ gruppo noenati]]*(S$3*-1))</calculatedColumnFormula>
    </tableColumn>
    <tableColumn id="29" name="€ decurtato" dataDxfId="62" dataCellStyle="Percentuale">
      <calculatedColumnFormula>IF(Tabella2[[#This Row],[Q/p.c.]]="","",Tabella2[[#This Row],[€ gruppo noenati]]+Tabella2[[#This Row],[% decurtazione]])</calculatedColumnFormula>
    </tableColumn>
    <tableColumn id="17" name="€/p.c. n" dataDxfId="61">
      <calculatedColumnFormula>IF(Tabella2[[#This Row],[media mensile]]="","",Tabella2[[#This Row],[€ decurtato]]/S$2)</calculatedColumnFormula>
    </tableColumn>
    <tableColumn id="18" name="% b" dataDxfId="60" dataCellStyle="Percentuale"/>
    <tableColumn id="22" name="€ gruppo bambino" dataDxfId="59" dataCellStyle="Percentuale">
      <calculatedColumnFormula>IF(Tabella2[[#This Row],[Q/p.c.]]="","",Tabella2[[#This Row],[Q/p.c.]]*Tabella2[[#This Row],[% b]])</calculatedColumnFormula>
    </tableColumn>
    <tableColumn id="30" name="% decurtazione b" dataDxfId="58" dataCellStyle="Percentuale">
      <calculatedColumnFormula>IF(Tabella2[[#This Row],[Q/p.c.]]="","",Tabella2[[#This Row],[€ gruppo bambino]]*(X$3*-1))</calculatedColumnFormula>
    </tableColumn>
    <tableColumn id="31" name="€ decurtato b" dataDxfId="57" dataCellStyle="Percentuale">
      <calculatedColumnFormula>IF(Tabella2[[#This Row],[Q/p.c.]]="","",Tabella2[[#This Row],[€ gruppo bambino]]+Tabella2[[#This Row],[% decurtazione b]])</calculatedColumnFormula>
    </tableColumn>
    <tableColumn id="20" name="€/p.c. b" dataDxfId="56">
      <calculatedColumnFormula>IF(Tabella2[[#This Row],[media mensile]]="","",Tabella2[[#This Row],[€ decurtato b]]/X$2)</calculatedColumnFormula>
    </tableColumn>
    <tableColumn id="21" name="% a" dataDxfId="55" dataCellStyle="Percentuale">
      <calculatedColumnFormula>1-(Tabella2[[#This Row],[% n]]+Tabella2[[#This Row],[% b]])</calculatedColumnFormula>
    </tableColumn>
    <tableColumn id="28" name="€ gruppo adulto" dataDxfId="54" dataCellStyle="Percentuale">
      <calculatedColumnFormula>IF(Tabella2[[#This Row],[Q/p.c.]]="","",SUM((Tabella2[[#This Row],[Q/p.c.]]*Tabella2[[#This Row],[% a]]),(Tabella2[[#This Row],[% decurtazione]]*-1),(Tabella2[[#This Row],[% decurtazione b]]*-1)))</calculatedColumnFormula>
    </tableColumn>
    <tableColumn id="33" name="€ gruppo a da 1 a 2" dataDxfId="53" dataCellStyle="Percentuale">
      <calculatedColumnFormula>IF(Tabella2[[#This Row],[Q/p.c.]]="","",Tabella2[[#This Row],[€ gruppo adulto]]*AE$3)</calculatedColumnFormula>
    </tableColumn>
    <tableColumn id="34" name="€/p.c. a da 1 a 2" dataDxfId="52" dataCellStyle="Percentuale">
      <calculatedColumnFormula>IF(Tabella2[[#This Row],[Q/p.c.]]="","",Tabella2[[#This Row],[€ gruppo a da 1 a 2]]/AE$2)</calculatedColumnFormula>
    </tableColumn>
    <tableColumn id="32" name="€ gruppo a &gt;2" dataDxfId="51" dataCellStyle="Percentuale">
      <calculatedColumnFormula>IF(Tabella2[[#This Row],[Q/p.c.]]="","",Tabella2[[#This Row],[€ gruppo adulto]]-Tabella2[[#This Row],[€ gruppo a da 1 a 2]])</calculatedColumnFormula>
    </tableColumn>
    <tableColumn id="23" name="€/p.c. a &gt;2" dataDxfId="50">
      <calculatedColumnFormula>IF(Tabella2[[#This Row],[Q/p.c.]]="","",Tabella2[[#This Row],[€ gruppo a &gt;2]]/AG$2)</calculatedColumnFormula>
    </tableColumn>
  </tableColumns>
  <tableStyleInfo name="Stile tabella 1" showFirstColumn="0" showLastColumn="0" showRowStripes="1" showColumnStripes="0"/>
</table>
</file>

<file path=xl/tables/table3.xml><?xml version="1.0" encoding="utf-8"?>
<table xmlns="http://schemas.openxmlformats.org/spreadsheetml/2006/main" id="4" name="Tabella4" displayName="Tabella4" ref="A1:M107" totalsRowCount="1" headerRowDxfId="49" dataDxfId="48">
  <autoFilter ref="A1:M106"/>
  <tableColumns count="13">
    <tableColumn id="1" name="n" totalsRowLabel="Totale" dataDxfId="25" totalsRowDxfId="13">
      <calculatedColumnFormula>ROW(A1)</calculatedColumnFormula>
    </tableColumn>
    <tableColumn id="11" name="ID" dataDxfId="24" totalsRowDxfId="12"/>
    <tableColumn id="2" name="famiglia" dataDxfId="23" totalsRowDxfId="11"/>
    <tableColumn id="3" name="neonati (0-2)" dataDxfId="22" totalsRowDxfId="10"/>
    <tableColumn id="4" name="bambini (3-10)" dataDxfId="21" totalsRowDxfId="9"/>
    <tableColumn id="5" name="adulti (&gt;10)" dataDxfId="20" totalsRowDxfId="8"/>
    <tableColumn id="6" name="Macro_Cat1" dataDxfId="19" totalsRowDxfId="7">
      <calculatedColumnFormula>SUM(Tabella4[[#This Row],[adulti (&gt;10)]],Tabella4[[#This Row],[bambini (3-10)]]*0.05)</calculatedColumnFormula>
    </tableColumn>
    <tableColumn id="16" name="Categoria assegnata" dataDxfId="15" totalsRowDxfId="6">
      <calculatedColumnFormula>IF(Tabella4[[#This Row],[Macro_Cat1]]=0,"",VLOOKUP(Tabella4[[#This Row],[Macro_Cat1]],Tabella3[[#All],[ID]:[BLOCCO]],2,FALSE))</calculatedColumnFormula>
    </tableColumn>
    <tableColumn id="7" name="Macro_Cat2" dataDxfId="18" totalsRowDxfId="5"/>
    <tableColumn id="8" name="Macro_Cat3" dataDxfId="17" totalsRowDxfId="4"/>
    <tableColumn id="9" name="Macro_Cat4" dataDxfId="16" totalsRowDxfId="3"/>
    <tableColumn id="10" name="PPM_x000a_(Punti per Mese)" totalsRowFunction="sum" dataDxfId="14" totalsRowDxfId="2">
      <calculatedColumnFormula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calculatedColumnFormula>
    </tableColumn>
    <tableColumn id="17" name="PPM _x000a_(DEFINITIVI)" dataDxfId="0" totalsRowDxfId="1">
      <calculatedColumnFormula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calculatedColumnFormula>
    </tableColumn>
  </tableColumns>
  <tableStyleInfo name="Stile tabella 1" showFirstColumn="0" showLastColumn="0" showRowStripes="1" showColumnStripes="0"/>
</table>
</file>

<file path=xl/tables/table4.xml><?xml version="1.0" encoding="utf-8"?>
<table xmlns="http://schemas.openxmlformats.org/spreadsheetml/2006/main" id="3" name="Tabella3" displayName="Tabella3" ref="A1:D30" totalsRowShown="0" headerRowDxfId="47" dataDxfId="46">
  <autoFilter ref="A1:D30"/>
  <tableColumns count="4">
    <tableColumn id="1" name="ID" dataDxfId="45">
      <calculatedColumnFormula>SUM(C2,D2*0.05)</calculatedColumnFormula>
    </tableColumn>
    <tableColumn id="2" name="BLOCCO" dataDxfId="44"/>
    <tableColumn id="3" name="ADULTI" dataDxfId="43"/>
    <tableColumn id="4" name="BAMBINI" dataDxfId="42"/>
  </tableColumns>
  <tableStyleInfo name="Stile tabella 1" showFirstColumn="0" showLastColumn="0" showRowStripes="1" showColumnStripes="0"/>
</table>
</file>

<file path=xl/tables/table5.xml><?xml version="1.0" encoding="utf-8"?>
<table xmlns="http://schemas.openxmlformats.org/spreadsheetml/2006/main" id="5" name="Tabella5" displayName="Tabella5" ref="A5:N56" totalsRowShown="0" headerRowDxfId="41" dataDxfId="40">
  <autoFilter ref="A5:N56"/>
  <tableColumns count="14">
    <tableColumn id="1" name="IDP" dataDxfId="39"/>
    <tableColumn id="2" name="PRODOTTO" dataDxfId="38"/>
    <tableColumn id="3" name="QUANTITÁ" dataDxfId="37">
      <calculatedColumnFormula>VLOOKUP(A6,Tabella2[[#All],[IDP]:[€/p.c. a &gt;2]],11,FALSE)</calculatedColumnFormula>
    </tableColumn>
    <tableColumn id="4" name="Q/M" dataDxfId="36">
      <calculatedColumnFormula>IF(C6="","",C6/12)</calculatedColumnFormula>
    </tableColumn>
    <tableColumn id="5" name="1" dataDxfId="35">
      <calculatedColumnFormula>IF($D6="","",$D6*E$3)</calculatedColumnFormula>
    </tableColumn>
    <tableColumn id="6" name="2" dataDxfId="34">
      <calculatedColumnFormula>IF($D6="","",$D6*F$3)</calculatedColumnFormula>
    </tableColumn>
    <tableColumn id="7" name="3" dataDxfId="33">
      <calculatedColumnFormula>IF($D6="","",$D6*G$3)</calculatedColumnFormula>
    </tableColumn>
    <tableColumn id="8" name="4" dataDxfId="32">
      <calculatedColumnFormula>IF($D6="","",$D6*H$3)</calculatedColumnFormula>
    </tableColumn>
    <tableColumn id="9" name="5" dataDxfId="31">
      <calculatedColumnFormula>IF($D6="","",$D6*I$3)</calculatedColumnFormula>
    </tableColumn>
    <tableColumn id="10" name="6" dataDxfId="30">
      <calculatedColumnFormula>IF($D6="","",$D6*J$3)</calculatedColumnFormula>
    </tableColumn>
    <tableColumn id="11" name="7" dataDxfId="29">
      <calculatedColumnFormula>IF($D6="","",$D6*K$3)</calculatedColumnFormula>
    </tableColumn>
    <tableColumn id="12" name="8" dataDxfId="28">
      <calculatedColumnFormula>IF($D6="","",$D6*L$3)</calculatedColumnFormula>
    </tableColumn>
    <tableColumn id="13" name="9" dataDxfId="27">
      <calculatedColumnFormula>IF($D6="","",$D6*M$3)</calculatedColumnFormula>
    </tableColumn>
    <tableColumn id="14" name="10" dataDxfId="26">
      <calculatedColumnFormula>IF($D6="","",$D6*N$3)</calculatedColumnFormula>
    </tableColumn>
  </tableColumns>
  <tableStyleInfo name="Stile tabella 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>
      <selection activeCell="J15" sqref="J15"/>
    </sheetView>
  </sheetViews>
  <sheetFormatPr defaultColWidth="8.88671875" defaultRowHeight="14.4" x14ac:dyDescent="0.3"/>
  <cols>
    <col min="1" max="1" width="43.109375" style="2" bestFit="1" customWidth="1"/>
    <col min="2" max="2" width="14.109375" style="4" bestFit="1" customWidth="1"/>
    <col min="3" max="3" width="9.33203125" style="4" bestFit="1" customWidth="1"/>
    <col min="4" max="4" width="7.77734375" style="4" bestFit="1" customWidth="1"/>
    <col min="5" max="5" width="8.6640625" style="5" bestFit="1" customWidth="1"/>
    <col min="6" max="6" width="10.6640625" style="9" bestFit="1" customWidth="1"/>
    <col min="7" max="7" width="9" style="5" bestFit="1" customWidth="1"/>
    <col min="8" max="8" width="13.6640625" style="11" bestFit="1" customWidth="1"/>
    <col min="9" max="16384" width="8.88671875" style="4"/>
  </cols>
  <sheetData>
    <row r="1" spans="1:8" x14ac:dyDescent="0.3">
      <c r="A1" s="4" t="s">
        <v>3</v>
      </c>
      <c r="B1" s="4" t="s">
        <v>12</v>
      </c>
      <c r="C1" s="4" t="s">
        <v>34</v>
      </c>
      <c r="D1" s="4" t="s">
        <v>9</v>
      </c>
      <c r="E1" s="5" t="s">
        <v>4</v>
      </c>
      <c r="F1" s="10" t="s">
        <v>5</v>
      </c>
      <c r="G1" s="5" t="s">
        <v>6</v>
      </c>
      <c r="H1" s="12" t="s">
        <v>11</v>
      </c>
    </row>
    <row r="2" spans="1:8" x14ac:dyDescent="0.3">
      <c r="A2" s="2" t="s">
        <v>14</v>
      </c>
      <c r="B2" s="4">
        <v>1000</v>
      </c>
      <c r="C2" s="4" t="s">
        <v>31</v>
      </c>
      <c r="D2" s="4" t="s">
        <v>10</v>
      </c>
      <c r="E2" s="5">
        <v>1.39</v>
      </c>
      <c r="F2" s="9">
        <v>2.5</v>
      </c>
      <c r="G2" s="5">
        <v>4</v>
      </c>
      <c r="H2" s="11">
        <f>MROUND(Tabella1[[#This Row],[media]],0.5)</f>
        <v>2.5</v>
      </c>
    </row>
    <row r="3" spans="1:8" x14ac:dyDescent="0.3">
      <c r="A3" s="2" t="s">
        <v>15</v>
      </c>
      <c r="B3" s="4">
        <v>1000</v>
      </c>
      <c r="C3" s="4" t="s">
        <v>31</v>
      </c>
      <c r="D3" s="4" t="s">
        <v>10</v>
      </c>
      <c r="E3" s="5">
        <v>0.35</v>
      </c>
      <c r="F3" s="9">
        <v>0.78</v>
      </c>
      <c r="G3" s="5">
        <v>1.55</v>
      </c>
      <c r="H3" s="11">
        <f>MROUND(Tabella1[[#This Row],[media]],0.5)</f>
        <v>1</v>
      </c>
    </row>
    <row r="4" spans="1:8" x14ac:dyDescent="0.3">
      <c r="A4" s="2" t="s">
        <v>35</v>
      </c>
      <c r="B4" s="4">
        <v>1000</v>
      </c>
      <c r="C4" s="4" t="s">
        <v>31</v>
      </c>
      <c r="D4" s="4" t="s">
        <v>8</v>
      </c>
      <c r="E4" s="5">
        <v>1.39</v>
      </c>
      <c r="F4" s="9">
        <v>4.62</v>
      </c>
      <c r="G4" s="5">
        <v>6</v>
      </c>
      <c r="H4" s="11">
        <f>MROUND(Tabella1[[#This Row],[media]],0.5)</f>
        <v>4.5</v>
      </c>
    </row>
    <row r="5" spans="1:8" x14ac:dyDescent="0.3">
      <c r="A5" s="2" t="s">
        <v>36</v>
      </c>
      <c r="B5" s="4">
        <v>300</v>
      </c>
      <c r="C5" s="4" t="s">
        <v>31</v>
      </c>
      <c r="D5" s="4" t="s">
        <v>8</v>
      </c>
      <c r="E5" s="5">
        <v>0.32</v>
      </c>
      <c r="F5" s="9">
        <v>0.71</v>
      </c>
      <c r="G5" s="5">
        <v>1.26</v>
      </c>
      <c r="H5" s="11">
        <f>MROUND(Tabella1[[#This Row],[media]],0.5)</f>
        <v>0.5</v>
      </c>
    </row>
    <row r="6" spans="1:8" x14ac:dyDescent="0.3">
      <c r="A6" s="2" t="s">
        <v>17</v>
      </c>
      <c r="B6" s="4">
        <v>1000</v>
      </c>
      <c r="C6" s="4" t="s">
        <v>31</v>
      </c>
      <c r="D6" s="4" t="s">
        <v>10</v>
      </c>
      <c r="E6" s="5">
        <v>1.1299999999999999</v>
      </c>
      <c r="F6" s="9">
        <v>3.06</v>
      </c>
      <c r="G6" s="5">
        <v>6.63</v>
      </c>
      <c r="H6" s="11">
        <f>MROUND(Tabella1[[#This Row],[media]],0.5)</f>
        <v>3</v>
      </c>
    </row>
    <row r="7" spans="1:8" x14ac:dyDescent="0.3">
      <c r="A7" s="2" t="s">
        <v>37</v>
      </c>
      <c r="B7" s="4">
        <v>1000</v>
      </c>
      <c r="C7" s="4" t="s">
        <v>31</v>
      </c>
      <c r="D7" s="4" t="s">
        <v>10</v>
      </c>
      <c r="E7" s="5">
        <v>3.97</v>
      </c>
      <c r="F7" s="9">
        <v>6.61</v>
      </c>
      <c r="G7" s="5">
        <v>11.33</v>
      </c>
      <c r="H7" s="11">
        <f>MROUND(Tabella1[[#This Row],[media]],0.5)</f>
        <v>6.5</v>
      </c>
    </row>
    <row r="8" spans="1:8" x14ac:dyDescent="0.3">
      <c r="A8" s="2" t="s">
        <v>16</v>
      </c>
      <c r="B8" s="4">
        <v>1000</v>
      </c>
      <c r="C8" s="4" t="s">
        <v>31</v>
      </c>
      <c r="D8" s="4" t="s">
        <v>10</v>
      </c>
      <c r="E8" s="5">
        <v>0.84</v>
      </c>
      <c r="F8" s="9">
        <v>1.75</v>
      </c>
      <c r="G8" s="5">
        <v>3</v>
      </c>
      <c r="H8" s="11">
        <f>MROUND(Tabella1[[#This Row],[media]],0.5)</f>
        <v>2</v>
      </c>
    </row>
    <row r="9" spans="1:8" x14ac:dyDescent="0.3">
      <c r="A9" s="2" t="s">
        <v>38</v>
      </c>
      <c r="B9" s="4">
        <v>1000</v>
      </c>
      <c r="C9" s="4" t="s">
        <v>31</v>
      </c>
      <c r="D9" s="4" t="s">
        <v>10</v>
      </c>
      <c r="E9" s="5">
        <v>2.4</v>
      </c>
      <c r="F9" s="9">
        <v>4.9000000000000004</v>
      </c>
      <c r="G9" s="5">
        <v>8.58</v>
      </c>
      <c r="H9" s="11">
        <f>MROUND(Tabella1[[#This Row],[media]],0.5)</f>
        <v>5</v>
      </c>
    </row>
    <row r="10" spans="1:8" x14ac:dyDescent="0.3">
      <c r="A10" s="2" t="s">
        <v>39</v>
      </c>
      <c r="B10" s="4">
        <v>1000</v>
      </c>
      <c r="C10" s="4" t="s">
        <v>31</v>
      </c>
      <c r="D10" s="4" t="s">
        <v>10</v>
      </c>
      <c r="E10" s="5">
        <v>2.38</v>
      </c>
      <c r="F10" s="9">
        <v>6.45</v>
      </c>
      <c r="G10" s="5">
        <v>12</v>
      </c>
      <c r="H10" s="11">
        <f>MROUND(Tabella1[[#This Row],[media]],0.5)</f>
        <v>6.5</v>
      </c>
    </row>
    <row r="11" spans="1:8" x14ac:dyDescent="0.3">
      <c r="A11" s="2" t="s">
        <v>40</v>
      </c>
      <c r="B11" s="4">
        <v>1000</v>
      </c>
      <c r="C11" s="4" t="s">
        <v>31</v>
      </c>
      <c r="D11" s="4" t="s">
        <v>8</v>
      </c>
      <c r="E11" s="5">
        <v>15.5</v>
      </c>
      <c r="F11" s="9">
        <v>19.38</v>
      </c>
      <c r="G11" s="5">
        <v>30.5</v>
      </c>
      <c r="H11" s="11">
        <f>MROUND(Tabella1[[#This Row],[media]],0.5)</f>
        <v>19.5</v>
      </c>
    </row>
    <row r="12" spans="1:8" x14ac:dyDescent="0.3">
      <c r="A12" s="2" t="s">
        <v>41</v>
      </c>
      <c r="B12" s="4">
        <v>1000</v>
      </c>
      <c r="C12" s="4" t="s">
        <v>31</v>
      </c>
      <c r="D12" s="4" t="s">
        <v>8</v>
      </c>
      <c r="E12" s="5">
        <v>5.9</v>
      </c>
      <c r="F12" s="9">
        <v>7.94</v>
      </c>
      <c r="G12" s="5">
        <v>12</v>
      </c>
      <c r="H12" s="11">
        <f>MROUND(Tabella1[[#This Row],[media]],0.5)</f>
        <v>8</v>
      </c>
    </row>
    <row r="13" spans="1:8" x14ac:dyDescent="0.3">
      <c r="A13" s="2" t="s">
        <v>42</v>
      </c>
      <c r="B13" s="4">
        <v>1000</v>
      </c>
      <c r="C13" s="4" t="s">
        <v>31</v>
      </c>
      <c r="D13" s="4" t="s">
        <v>8</v>
      </c>
      <c r="E13" s="5">
        <v>8.59</v>
      </c>
      <c r="F13" s="9">
        <v>10.91</v>
      </c>
      <c r="G13" s="5">
        <v>14.45</v>
      </c>
      <c r="H13" s="11">
        <f>MROUND(Tabella1[[#This Row],[media]],0.5)</f>
        <v>11</v>
      </c>
    </row>
    <row r="14" spans="1:8" x14ac:dyDescent="0.3">
      <c r="A14" s="2" t="s">
        <v>43</v>
      </c>
      <c r="B14" s="4">
        <v>1000</v>
      </c>
      <c r="C14" s="4" t="s">
        <v>31</v>
      </c>
      <c r="D14" s="4" t="s">
        <v>8</v>
      </c>
      <c r="E14" s="5">
        <v>15.5</v>
      </c>
      <c r="F14" s="9">
        <v>19.48</v>
      </c>
      <c r="G14" s="5">
        <v>26.5</v>
      </c>
      <c r="H14" s="11">
        <f>MROUND(Tabella1[[#This Row],[media]],0.5)</f>
        <v>19.5</v>
      </c>
    </row>
    <row r="15" spans="1:8" x14ac:dyDescent="0.3">
      <c r="A15" s="2" t="s">
        <v>44</v>
      </c>
      <c r="B15" s="4">
        <v>1000</v>
      </c>
      <c r="C15" s="4" t="s">
        <v>31</v>
      </c>
      <c r="D15" s="4" t="s">
        <v>8</v>
      </c>
      <c r="E15" s="5">
        <v>25.9</v>
      </c>
      <c r="F15" s="9">
        <v>30.26</v>
      </c>
      <c r="G15" s="5">
        <v>38</v>
      </c>
      <c r="H15" s="11">
        <f>MROUND(Tabella1[[#This Row],[media]],0.5)</f>
        <v>30.5</v>
      </c>
    </row>
    <row r="16" spans="1:8" x14ac:dyDescent="0.3">
      <c r="A16" s="2" t="s">
        <v>45</v>
      </c>
      <c r="B16" s="4">
        <v>1000</v>
      </c>
      <c r="C16" s="4" t="s">
        <v>31</v>
      </c>
      <c r="D16" s="4" t="s">
        <v>8</v>
      </c>
      <c r="E16" s="5">
        <v>4.95</v>
      </c>
      <c r="F16" s="9">
        <v>11.8</v>
      </c>
      <c r="G16" s="5">
        <v>27.9</v>
      </c>
      <c r="H16" s="11">
        <f>MROUND(Tabella1[[#This Row],[media]],0.5)</f>
        <v>12</v>
      </c>
    </row>
    <row r="17" spans="1:8" x14ac:dyDescent="0.3">
      <c r="A17" s="2" t="s">
        <v>18</v>
      </c>
      <c r="B17" s="4">
        <v>1000</v>
      </c>
      <c r="C17" s="4" t="s">
        <v>31</v>
      </c>
      <c r="D17" s="4" t="s">
        <v>10</v>
      </c>
      <c r="E17" s="5">
        <v>11.49</v>
      </c>
      <c r="F17" s="9">
        <v>18.37</v>
      </c>
      <c r="G17" s="5">
        <v>30.19</v>
      </c>
      <c r="H17" s="11">
        <f>MROUND(Tabella1[[#This Row],[media]],0.5)</f>
        <v>18.5</v>
      </c>
    </row>
    <row r="18" spans="1:8" x14ac:dyDescent="0.3">
      <c r="A18" s="2" t="s">
        <v>46</v>
      </c>
      <c r="B18" s="4">
        <v>100</v>
      </c>
      <c r="C18" s="4" t="s">
        <v>32</v>
      </c>
      <c r="D18" s="4" t="s">
        <v>8</v>
      </c>
      <c r="E18" s="5">
        <v>0.79</v>
      </c>
      <c r="F18" s="9">
        <v>1.2</v>
      </c>
      <c r="G18" s="5">
        <v>1.35</v>
      </c>
      <c r="H18" s="11">
        <f>MROUND(Tabella1[[#This Row],[media]],0.5)</f>
        <v>1</v>
      </c>
    </row>
    <row r="19" spans="1:8" x14ac:dyDescent="0.3">
      <c r="A19" s="2" t="s">
        <v>47</v>
      </c>
      <c r="B19" s="4">
        <v>100</v>
      </c>
      <c r="C19" s="4" t="s">
        <v>32</v>
      </c>
      <c r="D19" s="4" t="s">
        <v>8</v>
      </c>
      <c r="E19" s="5">
        <v>0.99</v>
      </c>
      <c r="F19" s="9">
        <v>1.32</v>
      </c>
      <c r="G19" s="5">
        <v>1.39</v>
      </c>
      <c r="H19" s="11">
        <f>MROUND(Tabella1[[#This Row],[media]],0.5)</f>
        <v>1.5</v>
      </c>
    </row>
    <row r="20" spans="1:8" x14ac:dyDescent="0.3">
      <c r="A20" s="2" t="s">
        <v>48</v>
      </c>
      <c r="B20" s="4">
        <v>100</v>
      </c>
      <c r="C20" s="4" t="s">
        <v>32</v>
      </c>
      <c r="D20" s="4" t="s">
        <v>8</v>
      </c>
      <c r="E20" s="5">
        <v>1.19</v>
      </c>
      <c r="F20" s="9">
        <v>1.62</v>
      </c>
      <c r="G20" s="5">
        <v>2.48</v>
      </c>
      <c r="H20" s="11">
        <f>MROUND(Tabella1[[#This Row],[media]],0.5)</f>
        <v>1.5</v>
      </c>
    </row>
    <row r="21" spans="1:8" x14ac:dyDescent="0.3">
      <c r="A21" s="2" t="s">
        <v>19</v>
      </c>
      <c r="B21" s="4">
        <v>100</v>
      </c>
      <c r="C21" s="4" t="s">
        <v>32</v>
      </c>
      <c r="D21" s="4" t="s">
        <v>10</v>
      </c>
      <c r="E21" s="5">
        <v>0.59</v>
      </c>
      <c r="F21" s="9">
        <v>0.83</v>
      </c>
      <c r="G21" s="5">
        <v>1.35</v>
      </c>
      <c r="H21" s="11">
        <f>MROUND(Tabella1[[#This Row],[media]],0.5)</f>
        <v>1</v>
      </c>
    </row>
    <row r="22" spans="1:8" x14ac:dyDescent="0.3">
      <c r="A22" s="2" t="s">
        <v>49</v>
      </c>
      <c r="B22" s="4">
        <v>1000</v>
      </c>
      <c r="C22" s="4" t="s">
        <v>31</v>
      </c>
      <c r="D22" s="4" t="s">
        <v>10</v>
      </c>
      <c r="E22" s="5">
        <v>12.49</v>
      </c>
      <c r="F22" s="9">
        <v>18.23</v>
      </c>
      <c r="G22" s="5">
        <v>30.86</v>
      </c>
      <c r="H22" s="11">
        <f>MROUND(Tabella1[[#This Row],[media]],0.5)</f>
        <v>18</v>
      </c>
    </row>
    <row r="23" spans="1:8" x14ac:dyDescent="0.3">
      <c r="A23" s="2" t="s">
        <v>50</v>
      </c>
      <c r="B23" s="4">
        <v>125</v>
      </c>
      <c r="C23" s="4" t="s">
        <v>31</v>
      </c>
      <c r="D23" s="4" t="s">
        <v>8</v>
      </c>
      <c r="E23" s="5">
        <v>0.18</v>
      </c>
      <c r="F23" s="9">
        <v>0.42</v>
      </c>
      <c r="G23" s="5">
        <v>0.56000000000000005</v>
      </c>
      <c r="H23" s="11">
        <f>MROUND(Tabella1[[#This Row],[media]],0.5)</f>
        <v>0.5</v>
      </c>
    </row>
    <row r="24" spans="1:8" x14ac:dyDescent="0.3">
      <c r="A24" s="2" t="s">
        <v>51</v>
      </c>
      <c r="B24" s="4">
        <v>1000</v>
      </c>
      <c r="C24" s="4" t="s">
        <v>31</v>
      </c>
      <c r="D24" s="4" t="s">
        <v>8</v>
      </c>
      <c r="E24" s="5">
        <v>12.99</v>
      </c>
      <c r="F24" s="9">
        <v>19.14</v>
      </c>
      <c r="G24" s="5">
        <v>26.9</v>
      </c>
      <c r="H24" s="11">
        <f>MROUND(Tabella1[[#This Row],[media]],0.5)</f>
        <v>19</v>
      </c>
    </row>
    <row r="25" spans="1:8" x14ac:dyDescent="0.3">
      <c r="A25" s="2" t="s">
        <v>52</v>
      </c>
      <c r="B25" s="4">
        <v>1000</v>
      </c>
      <c r="C25" s="4" t="s">
        <v>31</v>
      </c>
      <c r="D25" s="4" t="s">
        <v>8</v>
      </c>
      <c r="E25" s="5">
        <v>5.59</v>
      </c>
      <c r="F25" s="9">
        <v>11.11</v>
      </c>
      <c r="G25" s="5">
        <v>18.399999999999999</v>
      </c>
      <c r="H25" s="11">
        <f>MROUND(Tabella1[[#This Row],[media]],0.5)</f>
        <v>11</v>
      </c>
    </row>
    <row r="26" spans="1:8" x14ac:dyDescent="0.3">
      <c r="A26" s="2" t="s">
        <v>53</v>
      </c>
      <c r="B26" s="4">
        <v>1000</v>
      </c>
      <c r="C26" s="4" t="s">
        <v>31</v>
      </c>
      <c r="D26" s="4" t="s">
        <v>8</v>
      </c>
      <c r="E26" s="5">
        <v>3.95</v>
      </c>
      <c r="F26" s="9">
        <v>8.85</v>
      </c>
      <c r="G26" s="5">
        <v>16.399999999999999</v>
      </c>
      <c r="H26" s="11">
        <f>MROUND(Tabella1[[#This Row],[media]],0.5)</f>
        <v>9</v>
      </c>
    </row>
    <row r="27" spans="1:8" x14ac:dyDescent="0.3">
      <c r="A27" s="2" t="s">
        <v>54</v>
      </c>
      <c r="B27" s="4">
        <v>1000</v>
      </c>
      <c r="C27" s="4" t="s">
        <v>33</v>
      </c>
      <c r="D27" s="4" t="s">
        <v>10</v>
      </c>
      <c r="E27" s="5">
        <v>0.99</v>
      </c>
      <c r="F27" s="9">
        <v>1.78</v>
      </c>
      <c r="G27" s="5">
        <v>2.7</v>
      </c>
      <c r="H27" s="11">
        <f>MROUND(Tabella1[[#This Row],[media]],0.5)</f>
        <v>2</v>
      </c>
    </row>
    <row r="28" spans="1:8" x14ac:dyDescent="0.3">
      <c r="A28" s="2" t="s">
        <v>55</v>
      </c>
      <c r="B28" s="4">
        <v>6</v>
      </c>
      <c r="C28" s="4" t="s">
        <v>75</v>
      </c>
      <c r="D28" s="4" t="s">
        <v>8</v>
      </c>
      <c r="E28" s="5">
        <v>1.0900000000000001</v>
      </c>
      <c r="F28" s="9">
        <v>2.19</v>
      </c>
      <c r="G28" s="5">
        <v>3.7</v>
      </c>
      <c r="H28" s="11">
        <f>MROUND(Tabella1[[#This Row],[media]],0.5)</f>
        <v>2</v>
      </c>
    </row>
    <row r="29" spans="1:8" x14ac:dyDescent="0.3">
      <c r="A29" s="2" t="s">
        <v>56</v>
      </c>
      <c r="B29" s="4">
        <v>1000</v>
      </c>
      <c r="C29" s="4" t="s">
        <v>31</v>
      </c>
      <c r="D29" s="4" t="s">
        <v>8</v>
      </c>
      <c r="E29" s="5">
        <v>7.4</v>
      </c>
      <c r="F29" s="9">
        <v>9.6300000000000008</v>
      </c>
      <c r="G29" s="5">
        <v>12</v>
      </c>
      <c r="H29" s="11">
        <f>MROUND(Tabella1[[#This Row],[media]],0.5)</f>
        <v>9.5</v>
      </c>
    </row>
    <row r="30" spans="1:8" x14ac:dyDescent="0.3">
      <c r="A30" s="2" t="s">
        <v>20</v>
      </c>
      <c r="B30" s="4">
        <v>100</v>
      </c>
      <c r="C30" s="4" t="s">
        <v>32</v>
      </c>
      <c r="D30" s="4" t="s">
        <v>10</v>
      </c>
      <c r="E30" s="5">
        <v>4.29</v>
      </c>
      <c r="F30" s="9">
        <v>6.05</v>
      </c>
      <c r="G30" s="5">
        <v>8.5</v>
      </c>
      <c r="H30" s="11">
        <f>MROUND(Tabella1[[#This Row],[media]],0.5)</f>
        <v>6</v>
      </c>
    </row>
    <row r="31" spans="1:8" x14ac:dyDescent="0.3">
      <c r="A31" s="2" t="s">
        <v>57</v>
      </c>
      <c r="B31" s="4">
        <v>100</v>
      </c>
      <c r="C31" s="4" t="s">
        <v>32</v>
      </c>
      <c r="D31" s="4" t="s">
        <v>10</v>
      </c>
      <c r="E31" s="5">
        <v>1.29</v>
      </c>
      <c r="F31" s="9">
        <v>1.06</v>
      </c>
      <c r="G31" s="5">
        <v>2.4</v>
      </c>
      <c r="H31" s="11">
        <f>MROUND(Tabella1[[#This Row],[media]],0.5)</f>
        <v>1</v>
      </c>
    </row>
    <row r="32" spans="1:8" x14ac:dyDescent="0.3">
      <c r="A32" s="2" t="s">
        <v>58</v>
      </c>
      <c r="B32" s="4">
        <v>1000</v>
      </c>
      <c r="C32" s="4" t="s">
        <v>31</v>
      </c>
      <c r="D32" s="4" t="s">
        <v>10</v>
      </c>
      <c r="E32" s="5">
        <v>1.49</v>
      </c>
      <c r="F32" s="9">
        <v>3.38</v>
      </c>
      <c r="G32" s="5">
        <v>10.33</v>
      </c>
      <c r="H32" s="11">
        <f>MROUND(Tabella1[[#This Row],[media]],0.5)</f>
        <v>3.5</v>
      </c>
    </row>
    <row r="33" spans="1:8" x14ac:dyDescent="0.3">
      <c r="A33" s="2" t="s">
        <v>59</v>
      </c>
      <c r="B33" s="4">
        <v>1000</v>
      </c>
      <c r="C33" s="4" t="s">
        <v>31</v>
      </c>
      <c r="D33" s="4" t="s">
        <v>10</v>
      </c>
      <c r="E33" s="5">
        <v>1.48</v>
      </c>
      <c r="F33" s="9">
        <v>2.81</v>
      </c>
      <c r="G33" s="5">
        <v>6.4</v>
      </c>
      <c r="H33" s="11">
        <f>MROUND(Tabella1[[#This Row],[media]],0.5)</f>
        <v>3</v>
      </c>
    </row>
    <row r="34" spans="1:8" x14ac:dyDescent="0.3">
      <c r="A34" s="2" t="s">
        <v>60</v>
      </c>
      <c r="B34" s="4">
        <v>1000</v>
      </c>
      <c r="C34" s="4" t="s">
        <v>31</v>
      </c>
      <c r="D34" s="4" t="s">
        <v>8</v>
      </c>
      <c r="E34" s="5">
        <v>4.45</v>
      </c>
      <c r="F34" s="9">
        <v>7.71</v>
      </c>
      <c r="G34" s="5">
        <v>12</v>
      </c>
      <c r="H34" s="11">
        <f>MROUND(Tabella1[[#This Row],[media]],0.5)</f>
        <v>7.5</v>
      </c>
    </row>
    <row r="35" spans="1:8" x14ac:dyDescent="0.3">
      <c r="A35" s="2" t="s">
        <v>22</v>
      </c>
      <c r="B35" s="4">
        <v>1000</v>
      </c>
      <c r="C35" s="4" t="s">
        <v>31</v>
      </c>
      <c r="D35" s="4" t="s">
        <v>10</v>
      </c>
      <c r="E35" s="5">
        <v>0.88</v>
      </c>
      <c r="F35" s="9">
        <v>1.87</v>
      </c>
      <c r="G35" s="5">
        <v>4.2</v>
      </c>
      <c r="H35" s="11">
        <f>MROUND(Tabella1[[#This Row],[media]],0.5)</f>
        <v>2</v>
      </c>
    </row>
    <row r="36" spans="1:8" x14ac:dyDescent="0.3">
      <c r="A36" s="2" t="s">
        <v>61</v>
      </c>
      <c r="B36" s="4">
        <v>1000</v>
      </c>
      <c r="C36" s="4" t="s">
        <v>31</v>
      </c>
      <c r="D36" s="4" t="s">
        <v>10</v>
      </c>
      <c r="E36" s="5">
        <v>0.7</v>
      </c>
      <c r="F36" s="9">
        <v>1.81</v>
      </c>
      <c r="G36" s="5">
        <v>4.75</v>
      </c>
      <c r="H36" s="11">
        <f>MROUND(Tabella1[[#This Row],[media]],0.5)</f>
        <v>2</v>
      </c>
    </row>
    <row r="37" spans="1:8" x14ac:dyDescent="0.3">
      <c r="A37" s="2" t="s">
        <v>62</v>
      </c>
      <c r="B37" s="4">
        <v>1000</v>
      </c>
      <c r="C37" s="4" t="s">
        <v>31</v>
      </c>
      <c r="D37" s="4" t="s">
        <v>10</v>
      </c>
      <c r="E37" s="5">
        <v>0.88</v>
      </c>
      <c r="F37" s="9">
        <v>2.19</v>
      </c>
      <c r="G37" s="5">
        <v>5.1100000000000003</v>
      </c>
      <c r="H37" s="11">
        <f>MROUND(Tabella1[[#This Row],[media]],0.5)</f>
        <v>2</v>
      </c>
    </row>
    <row r="38" spans="1:8" x14ac:dyDescent="0.3">
      <c r="A38" s="2" t="s">
        <v>23</v>
      </c>
      <c r="B38" s="4">
        <v>1000</v>
      </c>
      <c r="C38" s="4" t="s">
        <v>31</v>
      </c>
      <c r="D38" s="4" t="s">
        <v>10</v>
      </c>
      <c r="E38" s="5">
        <v>0.65</v>
      </c>
      <c r="F38" s="9">
        <v>1.23</v>
      </c>
      <c r="G38" s="5">
        <v>1.8</v>
      </c>
      <c r="H38" s="11">
        <f>MROUND(Tabella1[[#This Row],[media]],0.5)</f>
        <v>1</v>
      </c>
    </row>
    <row r="39" spans="1:8" x14ac:dyDescent="0.3">
      <c r="A39" s="2" t="s">
        <v>63</v>
      </c>
      <c r="B39" s="4">
        <v>1000</v>
      </c>
      <c r="C39" s="4" t="s">
        <v>31</v>
      </c>
      <c r="D39" s="4" t="s">
        <v>10</v>
      </c>
      <c r="E39" s="5">
        <v>7.7</v>
      </c>
      <c r="F39" s="9">
        <v>10.66</v>
      </c>
      <c r="G39" s="5">
        <v>14.4</v>
      </c>
      <c r="H39" s="11">
        <f>MROUND(Tabella1[[#This Row],[media]],0.5)</f>
        <v>10.5</v>
      </c>
    </row>
    <row r="40" spans="1:8" x14ac:dyDescent="0.3">
      <c r="A40" s="2" t="s">
        <v>64</v>
      </c>
      <c r="B40" s="4">
        <v>100</v>
      </c>
      <c r="C40" s="4" t="s">
        <v>31</v>
      </c>
      <c r="D40" s="4" t="s">
        <v>10</v>
      </c>
      <c r="E40" s="5">
        <v>0.49</v>
      </c>
      <c r="F40" s="9">
        <v>1.1299999999999999</v>
      </c>
      <c r="G40" s="5">
        <v>2.9</v>
      </c>
      <c r="H40" s="11">
        <f>MROUND(Tabella1[[#This Row],[media]],0.5)</f>
        <v>1</v>
      </c>
    </row>
    <row r="41" spans="1:8" x14ac:dyDescent="0.3">
      <c r="A41" s="2" t="s">
        <v>65</v>
      </c>
      <c r="B41" s="4">
        <v>1000</v>
      </c>
      <c r="C41" s="4" t="s">
        <v>31</v>
      </c>
      <c r="D41" s="4" t="s">
        <v>8</v>
      </c>
      <c r="E41" s="5">
        <v>4.38</v>
      </c>
      <c r="F41" s="9">
        <v>7.04</v>
      </c>
      <c r="G41" s="5">
        <v>11.8</v>
      </c>
      <c r="H41" s="11">
        <f>MROUND(Tabella1[[#This Row],[media]],0.5)</f>
        <v>7</v>
      </c>
    </row>
    <row r="42" spans="1:8" x14ac:dyDescent="0.3">
      <c r="A42" s="2" t="s">
        <v>66</v>
      </c>
      <c r="B42" s="4">
        <v>100</v>
      </c>
      <c r="C42" s="4" t="s">
        <v>32</v>
      </c>
      <c r="D42" s="4" t="s">
        <v>10</v>
      </c>
      <c r="E42" s="5">
        <v>0.69</v>
      </c>
      <c r="F42" s="9">
        <v>1.39</v>
      </c>
      <c r="G42" s="5">
        <v>3.9</v>
      </c>
      <c r="H42" s="11">
        <f>MROUND(Tabella1[[#This Row],[media]],0.5)</f>
        <v>1.5</v>
      </c>
    </row>
    <row r="43" spans="1:8" x14ac:dyDescent="0.3">
      <c r="A43" s="2" t="s">
        <v>67</v>
      </c>
      <c r="B43" s="4">
        <v>1000</v>
      </c>
      <c r="C43" s="4" t="s">
        <v>31</v>
      </c>
      <c r="D43" s="4" t="s">
        <v>10</v>
      </c>
      <c r="E43" s="5">
        <v>4.42</v>
      </c>
      <c r="F43" s="9">
        <v>9.36</v>
      </c>
      <c r="G43" s="5">
        <v>20</v>
      </c>
      <c r="H43" s="11">
        <f>MROUND(Tabella1[[#This Row],[media]],0.5)</f>
        <v>9.5</v>
      </c>
    </row>
    <row r="44" spans="1:8" x14ac:dyDescent="0.3">
      <c r="A44" s="2" t="s">
        <v>68</v>
      </c>
      <c r="B44" s="4">
        <v>1000</v>
      </c>
      <c r="C44" s="4" t="s">
        <v>31</v>
      </c>
      <c r="D44" s="4" t="s">
        <v>10</v>
      </c>
      <c r="E44" s="5">
        <v>5.16</v>
      </c>
      <c r="F44" s="9">
        <v>11.71</v>
      </c>
      <c r="G44" s="5">
        <v>21.2</v>
      </c>
      <c r="H44" s="11">
        <f>MROUND(Tabella1[[#This Row],[media]],0.5)</f>
        <v>11.5</v>
      </c>
    </row>
    <row r="45" spans="1:8" x14ac:dyDescent="0.3">
      <c r="A45" s="2" t="s">
        <v>69</v>
      </c>
      <c r="B45" s="4">
        <v>25</v>
      </c>
      <c r="C45" s="4" t="s">
        <v>75</v>
      </c>
      <c r="D45" s="4" t="s">
        <v>10</v>
      </c>
      <c r="E45" s="5">
        <v>0.56000000000000005</v>
      </c>
      <c r="F45" s="9">
        <v>1.86</v>
      </c>
      <c r="G45" s="5">
        <v>4.58</v>
      </c>
      <c r="H45" s="11">
        <f>MROUND(Tabella1[[#This Row],[media]],0.5)</f>
        <v>2</v>
      </c>
    </row>
    <row r="46" spans="1:8" x14ac:dyDescent="0.3">
      <c r="A46" s="2" t="s">
        <v>70</v>
      </c>
      <c r="B46" s="4">
        <v>900</v>
      </c>
      <c r="C46" s="4" t="s">
        <v>32</v>
      </c>
      <c r="D46" s="4" t="s">
        <v>10</v>
      </c>
      <c r="E46" s="5">
        <v>0.84</v>
      </c>
      <c r="F46" s="9">
        <v>1.94</v>
      </c>
      <c r="G46" s="5">
        <v>6</v>
      </c>
      <c r="H46" s="11">
        <f>MROUND(Tabella1[[#This Row],[media]],0.5)</f>
        <v>2</v>
      </c>
    </row>
    <row r="47" spans="1:8" x14ac:dyDescent="0.3">
      <c r="A47" s="2" t="s">
        <v>71</v>
      </c>
      <c r="B47" s="4">
        <v>100</v>
      </c>
      <c r="C47" s="4" t="s">
        <v>32</v>
      </c>
      <c r="D47" s="4" t="s">
        <v>10</v>
      </c>
      <c r="E47" s="5">
        <v>0.38</v>
      </c>
      <c r="F47" s="9">
        <v>0.95</v>
      </c>
      <c r="G47" s="5">
        <v>1.73</v>
      </c>
      <c r="H47" s="11">
        <f>MROUND(Tabella1[[#This Row],[media]],0.5)</f>
        <v>1</v>
      </c>
    </row>
    <row r="48" spans="1:8" x14ac:dyDescent="0.3">
      <c r="A48" s="2" t="s">
        <v>24</v>
      </c>
      <c r="B48" s="4">
        <v>100</v>
      </c>
      <c r="C48" s="4" t="s">
        <v>32</v>
      </c>
      <c r="D48" s="4" t="s">
        <v>10</v>
      </c>
      <c r="E48" s="5">
        <v>0.66</v>
      </c>
      <c r="F48" s="9">
        <v>1.1000000000000001</v>
      </c>
      <c r="G48" s="5">
        <v>1.69</v>
      </c>
      <c r="H48" s="11">
        <f>MROUND(Tabella1[[#This Row],[media]],0.5)</f>
        <v>1</v>
      </c>
    </row>
    <row r="49" spans="1:8" x14ac:dyDescent="0.3">
      <c r="A49" s="2" t="s">
        <v>72</v>
      </c>
      <c r="B49" s="4">
        <v>100</v>
      </c>
      <c r="C49" s="4" t="s">
        <v>32</v>
      </c>
      <c r="D49" s="4" t="s">
        <v>10</v>
      </c>
      <c r="E49" s="5">
        <v>1.59</v>
      </c>
      <c r="F49" s="9">
        <v>2.46</v>
      </c>
      <c r="G49" s="5">
        <v>4.29</v>
      </c>
      <c r="H49" s="11">
        <f>MROUND(Tabella1[[#This Row],[media]],0.5)</f>
        <v>2.5</v>
      </c>
    </row>
    <row r="50" spans="1:8" x14ac:dyDescent="0.3">
      <c r="A50" s="2" t="s">
        <v>73</v>
      </c>
      <c r="B50" s="4">
        <v>75</v>
      </c>
      <c r="C50" s="4" t="s">
        <v>32</v>
      </c>
      <c r="D50" s="4" t="s">
        <v>10</v>
      </c>
      <c r="E50" s="5">
        <v>3.69</v>
      </c>
      <c r="F50" s="9">
        <v>6.88</v>
      </c>
      <c r="G50" s="5">
        <v>26.5</v>
      </c>
      <c r="H50" s="11">
        <f>MROUND(Tabella1[[#This Row],[media]],0.5)</f>
        <v>7</v>
      </c>
    </row>
    <row r="51" spans="1:8" x14ac:dyDescent="0.3">
      <c r="A51" s="2" t="s">
        <v>74</v>
      </c>
      <c r="B51" s="4">
        <v>100</v>
      </c>
      <c r="C51" s="4" t="s">
        <v>32</v>
      </c>
      <c r="D51" s="4" t="s">
        <v>10</v>
      </c>
      <c r="E51" s="5">
        <v>1.58</v>
      </c>
      <c r="F51" s="9">
        <v>2.68</v>
      </c>
      <c r="G51" s="5">
        <v>4.55</v>
      </c>
      <c r="H51" s="11">
        <f>MROUND(Tabella1[[#This Row],[media]],0.5)</f>
        <v>2.5</v>
      </c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AJ86"/>
  <sheetViews>
    <sheetView showGridLines="0" topLeftCell="U1" workbookViewId="0">
      <selection activeCell="AC10" sqref="AC10"/>
    </sheetView>
  </sheetViews>
  <sheetFormatPr defaultColWidth="14.44140625" defaultRowHeight="14.4" outlineLevelRow="1" outlineLevelCol="1" x14ac:dyDescent="0.3"/>
  <cols>
    <col min="1" max="4" width="10.109375" style="7" hidden="1" customWidth="1" outlineLevel="1"/>
    <col min="5" max="5" width="16.21875" style="7" hidden="1" customWidth="1" outlineLevel="1"/>
    <col min="6" max="6" width="8.33203125" style="7" bestFit="1" customWidth="1" collapsed="1"/>
    <col min="7" max="7" width="32.6640625" style="8" hidden="1" customWidth="1" outlineLevel="1"/>
    <col min="8" max="8" width="32.6640625" style="8" hidden="1" customWidth="1" outlineLevel="1" collapsed="1"/>
    <col min="9" max="9" width="32.6640625" style="8" bestFit="1" customWidth="1" collapsed="1"/>
    <col min="10" max="10" width="7.77734375" style="7" customWidth="1"/>
    <col min="11" max="11" width="14.109375" style="4" customWidth="1"/>
    <col min="12" max="12" width="9.33203125" style="4" customWidth="1"/>
    <col min="13" max="13" width="10.88671875" style="13" customWidth="1"/>
    <col min="14" max="16" width="14.44140625" style="8" customWidth="1"/>
    <col min="17" max="17" width="14.44140625" style="14" customWidth="1"/>
    <col min="18" max="18" width="14.44140625" style="36" customWidth="1"/>
    <col min="19" max="19" width="8.44140625" style="19" bestFit="1" customWidth="1"/>
    <col min="20" max="20" width="20" style="38" bestFit="1" customWidth="1"/>
    <col min="21" max="22" width="20" style="38" customWidth="1" outlineLevel="1"/>
    <col min="23" max="23" width="12" style="8" bestFit="1" customWidth="1"/>
    <col min="24" max="24" width="8.44140625" style="19" bestFit="1" customWidth="1"/>
    <col min="25" max="25" width="21.109375" style="19" bestFit="1" customWidth="1"/>
    <col min="26" max="27" width="21.109375" style="19" customWidth="1" outlineLevel="1"/>
    <col min="28" max="28" width="12" style="8" bestFit="1" customWidth="1"/>
    <col min="29" max="29" width="8.33203125" style="19" bestFit="1" customWidth="1"/>
    <col min="30" max="30" width="19" style="19" bestFit="1" customWidth="1"/>
    <col min="31" max="33" width="19" style="19" customWidth="1"/>
    <col min="34" max="34" width="11.88671875" style="8" bestFit="1" customWidth="1"/>
    <col min="35" max="16384" width="14.44140625" style="8"/>
  </cols>
  <sheetData>
    <row r="1" spans="1:36" ht="39" customHeight="1" thickTop="1" thickBot="1" x14ac:dyDescent="0.35">
      <c r="K1" s="7"/>
      <c r="L1" s="7"/>
      <c r="P1" s="22" t="s">
        <v>117</v>
      </c>
      <c r="Q1" s="21"/>
      <c r="R1" s="34"/>
      <c r="S1" s="57" t="s">
        <v>105</v>
      </c>
      <c r="T1" s="57"/>
      <c r="U1" s="57"/>
      <c r="V1" s="57"/>
      <c r="W1" s="57"/>
      <c r="X1" s="57" t="s">
        <v>142</v>
      </c>
      <c r="Y1" s="57"/>
      <c r="Z1" s="57"/>
      <c r="AA1" s="57"/>
      <c r="AB1" s="57"/>
      <c r="AC1" s="57" t="s">
        <v>143</v>
      </c>
      <c r="AD1" s="58"/>
      <c r="AE1" s="58"/>
      <c r="AF1" s="58"/>
      <c r="AG1" s="58"/>
      <c r="AH1" s="58"/>
      <c r="AI1" s="29" t="s">
        <v>140</v>
      </c>
    </row>
    <row r="2" spans="1:36" ht="15.6" outlineLevel="1" thickTop="1" thickBot="1" x14ac:dyDescent="0.35">
      <c r="A2" s="25"/>
      <c r="B2" s="25"/>
      <c r="C2" s="25"/>
      <c r="D2" s="25"/>
      <c r="E2" s="25"/>
      <c r="F2" s="25"/>
      <c r="G2" s="20"/>
      <c r="H2" s="20"/>
      <c r="I2" s="20"/>
      <c r="J2" s="25"/>
      <c r="K2" s="25"/>
      <c r="L2" s="25"/>
      <c r="M2" s="26"/>
      <c r="N2" s="20"/>
      <c r="O2" s="20"/>
      <c r="P2" s="23">
        <v>0.05</v>
      </c>
      <c r="Q2" s="24"/>
      <c r="R2" s="35"/>
      <c r="S2" s="59">
        <f>SUM(nuclei!D2:D491)</f>
        <v>9</v>
      </c>
      <c r="T2" s="59"/>
      <c r="U2" s="59"/>
      <c r="V2" s="59"/>
      <c r="W2" s="59"/>
      <c r="X2" s="59">
        <f>SUM(nuclei!E2:E491)</f>
        <v>71</v>
      </c>
      <c r="Y2" s="59"/>
      <c r="Z2" s="59"/>
      <c r="AA2" s="59"/>
      <c r="AB2" s="59"/>
      <c r="AC2" s="32">
        <f>SUM(nuclei!F2:F491)</f>
        <v>261</v>
      </c>
      <c r="AD2" s="33"/>
      <c r="AE2" s="33">
        <f>SUMIF(Tabella4[adulti (&gt;10)],"&lt;="&amp;2,Tabella4[adulti (&gt;10)])</f>
        <v>86</v>
      </c>
      <c r="AF2" s="33"/>
      <c r="AG2" s="33">
        <f>AC2-AE2</f>
        <v>175</v>
      </c>
      <c r="AH2" s="33"/>
      <c r="AI2" s="30">
        <f>SUM(S2:AH2)</f>
        <v>602</v>
      </c>
    </row>
    <row r="3" spans="1:36" ht="15" outlineLevel="1" thickTop="1" x14ac:dyDescent="0.3">
      <c r="A3" s="39"/>
      <c r="B3" s="39"/>
      <c r="C3" s="39"/>
      <c r="D3" s="39"/>
      <c r="E3" s="39"/>
      <c r="F3" s="39"/>
      <c r="G3" s="40"/>
      <c r="H3" s="40"/>
      <c r="I3" s="40"/>
      <c r="J3" s="39"/>
      <c r="K3" s="39"/>
      <c r="L3" s="39"/>
      <c r="M3" s="41"/>
      <c r="N3" s="40"/>
      <c r="O3" s="40"/>
      <c r="P3" s="42"/>
      <c r="Q3" s="43"/>
      <c r="R3" s="44"/>
      <c r="S3" s="55">
        <v>0.4</v>
      </c>
      <c r="T3" s="55"/>
      <c r="U3" s="55"/>
      <c r="V3" s="55"/>
      <c r="W3" s="55"/>
      <c r="X3" s="56">
        <v>0.4</v>
      </c>
      <c r="Y3" s="56"/>
      <c r="Z3" s="56"/>
      <c r="AA3" s="56"/>
      <c r="AB3" s="56"/>
      <c r="AC3" s="46"/>
      <c r="AD3" s="46"/>
      <c r="AE3" s="47">
        <v>0.45</v>
      </c>
      <c r="AF3" s="47"/>
      <c r="AG3" s="47">
        <f>1-AE3</f>
        <v>0.55000000000000004</v>
      </c>
      <c r="AH3" s="46"/>
      <c r="AI3" s="45"/>
    </row>
    <row r="4" spans="1:36" x14ac:dyDescent="0.3">
      <c r="A4" s="7" t="s">
        <v>111</v>
      </c>
      <c r="B4" s="7" t="s">
        <v>112</v>
      </c>
      <c r="C4" s="7" t="s">
        <v>97</v>
      </c>
      <c r="D4" s="7" t="s">
        <v>98</v>
      </c>
      <c r="E4" s="7" t="s">
        <v>95</v>
      </c>
      <c r="F4" s="7" t="s">
        <v>96</v>
      </c>
      <c r="G4" s="4" t="s">
        <v>76</v>
      </c>
      <c r="H4" s="7" t="s">
        <v>7</v>
      </c>
      <c r="I4" s="4" t="s">
        <v>1</v>
      </c>
      <c r="J4" s="7" t="s">
        <v>9</v>
      </c>
      <c r="K4" s="4" t="s">
        <v>12</v>
      </c>
      <c r="L4" s="4" t="s">
        <v>34</v>
      </c>
      <c r="M4" s="13" t="s">
        <v>13</v>
      </c>
      <c r="N4" s="7" t="s">
        <v>2</v>
      </c>
      <c r="O4" s="7" t="s">
        <v>94</v>
      </c>
      <c r="P4" s="7" t="s">
        <v>101</v>
      </c>
      <c r="Q4" s="3" t="s">
        <v>144</v>
      </c>
      <c r="R4" s="5" t="s">
        <v>141</v>
      </c>
      <c r="S4" s="18" t="s">
        <v>106</v>
      </c>
      <c r="T4" s="37" t="s">
        <v>147</v>
      </c>
      <c r="U4" s="37" t="s">
        <v>150</v>
      </c>
      <c r="V4" s="37" t="s">
        <v>151</v>
      </c>
      <c r="W4" s="7" t="s">
        <v>108</v>
      </c>
      <c r="X4" s="18" t="s">
        <v>107</v>
      </c>
      <c r="Y4" s="18" t="s">
        <v>148</v>
      </c>
      <c r="Z4" s="18" t="s">
        <v>152</v>
      </c>
      <c r="AA4" s="18" t="s">
        <v>153</v>
      </c>
      <c r="AB4" s="7" t="s">
        <v>109</v>
      </c>
      <c r="AC4" s="18" t="s">
        <v>110</v>
      </c>
      <c r="AD4" s="18" t="s">
        <v>149</v>
      </c>
      <c r="AE4" s="18" t="s">
        <v>157</v>
      </c>
      <c r="AF4" s="18" t="s">
        <v>155</v>
      </c>
      <c r="AG4" s="18" t="s">
        <v>158</v>
      </c>
      <c r="AH4" s="7" t="s">
        <v>156</v>
      </c>
    </row>
    <row r="5" spans="1:36" x14ac:dyDescent="0.3">
      <c r="C5" s="7" t="str">
        <f>IF(Tabella2[[#This Row],[Macro_prodotto]]&lt;&gt;"",CONCATENATE("M-",Tabella2[[#This Row],[u_macro]]),A4)</f>
        <v>M-1</v>
      </c>
      <c r="D5" s="7" t="str">
        <f>IF(Tabella2[[#This Row],[Macro_prodotto]]&lt;&gt;"",CONCATENATE("M-",Tabella2[[#This Row],[u_macro]]),"")</f>
        <v>M-1</v>
      </c>
      <c r="E5" s="7">
        <f>IF(Tabella2[[#This Row],[Macro_prodotto]]="","",(COUNT(E$4:E4))+1)</f>
        <v>1</v>
      </c>
      <c r="F5" s="7" t="str">
        <f t="shared" ref="F5:F36" si="0">IF((ROW(A4))&lt;10,CONCATENATE("p-00",(ROW(A4))),IF(AND((ROW(A4))&gt;=10,(ROW(A4))&lt;100),CONCATENATE("p-0",(ROW(A4))),CONCATENATE("p-",(ROW(A4)))))</f>
        <v>p-004</v>
      </c>
      <c r="G5" s="8" t="s">
        <v>77</v>
      </c>
      <c r="H5" s="8" t="s">
        <v>77</v>
      </c>
      <c r="I5" s="8" t="s">
        <v>14</v>
      </c>
      <c r="J5" s="7" t="s">
        <v>10</v>
      </c>
      <c r="K5" s="4">
        <v>1000</v>
      </c>
      <c r="L5" s="4" t="s">
        <v>31</v>
      </c>
      <c r="M5" s="13">
        <v>1.8</v>
      </c>
      <c r="N5" s="7" t="s">
        <v>0</v>
      </c>
      <c r="O5" s="7">
        <v>1210</v>
      </c>
      <c r="P5" s="7">
        <f>IF(Tabella2[[#This Row],[quantità]]="","",Tabella2[[#This Row],[quantità]]-Tabella2[[#This Row],[quantità]]*P$2)</f>
        <v>1149.5</v>
      </c>
      <c r="Q5" s="3">
        <f>IF(Tabella2[[#This Row],[margine]]="","",Tabella2[[#This Row],[margine]]/11)</f>
        <v>104.5</v>
      </c>
      <c r="R5" s="5">
        <f>IF(Tabella2[[#This Row],[media mensile]]="","",Tabella2[[#This Row],[media mensile]]*Tabella2[[#This Row],[prezzo]])</f>
        <v>188.1</v>
      </c>
      <c r="S5" s="18">
        <v>0</v>
      </c>
      <c r="T5" s="37">
        <f>IF(Tabella2[[#This Row],[Q/p.c.]]="","",Tabella2[[#This Row],[Q/p.c.]]*Tabella2[[#This Row],[% n]])</f>
        <v>0</v>
      </c>
      <c r="U5" s="37">
        <f>IF(Tabella2[[#This Row],[Q/p.c.]]="","",Tabella2[[#This Row],[€ gruppo noenati]]*(S$3*-1))</f>
        <v>0</v>
      </c>
      <c r="V5" s="37">
        <f>IF(Tabella2[[#This Row],[Q/p.c.]]="","",Tabella2[[#This Row],[€ gruppo noenati]]+Tabella2[[#This Row],[% decurtazione]])</f>
        <v>0</v>
      </c>
      <c r="W5" s="5">
        <f>IF(Tabella2[[#This Row],[media mensile]]="","",Tabella2[[#This Row],[€ decurtato]]/S$2)</f>
        <v>0</v>
      </c>
      <c r="X5" s="18">
        <v>0.15</v>
      </c>
      <c r="Y5" s="37">
        <f>IF(Tabella2[[#This Row],[Q/p.c.]]="","",Tabella2[[#This Row],[Q/p.c.]]*Tabella2[[#This Row],[% b]])</f>
        <v>28.215</v>
      </c>
      <c r="Z5" s="37">
        <f>IF(Tabella2[[#This Row],[Q/p.c.]]="","",Tabella2[[#This Row],[€ gruppo bambino]]*(X$3*-1))</f>
        <v>-11.286000000000001</v>
      </c>
      <c r="AA5" s="37">
        <f>IF(Tabella2[[#This Row],[Q/p.c.]]="","",Tabella2[[#This Row],[€ gruppo bambino]]+Tabella2[[#This Row],[% decurtazione b]])</f>
        <v>16.928999999999998</v>
      </c>
      <c r="AB5" s="5">
        <f>IF(Tabella2[[#This Row],[media mensile]]="","",Tabella2[[#This Row],[€ decurtato b]]/X$2)</f>
        <v>0.23843661971830984</v>
      </c>
      <c r="AC5" s="18">
        <f>1-(Tabella2[[#This Row],[% n]]+Tabella2[[#This Row],[% b]])</f>
        <v>0.85</v>
      </c>
      <c r="AD5" s="37">
        <f>IF(Tabella2[[#This Row],[Q/p.c.]]="","",SUM((Tabella2[[#This Row],[Q/p.c.]]*Tabella2[[#This Row],[% a]]),(Tabella2[[#This Row],[% decurtazione]]*-1),(Tabella2[[#This Row],[% decurtazione b]]*-1)))</f>
        <v>171.17099999999999</v>
      </c>
      <c r="AE5" s="37">
        <f>IF(Tabella2[[#This Row],[Q/p.c.]]="","",Tabella2[[#This Row],[€ gruppo adulto]]*AE$3)</f>
        <v>77.026949999999999</v>
      </c>
      <c r="AF5" s="37">
        <f>IF(Tabella2[[#This Row],[Q/p.c.]]="","",Tabella2[[#This Row],[€ gruppo a da 1 a 2]]/AE$2)</f>
        <v>0.89566220930232554</v>
      </c>
      <c r="AG5" s="37">
        <f>IF(Tabella2[[#This Row],[Q/p.c.]]="","",Tabella2[[#This Row],[€ gruppo adulto]]-Tabella2[[#This Row],[€ gruppo a da 1 a 2]])</f>
        <v>94.144049999999993</v>
      </c>
      <c r="AH5" s="5">
        <f>IF(Tabella2[[#This Row],[Q/p.c.]]="","",Tabella2[[#This Row],[€ gruppo a &gt;2]]/AG$2)</f>
        <v>0.53796599999999994</v>
      </c>
      <c r="AJ5" s="31"/>
    </row>
    <row r="6" spans="1:36" hidden="1" outlineLevel="1" x14ac:dyDescent="0.3">
      <c r="C6" s="7">
        <f>IF(Tabella2[[#This Row],[Macro_prodotto]]&lt;&gt;"",CONCATENATE("M-",Tabella2[[#This Row],[u_macro]]),A5)</f>
        <v>0</v>
      </c>
      <c r="D6" s="7" t="str">
        <f>IF(Tabella2[[#This Row],[Macro_prodotto]]&lt;&gt;"",CONCATENATE("M-",Tabella2[[#This Row],[u_macro]]),"")</f>
        <v/>
      </c>
      <c r="E6" s="7" t="str">
        <f>IF(Tabella2[[#This Row],[Macro_prodotto]]="","",(COUNT(E$4:E5))+1)</f>
        <v/>
      </c>
      <c r="F6" s="7" t="str">
        <f t="shared" si="0"/>
        <v>p-005</v>
      </c>
      <c r="I6" s="8" t="s">
        <v>14</v>
      </c>
      <c r="J6" s="7" t="s">
        <v>10</v>
      </c>
      <c r="K6" s="4">
        <v>500</v>
      </c>
      <c r="L6" s="4" t="s">
        <v>31</v>
      </c>
      <c r="M6" s="13">
        <v>1.25</v>
      </c>
      <c r="N6" s="7"/>
      <c r="O6" s="7"/>
      <c r="P6" s="7" t="str">
        <f>IF(Tabella2[[#This Row],[quantità]]="","",Tabella2[[#This Row],[quantità]]-Tabella2[[#This Row],[quantità]]*P$2)</f>
        <v/>
      </c>
      <c r="Q6" s="3" t="str">
        <f>IF(Tabella2[[#This Row],[margine]]="","",Tabella2[[#This Row],[margine]]/11)</f>
        <v/>
      </c>
      <c r="R6" s="5" t="str">
        <f>IF(Tabella2[[#This Row],[media mensile]]="","",Tabella2[[#This Row],[media mensile]]*Tabella2[[#This Row],[prezzo]])</f>
        <v/>
      </c>
      <c r="S6" s="18"/>
      <c r="T6" s="37" t="str">
        <f>IF(Tabella2[[#This Row],[Q/p.c.]]="","",Tabella2[[#This Row],[Q/p.c.]]*Tabella2[[#This Row],[% n]])</f>
        <v/>
      </c>
      <c r="U6" s="37" t="str">
        <f>IF(Tabella2[[#This Row],[Q/p.c.]]="","",Tabella2[[#This Row],[€ gruppo noenati]]*(S$3*-1))</f>
        <v/>
      </c>
      <c r="V6" s="37" t="str">
        <f>IF(Tabella2[[#This Row],[Q/p.c.]]="","",Tabella2[[#This Row],[€ gruppo noenati]]+Tabella2[[#This Row],[% decurtazione]])</f>
        <v/>
      </c>
      <c r="W6" s="5" t="str">
        <f>IF(Tabella2[[#This Row],[media mensile]]="","",Tabella2[[#This Row],[€ decurtato]]/S$2)</f>
        <v/>
      </c>
      <c r="X6" s="18"/>
      <c r="Y6" s="37" t="str">
        <f>IF(Tabella2[[#This Row],[Q/p.c.]]="","",Tabella2[[#This Row],[Q/p.c.]]*Tabella2[[#This Row],[% b]])</f>
        <v/>
      </c>
      <c r="Z6" s="37" t="str">
        <f>IF(Tabella2[[#This Row],[Q/p.c.]]="","",Tabella2[[#This Row],[€ gruppo bambino]]*(X$3*-1))</f>
        <v/>
      </c>
      <c r="AA6" s="37" t="str">
        <f>IF(Tabella2[[#This Row],[Q/p.c.]]="","",Tabella2[[#This Row],[€ gruppo bambino]]+Tabella2[[#This Row],[% decurtazione b]])</f>
        <v/>
      </c>
      <c r="AB6" s="5" t="str">
        <f>IF(Tabella2[[#This Row],[media mensile]]="","",Tabella2[[#This Row],[€ decurtato b]]/X$2)</f>
        <v/>
      </c>
      <c r="AC6" s="18">
        <f>1-(Tabella2[[#This Row],[% n]]+Tabella2[[#This Row],[% b]])</f>
        <v>1</v>
      </c>
      <c r="AD6" s="37" t="str">
        <f>IF(Tabella2[[#This Row],[Q/p.c.]]="","",SUM((Tabella2[[#This Row],[Q/p.c.]]*Tabella2[[#This Row],[% a]]),(Tabella2[[#This Row],[% decurtazione]]*-1),(Tabella2[[#This Row],[% decurtazione b]]*-1)))</f>
        <v/>
      </c>
      <c r="AE6" s="37" t="str">
        <f>IF(Tabella2[[#This Row],[Q/p.c.]]="","",Tabella2[[#This Row],[€ gruppo adulto]]*AE$3)</f>
        <v/>
      </c>
      <c r="AF6" s="37" t="str">
        <f>IF(Tabella2[[#This Row],[Q/p.c.]]="","",Tabella2[[#This Row],[€ gruppo a da 1 a 2]]/AE$2)</f>
        <v/>
      </c>
      <c r="AG6" s="37" t="str">
        <f>IF(Tabella2[[#This Row],[Q/p.c.]]="","",Tabella2[[#This Row],[€ gruppo adulto]]-Tabella2[[#This Row],[€ gruppo a da 1 a 2]])</f>
        <v/>
      </c>
      <c r="AH6" s="5" t="str">
        <f>IF(Tabella2[[#This Row],[Q/p.c.]]="","",Tabella2[[#This Row],[€ gruppo a &gt;2]]/AG$2)</f>
        <v/>
      </c>
    </row>
    <row r="7" spans="1:36" collapsed="1" x14ac:dyDescent="0.3">
      <c r="C7" s="7" t="str">
        <f>IF(Tabella2[[#This Row],[Macro_prodotto]]&lt;&gt;"",CONCATENATE("M-",Tabella2[[#This Row],[u_macro]]),A6)</f>
        <v>M-2</v>
      </c>
      <c r="D7" s="7" t="str">
        <f>IF(Tabella2[[#This Row],[Macro_prodotto]]&lt;&gt;"",CONCATENATE("M-",Tabella2[[#This Row],[u_macro]]),"")</f>
        <v>M-2</v>
      </c>
      <c r="E7" s="7">
        <f>IF(Tabella2[[#This Row],[Macro_prodotto]]="","",(COUNT(E$4:E6))+1)</f>
        <v>2</v>
      </c>
      <c r="F7" s="7" t="str">
        <f t="shared" si="0"/>
        <v>p-006</v>
      </c>
      <c r="G7" s="8" t="s">
        <v>15</v>
      </c>
      <c r="H7" s="8" t="s">
        <v>124</v>
      </c>
      <c r="I7" s="8" t="s">
        <v>15</v>
      </c>
      <c r="J7" s="7" t="s">
        <v>10</v>
      </c>
      <c r="K7" s="4">
        <v>1000</v>
      </c>
      <c r="L7" s="4" t="s">
        <v>31</v>
      </c>
      <c r="M7" s="13">
        <v>0.6</v>
      </c>
      <c r="N7" s="7" t="s">
        <v>0</v>
      </c>
      <c r="O7" s="7">
        <v>2300</v>
      </c>
      <c r="P7" s="7">
        <f>IF(Tabella2[[#This Row],[quantità]]="","",Tabella2[[#This Row],[quantità]]-Tabella2[[#This Row],[quantità]]*P$2)</f>
        <v>2185</v>
      </c>
      <c r="Q7" s="3">
        <f>IF(Tabella2[[#This Row],[margine]]="","",Tabella2[[#This Row],[margine]]/11)</f>
        <v>198.63636363636363</v>
      </c>
      <c r="R7" s="5">
        <f>IF(Tabella2[[#This Row],[media mensile]]="","",Tabella2[[#This Row],[media mensile]]*Tabella2[[#This Row],[prezzo]])</f>
        <v>119.18181818181817</v>
      </c>
      <c r="S7" s="18">
        <v>0</v>
      </c>
      <c r="T7" s="37">
        <f>IF(Tabella2[[#This Row],[Q/p.c.]]="","",Tabella2[[#This Row],[Q/p.c.]]*Tabella2[[#This Row],[% n]])</f>
        <v>0</v>
      </c>
      <c r="U7" s="37">
        <f>IF(Tabella2[[#This Row],[Q/p.c.]]="","",Tabella2[[#This Row],[€ gruppo noenati]]*(S$3*-1))</f>
        <v>0</v>
      </c>
      <c r="V7" s="37">
        <f>IF(Tabella2[[#This Row],[Q/p.c.]]="","",Tabella2[[#This Row],[€ gruppo noenati]]+Tabella2[[#This Row],[% decurtazione]])</f>
        <v>0</v>
      </c>
      <c r="W7" s="5">
        <f>IF(Tabella2[[#This Row],[media mensile]]="","",Tabella2[[#This Row],[€ decurtato]]/S$2)</f>
        <v>0</v>
      </c>
      <c r="X7" s="18">
        <v>0.15</v>
      </c>
      <c r="Y7" s="37">
        <f>IF(Tabella2[[#This Row],[Q/p.c.]]="","",Tabella2[[#This Row],[Q/p.c.]]*Tabella2[[#This Row],[% b]])</f>
        <v>17.877272727272725</v>
      </c>
      <c r="Z7" s="37">
        <f>IF(Tabella2[[#This Row],[Q/p.c.]]="","",Tabella2[[#This Row],[€ gruppo bambino]]*(X$3*-1))</f>
        <v>-7.1509090909090904</v>
      </c>
      <c r="AA7" s="37">
        <f>IF(Tabella2[[#This Row],[Q/p.c.]]="","",Tabella2[[#This Row],[€ gruppo bambino]]+Tabella2[[#This Row],[% decurtazione b]])</f>
        <v>10.726363636363635</v>
      </c>
      <c r="AB7" s="5">
        <f>IF(Tabella2[[#This Row],[media mensile]]="","",Tabella2[[#This Row],[€ decurtato b]]/X$2)</f>
        <v>0.15107554417413571</v>
      </c>
      <c r="AC7" s="18">
        <f>1-(Tabella2[[#This Row],[% n]]+Tabella2[[#This Row],[% b]])</f>
        <v>0.85</v>
      </c>
      <c r="AD7" s="37">
        <f>IF(Tabella2[[#This Row],[Q/p.c.]]="","",SUM((Tabella2[[#This Row],[Q/p.c.]]*Tabella2[[#This Row],[% a]]),(Tabella2[[#This Row],[% decurtazione]]*-1),(Tabella2[[#This Row],[% decurtazione b]]*-1)))</f>
        <v>108.45545454545454</v>
      </c>
      <c r="AE7" s="37">
        <f>IF(Tabella2[[#This Row],[Q/p.c.]]="","",Tabella2[[#This Row],[€ gruppo adulto]]*AE$3)</f>
        <v>48.804954545454542</v>
      </c>
      <c r="AF7" s="37">
        <f>IF(Tabella2[[#This Row],[Q/p.c.]]="","",Tabella2[[#This Row],[€ gruppo a da 1 a 2]]/AE$2)</f>
        <v>0.56749947145877377</v>
      </c>
      <c r="AG7" s="37">
        <f>IF(Tabella2[[#This Row],[Q/p.c.]]="","",Tabella2[[#This Row],[€ gruppo adulto]]-Tabella2[[#This Row],[€ gruppo a da 1 a 2]])</f>
        <v>59.650500000000001</v>
      </c>
      <c r="AH7" s="5">
        <f>IF(Tabella2[[#This Row],[Q/p.c.]]="","",Tabella2[[#This Row],[€ gruppo a &gt;2]]/AG$2)</f>
        <v>0.34086</v>
      </c>
    </row>
    <row r="8" spans="1:36" x14ac:dyDescent="0.3">
      <c r="C8" s="7" t="str">
        <f>IF(Tabella2[[#This Row],[Macro_prodotto]]&lt;&gt;"",CONCATENATE("M-",Tabella2[[#This Row],[u_macro]]),A7)</f>
        <v>M-3</v>
      </c>
      <c r="D8" s="7" t="str">
        <f>IF(Tabella2[[#This Row],[Macro_prodotto]]&lt;&gt;"",CONCATENATE("M-",Tabella2[[#This Row],[u_macro]]),"")</f>
        <v>M-3</v>
      </c>
      <c r="E8" s="7">
        <f>IF(Tabella2[[#This Row],[Macro_prodotto]]="","",(COUNT(E$4:E7))+1)</f>
        <v>3</v>
      </c>
      <c r="F8" s="7" t="str">
        <f t="shared" si="0"/>
        <v>p-007</v>
      </c>
      <c r="G8" s="8" t="s">
        <v>16</v>
      </c>
      <c r="H8" s="8" t="s">
        <v>125</v>
      </c>
      <c r="I8" s="8" t="s">
        <v>16</v>
      </c>
      <c r="J8" s="7" t="s">
        <v>10</v>
      </c>
      <c r="K8" s="4">
        <v>1000</v>
      </c>
      <c r="L8" s="4" t="s">
        <v>31</v>
      </c>
      <c r="M8" s="13">
        <v>1.5</v>
      </c>
      <c r="N8" s="7" t="s">
        <v>0</v>
      </c>
      <c r="O8" s="7">
        <f>7694/2</f>
        <v>3847</v>
      </c>
      <c r="P8" s="7">
        <f>IF(Tabella2[[#This Row],[quantità]]="","",Tabella2[[#This Row],[quantità]]-Tabella2[[#This Row],[quantità]]*P$2)</f>
        <v>3654.65</v>
      </c>
      <c r="Q8" s="3">
        <f>IF(Tabella2[[#This Row],[margine]]="","",Tabella2[[#This Row],[margine]]/11)</f>
        <v>332.2409090909091</v>
      </c>
      <c r="R8" s="5">
        <f>IF(Tabella2[[#This Row],[media mensile]]="","",Tabella2[[#This Row],[media mensile]]*Tabella2[[#This Row],[prezzo]])</f>
        <v>498.36136363636365</v>
      </c>
      <c r="S8" s="18">
        <v>0</v>
      </c>
      <c r="T8" s="37">
        <f>IF(Tabella2[[#This Row],[Q/p.c.]]="","",Tabella2[[#This Row],[Q/p.c.]]*Tabella2[[#This Row],[% n]])</f>
        <v>0</v>
      </c>
      <c r="U8" s="37">
        <f>IF(Tabella2[[#This Row],[Q/p.c.]]="","",Tabella2[[#This Row],[€ gruppo noenati]]*(S$3*-1))</f>
        <v>0</v>
      </c>
      <c r="V8" s="37">
        <f>IF(Tabella2[[#This Row],[Q/p.c.]]="","",Tabella2[[#This Row],[€ gruppo noenati]]+Tabella2[[#This Row],[% decurtazione]])</f>
        <v>0</v>
      </c>
      <c r="W8" s="5">
        <f>IF(Tabella2[[#This Row],[media mensile]]="","",Tabella2[[#This Row],[€ decurtato]]/S$2)</f>
        <v>0</v>
      </c>
      <c r="X8" s="18">
        <v>0.15</v>
      </c>
      <c r="Y8" s="37">
        <f>IF(Tabella2[[#This Row],[Q/p.c.]]="","",Tabella2[[#This Row],[Q/p.c.]]*Tabella2[[#This Row],[% b]])</f>
        <v>74.754204545454542</v>
      </c>
      <c r="Z8" s="37">
        <f>IF(Tabella2[[#This Row],[Q/p.c.]]="","",Tabella2[[#This Row],[€ gruppo bambino]]*(X$3*-1))</f>
        <v>-29.901681818181817</v>
      </c>
      <c r="AA8" s="37">
        <f>IF(Tabella2[[#This Row],[Q/p.c.]]="","",Tabella2[[#This Row],[€ gruppo bambino]]+Tabella2[[#This Row],[% decurtazione b]])</f>
        <v>44.852522727272728</v>
      </c>
      <c r="AB8" s="5">
        <f>IF(Tabella2[[#This Row],[media mensile]]="","",Tabella2[[#This Row],[€ decurtato b]]/X$2)</f>
        <v>0.63172567221510889</v>
      </c>
      <c r="AC8" s="18">
        <f>1-(Tabella2[[#This Row],[% n]]+Tabella2[[#This Row],[% b]])</f>
        <v>0.85</v>
      </c>
      <c r="AD8" s="37">
        <f>IF(Tabella2[[#This Row],[Q/p.c.]]="","",SUM((Tabella2[[#This Row],[Q/p.c.]]*Tabella2[[#This Row],[% a]]),(Tabella2[[#This Row],[% decurtazione]]*-1),(Tabella2[[#This Row],[% decurtazione b]]*-1)))</f>
        <v>453.50884090909091</v>
      </c>
      <c r="AE8" s="37">
        <f>IF(Tabella2[[#This Row],[Q/p.c.]]="","",Tabella2[[#This Row],[€ gruppo adulto]]*AE$3)</f>
        <v>204.07897840909092</v>
      </c>
      <c r="AF8" s="37">
        <f>IF(Tabella2[[#This Row],[Q/p.c.]]="","",Tabella2[[#This Row],[€ gruppo a da 1 a 2]]/AE$2)</f>
        <v>2.3730113768498944</v>
      </c>
      <c r="AG8" s="37">
        <f>IF(Tabella2[[#This Row],[Q/p.c.]]="","",Tabella2[[#This Row],[€ gruppo adulto]]-Tabella2[[#This Row],[€ gruppo a da 1 a 2]])</f>
        <v>249.42986249999998</v>
      </c>
      <c r="AH8" s="5">
        <f>IF(Tabella2[[#This Row],[Q/p.c.]]="","",Tabella2[[#This Row],[€ gruppo a &gt;2]]/AG$2)</f>
        <v>1.4253134999999999</v>
      </c>
    </row>
    <row r="9" spans="1:36" hidden="1" outlineLevel="1" x14ac:dyDescent="0.3">
      <c r="C9" s="7">
        <f>IF(Tabella2[[#This Row],[Macro_prodotto]]&lt;&gt;"",CONCATENATE("M-",Tabella2[[#This Row],[u_macro]]),A8)</f>
        <v>0</v>
      </c>
      <c r="D9" s="7" t="str">
        <f>IF(Tabella2[[#This Row],[Macro_prodotto]]&lt;&gt;"",CONCATENATE("M-",Tabella2[[#This Row],[u_macro]]),"")</f>
        <v/>
      </c>
      <c r="E9" s="7" t="str">
        <f>IF(Tabella2[[#This Row],[Macro_prodotto]]="","",(COUNT(E$4:E8))+1)</f>
        <v/>
      </c>
      <c r="F9" s="7" t="str">
        <f t="shared" si="0"/>
        <v>p-008</v>
      </c>
      <c r="I9" s="8" t="s">
        <v>16</v>
      </c>
      <c r="J9" s="7" t="s">
        <v>10</v>
      </c>
      <c r="K9" s="4">
        <v>500</v>
      </c>
      <c r="L9" s="4" t="s">
        <v>31</v>
      </c>
      <c r="M9" s="13">
        <v>1.5</v>
      </c>
      <c r="N9" s="7"/>
      <c r="O9" s="7"/>
      <c r="P9" s="7" t="str">
        <f>IF(Tabella2[[#This Row],[quantità]]="","",Tabella2[[#This Row],[quantità]]-Tabella2[[#This Row],[quantità]]*P$2)</f>
        <v/>
      </c>
      <c r="Q9" s="3" t="str">
        <f>IF(Tabella2[[#This Row],[margine]]="","",Tabella2[[#This Row],[margine]]/11)</f>
        <v/>
      </c>
      <c r="R9" s="5" t="str">
        <f>IF(Tabella2[[#This Row],[media mensile]]="","",Tabella2[[#This Row],[media mensile]]*Tabella2[[#This Row],[prezzo]])</f>
        <v/>
      </c>
      <c r="S9" s="18"/>
      <c r="T9" s="37" t="str">
        <f>IF(Tabella2[[#This Row],[Q/p.c.]]="","",Tabella2[[#This Row],[Q/p.c.]]*Tabella2[[#This Row],[% n]])</f>
        <v/>
      </c>
      <c r="U9" s="37" t="str">
        <f>IF(Tabella2[[#This Row],[Q/p.c.]]="","",Tabella2[[#This Row],[€ gruppo noenati]]*(S$3*-1))</f>
        <v/>
      </c>
      <c r="V9" s="37" t="str">
        <f>IF(Tabella2[[#This Row],[Q/p.c.]]="","",Tabella2[[#This Row],[€ gruppo noenati]]+Tabella2[[#This Row],[% decurtazione]])</f>
        <v/>
      </c>
      <c r="W9" s="5" t="str">
        <f>IF(Tabella2[[#This Row],[media mensile]]="","",Tabella2[[#This Row],[€ decurtato]]/S$2)</f>
        <v/>
      </c>
      <c r="X9" s="18"/>
      <c r="Y9" s="37" t="str">
        <f>IF(Tabella2[[#This Row],[Q/p.c.]]="","",Tabella2[[#This Row],[Q/p.c.]]*Tabella2[[#This Row],[% b]])</f>
        <v/>
      </c>
      <c r="Z9" s="37" t="str">
        <f>IF(Tabella2[[#This Row],[Q/p.c.]]="","",Tabella2[[#This Row],[€ gruppo bambino]]*(X$3*-1))</f>
        <v/>
      </c>
      <c r="AA9" s="37" t="str">
        <f>IF(Tabella2[[#This Row],[Q/p.c.]]="","",Tabella2[[#This Row],[€ gruppo bambino]]+Tabella2[[#This Row],[% decurtazione b]])</f>
        <v/>
      </c>
      <c r="AB9" s="5" t="str">
        <f>IF(Tabella2[[#This Row],[media mensile]]="","",Tabella2[[#This Row],[€ decurtato b]]/X$2)</f>
        <v/>
      </c>
      <c r="AC9" s="18">
        <f>1-(Tabella2[[#This Row],[% n]]+Tabella2[[#This Row],[% b]])</f>
        <v>1</v>
      </c>
      <c r="AD9" s="37" t="str">
        <f>IF(Tabella2[[#This Row],[Q/p.c.]]="","",SUM((Tabella2[[#This Row],[Q/p.c.]]*Tabella2[[#This Row],[% a]]),(Tabella2[[#This Row],[% decurtazione]]*-1),(Tabella2[[#This Row],[% decurtazione b]]*-1)))</f>
        <v/>
      </c>
      <c r="AE9" s="37" t="str">
        <f>IF(Tabella2[[#This Row],[Q/p.c.]]="","",Tabella2[[#This Row],[€ gruppo adulto]]*AE$3)</f>
        <v/>
      </c>
      <c r="AF9" s="37" t="str">
        <f>IF(Tabella2[[#This Row],[Q/p.c.]]="","",Tabella2[[#This Row],[€ gruppo a da 1 a 2]]/AE$2)</f>
        <v/>
      </c>
      <c r="AG9" s="37" t="str">
        <f>IF(Tabella2[[#This Row],[Q/p.c.]]="","",Tabella2[[#This Row],[€ gruppo adulto]]-Tabella2[[#This Row],[€ gruppo a da 1 a 2]])</f>
        <v/>
      </c>
      <c r="AH9" s="5" t="str">
        <f>IF(Tabella2[[#This Row],[Q/p.c.]]="","",Tabella2[[#This Row],[€ gruppo a &gt;2]]/AG$2)</f>
        <v/>
      </c>
    </row>
    <row r="10" spans="1:36" collapsed="1" x14ac:dyDescent="0.3">
      <c r="C10" s="7" t="str">
        <f>IF(Tabella2[[#This Row],[Macro_prodotto]]&lt;&gt;"",CONCATENATE("M-",Tabella2[[#This Row],[u_macro]]),A9)</f>
        <v>M-4</v>
      </c>
      <c r="D10" s="7" t="str">
        <f>IF(Tabella2[[#This Row],[Macro_prodotto]]&lt;&gt;"",CONCATENATE("M-",Tabella2[[#This Row],[u_macro]]),"")</f>
        <v>M-4</v>
      </c>
      <c r="E10" s="7">
        <f>IF(Tabella2[[#This Row],[Macro_prodotto]]="","",(COUNT(E$4:E9))+1)</f>
        <v>4</v>
      </c>
      <c r="F10" s="7" t="str">
        <f t="shared" si="0"/>
        <v>p-009</v>
      </c>
      <c r="G10" s="8" t="s">
        <v>17</v>
      </c>
      <c r="H10" s="8" t="s">
        <v>126</v>
      </c>
      <c r="I10" s="8" t="s">
        <v>17</v>
      </c>
      <c r="J10" s="7" t="s">
        <v>10</v>
      </c>
      <c r="K10" s="4">
        <v>1000</v>
      </c>
      <c r="L10" s="4" t="s">
        <v>31</v>
      </c>
      <c r="M10" s="13">
        <v>1.5</v>
      </c>
      <c r="N10" s="7" t="s">
        <v>0</v>
      </c>
      <c r="O10" s="7">
        <v>938</v>
      </c>
      <c r="P10" s="7">
        <f>IF(Tabella2[[#This Row],[quantità]]="","",Tabella2[[#This Row],[quantità]]-Tabella2[[#This Row],[quantità]]*P$2)</f>
        <v>891.1</v>
      </c>
      <c r="Q10" s="3">
        <f>IF(Tabella2[[#This Row],[margine]]="","",Tabella2[[#This Row],[margine]]/11)</f>
        <v>81.009090909090915</v>
      </c>
      <c r="R10" s="5">
        <f>IF(Tabella2[[#This Row],[media mensile]]="","",Tabella2[[#This Row],[media mensile]]*Tabella2[[#This Row],[prezzo]])</f>
        <v>121.51363636363638</v>
      </c>
      <c r="S10" s="18">
        <v>0</v>
      </c>
      <c r="T10" s="37">
        <f>IF(Tabella2[[#This Row],[Q/p.c.]]="","",Tabella2[[#This Row],[Q/p.c.]]*Tabella2[[#This Row],[% n]])</f>
        <v>0</v>
      </c>
      <c r="U10" s="37">
        <f>IF(Tabella2[[#This Row],[Q/p.c.]]="","",Tabella2[[#This Row],[€ gruppo noenati]]*(S$3*-1))</f>
        <v>0</v>
      </c>
      <c r="V10" s="37">
        <f>IF(Tabella2[[#This Row],[Q/p.c.]]="","",Tabella2[[#This Row],[€ gruppo noenati]]+Tabella2[[#This Row],[% decurtazione]])</f>
        <v>0</v>
      </c>
      <c r="W10" s="5">
        <f>IF(Tabella2[[#This Row],[media mensile]]="","",Tabella2[[#This Row],[€ decurtato]]/S$2)</f>
        <v>0</v>
      </c>
      <c r="X10" s="18">
        <v>0.2</v>
      </c>
      <c r="Y10" s="37">
        <f>IF(Tabella2[[#This Row],[Q/p.c.]]="","",Tabella2[[#This Row],[Q/p.c.]]*Tabella2[[#This Row],[% b]])</f>
        <v>24.302727272727278</v>
      </c>
      <c r="Z10" s="37">
        <f>IF(Tabella2[[#This Row],[Q/p.c.]]="","",Tabella2[[#This Row],[€ gruppo bambino]]*(X$3*-1))</f>
        <v>-9.7210909090909112</v>
      </c>
      <c r="AA10" s="37">
        <f>IF(Tabella2[[#This Row],[Q/p.c.]]="","",Tabella2[[#This Row],[€ gruppo bambino]]+Tabella2[[#This Row],[% decurtazione b]])</f>
        <v>14.581636363636367</v>
      </c>
      <c r="AB10" s="5">
        <f>IF(Tabella2[[#This Row],[media mensile]]="","",Tabella2[[#This Row],[€ decurtato b]]/X$2)</f>
        <v>0.20537516005121642</v>
      </c>
      <c r="AC10" s="18">
        <f>1-(Tabella2[[#This Row],[% n]]+Tabella2[[#This Row],[% b]])</f>
        <v>0.8</v>
      </c>
      <c r="AD10" s="37">
        <f>IF(Tabella2[[#This Row],[Q/p.c.]]="","",SUM((Tabella2[[#This Row],[Q/p.c.]]*Tabella2[[#This Row],[% a]]),(Tabella2[[#This Row],[% decurtazione]]*-1),(Tabella2[[#This Row],[% decurtazione b]]*-1)))</f>
        <v>106.93200000000002</v>
      </c>
      <c r="AE10" s="37">
        <f>IF(Tabella2[[#This Row],[Q/p.c.]]="","",Tabella2[[#This Row],[€ gruppo adulto]]*AE$3)</f>
        <v>48.119400000000006</v>
      </c>
      <c r="AF10" s="37">
        <f>IF(Tabella2[[#This Row],[Q/p.c.]]="","",Tabella2[[#This Row],[€ gruppo a da 1 a 2]]/AE$2)</f>
        <v>0.55952790697674426</v>
      </c>
      <c r="AG10" s="37">
        <f>IF(Tabella2[[#This Row],[Q/p.c.]]="","",Tabella2[[#This Row],[€ gruppo adulto]]-Tabella2[[#This Row],[€ gruppo a da 1 a 2]])</f>
        <v>58.81260000000001</v>
      </c>
      <c r="AH10" s="5">
        <f>IF(Tabella2[[#This Row],[Q/p.c.]]="","",Tabella2[[#This Row],[€ gruppo a &gt;2]]/AG$2)</f>
        <v>0.33607200000000004</v>
      </c>
    </row>
    <row r="11" spans="1:36" hidden="1" outlineLevel="1" x14ac:dyDescent="0.3">
      <c r="C11" s="7">
        <f>IF(Tabella2[[#This Row],[Macro_prodotto]]&lt;&gt;"",CONCATENATE("M-",Tabella2[[#This Row],[u_macro]]),A10)</f>
        <v>0</v>
      </c>
      <c r="D11" s="7" t="str">
        <f>IF(Tabella2[[#This Row],[Macro_prodotto]]&lt;&gt;"",CONCATENATE("M-",Tabella2[[#This Row],[u_macro]]),"")</f>
        <v/>
      </c>
      <c r="E11" s="7" t="str">
        <f>IF(Tabella2[[#This Row],[Macro_prodotto]]="","",(COUNT(E$4:E10))+1)</f>
        <v/>
      </c>
      <c r="F11" s="7" t="str">
        <f t="shared" si="0"/>
        <v>p-010</v>
      </c>
      <c r="I11" s="8" t="s">
        <v>17</v>
      </c>
      <c r="J11" s="7" t="s">
        <v>10</v>
      </c>
      <c r="K11" s="4">
        <v>500</v>
      </c>
      <c r="L11" s="4" t="s">
        <v>31</v>
      </c>
      <c r="M11" s="13">
        <v>0.75</v>
      </c>
      <c r="N11" s="7"/>
      <c r="O11" s="7"/>
      <c r="P11" s="7" t="str">
        <f>IF(Tabella2[[#This Row],[quantità]]="","",Tabella2[[#This Row],[quantità]]-Tabella2[[#This Row],[quantità]]*P$2)</f>
        <v/>
      </c>
      <c r="Q11" s="3" t="str">
        <f>IF(Tabella2[[#This Row],[margine]]="","",Tabella2[[#This Row],[margine]]/11)</f>
        <v/>
      </c>
      <c r="R11" s="5" t="str">
        <f>IF(Tabella2[[#This Row],[media mensile]]="","",Tabella2[[#This Row],[media mensile]]*Tabella2[[#This Row],[prezzo]])</f>
        <v/>
      </c>
      <c r="S11" s="18"/>
      <c r="T11" s="37" t="str">
        <f>IF(Tabella2[[#This Row],[Q/p.c.]]="","",Tabella2[[#This Row],[Q/p.c.]]*Tabella2[[#This Row],[% n]])</f>
        <v/>
      </c>
      <c r="U11" s="37" t="str">
        <f>IF(Tabella2[[#This Row],[Q/p.c.]]="","",Tabella2[[#This Row],[€ gruppo noenati]]*(S$3*-1))</f>
        <v/>
      </c>
      <c r="V11" s="37" t="str">
        <f>IF(Tabella2[[#This Row],[Q/p.c.]]="","",Tabella2[[#This Row],[€ gruppo noenati]]+Tabella2[[#This Row],[% decurtazione]])</f>
        <v/>
      </c>
      <c r="W11" s="5" t="str">
        <f>IF(Tabella2[[#This Row],[media mensile]]="","",Tabella2[[#This Row],[€ decurtato]]/S$2)</f>
        <v/>
      </c>
      <c r="X11" s="18"/>
      <c r="Y11" s="37" t="str">
        <f>IF(Tabella2[[#This Row],[Q/p.c.]]="","",Tabella2[[#This Row],[Q/p.c.]]*Tabella2[[#This Row],[% b]])</f>
        <v/>
      </c>
      <c r="Z11" s="37" t="str">
        <f>IF(Tabella2[[#This Row],[Q/p.c.]]="","",Tabella2[[#This Row],[€ gruppo bambino]]*(X$3*-1))</f>
        <v/>
      </c>
      <c r="AA11" s="37" t="str">
        <f>IF(Tabella2[[#This Row],[Q/p.c.]]="","",Tabella2[[#This Row],[€ gruppo bambino]]+Tabella2[[#This Row],[% decurtazione b]])</f>
        <v/>
      </c>
      <c r="AB11" s="5" t="str">
        <f>IF(Tabella2[[#This Row],[media mensile]]="","",Tabella2[[#This Row],[€ decurtato b]]/X$2)</f>
        <v/>
      </c>
      <c r="AC11" s="18">
        <f>1-(Tabella2[[#This Row],[% n]]+Tabella2[[#This Row],[% b]])</f>
        <v>1</v>
      </c>
      <c r="AD11" s="37" t="str">
        <f>IF(Tabella2[[#This Row],[Q/p.c.]]="","",SUM((Tabella2[[#This Row],[Q/p.c.]]*Tabella2[[#This Row],[% a]]),(Tabella2[[#This Row],[% decurtazione]]*-1),(Tabella2[[#This Row],[% decurtazione b]]*-1)))</f>
        <v/>
      </c>
      <c r="AE11" s="37" t="str">
        <f>IF(Tabella2[[#This Row],[Q/p.c.]]="","",Tabella2[[#This Row],[€ gruppo adulto]]*AE$3)</f>
        <v/>
      </c>
      <c r="AF11" s="37" t="str">
        <f>IF(Tabella2[[#This Row],[Q/p.c.]]="","",Tabella2[[#This Row],[€ gruppo a da 1 a 2]]/AE$2)</f>
        <v/>
      </c>
      <c r="AG11" s="37" t="str">
        <f>IF(Tabella2[[#This Row],[Q/p.c.]]="","",Tabella2[[#This Row],[€ gruppo adulto]]-Tabella2[[#This Row],[€ gruppo a da 1 a 2]])</f>
        <v/>
      </c>
      <c r="AH11" s="5" t="str">
        <f>IF(Tabella2[[#This Row],[Q/p.c.]]="","",Tabella2[[#This Row],[€ gruppo a &gt;2]]/AG$2)</f>
        <v/>
      </c>
    </row>
    <row r="12" spans="1:36" collapsed="1" x14ac:dyDescent="0.3">
      <c r="C12" s="7" t="str">
        <f>IF(Tabella2[[#This Row],[Macro_prodotto]]&lt;&gt;"",CONCATENATE("M-",Tabella2[[#This Row],[u_macro]]),A11)</f>
        <v>M-5</v>
      </c>
      <c r="D12" s="7" t="str">
        <f>IF(Tabella2[[#This Row],[Macro_prodotto]]&lt;&gt;"",CONCATENATE("M-",Tabella2[[#This Row],[u_macro]]),"")</f>
        <v>M-5</v>
      </c>
      <c r="E12" s="7">
        <f>IF(Tabella2[[#This Row],[Macro_prodotto]]="","",(COUNT(E$4:E11))+1)</f>
        <v>5</v>
      </c>
      <c r="F12" s="7" t="str">
        <f t="shared" si="0"/>
        <v>p-011</v>
      </c>
      <c r="G12" s="8" t="s">
        <v>18</v>
      </c>
      <c r="H12" s="8" t="s">
        <v>127</v>
      </c>
      <c r="I12" s="8" t="s">
        <v>18</v>
      </c>
      <c r="J12" s="7" t="s">
        <v>10</v>
      </c>
      <c r="K12" s="4">
        <v>1000</v>
      </c>
      <c r="L12" s="4" t="s">
        <v>31</v>
      </c>
      <c r="M12" s="13">
        <v>10</v>
      </c>
      <c r="N12" s="15" t="s">
        <v>0</v>
      </c>
      <c r="O12" s="7">
        <v>225</v>
      </c>
      <c r="P12" s="7">
        <f>IF(Tabella2[[#This Row],[quantità]]="","",Tabella2[[#This Row],[quantità]]-Tabella2[[#This Row],[quantità]]*P$2)</f>
        <v>213.75</v>
      </c>
      <c r="Q12" s="3">
        <f>IF(Tabella2[[#This Row],[margine]]="","",Tabella2[[#This Row],[margine]]/11)</f>
        <v>19.431818181818183</v>
      </c>
      <c r="R12" s="5">
        <f>IF(Tabella2[[#This Row],[media mensile]]="","",Tabella2[[#This Row],[media mensile]]*Tabella2[[#This Row],[prezzo]])</f>
        <v>194.31818181818184</v>
      </c>
      <c r="S12" s="18">
        <v>0</v>
      </c>
      <c r="T12" s="37">
        <f>IF(Tabella2[[#This Row],[Q/p.c.]]="","",Tabella2[[#This Row],[Q/p.c.]]*Tabella2[[#This Row],[% n]])</f>
        <v>0</v>
      </c>
      <c r="U12" s="37">
        <f>IF(Tabella2[[#This Row],[Q/p.c.]]="","",Tabella2[[#This Row],[€ gruppo noenati]]*(S$3*-1))</f>
        <v>0</v>
      </c>
      <c r="V12" s="37">
        <f>IF(Tabella2[[#This Row],[Q/p.c.]]="","",Tabella2[[#This Row],[€ gruppo noenati]]+Tabella2[[#This Row],[% decurtazione]])</f>
        <v>0</v>
      </c>
      <c r="W12" s="5">
        <f>IF(Tabella2[[#This Row],[media mensile]]="","",Tabella2[[#This Row],[€ decurtato]]/S$2)</f>
        <v>0</v>
      </c>
      <c r="X12" s="18">
        <v>0.2</v>
      </c>
      <c r="Y12" s="37">
        <f>IF(Tabella2[[#This Row],[Q/p.c.]]="","",Tabella2[[#This Row],[Q/p.c.]]*Tabella2[[#This Row],[% b]])</f>
        <v>38.863636363636374</v>
      </c>
      <c r="Z12" s="37">
        <f>IF(Tabella2[[#This Row],[Q/p.c.]]="","",Tabella2[[#This Row],[€ gruppo bambino]]*(X$3*-1))</f>
        <v>-15.54545454545455</v>
      </c>
      <c r="AA12" s="37">
        <f>IF(Tabella2[[#This Row],[Q/p.c.]]="","",Tabella2[[#This Row],[€ gruppo bambino]]+Tabella2[[#This Row],[% decurtazione b]])</f>
        <v>23.318181818181824</v>
      </c>
      <c r="AB12" s="5">
        <f>IF(Tabella2[[#This Row],[media mensile]]="","",Tabella2[[#This Row],[€ decurtato b]]/X$2)</f>
        <v>0.32842509603072989</v>
      </c>
      <c r="AC12" s="18">
        <f>1-(Tabella2[[#This Row],[% n]]+Tabella2[[#This Row],[% b]])</f>
        <v>0.8</v>
      </c>
      <c r="AD12" s="37">
        <f>IF(Tabella2[[#This Row],[Q/p.c.]]="","",SUM((Tabella2[[#This Row],[Q/p.c.]]*Tabella2[[#This Row],[% a]]),(Tabella2[[#This Row],[% decurtazione]]*-1),(Tabella2[[#This Row],[% decurtazione b]]*-1)))</f>
        <v>171.00000000000006</v>
      </c>
      <c r="AE12" s="37">
        <f>IF(Tabella2[[#This Row],[Q/p.c.]]="","",Tabella2[[#This Row],[€ gruppo adulto]]*AE$3)</f>
        <v>76.950000000000031</v>
      </c>
      <c r="AF12" s="37">
        <f>IF(Tabella2[[#This Row],[Q/p.c.]]="","",Tabella2[[#This Row],[€ gruppo a da 1 a 2]]/AE$2)</f>
        <v>0.89476744186046553</v>
      </c>
      <c r="AG12" s="37">
        <f>IF(Tabella2[[#This Row],[Q/p.c.]]="","",Tabella2[[#This Row],[€ gruppo adulto]]-Tabella2[[#This Row],[€ gruppo a da 1 a 2]])</f>
        <v>94.050000000000026</v>
      </c>
      <c r="AH12" s="5">
        <f>IF(Tabella2[[#This Row],[Q/p.c.]]="","",Tabella2[[#This Row],[€ gruppo a &gt;2]]/AG$2)</f>
        <v>0.53742857142857159</v>
      </c>
    </row>
    <row r="13" spans="1:36" hidden="1" outlineLevel="1" x14ac:dyDescent="0.3">
      <c r="C13" s="7">
        <f>IF(Tabella2[[#This Row],[Macro_prodotto]]&lt;&gt;"",CONCATENATE("M-",Tabella2[[#This Row],[u_macro]]),A12)</f>
        <v>0</v>
      </c>
      <c r="D13" s="7" t="str">
        <f>IF(Tabella2[[#This Row],[Macro_prodotto]]&lt;&gt;"",CONCATENATE("M-",Tabella2[[#This Row],[u_macro]]),"")</f>
        <v/>
      </c>
      <c r="E13" s="7" t="str">
        <f>IF(Tabella2[[#This Row],[Macro_prodotto]]="","",(COUNT(E$4:E12))+1)</f>
        <v/>
      </c>
      <c r="F13" s="7" t="str">
        <f t="shared" si="0"/>
        <v>p-012</v>
      </c>
      <c r="I13" s="8" t="s">
        <v>18</v>
      </c>
      <c r="J13" s="7" t="s">
        <v>10</v>
      </c>
      <c r="K13" s="4">
        <v>300</v>
      </c>
      <c r="L13" s="4" t="s">
        <v>31</v>
      </c>
      <c r="M13" s="13">
        <f>MROUND((M$12*(K13/K$12)),0.05)</f>
        <v>3</v>
      </c>
      <c r="N13" s="16"/>
      <c r="O13" s="17"/>
      <c r="P13" s="17" t="str">
        <f>IF(Tabella2[[#This Row],[quantità]]="","",Tabella2[[#This Row],[quantità]]-Tabella2[[#This Row],[quantità]]*P$2)</f>
        <v/>
      </c>
      <c r="Q13" s="3" t="str">
        <f>IF(Tabella2[[#This Row],[margine]]="","",Tabella2[[#This Row],[margine]]/11)</f>
        <v/>
      </c>
      <c r="R13" s="5" t="str">
        <f>IF(Tabella2[[#This Row],[media mensile]]="","",Tabella2[[#This Row],[media mensile]]*Tabella2[[#This Row],[prezzo]])</f>
        <v/>
      </c>
      <c r="S13" s="18"/>
      <c r="T13" s="37" t="str">
        <f>IF(Tabella2[[#This Row],[Q/p.c.]]="","",Tabella2[[#This Row],[Q/p.c.]]*Tabella2[[#This Row],[% n]])</f>
        <v/>
      </c>
      <c r="U13" s="37" t="str">
        <f>IF(Tabella2[[#This Row],[Q/p.c.]]="","",Tabella2[[#This Row],[€ gruppo noenati]]*(S$3*-1))</f>
        <v/>
      </c>
      <c r="V13" s="37" t="str">
        <f>IF(Tabella2[[#This Row],[Q/p.c.]]="","",Tabella2[[#This Row],[€ gruppo noenati]]+Tabella2[[#This Row],[% decurtazione]])</f>
        <v/>
      </c>
      <c r="W13" s="5" t="str">
        <f>IF(Tabella2[[#This Row],[media mensile]]="","",Tabella2[[#This Row],[€ decurtato]]/S$2)</f>
        <v/>
      </c>
      <c r="X13" s="18"/>
      <c r="Y13" s="37" t="str">
        <f>IF(Tabella2[[#This Row],[Q/p.c.]]="","",Tabella2[[#This Row],[Q/p.c.]]*Tabella2[[#This Row],[% b]])</f>
        <v/>
      </c>
      <c r="Z13" s="37" t="str">
        <f>IF(Tabella2[[#This Row],[Q/p.c.]]="","",Tabella2[[#This Row],[€ gruppo bambino]]*(X$3*-1))</f>
        <v/>
      </c>
      <c r="AA13" s="37" t="str">
        <f>IF(Tabella2[[#This Row],[Q/p.c.]]="","",Tabella2[[#This Row],[€ gruppo bambino]]+Tabella2[[#This Row],[% decurtazione b]])</f>
        <v/>
      </c>
      <c r="AB13" s="5" t="str">
        <f>IF(Tabella2[[#This Row],[media mensile]]="","",Tabella2[[#This Row],[€ decurtato b]]/X$2)</f>
        <v/>
      </c>
      <c r="AC13" s="18">
        <f>1-(Tabella2[[#This Row],[% n]]+Tabella2[[#This Row],[% b]])</f>
        <v>1</v>
      </c>
      <c r="AD13" s="37" t="str">
        <f>IF(Tabella2[[#This Row],[Q/p.c.]]="","",SUM((Tabella2[[#This Row],[Q/p.c.]]*Tabella2[[#This Row],[% a]]),(Tabella2[[#This Row],[% decurtazione]]*-1),(Tabella2[[#This Row],[% decurtazione b]]*-1)))</f>
        <v/>
      </c>
      <c r="AE13" s="37" t="str">
        <f>IF(Tabella2[[#This Row],[Q/p.c.]]="","",Tabella2[[#This Row],[€ gruppo adulto]]*AE$3)</f>
        <v/>
      </c>
      <c r="AF13" s="37" t="str">
        <f>IF(Tabella2[[#This Row],[Q/p.c.]]="","",Tabella2[[#This Row],[€ gruppo a da 1 a 2]]/AE$2)</f>
        <v/>
      </c>
      <c r="AG13" s="37" t="str">
        <f>IF(Tabella2[[#This Row],[Q/p.c.]]="","",Tabella2[[#This Row],[€ gruppo adulto]]-Tabella2[[#This Row],[€ gruppo a da 1 a 2]])</f>
        <v/>
      </c>
      <c r="AH13" s="5" t="str">
        <f>IF(Tabella2[[#This Row],[Q/p.c.]]="","",Tabella2[[#This Row],[€ gruppo a &gt;2]]/AG$2)</f>
        <v/>
      </c>
    </row>
    <row r="14" spans="1:36" hidden="1" outlineLevel="1" x14ac:dyDescent="0.3">
      <c r="C14" s="7">
        <f>IF(Tabella2[[#This Row],[Macro_prodotto]]&lt;&gt;"",CONCATENATE("M-",Tabella2[[#This Row],[u_macro]]),A13)</f>
        <v>0</v>
      </c>
      <c r="D14" s="7" t="str">
        <f>IF(Tabella2[[#This Row],[Macro_prodotto]]&lt;&gt;"",CONCATENATE("M-",Tabella2[[#This Row],[u_macro]]),"")</f>
        <v/>
      </c>
      <c r="E14" s="7" t="str">
        <f>IF(Tabella2[[#This Row],[Macro_prodotto]]="","",(COUNT(E$4:E13))+1)</f>
        <v/>
      </c>
      <c r="F14" s="7" t="str">
        <f t="shared" si="0"/>
        <v>p-013</v>
      </c>
      <c r="I14" s="8" t="s">
        <v>18</v>
      </c>
      <c r="J14" s="7" t="s">
        <v>10</v>
      </c>
      <c r="K14" s="4">
        <v>160</v>
      </c>
      <c r="L14" s="4" t="s">
        <v>31</v>
      </c>
      <c r="M14" s="13">
        <f>MROUND((M$12*(K14/K$12)),0.05)</f>
        <v>1.6</v>
      </c>
      <c r="N14" s="15"/>
      <c r="O14" s="5"/>
      <c r="P14" s="5" t="str">
        <f>IF(Tabella2[[#This Row],[quantità]]="","",Tabella2[[#This Row],[quantità]]-Tabella2[[#This Row],[quantità]]*P$2)</f>
        <v/>
      </c>
      <c r="Q14" s="5" t="str">
        <f>IF(Tabella2[[#This Row],[margine]]="","",Tabella2[[#This Row],[margine]]/11)</f>
        <v/>
      </c>
      <c r="R14" s="5" t="str">
        <f>IF(Tabella2[[#This Row],[media mensile]]="","",Tabella2[[#This Row],[media mensile]]*Tabella2[[#This Row],[prezzo]])</f>
        <v/>
      </c>
      <c r="S14" s="18"/>
      <c r="T14" s="37" t="str">
        <f>IF(Tabella2[[#This Row],[Q/p.c.]]="","",Tabella2[[#This Row],[Q/p.c.]]*Tabella2[[#This Row],[% n]])</f>
        <v/>
      </c>
      <c r="U14" s="37" t="str">
        <f>IF(Tabella2[[#This Row],[Q/p.c.]]="","",Tabella2[[#This Row],[€ gruppo noenati]]*(S$3*-1))</f>
        <v/>
      </c>
      <c r="V14" s="37" t="str">
        <f>IF(Tabella2[[#This Row],[Q/p.c.]]="","",Tabella2[[#This Row],[€ gruppo noenati]]+Tabella2[[#This Row],[% decurtazione]])</f>
        <v/>
      </c>
      <c r="W14" s="5" t="str">
        <f>IF(Tabella2[[#This Row],[media mensile]]="","",Tabella2[[#This Row],[€ decurtato]]/S$2)</f>
        <v/>
      </c>
      <c r="X14" s="18"/>
      <c r="Y14" s="37" t="str">
        <f>IF(Tabella2[[#This Row],[Q/p.c.]]="","",Tabella2[[#This Row],[Q/p.c.]]*Tabella2[[#This Row],[% b]])</f>
        <v/>
      </c>
      <c r="Z14" s="37" t="str">
        <f>IF(Tabella2[[#This Row],[Q/p.c.]]="","",Tabella2[[#This Row],[€ gruppo bambino]]*(X$3*-1))</f>
        <v/>
      </c>
      <c r="AA14" s="37" t="str">
        <f>IF(Tabella2[[#This Row],[Q/p.c.]]="","",Tabella2[[#This Row],[€ gruppo bambino]]+Tabella2[[#This Row],[% decurtazione b]])</f>
        <v/>
      </c>
      <c r="AB14" s="5" t="str">
        <f>IF(Tabella2[[#This Row],[media mensile]]="","",Tabella2[[#This Row],[€ decurtato b]]/X$2)</f>
        <v/>
      </c>
      <c r="AC14" s="18">
        <f>1-(Tabella2[[#This Row],[% n]]+Tabella2[[#This Row],[% b]])</f>
        <v>1</v>
      </c>
      <c r="AD14" s="37" t="str">
        <f>IF(Tabella2[[#This Row],[Q/p.c.]]="","",SUM((Tabella2[[#This Row],[Q/p.c.]]*Tabella2[[#This Row],[% a]]),(Tabella2[[#This Row],[% decurtazione]]*-1),(Tabella2[[#This Row],[% decurtazione b]]*-1)))</f>
        <v/>
      </c>
      <c r="AE14" s="37" t="str">
        <f>IF(Tabella2[[#This Row],[Q/p.c.]]="","",Tabella2[[#This Row],[€ gruppo adulto]]*AE$3)</f>
        <v/>
      </c>
      <c r="AF14" s="37" t="str">
        <f>IF(Tabella2[[#This Row],[Q/p.c.]]="","",Tabella2[[#This Row],[€ gruppo a da 1 a 2]]/AE$2)</f>
        <v/>
      </c>
      <c r="AG14" s="37" t="str">
        <f>IF(Tabella2[[#This Row],[Q/p.c.]]="","",Tabella2[[#This Row],[€ gruppo adulto]]-Tabella2[[#This Row],[€ gruppo a da 1 a 2]])</f>
        <v/>
      </c>
      <c r="AH14" s="5" t="str">
        <f>IF(Tabella2[[#This Row],[Q/p.c.]]="","",Tabella2[[#This Row],[€ gruppo a &gt;2]]/AG$2)</f>
        <v/>
      </c>
    </row>
    <row r="15" spans="1:36" hidden="1" outlineLevel="1" x14ac:dyDescent="0.3">
      <c r="C15" s="7">
        <f>IF(Tabella2[[#This Row],[Macro_prodotto]]&lt;&gt;"",CONCATENATE("M-",Tabella2[[#This Row],[u_macro]]),A14)</f>
        <v>0</v>
      </c>
      <c r="D15" s="7" t="str">
        <f>IF(Tabella2[[#This Row],[Macro_prodotto]]&lt;&gt;"",CONCATENATE("M-",Tabella2[[#This Row],[u_macro]]),"")</f>
        <v/>
      </c>
      <c r="E15" s="7" t="str">
        <f>IF(Tabella2[[#This Row],[Macro_prodotto]]="","",(COUNT(E$4:E14))+1)</f>
        <v/>
      </c>
      <c r="F15" s="7" t="str">
        <f t="shared" si="0"/>
        <v>p-014</v>
      </c>
      <c r="I15" s="8" t="s">
        <v>18</v>
      </c>
      <c r="J15" s="7" t="s">
        <v>10</v>
      </c>
      <c r="K15" s="4">
        <v>80</v>
      </c>
      <c r="L15" s="4" t="s">
        <v>31</v>
      </c>
      <c r="M15" s="13">
        <f>MROUND((M$12*(K15/K$12)),0.05)</f>
        <v>0.8</v>
      </c>
      <c r="N15" s="7"/>
      <c r="O15" s="7"/>
      <c r="P15" s="7" t="str">
        <f>IF(Tabella2[[#This Row],[quantità]]="","",Tabella2[[#This Row],[quantità]]-Tabella2[[#This Row],[quantità]]*P$2)</f>
        <v/>
      </c>
      <c r="Q15" s="3" t="str">
        <f>IF(Tabella2[[#This Row],[margine]]="","",Tabella2[[#This Row],[margine]]/11)</f>
        <v/>
      </c>
      <c r="R15" s="5" t="str">
        <f>IF(Tabella2[[#This Row],[media mensile]]="","",Tabella2[[#This Row],[media mensile]]*Tabella2[[#This Row],[prezzo]])</f>
        <v/>
      </c>
      <c r="S15" s="18"/>
      <c r="T15" s="37" t="str">
        <f>IF(Tabella2[[#This Row],[Q/p.c.]]="","",Tabella2[[#This Row],[Q/p.c.]]*Tabella2[[#This Row],[% n]])</f>
        <v/>
      </c>
      <c r="U15" s="37" t="str">
        <f>IF(Tabella2[[#This Row],[Q/p.c.]]="","",Tabella2[[#This Row],[€ gruppo noenati]]*(S$3*-1))</f>
        <v/>
      </c>
      <c r="V15" s="37" t="str">
        <f>IF(Tabella2[[#This Row],[Q/p.c.]]="","",Tabella2[[#This Row],[€ gruppo noenati]]+Tabella2[[#This Row],[% decurtazione]])</f>
        <v/>
      </c>
      <c r="W15" s="5" t="str">
        <f>IF(Tabella2[[#This Row],[media mensile]]="","",Tabella2[[#This Row],[€ decurtato]]/S$2)</f>
        <v/>
      </c>
      <c r="X15" s="18"/>
      <c r="Y15" s="37" t="str">
        <f>IF(Tabella2[[#This Row],[Q/p.c.]]="","",Tabella2[[#This Row],[Q/p.c.]]*Tabella2[[#This Row],[% b]])</f>
        <v/>
      </c>
      <c r="Z15" s="37" t="str">
        <f>IF(Tabella2[[#This Row],[Q/p.c.]]="","",Tabella2[[#This Row],[€ gruppo bambino]]*(X$3*-1))</f>
        <v/>
      </c>
      <c r="AA15" s="37" t="str">
        <f>IF(Tabella2[[#This Row],[Q/p.c.]]="","",Tabella2[[#This Row],[€ gruppo bambino]]+Tabella2[[#This Row],[% decurtazione b]])</f>
        <v/>
      </c>
      <c r="AB15" s="5" t="str">
        <f>IF(Tabella2[[#This Row],[media mensile]]="","",Tabella2[[#This Row],[€ decurtato b]]/X$2)</f>
        <v/>
      </c>
      <c r="AC15" s="18">
        <f>1-(Tabella2[[#This Row],[% n]]+Tabella2[[#This Row],[% b]])</f>
        <v>1</v>
      </c>
      <c r="AD15" s="37" t="str">
        <f>IF(Tabella2[[#This Row],[Q/p.c.]]="","",SUM((Tabella2[[#This Row],[Q/p.c.]]*Tabella2[[#This Row],[% a]]),(Tabella2[[#This Row],[% decurtazione]]*-1),(Tabella2[[#This Row],[% decurtazione b]]*-1)))</f>
        <v/>
      </c>
      <c r="AE15" s="37" t="str">
        <f>IF(Tabella2[[#This Row],[Q/p.c.]]="","",Tabella2[[#This Row],[€ gruppo adulto]]*AE$3)</f>
        <v/>
      </c>
      <c r="AF15" s="37" t="str">
        <f>IF(Tabella2[[#This Row],[Q/p.c.]]="","",Tabella2[[#This Row],[€ gruppo a da 1 a 2]]/AE$2)</f>
        <v/>
      </c>
      <c r="AG15" s="37" t="str">
        <f>IF(Tabella2[[#This Row],[Q/p.c.]]="","",Tabella2[[#This Row],[€ gruppo adulto]]-Tabella2[[#This Row],[€ gruppo a da 1 a 2]])</f>
        <v/>
      </c>
      <c r="AH15" s="5" t="str">
        <f>IF(Tabella2[[#This Row],[Q/p.c.]]="","",Tabella2[[#This Row],[€ gruppo a &gt;2]]/AG$2)</f>
        <v/>
      </c>
    </row>
    <row r="16" spans="1:36" collapsed="1" x14ac:dyDescent="0.3">
      <c r="C16" s="7" t="str">
        <f>IF(Tabella2[[#This Row],[Macro_prodotto]]&lt;&gt;"",CONCATENATE("M-",Tabella2[[#This Row],[u_macro]]),A15)</f>
        <v>M-6</v>
      </c>
      <c r="D16" s="7" t="str">
        <f>IF(Tabella2[[#This Row],[Macro_prodotto]]&lt;&gt;"",CONCATENATE("M-",Tabella2[[#This Row],[u_macro]]),"")</f>
        <v>M-6</v>
      </c>
      <c r="E16" s="7">
        <f>IF(Tabella2[[#This Row],[Macro_prodotto]]="","",(COUNT(E$4:E15))+1)</f>
        <v>6</v>
      </c>
      <c r="F16" s="7" t="str">
        <f t="shared" si="0"/>
        <v>p-015</v>
      </c>
      <c r="G16" s="8" t="s">
        <v>19</v>
      </c>
      <c r="H16" s="8" t="s">
        <v>134</v>
      </c>
      <c r="I16" s="8" t="s">
        <v>19</v>
      </c>
      <c r="J16" s="7" t="s">
        <v>10</v>
      </c>
      <c r="K16" s="4">
        <v>100</v>
      </c>
      <c r="L16" s="4" t="s">
        <v>32</v>
      </c>
      <c r="M16" s="13">
        <v>0.85</v>
      </c>
      <c r="N16" s="7" t="s">
        <v>99</v>
      </c>
      <c r="O16" s="7">
        <v>4432</v>
      </c>
      <c r="P16" s="7">
        <f>IF(Tabella2[[#This Row],[quantità]]="","",Tabella2[[#This Row],[quantità]]-Tabella2[[#This Row],[quantità]]*P$2)</f>
        <v>4210.3999999999996</v>
      </c>
      <c r="Q16" s="3">
        <f>IF(Tabella2[[#This Row],[margine]]="","",Tabella2[[#This Row],[margine]]/11)</f>
        <v>382.76363636363635</v>
      </c>
      <c r="R16" s="5">
        <f>IF(Tabella2[[#This Row],[media mensile]]="","",Tabella2[[#This Row],[media mensile]]*Tabella2[[#This Row],[prezzo]])</f>
        <v>325.34909090909088</v>
      </c>
      <c r="S16" s="18">
        <v>0</v>
      </c>
      <c r="T16" s="37">
        <f>IF(Tabella2[[#This Row],[Q/p.c.]]="","",Tabella2[[#This Row],[Q/p.c.]]*Tabella2[[#This Row],[% n]])</f>
        <v>0</v>
      </c>
      <c r="U16" s="37">
        <f>IF(Tabella2[[#This Row],[Q/p.c.]]="","",Tabella2[[#This Row],[€ gruppo noenati]]*(S$3*-1))</f>
        <v>0</v>
      </c>
      <c r="V16" s="37">
        <f>IF(Tabella2[[#This Row],[Q/p.c.]]="","",Tabella2[[#This Row],[€ gruppo noenati]]+Tabella2[[#This Row],[% decurtazione]])</f>
        <v>0</v>
      </c>
      <c r="W16" s="5">
        <f>IF(Tabella2[[#This Row],[media mensile]]="","",Tabella2[[#This Row],[€ decurtato]]/S$2)</f>
        <v>0</v>
      </c>
      <c r="X16" s="18">
        <v>0.3</v>
      </c>
      <c r="Y16" s="37">
        <f>IF(Tabella2[[#This Row],[Q/p.c.]]="","",Tabella2[[#This Row],[Q/p.c.]]*Tabella2[[#This Row],[% b]])</f>
        <v>97.60472727272726</v>
      </c>
      <c r="Z16" s="37">
        <f>IF(Tabella2[[#This Row],[Q/p.c.]]="","",Tabella2[[#This Row],[€ gruppo bambino]]*(X$3*-1))</f>
        <v>-39.04189090909091</v>
      </c>
      <c r="AA16" s="37">
        <f>IF(Tabella2[[#This Row],[Q/p.c.]]="","",Tabella2[[#This Row],[€ gruppo bambino]]+Tabella2[[#This Row],[% decurtazione b]])</f>
        <v>58.56283636363635</v>
      </c>
      <c r="AB16" s="5">
        <f>IF(Tabella2[[#This Row],[media mensile]]="","",Tabella2[[#This Row],[€ decurtato b]]/X$2)</f>
        <v>0.82482868117797681</v>
      </c>
      <c r="AC16" s="18">
        <f>1-(Tabella2[[#This Row],[% n]]+Tabella2[[#This Row],[% b]])</f>
        <v>0.7</v>
      </c>
      <c r="AD16" s="37">
        <f>IF(Tabella2[[#This Row],[Q/p.c.]]="","",SUM((Tabella2[[#This Row],[Q/p.c.]]*Tabella2[[#This Row],[% a]]),(Tabella2[[#This Row],[% decurtazione]]*-1),(Tabella2[[#This Row],[% decurtazione b]]*-1)))</f>
        <v>266.78625454545454</v>
      </c>
      <c r="AE16" s="37">
        <f>IF(Tabella2[[#This Row],[Q/p.c.]]="","",Tabella2[[#This Row],[€ gruppo adulto]]*AE$3)</f>
        <v>120.05381454545454</v>
      </c>
      <c r="AF16" s="37">
        <f>IF(Tabella2[[#This Row],[Q/p.c.]]="","",Tabella2[[#This Row],[€ gruppo a da 1 a 2]]/AE$2)</f>
        <v>1.3959745877378436</v>
      </c>
      <c r="AG16" s="37">
        <f>IF(Tabella2[[#This Row],[Q/p.c.]]="","",Tabella2[[#This Row],[€ gruppo adulto]]-Tabella2[[#This Row],[€ gruppo a da 1 a 2]])</f>
        <v>146.73244</v>
      </c>
      <c r="AH16" s="5">
        <f>IF(Tabella2[[#This Row],[Q/p.c.]]="","",Tabella2[[#This Row],[€ gruppo a &gt;2]]/AG$2)</f>
        <v>0.83847108571428575</v>
      </c>
    </row>
    <row r="17" spans="3:34" hidden="1" outlineLevel="1" x14ac:dyDescent="0.3">
      <c r="C17" s="7">
        <f>IF(Tabella2[[#This Row],[Macro_prodotto]]&lt;&gt;"",CONCATENATE("M-",Tabella2[[#This Row],[u_macro]]),A16)</f>
        <v>0</v>
      </c>
      <c r="D17" s="7" t="str">
        <f>IF(Tabella2[[#This Row],[Macro_prodotto]]&lt;&gt;"",CONCATENATE("M-",Tabella2[[#This Row],[u_macro]]),"")</f>
        <v/>
      </c>
      <c r="E17" s="7" t="str">
        <f>IF(Tabella2[[#This Row],[Macro_prodotto]]="","",(COUNT(E$4:E16))+1)</f>
        <v/>
      </c>
      <c r="F17" s="7" t="str">
        <f t="shared" si="0"/>
        <v>p-016</v>
      </c>
      <c r="I17" s="8" t="s">
        <v>19</v>
      </c>
      <c r="J17" s="7" t="s">
        <v>10</v>
      </c>
      <c r="K17" s="4">
        <v>50</v>
      </c>
      <c r="L17" s="4" t="s">
        <v>32</v>
      </c>
      <c r="M17" s="13">
        <v>0.4</v>
      </c>
      <c r="N17" s="7"/>
      <c r="O17" s="7"/>
      <c r="P17" s="7" t="str">
        <f>IF(Tabella2[[#This Row],[quantità]]="","",Tabella2[[#This Row],[quantità]]-Tabella2[[#This Row],[quantità]]*P$2)</f>
        <v/>
      </c>
      <c r="Q17" s="3" t="str">
        <f>IF(Tabella2[[#This Row],[margine]]="","",Tabella2[[#This Row],[margine]]/11)</f>
        <v/>
      </c>
      <c r="R17" s="5" t="str">
        <f>IF(Tabella2[[#This Row],[media mensile]]="","",Tabella2[[#This Row],[media mensile]]*Tabella2[[#This Row],[prezzo]])</f>
        <v/>
      </c>
      <c r="S17" s="18"/>
      <c r="T17" s="37" t="str">
        <f>IF(Tabella2[[#This Row],[Q/p.c.]]="","",Tabella2[[#This Row],[Q/p.c.]]*Tabella2[[#This Row],[% n]])</f>
        <v/>
      </c>
      <c r="U17" s="37" t="str">
        <f>IF(Tabella2[[#This Row],[Q/p.c.]]="","",Tabella2[[#This Row],[€ gruppo noenati]]*(S$3*-1))</f>
        <v/>
      </c>
      <c r="V17" s="37" t="str">
        <f>IF(Tabella2[[#This Row],[Q/p.c.]]="","",Tabella2[[#This Row],[€ gruppo noenati]]+Tabella2[[#This Row],[% decurtazione]])</f>
        <v/>
      </c>
      <c r="W17" s="5" t="str">
        <f>IF(Tabella2[[#This Row],[media mensile]]="","",Tabella2[[#This Row],[€ decurtato]]/S$2)</f>
        <v/>
      </c>
      <c r="X17" s="18"/>
      <c r="Y17" s="37" t="str">
        <f>IF(Tabella2[[#This Row],[Q/p.c.]]="","",Tabella2[[#This Row],[Q/p.c.]]*Tabella2[[#This Row],[% b]])</f>
        <v/>
      </c>
      <c r="Z17" s="37" t="str">
        <f>IF(Tabella2[[#This Row],[Q/p.c.]]="","",Tabella2[[#This Row],[€ gruppo bambino]]*(X$3*-1))</f>
        <v/>
      </c>
      <c r="AA17" s="37" t="str">
        <f>IF(Tabella2[[#This Row],[Q/p.c.]]="","",Tabella2[[#This Row],[€ gruppo bambino]]+Tabella2[[#This Row],[% decurtazione b]])</f>
        <v/>
      </c>
      <c r="AB17" s="5" t="str">
        <f>IF(Tabella2[[#This Row],[media mensile]]="","",Tabella2[[#This Row],[€ decurtato b]]/X$2)</f>
        <v/>
      </c>
      <c r="AC17" s="18">
        <f>1-(Tabella2[[#This Row],[% n]]+Tabella2[[#This Row],[% b]])</f>
        <v>1</v>
      </c>
      <c r="AD17" s="37" t="str">
        <f>IF(Tabella2[[#This Row],[Q/p.c.]]="","",SUM((Tabella2[[#This Row],[Q/p.c.]]*Tabella2[[#This Row],[% a]]),(Tabella2[[#This Row],[% decurtazione]]*-1),(Tabella2[[#This Row],[% decurtazione b]]*-1)))</f>
        <v/>
      </c>
      <c r="AE17" s="37" t="str">
        <f>IF(Tabella2[[#This Row],[Q/p.c.]]="","",Tabella2[[#This Row],[€ gruppo adulto]]*AE$3)</f>
        <v/>
      </c>
      <c r="AF17" s="37" t="str">
        <f>IF(Tabella2[[#This Row],[Q/p.c.]]="","",Tabella2[[#This Row],[€ gruppo a da 1 a 2]]/AE$2)</f>
        <v/>
      </c>
      <c r="AG17" s="37" t="str">
        <f>IF(Tabella2[[#This Row],[Q/p.c.]]="","",Tabella2[[#This Row],[€ gruppo adulto]]-Tabella2[[#This Row],[€ gruppo a da 1 a 2]])</f>
        <v/>
      </c>
      <c r="AH17" s="5" t="str">
        <f>IF(Tabella2[[#This Row],[Q/p.c.]]="","",Tabella2[[#This Row],[€ gruppo a &gt;2]]/AG$2)</f>
        <v/>
      </c>
    </row>
    <row r="18" spans="3:34" collapsed="1" x14ac:dyDescent="0.3">
      <c r="C18" s="7" t="str">
        <f>IF(Tabella2[[#This Row],[Macro_prodotto]]&lt;&gt;"",CONCATENATE("M-",Tabella2[[#This Row],[u_macro]]),A17)</f>
        <v>M-7</v>
      </c>
      <c r="D18" s="7" t="str">
        <f>IF(Tabella2[[#This Row],[Macro_prodotto]]&lt;&gt;"",CONCATENATE("M-",Tabella2[[#This Row],[u_macro]]),"")</f>
        <v>M-7</v>
      </c>
      <c r="E18" s="7">
        <f>IF(Tabella2[[#This Row],[Macro_prodotto]]="","",(COUNT(E$4:E17))+1)</f>
        <v>7</v>
      </c>
      <c r="F18" s="7" t="str">
        <f t="shared" si="0"/>
        <v>p-017</v>
      </c>
      <c r="G18" s="8" t="s">
        <v>20</v>
      </c>
      <c r="H18" s="8" t="s">
        <v>128</v>
      </c>
      <c r="I18" s="8" t="s">
        <v>20</v>
      </c>
      <c r="J18" s="7" t="s">
        <v>10</v>
      </c>
      <c r="K18" s="4">
        <v>100</v>
      </c>
      <c r="L18" s="4" t="s">
        <v>32</v>
      </c>
      <c r="M18" s="13">
        <v>6</v>
      </c>
      <c r="N18" s="7" t="s">
        <v>99</v>
      </c>
      <c r="O18" s="7">
        <v>461</v>
      </c>
      <c r="P18" s="7">
        <f>IF(Tabella2[[#This Row],[quantità]]="","",Tabella2[[#This Row],[quantità]]-Tabella2[[#This Row],[quantità]]*P$2)</f>
        <v>437.95</v>
      </c>
      <c r="Q18" s="3">
        <f>IF(Tabella2[[#This Row],[margine]]="","",Tabella2[[#This Row],[margine]]/11)</f>
        <v>39.813636363636363</v>
      </c>
      <c r="R18" s="5">
        <f>IF(Tabella2[[#This Row],[media mensile]]="","",Tabella2[[#This Row],[media mensile]]*Tabella2[[#This Row],[prezzo]])</f>
        <v>238.88181818181818</v>
      </c>
      <c r="S18" s="18">
        <v>0</v>
      </c>
      <c r="T18" s="37">
        <f>IF(Tabella2[[#This Row],[Q/p.c.]]="","",Tabella2[[#This Row],[Q/p.c.]]*Tabella2[[#This Row],[% n]])</f>
        <v>0</v>
      </c>
      <c r="U18" s="37">
        <f>IF(Tabella2[[#This Row],[Q/p.c.]]="","",Tabella2[[#This Row],[€ gruppo noenati]]*(S$3*-1))</f>
        <v>0</v>
      </c>
      <c r="V18" s="37">
        <f>IF(Tabella2[[#This Row],[Q/p.c.]]="","",Tabella2[[#This Row],[€ gruppo noenati]]+Tabella2[[#This Row],[% decurtazione]])</f>
        <v>0</v>
      </c>
      <c r="W18" s="5">
        <f>IF(Tabella2[[#This Row],[media mensile]]="","",Tabella2[[#This Row],[€ decurtato]]/S$2)</f>
        <v>0</v>
      </c>
      <c r="X18" s="18">
        <v>0.3</v>
      </c>
      <c r="Y18" s="37">
        <f>IF(Tabella2[[#This Row],[Q/p.c.]]="","",Tabella2[[#This Row],[Q/p.c.]]*Tabella2[[#This Row],[% b]])</f>
        <v>71.664545454545447</v>
      </c>
      <c r="Z18" s="37">
        <f>IF(Tabella2[[#This Row],[Q/p.c.]]="","",Tabella2[[#This Row],[€ gruppo bambino]]*(X$3*-1))</f>
        <v>-28.665818181818182</v>
      </c>
      <c r="AA18" s="37">
        <f>IF(Tabella2[[#This Row],[Q/p.c.]]="","",Tabella2[[#This Row],[€ gruppo bambino]]+Tabella2[[#This Row],[% decurtazione b]])</f>
        <v>42.998727272727265</v>
      </c>
      <c r="AB18" s="5">
        <f>IF(Tabella2[[#This Row],[media mensile]]="","",Tabella2[[#This Row],[€ decurtato b]]/X$2)</f>
        <v>0.60561587708066567</v>
      </c>
      <c r="AC18" s="18">
        <f>1-(Tabella2[[#This Row],[% n]]+Tabella2[[#This Row],[% b]])</f>
        <v>0.7</v>
      </c>
      <c r="AD18" s="37">
        <f>IF(Tabella2[[#This Row],[Q/p.c.]]="","",SUM((Tabella2[[#This Row],[Q/p.c.]]*Tabella2[[#This Row],[% a]]),(Tabella2[[#This Row],[% decurtazione]]*-1),(Tabella2[[#This Row],[% decurtazione b]]*-1)))</f>
        <v>195.88309090909087</v>
      </c>
      <c r="AE18" s="37">
        <f>IF(Tabella2[[#This Row],[Q/p.c.]]="","",Tabella2[[#This Row],[€ gruppo adulto]]*AE$3)</f>
        <v>88.147390909090888</v>
      </c>
      <c r="AF18" s="37">
        <f>IF(Tabella2[[#This Row],[Q/p.c.]]="","",Tabella2[[#This Row],[€ gruppo a da 1 a 2]]/AE$2)</f>
        <v>1.024969661733615</v>
      </c>
      <c r="AG18" s="37">
        <f>IF(Tabella2[[#This Row],[Q/p.c.]]="","",Tabella2[[#This Row],[€ gruppo adulto]]-Tabella2[[#This Row],[€ gruppo a da 1 a 2]])</f>
        <v>107.73569999999998</v>
      </c>
      <c r="AH18" s="5">
        <f>IF(Tabella2[[#This Row],[Q/p.c.]]="","",Tabella2[[#This Row],[€ gruppo a &gt;2]]/AG$2)</f>
        <v>0.61563257142857131</v>
      </c>
    </row>
    <row r="19" spans="3:34" x14ac:dyDescent="0.3">
      <c r="C19" s="7" t="str">
        <f>IF(Tabella2[[#This Row],[Macro_prodotto]]&lt;&gt;"",CONCATENATE("M-",Tabella2[[#This Row],[u_macro]]),A18)</f>
        <v>M-8</v>
      </c>
      <c r="D19" s="7" t="str">
        <f>IF(Tabella2[[#This Row],[Macro_prodotto]]&lt;&gt;"",CONCATENATE("M-",Tabella2[[#This Row],[u_macro]]),"")</f>
        <v>M-8</v>
      </c>
      <c r="E19" s="7">
        <f>IF(Tabella2[[#This Row],[Macro_prodotto]]="","",(COUNT(E$4:E18))+1)</f>
        <v>8</v>
      </c>
      <c r="F19" s="7" t="str">
        <f t="shared" si="0"/>
        <v>p-018</v>
      </c>
      <c r="G19" s="8" t="s">
        <v>21</v>
      </c>
      <c r="H19" s="8" t="s">
        <v>127</v>
      </c>
      <c r="I19" s="8" t="s">
        <v>21</v>
      </c>
      <c r="J19" s="7" t="s">
        <v>10</v>
      </c>
      <c r="K19" s="4">
        <v>1000</v>
      </c>
      <c r="L19" s="4" t="s">
        <v>31</v>
      </c>
      <c r="M19" s="13">
        <v>1.5</v>
      </c>
      <c r="N19" s="7" t="s">
        <v>0</v>
      </c>
      <c r="O19" s="7">
        <v>1649</v>
      </c>
      <c r="P19" s="7">
        <f>IF(Tabella2[[#This Row],[quantità]]="","",Tabella2[[#This Row],[quantità]]-Tabella2[[#This Row],[quantità]]*P$2)</f>
        <v>1566.55</v>
      </c>
      <c r="Q19" s="3">
        <f>IF(Tabella2[[#This Row],[margine]]="","",Tabella2[[#This Row],[margine]]/11)</f>
        <v>142.41363636363636</v>
      </c>
      <c r="R19" s="5">
        <f>IF(Tabella2[[#This Row],[media mensile]]="","",Tabella2[[#This Row],[media mensile]]*Tabella2[[#This Row],[prezzo]])</f>
        <v>213.62045454545455</v>
      </c>
      <c r="S19" s="18">
        <v>0</v>
      </c>
      <c r="T19" s="37">
        <f>IF(Tabella2[[#This Row],[Q/p.c.]]="","",Tabella2[[#This Row],[Q/p.c.]]*Tabella2[[#This Row],[% n]])</f>
        <v>0</v>
      </c>
      <c r="U19" s="37">
        <f>IF(Tabella2[[#This Row],[Q/p.c.]]="","",Tabella2[[#This Row],[€ gruppo noenati]]*(S$3*-1))</f>
        <v>0</v>
      </c>
      <c r="V19" s="37">
        <f>IF(Tabella2[[#This Row],[Q/p.c.]]="","",Tabella2[[#This Row],[€ gruppo noenati]]+Tabella2[[#This Row],[% decurtazione]])</f>
        <v>0</v>
      </c>
      <c r="W19" s="5">
        <f>IF(Tabella2[[#This Row],[media mensile]]="","",Tabella2[[#This Row],[€ decurtato]]/S$2)</f>
        <v>0</v>
      </c>
      <c r="X19" s="18">
        <v>0.25</v>
      </c>
      <c r="Y19" s="37">
        <f>IF(Tabella2[[#This Row],[Q/p.c.]]="","",Tabella2[[#This Row],[Q/p.c.]]*Tabella2[[#This Row],[% b]])</f>
        <v>53.405113636363637</v>
      </c>
      <c r="Z19" s="37">
        <f>IF(Tabella2[[#This Row],[Q/p.c.]]="","",Tabella2[[#This Row],[€ gruppo bambino]]*(X$3*-1))</f>
        <v>-21.362045454545456</v>
      </c>
      <c r="AA19" s="37">
        <f>IF(Tabella2[[#This Row],[Q/p.c.]]="","",Tabella2[[#This Row],[€ gruppo bambino]]+Tabella2[[#This Row],[% decurtazione b]])</f>
        <v>32.043068181818185</v>
      </c>
      <c r="AB19" s="5">
        <f>IF(Tabella2[[#This Row],[media mensile]]="","",Tabella2[[#This Row],[€ decurtato b]]/X$2)</f>
        <v>0.45131081946222795</v>
      </c>
      <c r="AC19" s="18">
        <f>1-(Tabella2[[#This Row],[% n]]+Tabella2[[#This Row],[% b]])</f>
        <v>0.75</v>
      </c>
      <c r="AD19" s="37">
        <f>IF(Tabella2[[#This Row],[Q/p.c.]]="","",SUM((Tabella2[[#This Row],[Q/p.c.]]*Tabella2[[#This Row],[% a]]),(Tabella2[[#This Row],[% decurtazione]]*-1),(Tabella2[[#This Row],[% decurtazione b]]*-1)))</f>
        <v>181.57738636363638</v>
      </c>
      <c r="AE19" s="37">
        <f>IF(Tabella2[[#This Row],[Q/p.c.]]="","",Tabella2[[#This Row],[€ gruppo adulto]]*AE$3)</f>
        <v>81.709823863636373</v>
      </c>
      <c r="AF19" s="37">
        <f>IF(Tabella2[[#This Row],[Q/p.c.]]="","",Tabella2[[#This Row],[€ gruppo a da 1 a 2]]/AE$2)</f>
        <v>0.95011423097251602</v>
      </c>
      <c r="AG19" s="37">
        <f>IF(Tabella2[[#This Row],[Q/p.c.]]="","",Tabella2[[#This Row],[€ gruppo adulto]]-Tabella2[[#This Row],[€ gruppo a da 1 a 2]])</f>
        <v>99.867562500000005</v>
      </c>
      <c r="AH19" s="5">
        <f>IF(Tabella2[[#This Row],[Q/p.c.]]="","",Tabella2[[#This Row],[€ gruppo a &gt;2]]/AG$2)</f>
        <v>0.57067178571428578</v>
      </c>
    </row>
    <row r="20" spans="3:34" hidden="1" outlineLevel="1" x14ac:dyDescent="0.3">
      <c r="C20" s="7">
        <f>IF(Tabella2[[#This Row],[Macro_prodotto]]&lt;&gt;"",CONCATENATE("M-",Tabella2[[#This Row],[u_macro]]),A19)</f>
        <v>0</v>
      </c>
      <c r="D20" s="7" t="str">
        <f>IF(Tabella2[[#This Row],[Macro_prodotto]]&lt;&gt;"",CONCATENATE("M-",Tabella2[[#This Row],[u_macro]]),"")</f>
        <v/>
      </c>
      <c r="E20" s="7" t="str">
        <f>IF(Tabella2[[#This Row],[Macro_prodotto]]="","",(COUNT(E$4:E19))+1)</f>
        <v/>
      </c>
      <c r="F20" s="7" t="str">
        <f t="shared" si="0"/>
        <v>p-019</v>
      </c>
      <c r="I20" s="8" t="s">
        <v>21</v>
      </c>
      <c r="J20" s="7" t="s">
        <v>10</v>
      </c>
      <c r="K20" s="7">
        <v>800</v>
      </c>
      <c r="L20" s="4" t="s">
        <v>31</v>
      </c>
      <c r="M20" s="13">
        <f>MROUND((M$19*(K20/K$19)),0.05)</f>
        <v>1.2000000000000002</v>
      </c>
      <c r="N20" s="7"/>
      <c r="O20" s="7"/>
      <c r="P20" s="7" t="str">
        <f>IF(Tabella2[[#This Row],[quantità]]="","",Tabella2[[#This Row],[quantità]]-Tabella2[[#This Row],[quantità]]*P$2)</f>
        <v/>
      </c>
      <c r="Q20" s="3" t="str">
        <f>IF(Tabella2[[#This Row],[margine]]="","",Tabella2[[#This Row],[margine]]/11)</f>
        <v/>
      </c>
      <c r="R20" s="5" t="str">
        <f>IF(Tabella2[[#This Row],[media mensile]]="","",Tabella2[[#This Row],[media mensile]]*Tabella2[[#This Row],[prezzo]])</f>
        <v/>
      </c>
      <c r="S20" s="18"/>
      <c r="T20" s="37" t="str">
        <f>IF(Tabella2[[#This Row],[Q/p.c.]]="","",Tabella2[[#This Row],[Q/p.c.]]*Tabella2[[#This Row],[% n]])</f>
        <v/>
      </c>
      <c r="U20" s="37" t="str">
        <f>IF(Tabella2[[#This Row],[Q/p.c.]]="","",Tabella2[[#This Row],[€ gruppo noenati]]*(S$3*-1))</f>
        <v/>
      </c>
      <c r="V20" s="37" t="str">
        <f>IF(Tabella2[[#This Row],[Q/p.c.]]="","",Tabella2[[#This Row],[€ gruppo noenati]]+Tabella2[[#This Row],[% decurtazione]])</f>
        <v/>
      </c>
      <c r="W20" s="5" t="str">
        <f>IF(Tabella2[[#This Row],[media mensile]]="","",Tabella2[[#This Row],[€ decurtato]]/S$2)</f>
        <v/>
      </c>
      <c r="X20" s="18"/>
      <c r="Y20" s="37" t="str">
        <f>IF(Tabella2[[#This Row],[Q/p.c.]]="","",Tabella2[[#This Row],[Q/p.c.]]*Tabella2[[#This Row],[% b]])</f>
        <v/>
      </c>
      <c r="Z20" s="37" t="str">
        <f>IF(Tabella2[[#This Row],[Q/p.c.]]="","",Tabella2[[#This Row],[€ gruppo bambino]]*(X$3*-1))</f>
        <v/>
      </c>
      <c r="AA20" s="37" t="str">
        <f>IF(Tabella2[[#This Row],[Q/p.c.]]="","",Tabella2[[#This Row],[€ gruppo bambino]]+Tabella2[[#This Row],[% decurtazione b]])</f>
        <v/>
      </c>
      <c r="AB20" s="5" t="str">
        <f>IF(Tabella2[[#This Row],[media mensile]]="","",Tabella2[[#This Row],[€ decurtato b]]/X$2)</f>
        <v/>
      </c>
      <c r="AC20" s="18">
        <f>1-(Tabella2[[#This Row],[% n]]+Tabella2[[#This Row],[% b]])</f>
        <v>1</v>
      </c>
      <c r="AD20" s="37" t="str">
        <f>IF(Tabella2[[#This Row],[Q/p.c.]]="","",SUM((Tabella2[[#This Row],[Q/p.c.]]*Tabella2[[#This Row],[% a]]),(Tabella2[[#This Row],[% decurtazione]]*-1),(Tabella2[[#This Row],[% decurtazione b]]*-1)))</f>
        <v/>
      </c>
      <c r="AE20" s="37" t="str">
        <f>IF(Tabella2[[#This Row],[Q/p.c.]]="","",Tabella2[[#This Row],[€ gruppo adulto]]*AE$3)</f>
        <v/>
      </c>
      <c r="AF20" s="37" t="str">
        <f>IF(Tabella2[[#This Row],[Q/p.c.]]="","",Tabella2[[#This Row],[€ gruppo a da 1 a 2]]/AE$2)</f>
        <v/>
      </c>
      <c r="AG20" s="37" t="str">
        <f>IF(Tabella2[[#This Row],[Q/p.c.]]="","",Tabella2[[#This Row],[€ gruppo adulto]]-Tabella2[[#This Row],[€ gruppo a da 1 a 2]])</f>
        <v/>
      </c>
      <c r="AH20" s="5" t="str">
        <f>IF(Tabella2[[#This Row],[Q/p.c.]]="","",Tabella2[[#This Row],[€ gruppo a &gt;2]]/AG$2)</f>
        <v/>
      </c>
    </row>
    <row r="21" spans="3:34" hidden="1" outlineLevel="1" x14ac:dyDescent="0.3">
      <c r="C21" s="7">
        <f>IF(Tabella2[[#This Row],[Macro_prodotto]]&lt;&gt;"",CONCATENATE("M-",Tabella2[[#This Row],[u_macro]]),A20)</f>
        <v>0</v>
      </c>
      <c r="D21" s="7" t="str">
        <f>IF(Tabella2[[#This Row],[Macro_prodotto]]&lt;&gt;"",CONCATENATE("M-",Tabella2[[#This Row],[u_macro]]),"")</f>
        <v/>
      </c>
      <c r="E21" s="7" t="str">
        <f>IF(Tabella2[[#This Row],[Macro_prodotto]]="","",(COUNT(E$4:E20))+1)</f>
        <v/>
      </c>
      <c r="F21" s="7" t="str">
        <f t="shared" si="0"/>
        <v>p-020</v>
      </c>
      <c r="I21" s="8" t="s">
        <v>21</v>
      </c>
      <c r="J21" s="7" t="s">
        <v>10</v>
      </c>
      <c r="K21" s="7">
        <v>400</v>
      </c>
      <c r="L21" s="4" t="s">
        <v>31</v>
      </c>
      <c r="M21" s="13">
        <f>MROUND((M$19*(K21/K$19)),0.05)</f>
        <v>0.60000000000000009</v>
      </c>
      <c r="N21" s="7"/>
      <c r="O21" s="7"/>
      <c r="P21" s="7" t="str">
        <f>IF(Tabella2[[#This Row],[quantità]]="","",Tabella2[[#This Row],[quantità]]-Tabella2[[#This Row],[quantità]]*P$2)</f>
        <v/>
      </c>
      <c r="Q21" s="3" t="str">
        <f>IF(Tabella2[[#This Row],[margine]]="","",Tabella2[[#This Row],[margine]]/11)</f>
        <v/>
      </c>
      <c r="R21" s="5" t="str">
        <f>IF(Tabella2[[#This Row],[media mensile]]="","",Tabella2[[#This Row],[media mensile]]*Tabella2[[#This Row],[prezzo]])</f>
        <v/>
      </c>
      <c r="S21" s="18"/>
      <c r="T21" s="37" t="str">
        <f>IF(Tabella2[[#This Row],[Q/p.c.]]="","",Tabella2[[#This Row],[Q/p.c.]]*Tabella2[[#This Row],[% n]])</f>
        <v/>
      </c>
      <c r="U21" s="37" t="str">
        <f>IF(Tabella2[[#This Row],[Q/p.c.]]="","",Tabella2[[#This Row],[€ gruppo noenati]]*(S$3*-1))</f>
        <v/>
      </c>
      <c r="V21" s="37" t="str">
        <f>IF(Tabella2[[#This Row],[Q/p.c.]]="","",Tabella2[[#This Row],[€ gruppo noenati]]+Tabella2[[#This Row],[% decurtazione]])</f>
        <v/>
      </c>
      <c r="W21" s="5" t="str">
        <f>IF(Tabella2[[#This Row],[media mensile]]="","",Tabella2[[#This Row],[€ decurtato]]/S$2)</f>
        <v/>
      </c>
      <c r="X21" s="18"/>
      <c r="Y21" s="37" t="str">
        <f>IF(Tabella2[[#This Row],[Q/p.c.]]="","",Tabella2[[#This Row],[Q/p.c.]]*Tabella2[[#This Row],[% b]])</f>
        <v/>
      </c>
      <c r="Z21" s="37" t="str">
        <f>IF(Tabella2[[#This Row],[Q/p.c.]]="","",Tabella2[[#This Row],[€ gruppo bambino]]*(X$3*-1))</f>
        <v/>
      </c>
      <c r="AA21" s="37" t="str">
        <f>IF(Tabella2[[#This Row],[Q/p.c.]]="","",Tabella2[[#This Row],[€ gruppo bambino]]+Tabella2[[#This Row],[% decurtazione b]])</f>
        <v/>
      </c>
      <c r="AB21" s="5" t="str">
        <f>IF(Tabella2[[#This Row],[media mensile]]="","",Tabella2[[#This Row],[€ decurtato b]]/X$2)</f>
        <v/>
      </c>
      <c r="AC21" s="18">
        <f>1-(Tabella2[[#This Row],[% n]]+Tabella2[[#This Row],[% b]])</f>
        <v>1</v>
      </c>
      <c r="AD21" s="37" t="str">
        <f>IF(Tabella2[[#This Row],[Q/p.c.]]="","",SUM((Tabella2[[#This Row],[Q/p.c.]]*Tabella2[[#This Row],[% a]]),(Tabella2[[#This Row],[% decurtazione]]*-1),(Tabella2[[#This Row],[% decurtazione b]]*-1)))</f>
        <v/>
      </c>
      <c r="AE21" s="37" t="str">
        <f>IF(Tabella2[[#This Row],[Q/p.c.]]="","",Tabella2[[#This Row],[€ gruppo adulto]]*AE$3)</f>
        <v/>
      </c>
      <c r="AF21" s="37" t="str">
        <f>IF(Tabella2[[#This Row],[Q/p.c.]]="","",Tabella2[[#This Row],[€ gruppo a da 1 a 2]]/AE$2)</f>
        <v/>
      </c>
      <c r="AG21" s="37" t="str">
        <f>IF(Tabella2[[#This Row],[Q/p.c.]]="","",Tabella2[[#This Row],[€ gruppo adulto]]-Tabella2[[#This Row],[€ gruppo a da 1 a 2]])</f>
        <v/>
      </c>
      <c r="AH21" s="5" t="str">
        <f>IF(Tabella2[[#This Row],[Q/p.c.]]="","",Tabella2[[#This Row],[€ gruppo a &gt;2]]/AG$2)</f>
        <v/>
      </c>
    </row>
    <row r="22" spans="3:34" hidden="1" outlineLevel="1" x14ac:dyDescent="0.3">
      <c r="C22" s="7">
        <f>IF(Tabella2[[#This Row],[Macro_prodotto]]&lt;&gt;"",CONCATENATE("M-",Tabella2[[#This Row],[u_macro]]),A21)</f>
        <v>0</v>
      </c>
      <c r="D22" s="7" t="str">
        <f>IF(Tabella2[[#This Row],[Macro_prodotto]]&lt;&gt;"",CONCATENATE("M-",Tabella2[[#This Row],[u_macro]]),"")</f>
        <v/>
      </c>
      <c r="E22" s="7" t="str">
        <f>IF(Tabella2[[#This Row],[Macro_prodotto]]="","",(COUNT(E$4:E21))+1)</f>
        <v/>
      </c>
      <c r="F22" s="7" t="str">
        <f t="shared" si="0"/>
        <v>p-021</v>
      </c>
      <c r="I22" s="8" t="s">
        <v>21</v>
      </c>
      <c r="J22" s="7" t="s">
        <v>10</v>
      </c>
      <c r="K22" s="7">
        <v>220</v>
      </c>
      <c r="L22" s="4" t="s">
        <v>31</v>
      </c>
      <c r="M22" s="13">
        <f>MROUND((M$19*(K22/K$19)),0.05)</f>
        <v>0.35000000000000003</v>
      </c>
      <c r="N22" s="7"/>
      <c r="O22" s="7"/>
      <c r="P22" s="7" t="str">
        <f>IF(Tabella2[[#This Row],[quantità]]="","",Tabella2[[#This Row],[quantità]]-Tabella2[[#This Row],[quantità]]*P$2)</f>
        <v/>
      </c>
      <c r="Q22" s="3" t="str">
        <f>IF(Tabella2[[#This Row],[margine]]="","",Tabella2[[#This Row],[margine]]/11)</f>
        <v/>
      </c>
      <c r="R22" s="5" t="str">
        <f>IF(Tabella2[[#This Row],[media mensile]]="","",Tabella2[[#This Row],[media mensile]]*Tabella2[[#This Row],[prezzo]])</f>
        <v/>
      </c>
      <c r="S22" s="18"/>
      <c r="T22" s="37" t="str">
        <f>IF(Tabella2[[#This Row],[Q/p.c.]]="","",Tabella2[[#This Row],[Q/p.c.]]*Tabella2[[#This Row],[% n]])</f>
        <v/>
      </c>
      <c r="U22" s="37" t="str">
        <f>IF(Tabella2[[#This Row],[Q/p.c.]]="","",Tabella2[[#This Row],[€ gruppo noenati]]*(S$3*-1))</f>
        <v/>
      </c>
      <c r="V22" s="37" t="str">
        <f>IF(Tabella2[[#This Row],[Q/p.c.]]="","",Tabella2[[#This Row],[€ gruppo noenati]]+Tabella2[[#This Row],[% decurtazione]])</f>
        <v/>
      </c>
      <c r="W22" s="5" t="str">
        <f>IF(Tabella2[[#This Row],[media mensile]]="","",Tabella2[[#This Row],[€ decurtato]]/S$2)</f>
        <v/>
      </c>
      <c r="X22" s="18"/>
      <c r="Y22" s="37" t="str">
        <f>IF(Tabella2[[#This Row],[Q/p.c.]]="","",Tabella2[[#This Row],[Q/p.c.]]*Tabella2[[#This Row],[% b]])</f>
        <v/>
      </c>
      <c r="Z22" s="37" t="str">
        <f>IF(Tabella2[[#This Row],[Q/p.c.]]="","",Tabella2[[#This Row],[€ gruppo bambino]]*(X$3*-1))</f>
        <v/>
      </c>
      <c r="AA22" s="37" t="str">
        <f>IF(Tabella2[[#This Row],[Q/p.c.]]="","",Tabella2[[#This Row],[€ gruppo bambino]]+Tabella2[[#This Row],[% decurtazione b]])</f>
        <v/>
      </c>
      <c r="AB22" s="5" t="str">
        <f>IF(Tabella2[[#This Row],[media mensile]]="","",Tabella2[[#This Row],[€ decurtato b]]/X$2)</f>
        <v/>
      </c>
      <c r="AC22" s="18">
        <f>1-(Tabella2[[#This Row],[% n]]+Tabella2[[#This Row],[% b]])</f>
        <v>1</v>
      </c>
      <c r="AD22" s="37" t="str">
        <f>IF(Tabella2[[#This Row],[Q/p.c.]]="","",SUM((Tabella2[[#This Row],[Q/p.c.]]*Tabella2[[#This Row],[% a]]),(Tabella2[[#This Row],[% decurtazione]]*-1),(Tabella2[[#This Row],[% decurtazione b]]*-1)))</f>
        <v/>
      </c>
      <c r="AE22" s="37" t="str">
        <f>IF(Tabella2[[#This Row],[Q/p.c.]]="","",Tabella2[[#This Row],[€ gruppo adulto]]*AE$3)</f>
        <v/>
      </c>
      <c r="AF22" s="37" t="str">
        <f>IF(Tabella2[[#This Row],[Q/p.c.]]="","",Tabella2[[#This Row],[€ gruppo a da 1 a 2]]/AE$2)</f>
        <v/>
      </c>
      <c r="AG22" s="37" t="str">
        <f>IF(Tabella2[[#This Row],[Q/p.c.]]="","",Tabella2[[#This Row],[€ gruppo adulto]]-Tabella2[[#This Row],[€ gruppo a da 1 a 2]])</f>
        <v/>
      </c>
      <c r="AH22" s="5" t="str">
        <f>IF(Tabella2[[#This Row],[Q/p.c.]]="","",Tabella2[[#This Row],[€ gruppo a &gt;2]]/AG$2)</f>
        <v/>
      </c>
    </row>
    <row r="23" spans="3:34" collapsed="1" x14ac:dyDescent="0.3">
      <c r="C23" s="7" t="str">
        <f>IF(Tabella2[[#This Row],[Macro_prodotto]]&lt;&gt;"",CONCATENATE("M-",Tabella2[[#This Row],[u_macro]]),A22)</f>
        <v>M-9</v>
      </c>
      <c r="D23" s="7" t="str">
        <f>IF(Tabella2[[#This Row],[Macro_prodotto]]&lt;&gt;"",CONCATENATE("M-",Tabella2[[#This Row],[u_macro]]),"")</f>
        <v>M-9</v>
      </c>
      <c r="E23" s="7">
        <f>IF(Tabella2[[#This Row],[Macro_prodotto]]="","",(COUNT(E$4:E22))+1)</f>
        <v>9</v>
      </c>
      <c r="F23" s="7" t="str">
        <f t="shared" si="0"/>
        <v>p-022</v>
      </c>
      <c r="G23" s="8" t="s">
        <v>22</v>
      </c>
      <c r="H23" s="8" t="s">
        <v>129</v>
      </c>
      <c r="I23" s="8" t="s">
        <v>22</v>
      </c>
      <c r="J23" s="7" t="s">
        <v>10</v>
      </c>
      <c r="K23" s="4">
        <v>1000</v>
      </c>
      <c r="L23" s="4" t="s">
        <v>31</v>
      </c>
      <c r="M23" s="13">
        <v>1.3</v>
      </c>
      <c r="N23" s="7" t="s">
        <v>0</v>
      </c>
      <c r="O23" s="7">
        <v>1929</v>
      </c>
      <c r="P23" s="7">
        <f>IF(Tabella2[[#This Row],[quantità]]="","",Tabella2[[#This Row],[quantità]]-Tabella2[[#This Row],[quantità]]*P$2)</f>
        <v>1832.55</v>
      </c>
      <c r="Q23" s="3">
        <f>IF(Tabella2[[#This Row],[margine]]="","",Tabella2[[#This Row],[margine]]/11)</f>
        <v>166.59545454545454</v>
      </c>
      <c r="R23" s="5">
        <f>IF(Tabella2[[#This Row],[media mensile]]="","",Tabella2[[#This Row],[media mensile]]*Tabella2[[#This Row],[prezzo]])</f>
        <v>216.57409090909093</v>
      </c>
      <c r="S23" s="18">
        <v>0</v>
      </c>
      <c r="T23" s="37">
        <f>IF(Tabella2[[#This Row],[Q/p.c.]]="","",Tabella2[[#This Row],[Q/p.c.]]*Tabella2[[#This Row],[% n]])</f>
        <v>0</v>
      </c>
      <c r="U23" s="37">
        <f>IF(Tabella2[[#This Row],[Q/p.c.]]="","",Tabella2[[#This Row],[€ gruppo noenati]]*(S$3*-1))</f>
        <v>0</v>
      </c>
      <c r="V23" s="37">
        <f>IF(Tabella2[[#This Row],[Q/p.c.]]="","",Tabella2[[#This Row],[€ gruppo noenati]]+Tabella2[[#This Row],[% decurtazione]])</f>
        <v>0</v>
      </c>
      <c r="W23" s="5">
        <f>IF(Tabella2[[#This Row],[media mensile]]="","",Tabella2[[#This Row],[€ decurtato]]/S$2)</f>
        <v>0</v>
      </c>
      <c r="X23" s="18">
        <v>0.2</v>
      </c>
      <c r="Y23" s="37">
        <f>IF(Tabella2[[#This Row],[Q/p.c.]]="","",Tabella2[[#This Row],[Q/p.c.]]*Tabella2[[#This Row],[% b]])</f>
        <v>43.31481818181819</v>
      </c>
      <c r="Z23" s="37">
        <f>IF(Tabella2[[#This Row],[Q/p.c.]]="","",Tabella2[[#This Row],[€ gruppo bambino]]*(X$3*-1))</f>
        <v>-17.325927272727277</v>
      </c>
      <c r="AA23" s="37">
        <f>IF(Tabella2[[#This Row],[Q/p.c.]]="","",Tabella2[[#This Row],[€ gruppo bambino]]+Tabella2[[#This Row],[% decurtazione b]])</f>
        <v>25.988890909090912</v>
      </c>
      <c r="AB23" s="5">
        <f>IF(Tabella2[[#This Row],[media mensile]]="","",Tabella2[[#This Row],[€ decurtato b]]/X$2)</f>
        <v>0.36604071702944946</v>
      </c>
      <c r="AC23" s="18">
        <f>1-(Tabella2[[#This Row],[% n]]+Tabella2[[#This Row],[% b]])</f>
        <v>0.8</v>
      </c>
      <c r="AD23" s="37">
        <f>IF(Tabella2[[#This Row],[Q/p.c.]]="","",SUM((Tabella2[[#This Row],[Q/p.c.]]*Tabella2[[#This Row],[% a]]),(Tabella2[[#This Row],[% decurtazione]]*-1),(Tabella2[[#This Row],[% decurtazione b]]*-1)))</f>
        <v>190.58520000000004</v>
      </c>
      <c r="AE23" s="37">
        <f>IF(Tabella2[[#This Row],[Q/p.c.]]="","",Tabella2[[#This Row],[€ gruppo adulto]]*AE$3)</f>
        <v>85.763340000000028</v>
      </c>
      <c r="AF23" s="37">
        <f>IF(Tabella2[[#This Row],[Q/p.c.]]="","",Tabella2[[#This Row],[€ gruppo a da 1 a 2]]/AE$2)</f>
        <v>0.997248139534884</v>
      </c>
      <c r="AG23" s="37">
        <f>IF(Tabella2[[#This Row],[Q/p.c.]]="","",Tabella2[[#This Row],[€ gruppo adulto]]-Tabella2[[#This Row],[€ gruppo a da 1 a 2]])</f>
        <v>104.82186000000002</v>
      </c>
      <c r="AH23" s="5">
        <f>IF(Tabella2[[#This Row],[Q/p.c.]]="","",Tabella2[[#This Row],[€ gruppo a &gt;2]]/AG$2)</f>
        <v>0.59898205714285724</v>
      </c>
    </row>
    <row r="24" spans="3:34" hidden="1" outlineLevel="1" x14ac:dyDescent="0.3">
      <c r="C24" s="7">
        <f>IF(Tabella2[[#This Row],[Macro_prodotto]]&lt;&gt;"",CONCATENATE("M-",Tabella2[[#This Row],[u_macro]]),A23)</f>
        <v>0</v>
      </c>
      <c r="D24" s="7" t="str">
        <f>IF(Tabella2[[#This Row],[Macro_prodotto]]&lt;&gt;"",CONCATENATE("M-",Tabella2[[#This Row],[u_macro]]),"")</f>
        <v/>
      </c>
      <c r="E24" s="7" t="str">
        <f>IF(Tabella2[[#This Row],[Macro_prodotto]]="","",(COUNT(E$4:E23))+1)</f>
        <v/>
      </c>
      <c r="F24" s="7" t="str">
        <f t="shared" si="0"/>
        <v>p-023</v>
      </c>
      <c r="I24" s="8" t="s">
        <v>22</v>
      </c>
      <c r="J24" s="7" t="s">
        <v>10</v>
      </c>
      <c r="K24" s="4">
        <v>800</v>
      </c>
      <c r="L24" s="4" t="s">
        <v>31</v>
      </c>
      <c r="M24" s="13">
        <f>MROUND((M$23*(K24/K$23)),0.05)</f>
        <v>1.05</v>
      </c>
      <c r="N24" s="7"/>
      <c r="O24" s="7"/>
      <c r="P24" s="7" t="str">
        <f>IF(Tabella2[[#This Row],[quantità]]="","",Tabella2[[#This Row],[quantità]]-Tabella2[[#This Row],[quantità]]*P$2)</f>
        <v/>
      </c>
      <c r="Q24" s="3" t="str">
        <f>IF(Tabella2[[#This Row],[margine]]="","",Tabella2[[#This Row],[margine]]/11)</f>
        <v/>
      </c>
      <c r="R24" s="5" t="str">
        <f>IF(Tabella2[[#This Row],[media mensile]]="","",Tabella2[[#This Row],[media mensile]]*Tabella2[[#This Row],[prezzo]])</f>
        <v/>
      </c>
      <c r="S24" s="18"/>
      <c r="T24" s="37" t="str">
        <f>IF(Tabella2[[#This Row],[Q/p.c.]]="","",Tabella2[[#This Row],[Q/p.c.]]*Tabella2[[#This Row],[% n]])</f>
        <v/>
      </c>
      <c r="U24" s="37" t="str">
        <f>IF(Tabella2[[#This Row],[Q/p.c.]]="","",Tabella2[[#This Row],[€ gruppo noenati]]*(S$3*-1))</f>
        <v/>
      </c>
      <c r="V24" s="37" t="str">
        <f>IF(Tabella2[[#This Row],[Q/p.c.]]="","",Tabella2[[#This Row],[€ gruppo noenati]]+Tabella2[[#This Row],[% decurtazione]])</f>
        <v/>
      </c>
      <c r="W24" s="5" t="str">
        <f>IF(Tabella2[[#This Row],[media mensile]]="","",Tabella2[[#This Row],[€ decurtato]]/S$2)</f>
        <v/>
      </c>
      <c r="X24" s="18"/>
      <c r="Y24" s="37" t="str">
        <f>IF(Tabella2[[#This Row],[Q/p.c.]]="","",Tabella2[[#This Row],[Q/p.c.]]*Tabella2[[#This Row],[% b]])</f>
        <v/>
      </c>
      <c r="Z24" s="37" t="str">
        <f>IF(Tabella2[[#This Row],[Q/p.c.]]="","",Tabella2[[#This Row],[€ gruppo bambino]]*(X$3*-1))</f>
        <v/>
      </c>
      <c r="AA24" s="37" t="str">
        <f>IF(Tabella2[[#This Row],[Q/p.c.]]="","",Tabella2[[#This Row],[€ gruppo bambino]]+Tabella2[[#This Row],[% decurtazione b]])</f>
        <v/>
      </c>
      <c r="AB24" s="5" t="str">
        <f>IF(Tabella2[[#This Row],[media mensile]]="","",Tabella2[[#This Row],[€ decurtato b]]/X$2)</f>
        <v/>
      </c>
      <c r="AC24" s="18">
        <f>1-(Tabella2[[#This Row],[% n]]+Tabella2[[#This Row],[% b]])</f>
        <v>1</v>
      </c>
      <c r="AD24" s="37" t="str">
        <f>IF(Tabella2[[#This Row],[Q/p.c.]]="","",SUM((Tabella2[[#This Row],[Q/p.c.]]*Tabella2[[#This Row],[% a]]),(Tabella2[[#This Row],[% decurtazione]]*-1),(Tabella2[[#This Row],[% decurtazione b]]*-1)))</f>
        <v/>
      </c>
      <c r="AE24" s="37" t="str">
        <f>IF(Tabella2[[#This Row],[Q/p.c.]]="","",Tabella2[[#This Row],[€ gruppo adulto]]*AE$3)</f>
        <v/>
      </c>
      <c r="AF24" s="37" t="str">
        <f>IF(Tabella2[[#This Row],[Q/p.c.]]="","",Tabella2[[#This Row],[€ gruppo a da 1 a 2]]/AE$2)</f>
        <v/>
      </c>
      <c r="AG24" s="37" t="str">
        <f>IF(Tabella2[[#This Row],[Q/p.c.]]="","",Tabella2[[#This Row],[€ gruppo adulto]]-Tabella2[[#This Row],[€ gruppo a da 1 a 2]])</f>
        <v/>
      </c>
      <c r="AH24" s="5" t="str">
        <f>IF(Tabella2[[#This Row],[Q/p.c.]]="","",Tabella2[[#This Row],[€ gruppo a &gt;2]]/AG$2)</f>
        <v/>
      </c>
    </row>
    <row r="25" spans="3:34" hidden="1" outlineLevel="1" x14ac:dyDescent="0.3">
      <c r="C25" s="7">
        <f>IF(Tabella2[[#This Row],[Macro_prodotto]]&lt;&gt;"",CONCATENATE("M-",Tabella2[[#This Row],[u_macro]]),A24)</f>
        <v>0</v>
      </c>
      <c r="D25" s="7" t="str">
        <f>IF(Tabella2[[#This Row],[Macro_prodotto]]&lt;&gt;"",CONCATENATE("M-",Tabella2[[#This Row],[u_macro]]),"")</f>
        <v/>
      </c>
      <c r="E25" s="7" t="str">
        <f>IF(Tabella2[[#This Row],[Macro_prodotto]]="","",(COUNT(E$4:E24))+1)</f>
        <v/>
      </c>
      <c r="F25" s="7" t="str">
        <f t="shared" si="0"/>
        <v>p-024</v>
      </c>
      <c r="I25" s="8" t="s">
        <v>22</v>
      </c>
      <c r="J25" s="7" t="s">
        <v>10</v>
      </c>
      <c r="K25" s="4">
        <v>400</v>
      </c>
      <c r="L25" s="4" t="s">
        <v>31</v>
      </c>
      <c r="M25" s="13">
        <f>MROUND((M$23*(K25/K$23)),0.05)</f>
        <v>0.5</v>
      </c>
      <c r="N25" s="7"/>
      <c r="O25" s="7"/>
      <c r="P25" s="7" t="str">
        <f>IF(Tabella2[[#This Row],[quantità]]="","",Tabella2[[#This Row],[quantità]]-Tabella2[[#This Row],[quantità]]*P$2)</f>
        <v/>
      </c>
      <c r="Q25" s="3" t="str">
        <f>IF(Tabella2[[#This Row],[margine]]="","",Tabella2[[#This Row],[margine]]/11)</f>
        <v/>
      </c>
      <c r="R25" s="5" t="str">
        <f>IF(Tabella2[[#This Row],[media mensile]]="","",Tabella2[[#This Row],[media mensile]]*Tabella2[[#This Row],[prezzo]])</f>
        <v/>
      </c>
      <c r="S25" s="18"/>
      <c r="T25" s="37" t="str">
        <f>IF(Tabella2[[#This Row],[Q/p.c.]]="","",Tabella2[[#This Row],[Q/p.c.]]*Tabella2[[#This Row],[% n]])</f>
        <v/>
      </c>
      <c r="U25" s="37" t="str">
        <f>IF(Tabella2[[#This Row],[Q/p.c.]]="","",Tabella2[[#This Row],[€ gruppo noenati]]*(S$3*-1))</f>
        <v/>
      </c>
      <c r="V25" s="37" t="str">
        <f>IF(Tabella2[[#This Row],[Q/p.c.]]="","",Tabella2[[#This Row],[€ gruppo noenati]]+Tabella2[[#This Row],[% decurtazione]])</f>
        <v/>
      </c>
      <c r="W25" s="5" t="str">
        <f>IF(Tabella2[[#This Row],[media mensile]]="","",Tabella2[[#This Row],[€ decurtato]]/S$2)</f>
        <v/>
      </c>
      <c r="X25" s="18"/>
      <c r="Y25" s="37" t="str">
        <f>IF(Tabella2[[#This Row],[Q/p.c.]]="","",Tabella2[[#This Row],[Q/p.c.]]*Tabella2[[#This Row],[% b]])</f>
        <v/>
      </c>
      <c r="Z25" s="37" t="str">
        <f>IF(Tabella2[[#This Row],[Q/p.c.]]="","",Tabella2[[#This Row],[€ gruppo bambino]]*(X$3*-1))</f>
        <v/>
      </c>
      <c r="AA25" s="37" t="str">
        <f>IF(Tabella2[[#This Row],[Q/p.c.]]="","",Tabella2[[#This Row],[€ gruppo bambino]]+Tabella2[[#This Row],[% decurtazione b]])</f>
        <v/>
      </c>
      <c r="AB25" s="5" t="str">
        <f>IF(Tabella2[[#This Row],[media mensile]]="","",Tabella2[[#This Row],[€ decurtato b]]/X$2)</f>
        <v/>
      </c>
      <c r="AC25" s="18">
        <f>1-(Tabella2[[#This Row],[% n]]+Tabella2[[#This Row],[% b]])</f>
        <v>1</v>
      </c>
      <c r="AD25" s="37" t="str">
        <f>IF(Tabella2[[#This Row],[Q/p.c.]]="","",SUM((Tabella2[[#This Row],[Q/p.c.]]*Tabella2[[#This Row],[% a]]),(Tabella2[[#This Row],[% decurtazione]]*-1),(Tabella2[[#This Row],[% decurtazione b]]*-1)))</f>
        <v/>
      </c>
      <c r="AE25" s="37" t="str">
        <f>IF(Tabella2[[#This Row],[Q/p.c.]]="","",Tabella2[[#This Row],[€ gruppo adulto]]*AE$3)</f>
        <v/>
      </c>
      <c r="AF25" s="37" t="str">
        <f>IF(Tabella2[[#This Row],[Q/p.c.]]="","",Tabella2[[#This Row],[€ gruppo a da 1 a 2]]/AE$2)</f>
        <v/>
      </c>
      <c r="AG25" s="37" t="str">
        <f>IF(Tabella2[[#This Row],[Q/p.c.]]="","",Tabella2[[#This Row],[€ gruppo adulto]]-Tabella2[[#This Row],[€ gruppo a da 1 a 2]])</f>
        <v/>
      </c>
      <c r="AH25" s="5" t="str">
        <f>IF(Tabella2[[#This Row],[Q/p.c.]]="","",Tabella2[[#This Row],[€ gruppo a &gt;2]]/AG$2)</f>
        <v/>
      </c>
    </row>
    <row r="26" spans="3:34" hidden="1" outlineLevel="1" x14ac:dyDescent="0.3">
      <c r="C26" s="7">
        <f>IF(Tabella2[[#This Row],[Macro_prodotto]]&lt;&gt;"",CONCATENATE("M-",Tabella2[[#This Row],[u_macro]]),A25)</f>
        <v>0</v>
      </c>
      <c r="D26" s="7" t="str">
        <f>IF(Tabella2[[#This Row],[Macro_prodotto]]&lt;&gt;"",CONCATENATE("M-",Tabella2[[#This Row],[u_macro]]),"")</f>
        <v/>
      </c>
      <c r="E26" s="7" t="str">
        <f>IF(Tabella2[[#This Row],[Macro_prodotto]]="","",(COUNT(E$4:E25))+1)</f>
        <v/>
      </c>
      <c r="F26" s="7" t="str">
        <f t="shared" si="0"/>
        <v>p-025</v>
      </c>
      <c r="I26" s="8" t="s">
        <v>22</v>
      </c>
      <c r="J26" s="7" t="s">
        <v>10</v>
      </c>
      <c r="K26" s="4">
        <v>220</v>
      </c>
      <c r="L26" s="4" t="s">
        <v>31</v>
      </c>
      <c r="M26" s="13">
        <f>MROUND((M$23*(K26/K$23)),0.05)</f>
        <v>0.30000000000000004</v>
      </c>
      <c r="N26" s="7"/>
      <c r="O26" s="7"/>
      <c r="P26" s="7" t="str">
        <f>IF(Tabella2[[#This Row],[quantità]]="","",Tabella2[[#This Row],[quantità]]-Tabella2[[#This Row],[quantità]]*P$2)</f>
        <v/>
      </c>
      <c r="Q26" s="3" t="str">
        <f>IF(Tabella2[[#This Row],[margine]]="","",Tabella2[[#This Row],[margine]]/11)</f>
        <v/>
      </c>
      <c r="R26" s="5" t="str">
        <f>IF(Tabella2[[#This Row],[media mensile]]="","",Tabella2[[#This Row],[media mensile]]*Tabella2[[#This Row],[prezzo]])</f>
        <v/>
      </c>
      <c r="S26" s="18"/>
      <c r="T26" s="37" t="str">
        <f>IF(Tabella2[[#This Row],[Q/p.c.]]="","",Tabella2[[#This Row],[Q/p.c.]]*Tabella2[[#This Row],[% n]])</f>
        <v/>
      </c>
      <c r="U26" s="37" t="str">
        <f>IF(Tabella2[[#This Row],[Q/p.c.]]="","",Tabella2[[#This Row],[€ gruppo noenati]]*(S$3*-1))</f>
        <v/>
      </c>
      <c r="V26" s="37" t="str">
        <f>IF(Tabella2[[#This Row],[Q/p.c.]]="","",Tabella2[[#This Row],[€ gruppo noenati]]+Tabella2[[#This Row],[% decurtazione]])</f>
        <v/>
      </c>
      <c r="W26" s="5" t="str">
        <f>IF(Tabella2[[#This Row],[media mensile]]="","",Tabella2[[#This Row],[€ decurtato]]/S$2)</f>
        <v/>
      </c>
      <c r="X26" s="18"/>
      <c r="Y26" s="37" t="str">
        <f>IF(Tabella2[[#This Row],[Q/p.c.]]="","",Tabella2[[#This Row],[Q/p.c.]]*Tabella2[[#This Row],[% b]])</f>
        <v/>
      </c>
      <c r="Z26" s="37" t="str">
        <f>IF(Tabella2[[#This Row],[Q/p.c.]]="","",Tabella2[[#This Row],[€ gruppo bambino]]*(X$3*-1))</f>
        <v/>
      </c>
      <c r="AA26" s="37" t="str">
        <f>IF(Tabella2[[#This Row],[Q/p.c.]]="","",Tabella2[[#This Row],[€ gruppo bambino]]+Tabella2[[#This Row],[% decurtazione b]])</f>
        <v/>
      </c>
      <c r="AB26" s="5" t="str">
        <f>IF(Tabella2[[#This Row],[media mensile]]="","",Tabella2[[#This Row],[€ decurtato b]]/X$2)</f>
        <v/>
      </c>
      <c r="AC26" s="18">
        <f>1-(Tabella2[[#This Row],[% n]]+Tabella2[[#This Row],[% b]])</f>
        <v>1</v>
      </c>
      <c r="AD26" s="37" t="str">
        <f>IF(Tabella2[[#This Row],[Q/p.c.]]="","",SUM((Tabella2[[#This Row],[Q/p.c.]]*Tabella2[[#This Row],[% a]]),(Tabella2[[#This Row],[% decurtazione]]*-1),(Tabella2[[#This Row],[% decurtazione b]]*-1)))</f>
        <v/>
      </c>
      <c r="AE26" s="37" t="str">
        <f>IF(Tabella2[[#This Row],[Q/p.c.]]="","",Tabella2[[#This Row],[€ gruppo adulto]]*AE$3)</f>
        <v/>
      </c>
      <c r="AF26" s="37" t="str">
        <f>IF(Tabella2[[#This Row],[Q/p.c.]]="","",Tabella2[[#This Row],[€ gruppo a da 1 a 2]]/AE$2)</f>
        <v/>
      </c>
      <c r="AG26" s="37" t="str">
        <f>IF(Tabella2[[#This Row],[Q/p.c.]]="","",Tabella2[[#This Row],[€ gruppo adulto]]-Tabella2[[#This Row],[€ gruppo a da 1 a 2]])</f>
        <v/>
      </c>
      <c r="AH26" s="5" t="str">
        <f>IF(Tabella2[[#This Row],[Q/p.c.]]="","",Tabella2[[#This Row],[€ gruppo a &gt;2]]/AG$2)</f>
        <v/>
      </c>
    </row>
    <row r="27" spans="3:34" collapsed="1" x14ac:dyDescent="0.3">
      <c r="C27" s="7" t="str">
        <f>IF(Tabella2[[#This Row],[Macro_prodotto]]&lt;&gt;"",CONCATENATE("M-",Tabella2[[#This Row],[u_macro]]),A26)</f>
        <v>M-10</v>
      </c>
      <c r="D27" s="7" t="str">
        <f>IF(Tabella2[[#This Row],[Macro_prodotto]]&lt;&gt;"",CONCATENATE("M-",Tabella2[[#This Row],[u_macro]]),"")</f>
        <v>M-10</v>
      </c>
      <c r="E27" s="7">
        <f>IF(Tabella2[[#This Row],[Macro_prodotto]]="","",(COUNT(E$4:E26))+1)</f>
        <v>10</v>
      </c>
      <c r="F27" s="7" t="str">
        <f t="shared" si="0"/>
        <v>p-026</v>
      </c>
      <c r="G27" s="8" t="s">
        <v>23</v>
      </c>
      <c r="H27" s="8" t="s">
        <v>128</v>
      </c>
      <c r="I27" s="8" t="s">
        <v>23</v>
      </c>
      <c r="J27" s="7" t="s">
        <v>10</v>
      </c>
      <c r="K27" s="4">
        <v>1000</v>
      </c>
      <c r="L27" s="4" t="s">
        <v>31</v>
      </c>
      <c r="M27" s="13">
        <v>1.25</v>
      </c>
      <c r="N27" s="7" t="s">
        <v>0</v>
      </c>
      <c r="O27" s="7">
        <v>526</v>
      </c>
      <c r="P27" s="7">
        <f>IF(Tabella2[[#This Row],[quantità]]="","",Tabella2[[#This Row],[quantità]]-Tabella2[[#This Row],[quantità]]*P$2)</f>
        <v>499.7</v>
      </c>
      <c r="Q27" s="3">
        <f>IF(Tabella2[[#This Row],[margine]]="","",Tabella2[[#This Row],[margine]]/11)</f>
        <v>45.427272727272729</v>
      </c>
      <c r="R27" s="5">
        <f>IF(Tabella2[[#This Row],[media mensile]]="","",Tabella2[[#This Row],[media mensile]]*Tabella2[[#This Row],[prezzo]])</f>
        <v>56.784090909090914</v>
      </c>
      <c r="S27" s="18">
        <v>0</v>
      </c>
      <c r="T27" s="37">
        <f>IF(Tabella2[[#This Row],[Q/p.c.]]="","",Tabella2[[#This Row],[Q/p.c.]]*Tabella2[[#This Row],[% n]])</f>
        <v>0</v>
      </c>
      <c r="U27" s="37">
        <f>IF(Tabella2[[#This Row],[Q/p.c.]]="","",Tabella2[[#This Row],[€ gruppo noenati]]*(S$3*-1))</f>
        <v>0</v>
      </c>
      <c r="V27" s="37">
        <f>IF(Tabella2[[#This Row],[Q/p.c.]]="","",Tabella2[[#This Row],[€ gruppo noenati]]+Tabella2[[#This Row],[% decurtazione]])</f>
        <v>0</v>
      </c>
      <c r="W27" s="5">
        <f>IF(Tabella2[[#This Row],[media mensile]]="","",Tabella2[[#This Row],[€ decurtato]]/S$2)</f>
        <v>0</v>
      </c>
      <c r="X27" s="18">
        <v>0.25</v>
      </c>
      <c r="Y27" s="37">
        <f>IF(Tabella2[[#This Row],[Q/p.c.]]="","",Tabella2[[#This Row],[Q/p.c.]]*Tabella2[[#This Row],[% b]])</f>
        <v>14.196022727272728</v>
      </c>
      <c r="Z27" s="37">
        <f>IF(Tabella2[[#This Row],[Q/p.c.]]="","",Tabella2[[#This Row],[€ gruppo bambino]]*(X$3*-1))</f>
        <v>-5.6784090909090921</v>
      </c>
      <c r="AA27" s="37">
        <f>IF(Tabella2[[#This Row],[Q/p.c.]]="","",Tabella2[[#This Row],[€ gruppo bambino]]+Tabella2[[#This Row],[% decurtazione b]])</f>
        <v>8.5176136363636363</v>
      </c>
      <c r="AB27" s="5">
        <f>IF(Tabella2[[#This Row],[media mensile]]="","",Tabella2[[#This Row],[€ decurtato b]]/X$2)</f>
        <v>0.11996638924455826</v>
      </c>
      <c r="AC27" s="18">
        <f>1-(Tabella2[[#This Row],[% n]]+Tabella2[[#This Row],[% b]])</f>
        <v>0.75</v>
      </c>
      <c r="AD27" s="37">
        <f>IF(Tabella2[[#This Row],[Q/p.c.]]="","",SUM((Tabella2[[#This Row],[Q/p.c.]]*Tabella2[[#This Row],[% a]]),(Tabella2[[#This Row],[% decurtazione]]*-1),(Tabella2[[#This Row],[% decurtazione b]]*-1)))</f>
        <v>48.266477272727279</v>
      </c>
      <c r="AE27" s="37">
        <f>IF(Tabella2[[#This Row],[Q/p.c.]]="","",Tabella2[[#This Row],[€ gruppo adulto]]*AE$3)</f>
        <v>21.719914772727275</v>
      </c>
      <c r="AF27" s="37">
        <f>IF(Tabella2[[#This Row],[Q/p.c.]]="","",Tabella2[[#This Row],[€ gruppo a da 1 a 2]]/AE$2)</f>
        <v>0.2525571485200846</v>
      </c>
      <c r="AG27" s="37">
        <f>IF(Tabella2[[#This Row],[Q/p.c.]]="","",Tabella2[[#This Row],[€ gruppo adulto]]-Tabella2[[#This Row],[€ gruppo a da 1 a 2]])</f>
        <v>26.546562500000004</v>
      </c>
      <c r="AH27" s="5">
        <f>IF(Tabella2[[#This Row],[Q/p.c.]]="","",Tabella2[[#This Row],[€ gruppo a &gt;2]]/AG$2)</f>
        <v>0.15169464285714288</v>
      </c>
    </row>
    <row r="28" spans="3:34" x14ac:dyDescent="0.3">
      <c r="C28" s="7" t="str">
        <f>IF(Tabella2[[#This Row],[Macro_prodotto]]&lt;&gt;"",CONCATENATE("M-",Tabella2[[#This Row],[u_macro]]),A27)</f>
        <v>M-11</v>
      </c>
      <c r="D28" s="7" t="str">
        <f>IF(Tabella2[[#This Row],[Macro_prodotto]]&lt;&gt;"",CONCATENATE("M-",Tabella2[[#This Row],[u_macro]]),"")</f>
        <v>M-11</v>
      </c>
      <c r="E28" s="7">
        <f>IF(Tabella2[[#This Row],[Macro_prodotto]]="","",(COUNT(E$4:E27))+1)</f>
        <v>11</v>
      </c>
      <c r="F28" s="7" t="str">
        <f t="shared" si="0"/>
        <v>p-027</v>
      </c>
      <c r="G28" s="8" t="s">
        <v>24</v>
      </c>
      <c r="H28" s="8" t="s">
        <v>130</v>
      </c>
      <c r="I28" s="8" t="s">
        <v>24</v>
      </c>
      <c r="J28" s="7" t="s">
        <v>10</v>
      </c>
      <c r="K28" s="4">
        <v>1000</v>
      </c>
      <c r="L28" s="4" t="s">
        <v>33</v>
      </c>
      <c r="M28" s="13">
        <v>2.5</v>
      </c>
      <c r="N28" s="7" t="s">
        <v>99</v>
      </c>
      <c r="O28" s="7"/>
      <c r="P28" s="7" t="str">
        <f>IF(Tabella2[[#This Row],[quantità]]="","",Tabella2[[#This Row],[quantità]]-Tabella2[[#This Row],[quantità]]*P$2)</f>
        <v/>
      </c>
      <c r="Q28" s="3" t="str">
        <f>IF(Tabella2[[#This Row],[margine]]="","",Tabella2[[#This Row],[margine]]/11)</f>
        <v/>
      </c>
      <c r="R28" s="5" t="str">
        <f>IF(Tabella2[[#This Row],[media mensile]]="","",Tabella2[[#This Row],[media mensile]]*Tabella2[[#This Row],[prezzo]])</f>
        <v/>
      </c>
      <c r="S28" s="18">
        <v>0</v>
      </c>
      <c r="T28" s="37" t="str">
        <f>IF(Tabella2[[#This Row],[Q/p.c.]]="","",Tabella2[[#This Row],[Q/p.c.]]*Tabella2[[#This Row],[% n]])</f>
        <v/>
      </c>
      <c r="U28" s="37" t="str">
        <f>IF(Tabella2[[#This Row],[Q/p.c.]]="","",Tabella2[[#This Row],[€ gruppo noenati]]*(S$3*-1))</f>
        <v/>
      </c>
      <c r="V28" s="37" t="str">
        <f>IF(Tabella2[[#This Row],[Q/p.c.]]="","",Tabella2[[#This Row],[€ gruppo noenati]]+Tabella2[[#This Row],[% decurtazione]])</f>
        <v/>
      </c>
      <c r="W28" s="5" t="str">
        <f>IF(Tabella2[[#This Row],[media mensile]]="","",Tabella2[[#This Row],[€ decurtato]]/S$2)</f>
        <v/>
      </c>
      <c r="X28" s="18">
        <v>0.4</v>
      </c>
      <c r="Y28" s="37" t="str">
        <f>IF(Tabella2[[#This Row],[Q/p.c.]]="","",Tabella2[[#This Row],[Q/p.c.]]*Tabella2[[#This Row],[% b]])</f>
        <v/>
      </c>
      <c r="Z28" s="37" t="str">
        <f>IF(Tabella2[[#This Row],[Q/p.c.]]="","",Tabella2[[#This Row],[€ gruppo bambino]]*(X$3*-1))</f>
        <v/>
      </c>
      <c r="AA28" s="37" t="str">
        <f>IF(Tabella2[[#This Row],[Q/p.c.]]="","",Tabella2[[#This Row],[€ gruppo bambino]]+Tabella2[[#This Row],[% decurtazione b]])</f>
        <v/>
      </c>
      <c r="AB28" s="5" t="str">
        <f>IF(Tabella2[[#This Row],[media mensile]]="","",Tabella2[[#This Row],[€ decurtato b]]/X$2)</f>
        <v/>
      </c>
      <c r="AC28" s="18">
        <f>1-(Tabella2[[#This Row],[% n]]+Tabella2[[#This Row],[% b]])</f>
        <v>0.6</v>
      </c>
      <c r="AD28" s="37" t="str">
        <f>IF(Tabella2[[#This Row],[Q/p.c.]]="","",SUM((Tabella2[[#This Row],[Q/p.c.]]*Tabella2[[#This Row],[% a]]),(Tabella2[[#This Row],[% decurtazione]]*-1),(Tabella2[[#This Row],[% decurtazione b]]*-1)))</f>
        <v/>
      </c>
      <c r="AE28" s="37" t="str">
        <f>IF(Tabella2[[#This Row],[Q/p.c.]]="","",Tabella2[[#This Row],[€ gruppo adulto]]*AE$3)</f>
        <v/>
      </c>
      <c r="AF28" s="37" t="str">
        <f>IF(Tabella2[[#This Row],[Q/p.c.]]="","",Tabella2[[#This Row],[€ gruppo a da 1 a 2]]/AE$2)</f>
        <v/>
      </c>
      <c r="AG28" s="37" t="str">
        <f>IF(Tabella2[[#This Row],[Q/p.c.]]="","",Tabella2[[#This Row],[€ gruppo adulto]]-Tabella2[[#This Row],[€ gruppo a da 1 a 2]])</f>
        <v/>
      </c>
      <c r="AH28" s="5" t="str">
        <f>IF(Tabella2[[#This Row],[Q/p.c.]]="","",Tabella2[[#This Row],[€ gruppo a &gt;2]]/AG$2)</f>
        <v/>
      </c>
    </row>
    <row r="29" spans="3:34" x14ac:dyDescent="0.3">
      <c r="C29" s="7" t="str">
        <f>IF(Tabella2[[#This Row],[Macro_prodotto]]&lt;&gt;"",CONCATENATE("M-",Tabella2[[#This Row],[u_macro]]),A28)</f>
        <v>M-12</v>
      </c>
      <c r="D29" s="7" t="str">
        <f>IF(Tabella2[[#This Row],[Macro_prodotto]]&lt;&gt;"",CONCATENATE("M-",Tabella2[[#This Row],[u_macro]]),"")</f>
        <v>M-12</v>
      </c>
      <c r="E29" s="7">
        <f>IF(Tabella2[[#This Row],[Macro_prodotto]]="","",(COUNT(E$4:E28))+1)</f>
        <v>12</v>
      </c>
      <c r="F29" s="7" t="str">
        <f t="shared" si="0"/>
        <v>p-028</v>
      </c>
      <c r="G29" s="8" t="s">
        <v>25</v>
      </c>
      <c r="H29" s="8" t="s">
        <v>130</v>
      </c>
      <c r="I29" s="8" t="s">
        <v>25</v>
      </c>
      <c r="J29" s="7" t="s">
        <v>10</v>
      </c>
      <c r="K29" s="4">
        <v>1000</v>
      </c>
      <c r="L29" s="4" t="s">
        <v>33</v>
      </c>
      <c r="M29" s="13">
        <v>1.3</v>
      </c>
      <c r="N29" s="7" t="s">
        <v>99</v>
      </c>
      <c r="O29" s="7">
        <v>67</v>
      </c>
      <c r="P29" s="7">
        <f>IF(Tabella2[[#This Row],[quantità]]="","",Tabella2[[#This Row],[quantità]]-Tabella2[[#This Row],[quantità]]*P$2)</f>
        <v>63.65</v>
      </c>
      <c r="Q29" s="3">
        <f>IF(Tabella2[[#This Row],[margine]]="","",Tabella2[[#This Row],[margine]]/11)</f>
        <v>5.7863636363636362</v>
      </c>
      <c r="R29" s="5">
        <f>IF(Tabella2[[#This Row],[media mensile]]="","",Tabella2[[#This Row],[media mensile]]*Tabella2[[#This Row],[prezzo]])</f>
        <v>7.5222727272727274</v>
      </c>
      <c r="S29" s="18">
        <v>0</v>
      </c>
      <c r="T29" s="37">
        <f>IF(Tabella2[[#This Row],[Q/p.c.]]="","",Tabella2[[#This Row],[Q/p.c.]]*Tabella2[[#This Row],[% n]])</f>
        <v>0</v>
      </c>
      <c r="U29" s="37">
        <f>IF(Tabella2[[#This Row],[Q/p.c.]]="","",Tabella2[[#This Row],[€ gruppo noenati]]*(S$3*-1))</f>
        <v>0</v>
      </c>
      <c r="V29" s="37">
        <f>IF(Tabella2[[#This Row],[Q/p.c.]]="","",Tabella2[[#This Row],[€ gruppo noenati]]+Tabella2[[#This Row],[% decurtazione]])</f>
        <v>0</v>
      </c>
      <c r="W29" s="5">
        <f>IF(Tabella2[[#This Row],[media mensile]]="","",Tabella2[[#This Row],[€ decurtato]]/S$2)</f>
        <v>0</v>
      </c>
      <c r="X29" s="18">
        <v>0.3</v>
      </c>
      <c r="Y29" s="37">
        <f>IF(Tabella2[[#This Row],[Q/p.c.]]="","",Tabella2[[#This Row],[Q/p.c.]]*Tabella2[[#This Row],[% b]])</f>
        <v>2.2566818181818182</v>
      </c>
      <c r="Z29" s="37">
        <f>IF(Tabella2[[#This Row],[Q/p.c.]]="","",Tabella2[[#This Row],[€ gruppo bambino]]*(X$3*-1))</f>
        <v>-0.90267272727272729</v>
      </c>
      <c r="AA29" s="37">
        <f>IF(Tabella2[[#This Row],[Q/p.c.]]="","",Tabella2[[#This Row],[€ gruppo bambino]]+Tabella2[[#This Row],[% decurtazione b]])</f>
        <v>1.3540090909090909</v>
      </c>
      <c r="AB29" s="5">
        <f>IF(Tabella2[[#This Row],[media mensile]]="","",Tabella2[[#This Row],[€ decurtato b]]/X$2)</f>
        <v>1.907055057618438E-2</v>
      </c>
      <c r="AC29" s="18">
        <f>1-(Tabella2[[#This Row],[% n]]+Tabella2[[#This Row],[% b]])</f>
        <v>0.7</v>
      </c>
      <c r="AD29" s="37">
        <f>IF(Tabella2[[#This Row],[Q/p.c.]]="","",SUM((Tabella2[[#This Row],[Q/p.c.]]*Tabella2[[#This Row],[% a]]),(Tabella2[[#This Row],[% decurtazione]]*-1),(Tabella2[[#This Row],[% decurtazione b]]*-1)))</f>
        <v>6.1682636363636361</v>
      </c>
      <c r="AE29" s="37">
        <f>IF(Tabella2[[#This Row],[Q/p.c.]]="","",Tabella2[[#This Row],[€ gruppo adulto]]*AE$3)</f>
        <v>2.7757186363636364</v>
      </c>
      <c r="AF29" s="37">
        <f>IF(Tabella2[[#This Row],[Q/p.c.]]="","",Tabella2[[#This Row],[€ gruppo a da 1 a 2]]/AE$2)</f>
        <v>3.2275798097251583E-2</v>
      </c>
      <c r="AG29" s="37">
        <f>IF(Tabella2[[#This Row],[Q/p.c.]]="","",Tabella2[[#This Row],[€ gruppo adulto]]-Tabella2[[#This Row],[€ gruppo a da 1 a 2]])</f>
        <v>3.3925449999999997</v>
      </c>
      <c r="AH29" s="5">
        <f>IF(Tabella2[[#This Row],[Q/p.c.]]="","",Tabella2[[#This Row],[€ gruppo a &gt;2]]/AG$2)</f>
        <v>1.9385971428571427E-2</v>
      </c>
    </row>
    <row r="30" spans="3:34" x14ac:dyDescent="0.3">
      <c r="C30" s="7" t="str">
        <f>IF(Tabella2[[#This Row],[Macro_prodotto]]&lt;&gt;"",CONCATENATE("M-",Tabella2[[#This Row],[u_macro]]),A29)</f>
        <v>M-13</v>
      </c>
      <c r="D30" s="7" t="str">
        <f>IF(Tabella2[[#This Row],[Macro_prodotto]]&lt;&gt;"",CONCATENATE("M-",Tabella2[[#This Row],[u_macro]]),"")</f>
        <v>M-13</v>
      </c>
      <c r="E30" s="7">
        <f>IF(Tabella2[[#This Row],[Macro_prodotto]]="","",(COUNT(E$4:E29))+1)</f>
        <v>13</v>
      </c>
      <c r="F30" s="7" t="str">
        <f t="shared" si="0"/>
        <v>p-029</v>
      </c>
      <c r="G30" s="8" t="s">
        <v>26</v>
      </c>
      <c r="H30" s="8" t="s">
        <v>132</v>
      </c>
      <c r="I30" s="8" t="s">
        <v>26</v>
      </c>
      <c r="J30" s="7" t="s">
        <v>10</v>
      </c>
      <c r="K30" s="4">
        <v>50</v>
      </c>
      <c r="L30" s="4" t="s">
        <v>31</v>
      </c>
      <c r="M30" s="13">
        <v>0.5</v>
      </c>
      <c r="N30" s="7" t="s">
        <v>0</v>
      </c>
      <c r="O30" s="7">
        <v>950</v>
      </c>
      <c r="P30" s="7">
        <f>IF(Tabella2[[#This Row],[quantità]]="","",Tabella2[[#This Row],[quantità]]-Tabella2[[#This Row],[quantità]]*P$2)</f>
        <v>902.5</v>
      </c>
      <c r="Q30" s="3">
        <f>IF(Tabella2[[#This Row],[margine]]="","",Tabella2[[#This Row],[margine]]/11)</f>
        <v>82.045454545454547</v>
      </c>
      <c r="R30" s="5">
        <f>IF(Tabella2[[#This Row],[media mensile]]="","",Tabella2[[#This Row],[media mensile]]*Tabella2[[#This Row],[prezzo]])</f>
        <v>41.022727272727273</v>
      </c>
      <c r="S30" s="18">
        <v>0</v>
      </c>
      <c r="T30" s="37">
        <f>IF(Tabella2[[#This Row],[Q/p.c.]]="","",Tabella2[[#This Row],[Q/p.c.]]*Tabella2[[#This Row],[% n]])</f>
        <v>0</v>
      </c>
      <c r="U30" s="37">
        <f>IF(Tabella2[[#This Row],[Q/p.c.]]="","",Tabella2[[#This Row],[€ gruppo noenati]]*(S$3*-1))</f>
        <v>0</v>
      </c>
      <c r="V30" s="37">
        <f>IF(Tabella2[[#This Row],[Q/p.c.]]="","",Tabella2[[#This Row],[€ gruppo noenati]]+Tabella2[[#This Row],[% decurtazione]])</f>
        <v>0</v>
      </c>
      <c r="W30" s="5">
        <f>IF(Tabella2[[#This Row],[media mensile]]="","",Tabella2[[#This Row],[€ decurtato]]/S$2)</f>
        <v>0</v>
      </c>
      <c r="X30" s="18">
        <v>0.25</v>
      </c>
      <c r="Y30" s="37">
        <f>IF(Tabella2[[#This Row],[Q/p.c.]]="","",Tabella2[[#This Row],[Q/p.c.]]*Tabella2[[#This Row],[% b]])</f>
        <v>10.255681818181818</v>
      </c>
      <c r="Z30" s="37">
        <f>IF(Tabella2[[#This Row],[Q/p.c.]]="","",Tabella2[[#This Row],[€ gruppo bambino]]*(X$3*-1))</f>
        <v>-4.1022727272727275</v>
      </c>
      <c r="AA30" s="37">
        <f>IF(Tabella2[[#This Row],[Q/p.c.]]="","",Tabella2[[#This Row],[€ gruppo bambino]]+Tabella2[[#This Row],[% decurtazione b]])</f>
        <v>6.1534090909090908</v>
      </c>
      <c r="AB30" s="5">
        <f>IF(Tabella2[[#This Row],[media mensile]]="","",Tabella2[[#This Row],[€ decurtato b]]/X$2)</f>
        <v>8.6667733674775926E-2</v>
      </c>
      <c r="AC30" s="18">
        <f>1-(Tabella2[[#This Row],[% n]]+Tabella2[[#This Row],[% b]])</f>
        <v>0.75</v>
      </c>
      <c r="AD30" s="37">
        <f>IF(Tabella2[[#This Row],[Q/p.c.]]="","",SUM((Tabella2[[#This Row],[Q/p.c.]]*Tabella2[[#This Row],[% a]]),(Tabella2[[#This Row],[% decurtazione]]*-1),(Tabella2[[#This Row],[% decurtazione b]]*-1)))</f>
        <v>34.86931818181818</v>
      </c>
      <c r="AE30" s="37">
        <f>IF(Tabella2[[#This Row],[Q/p.c.]]="","",Tabella2[[#This Row],[€ gruppo adulto]]*AE$3)</f>
        <v>15.691193181818182</v>
      </c>
      <c r="AF30" s="37">
        <f>IF(Tabella2[[#This Row],[Q/p.c.]]="","",Tabella2[[#This Row],[€ gruppo a da 1 a 2]]/AE$2)</f>
        <v>0.18245573467230444</v>
      </c>
      <c r="AG30" s="37">
        <f>IF(Tabella2[[#This Row],[Q/p.c.]]="","",Tabella2[[#This Row],[€ gruppo adulto]]-Tabella2[[#This Row],[€ gruppo a da 1 a 2]])</f>
        <v>19.178124999999998</v>
      </c>
      <c r="AH30" s="5">
        <f>IF(Tabella2[[#This Row],[Q/p.c.]]="","",Tabella2[[#This Row],[€ gruppo a &gt;2]]/AG$2)</f>
        <v>0.10958928571428571</v>
      </c>
    </row>
    <row r="31" spans="3:34" x14ac:dyDescent="0.3">
      <c r="C31" s="7" t="str">
        <f>IF(Tabella2[[#This Row],[Macro_prodotto]]&lt;&gt;"",CONCATENATE("M-",Tabella2[[#This Row],[u_macro]]),A30)</f>
        <v>M-14</v>
      </c>
      <c r="D31" s="7" t="str">
        <f>IF(Tabella2[[#This Row],[Macro_prodotto]]&lt;&gt;"",CONCATENATE("M-",Tabella2[[#This Row],[u_macro]]),"")</f>
        <v>M-14</v>
      </c>
      <c r="E31" s="7">
        <f>IF(Tabella2[[#This Row],[Macro_prodotto]]="","",(COUNT(E$4:E30))+1)</f>
        <v>14</v>
      </c>
      <c r="F31" s="7" t="str">
        <f t="shared" si="0"/>
        <v>p-030</v>
      </c>
      <c r="G31" s="8" t="s">
        <v>27</v>
      </c>
      <c r="H31" s="8" t="s">
        <v>131</v>
      </c>
      <c r="I31" s="8" t="s">
        <v>27</v>
      </c>
      <c r="J31" s="7" t="s">
        <v>10</v>
      </c>
      <c r="K31" s="4">
        <v>80</v>
      </c>
      <c r="L31" s="4" t="s">
        <v>31</v>
      </c>
      <c r="M31" s="13">
        <v>0.8</v>
      </c>
      <c r="N31" s="7" t="s">
        <v>0</v>
      </c>
      <c r="O31" s="7">
        <v>2242</v>
      </c>
      <c r="P31" s="7">
        <f>IF(Tabella2[[#This Row],[quantità]]="","",Tabella2[[#This Row],[quantità]]-Tabella2[[#This Row],[quantità]]*P$2)</f>
        <v>2129.9</v>
      </c>
      <c r="Q31" s="3">
        <f>IF(Tabella2[[#This Row],[margine]]="","",Tabella2[[#This Row],[margine]]/11)</f>
        <v>193.62727272727273</v>
      </c>
      <c r="R31" s="5">
        <f>IF(Tabella2[[#This Row],[media mensile]]="","",Tabella2[[#This Row],[media mensile]]*Tabella2[[#This Row],[prezzo]])</f>
        <v>154.90181818181819</v>
      </c>
      <c r="S31" s="18">
        <v>0</v>
      </c>
      <c r="T31" s="37">
        <f>IF(Tabella2[[#This Row],[Q/p.c.]]="","",Tabella2[[#This Row],[Q/p.c.]]*Tabella2[[#This Row],[% n]])</f>
        <v>0</v>
      </c>
      <c r="U31" s="37">
        <f>IF(Tabella2[[#This Row],[Q/p.c.]]="","",Tabella2[[#This Row],[€ gruppo noenati]]*(S$3*-1))</f>
        <v>0</v>
      </c>
      <c r="V31" s="37">
        <f>IF(Tabella2[[#This Row],[Q/p.c.]]="","",Tabella2[[#This Row],[€ gruppo noenati]]+Tabella2[[#This Row],[% decurtazione]])</f>
        <v>0</v>
      </c>
      <c r="W31" s="5">
        <f>IF(Tabella2[[#This Row],[media mensile]]="","",Tabella2[[#This Row],[€ decurtato]]/S$2)</f>
        <v>0</v>
      </c>
      <c r="X31" s="18">
        <v>0</v>
      </c>
      <c r="Y31" s="37">
        <f>IF(Tabella2[[#This Row],[Q/p.c.]]="","",Tabella2[[#This Row],[Q/p.c.]]*Tabella2[[#This Row],[% b]])</f>
        <v>0</v>
      </c>
      <c r="Z31" s="37">
        <f>IF(Tabella2[[#This Row],[Q/p.c.]]="","",Tabella2[[#This Row],[€ gruppo bambino]]*(X$3*-1))</f>
        <v>0</v>
      </c>
      <c r="AA31" s="37">
        <f>IF(Tabella2[[#This Row],[Q/p.c.]]="","",Tabella2[[#This Row],[€ gruppo bambino]]+Tabella2[[#This Row],[% decurtazione b]])</f>
        <v>0</v>
      </c>
      <c r="AB31" s="5">
        <f>IF(Tabella2[[#This Row],[media mensile]]="","",Tabella2[[#This Row],[€ decurtato b]]/X$2)</f>
        <v>0</v>
      </c>
      <c r="AC31" s="18">
        <v>0</v>
      </c>
      <c r="AD31" s="37">
        <f>IF(Tabella2[[#This Row],[Q/p.c.]]="","",SUM((Tabella2[[#This Row],[Q/p.c.]]*Tabella2[[#This Row],[% a]]),(Tabella2[[#This Row],[% decurtazione]]*-1),(Tabella2[[#This Row],[% decurtazione b]]*-1)))</f>
        <v>0</v>
      </c>
      <c r="AE31" s="37">
        <f>IF(Tabella2[[#This Row],[Q/p.c.]]="","",Tabella2[[#This Row],[€ gruppo adulto]]*AE$3)</f>
        <v>0</v>
      </c>
      <c r="AF31" s="37">
        <f>IF(Tabella2[[#This Row],[Q/p.c.]]="","",Tabella2[[#This Row],[€ gruppo a da 1 a 2]]/AE$2)</f>
        <v>0</v>
      </c>
      <c r="AG31" s="37">
        <f>IF(Tabella2[[#This Row],[Q/p.c.]]="","",Tabella2[[#This Row],[€ gruppo adulto]]-Tabella2[[#This Row],[€ gruppo a da 1 a 2]])</f>
        <v>0</v>
      </c>
      <c r="AH31" s="5">
        <f>IF(Tabella2[[#This Row],[Q/p.c.]]="","",Tabella2[[#This Row],[€ gruppo a &gt;2]]/AG$2)</f>
        <v>0</v>
      </c>
    </row>
    <row r="32" spans="3:34" x14ac:dyDescent="0.3">
      <c r="C32" s="7" t="str">
        <f>IF(Tabella2[[#This Row],[Macro_prodotto]]&lt;&gt;"",CONCATENATE("M-",Tabella2[[#This Row],[u_macro]]),A31)</f>
        <v>M-15</v>
      </c>
      <c r="D32" s="7" t="str">
        <f>IF(Tabella2[[#This Row],[Macro_prodotto]]&lt;&gt;"",CONCATENATE("M-",Tabella2[[#This Row],[u_macro]]),"")</f>
        <v>M-15</v>
      </c>
      <c r="E32" s="7">
        <f>IF(Tabella2[[#This Row],[Macro_prodotto]]="","",(COUNT(E$4:E31))+1)</f>
        <v>15</v>
      </c>
      <c r="F32" s="7" t="str">
        <f t="shared" si="0"/>
        <v>p-031</v>
      </c>
      <c r="G32" s="8" t="s">
        <v>28</v>
      </c>
      <c r="H32" s="8" t="s">
        <v>128</v>
      </c>
      <c r="I32" s="8" t="s">
        <v>28</v>
      </c>
      <c r="J32" s="7" t="s">
        <v>10</v>
      </c>
      <c r="K32" s="4">
        <v>250</v>
      </c>
      <c r="L32" s="4" t="s">
        <v>33</v>
      </c>
      <c r="M32" s="13">
        <v>1.2</v>
      </c>
      <c r="N32" s="7" t="s">
        <v>99</v>
      </c>
      <c r="O32" s="7">
        <v>252</v>
      </c>
      <c r="P32" s="7">
        <f>IF(Tabella2[[#This Row],[quantità]]="","",Tabella2[[#This Row],[quantità]]-Tabella2[[#This Row],[quantità]]*P$2)</f>
        <v>239.4</v>
      </c>
      <c r="Q32" s="3">
        <f>IF(Tabella2[[#This Row],[margine]]="","",Tabella2[[#This Row],[margine]]/11)</f>
        <v>21.763636363636365</v>
      </c>
      <c r="R32" s="5">
        <f>IF(Tabella2[[#This Row],[media mensile]]="","",Tabella2[[#This Row],[media mensile]]*Tabella2[[#This Row],[prezzo]])</f>
        <v>26.116363636363637</v>
      </c>
      <c r="S32" s="18">
        <v>0</v>
      </c>
      <c r="T32" s="37">
        <f>IF(Tabella2[[#This Row],[Q/p.c.]]="","",Tabella2[[#This Row],[Q/p.c.]]*Tabella2[[#This Row],[% n]])</f>
        <v>0</v>
      </c>
      <c r="U32" s="37">
        <f>IF(Tabella2[[#This Row],[Q/p.c.]]="","",Tabella2[[#This Row],[€ gruppo noenati]]*(S$3*-1))</f>
        <v>0</v>
      </c>
      <c r="V32" s="37">
        <f>IF(Tabella2[[#This Row],[Q/p.c.]]="","",Tabella2[[#This Row],[€ gruppo noenati]]+Tabella2[[#This Row],[% decurtazione]])</f>
        <v>0</v>
      </c>
      <c r="W32" s="5">
        <f>IF(Tabella2[[#This Row],[media mensile]]="","",Tabella2[[#This Row],[€ decurtato]]/S$2)</f>
        <v>0</v>
      </c>
      <c r="X32" s="18">
        <v>0.25</v>
      </c>
      <c r="Y32" s="37">
        <f>IF(Tabella2[[#This Row],[Q/p.c.]]="","",Tabella2[[#This Row],[Q/p.c.]]*Tabella2[[#This Row],[% b]])</f>
        <v>6.5290909090909093</v>
      </c>
      <c r="Z32" s="37">
        <f>IF(Tabella2[[#This Row],[Q/p.c.]]="","",Tabella2[[#This Row],[€ gruppo bambino]]*(X$3*-1))</f>
        <v>-2.611636363636364</v>
      </c>
      <c r="AA32" s="37">
        <f>IF(Tabella2[[#This Row],[Q/p.c.]]="","",Tabella2[[#This Row],[€ gruppo bambino]]+Tabella2[[#This Row],[% decurtazione b]])</f>
        <v>3.9174545454545453</v>
      </c>
      <c r="AB32" s="5">
        <f>IF(Tabella2[[#This Row],[media mensile]]="","",Tabella2[[#This Row],[€ decurtato b]]/X$2)</f>
        <v>5.5175416133162611E-2</v>
      </c>
      <c r="AC32" s="18">
        <f>1-(Tabella2[[#This Row],[% n]]+Tabella2[[#This Row],[% b]])</f>
        <v>0.75</v>
      </c>
      <c r="AD32" s="37">
        <f>IF(Tabella2[[#This Row],[Q/p.c.]]="","",SUM((Tabella2[[#This Row],[Q/p.c.]]*Tabella2[[#This Row],[% a]]),(Tabella2[[#This Row],[% decurtazione]]*-1),(Tabella2[[#This Row],[% decurtazione b]]*-1)))</f>
        <v>22.19890909090909</v>
      </c>
      <c r="AE32" s="37">
        <f>IF(Tabella2[[#This Row],[Q/p.c.]]="","",Tabella2[[#This Row],[€ gruppo adulto]]*AE$3)</f>
        <v>9.9895090909090918</v>
      </c>
      <c r="AF32" s="37">
        <f>IF(Tabella2[[#This Row],[Q/p.c.]]="","",Tabella2[[#This Row],[€ gruppo a da 1 a 2]]/AE$2)</f>
        <v>0.1161570824524313</v>
      </c>
      <c r="AG32" s="37">
        <f>IF(Tabella2[[#This Row],[Q/p.c.]]="","",Tabella2[[#This Row],[€ gruppo adulto]]-Tabella2[[#This Row],[€ gruppo a da 1 a 2]])</f>
        <v>12.209399999999999</v>
      </c>
      <c r="AH32" s="5">
        <f>IF(Tabella2[[#This Row],[Q/p.c.]]="","",Tabella2[[#This Row],[€ gruppo a &gt;2]]/AG$2)</f>
        <v>6.9767999999999997E-2</v>
      </c>
    </row>
    <row r="33" spans="3:34" x14ac:dyDescent="0.3">
      <c r="C33" s="7" t="str">
        <f>IF(Tabella2[[#This Row],[Macro_prodotto]]&lt;&gt;"",CONCATENATE("M-",Tabella2[[#This Row],[u_macro]]),A32)</f>
        <v>M-16</v>
      </c>
      <c r="D33" s="7" t="str">
        <f>IF(Tabella2[[#This Row],[Macro_prodotto]]&lt;&gt;"",CONCATENATE("M-",Tabella2[[#This Row],[u_macro]]),"")</f>
        <v>M-16</v>
      </c>
      <c r="E33" s="7">
        <f>IF(Tabella2[[#This Row],[Macro_prodotto]]="","",(COUNT(E$4:E32))+1)</f>
        <v>16</v>
      </c>
      <c r="F33" s="7" t="str">
        <f t="shared" si="0"/>
        <v>p-032</v>
      </c>
      <c r="G33" s="8" t="s">
        <v>29</v>
      </c>
      <c r="H33" s="8" t="s">
        <v>128</v>
      </c>
      <c r="I33" s="8" t="s">
        <v>29</v>
      </c>
      <c r="J33" s="7" t="s">
        <v>10</v>
      </c>
      <c r="K33" s="4">
        <v>1000</v>
      </c>
      <c r="L33" s="4" t="s">
        <v>31</v>
      </c>
      <c r="M33" s="13">
        <v>0.8</v>
      </c>
      <c r="N33" s="7" t="s">
        <v>0</v>
      </c>
      <c r="O33" s="7">
        <v>24</v>
      </c>
      <c r="P33" s="7">
        <f>IF(Tabella2[[#This Row],[quantità]]="","",Tabella2[[#This Row],[quantità]]-Tabella2[[#This Row],[quantità]]*P$2)</f>
        <v>22.8</v>
      </c>
      <c r="Q33" s="3">
        <f>IF(Tabella2[[#This Row],[margine]]="","",Tabella2[[#This Row],[margine]]/11)</f>
        <v>2.0727272727272728</v>
      </c>
      <c r="R33" s="5">
        <f>IF(Tabella2[[#This Row],[media mensile]]="","",Tabella2[[#This Row],[media mensile]]*Tabella2[[#This Row],[prezzo]])</f>
        <v>1.6581818181818182</v>
      </c>
      <c r="S33" s="18">
        <v>0</v>
      </c>
      <c r="T33" s="37">
        <f>IF(Tabella2[[#This Row],[Q/p.c.]]="","",Tabella2[[#This Row],[Q/p.c.]]*Tabella2[[#This Row],[% n]])</f>
        <v>0</v>
      </c>
      <c r="U33" s="37">
        <f>IF(Tabella2[[#This Row],[Q/p.c.]]="","",Tabella2[[#This Row],[€ gruppo noenati]]*(S$3*-1))</f>
        <v>0</v>
      </c>
      <c r="V33" s="37">
        <f>IF(Tabella2[[#This Row],[Q/p.c.]]="","",Tabella2[[#This Row],[€ gruppo noenati]]+Tabella2[[#This Row],[% decurtazione]])</f>
        <v>0</v>
      </c>
      <c r="W33" s="5">
        <f>IF(Tabella2[[#This Row],[media mensile]]="","",Tabella2[[#This Row],[€ decurtato]]/S$2)</f>
        <v>0</v>
      </c>
      <c r="X33" s="18">
        <v>0.25</v>
      </c>
      <c r="Y33" s="37">
        <f>IF(Tabella2[[#This Row],[Q/p.c.]]="","",Tabella2[[#This Row],[Q/p.c.]]*Tabella2[[#This Row],[% b]])</f>
        <v>0.41454545454545455</v>
      </c>
      <c r="Z33" s="37">
        <f>IF(Tabella2[[#This Row],[Q/p.c.]]="","",Tabella2[[#This Row],[€ gruppo bambino]]*(X$3*-1))</f>
        <v>-0.16581818181818184</v>
      </c>
      <c r="AA33" s="37">
        <f>IF(Tabella2[[#This Row],[Q/p.c.]]="","",Tabella2[[#This Row],[€ gruppo bambino]]+Tabella2[[#This Row],[% decurtazione b]])</f>
        <v>0.24872727272727271</v>
      </c>
      <c r="AB33" s="5">
        <f>IF(Tabella2[[#This Row],[media mensile]]="","",Tabella2[[#This Row],[€ decurtato b]]/X$2)</f>
        <v>3.5032010243277846E-3</v>
      </c>
      <c r="AC33" s="18">
        <f>1-(Tabella2[[#This Row],[% n]]+Tabella2[[#This Row],[% b]])</f>
        <v>0.75</v>
      </c>
      <c r="AD33" s="37">
        <f>IF(Tabella2[[#This Row],[Q/p.c.]]="","",SUM((Tabella2[[#This Row],[Q/p.c.]]*Tabella2[[#This Row],[% a]]),(Tabella2[[#This Row],[% decurtazione]]*-1),(Tabella2[[#This Row],[% decurtazione b]]*-1)))</f>
        <v>1.4094545454545455</v>
      </c>
      <c r="AE33" s="37">
        <f>IF(Tabella2[[#This Row],[Q/p.c.]]="","",Tabella2[[#This Row],[€ gruppo adulto]]*AE$3)</f>
        <v>0.63425454545454552</v>
      </c>
      <c r="AF33" s="37">
        <f>IF(Tabella2[[#This Row],[Q/p.c.]]="","",Tabella2[[#This Row],[€ gruppo a da 1 a 2]]/AE$2)</f>
        <v>7.3750528541226225E-3</v>
      </c>
      <c r="AG33" s="37">
        <f>IF(Tabella2[[#This Row],[Q/p.c.]]="","",Tabella2[[#This Row],[€ gruppo adulto]]-Tabella2[[#This Row],[€ gruppo a da 1 a 2]])</f>
        <v>0.7752</v>
      </c>
      <c r="AH33" s="5">
        <f>IF(Tabella2[[#This Row],[Q/p.c.]]="","",Tabella2[[#This Row],[€ gruppo a &gt;2]]/AG$2)</f>
        <v>4.429714285714286E-3</v>
      </c>
    </row>
    <row r="34" spans="3:34" x14ac:dyDescent="0.3">
      <c r="C34" s="7" t="str">
        <f>IF(Tabella2[[#This Row],[Macro_prodotto]]&lt;&gt;"",CONCATENATE("M-",Tabella2[[#This Row],[u_macro]]),A33)</f>
        <v>M-17</v>
      </c>
      <c r="D34" s="7" t="str">
        <f>IF(Tabella2[[#This Row],[Macro_prodotto]]&lt;&gt;"",CONCATENATE("M-",Tabella2[[#This Row],[u_macro]]),"")</f>
        <v>M-17</v>
      </c>
      <c r="E34" s="7">
        <f>IF(Tabella2[[#This Row],[Macro_prodotto]]="","",(COUNT(E$4:E33))+1)</f>
        <v>17</v>
      </c>
      <c r="F34" s="7" t="str">
        <f t="shared" si="0"/>
        <v>p-033</v>
      </c>
      <c r="G34" s="8" t="s">
        <v>30</v>
      </c>
      <c r="H34" s="8" t="s">
        <v>132</v>
      </c>
      <c r="I34" s="8" t="s">
        <v>30</v>
      </c>
      <c r="J34" s="7" t="s">
        <v>10</v>
      </c>
      <c r="K34" s="4">
        <v>150</v>
      </c>
      <c r="L34" s="4" t="s">
        <v>31</v>
      </c>
      <c r="M34" s="13">
        <v>2</v>
      </c>
      <c r="N34" s="7" t="s">
        <v>0</v>
      </c>
      <c r="O34" s="7">
        <v>200</v>
      </c>
      <c r="P34" s="7">
        <f>IF(Tabella2[[#This Row],[quantità]]="","",Tabella2[[#This Row],[quantità]]-Tabella2[[#This Row],[quantità]]*P$2)</f>
        <v>190</v>
      </c>
      <c r="Q34" s="3">
        <f>IF(Tabella2[[#This Row],[margine]]="","",Tabella2[[#This Row],[margine]]/11)</f>
        <v>17.272727272727273</v>
      </c>
      <c r="R34" s="5">
        <f>IF(Tabella2[[#This Row],[media mensile]]="","",Tabella2[[#This Row],[media mensile]]*Tabella2[[#This Row],[prezzo]])</f>
        <v>34.545454545454547</v>
      </c>
      <c r="S34" s="18">
        <v>0</v>
      </c>
      <c r="T34" s="37">
        <f>IF(Tabella2[[#This Row],[Q/p.c.]]="","",Tabella2[[#This Row],[Q/p.c.]]*Tabella2[[#This Row],[% n]])</f>
        <v>0</v>
      </c>
      <c r="U34" s="37">
        <f>IF(Tabella2[[#This Row],[Q/p.c.]]="","",Tabella2[[#This Row],[€ gruppo noenati]]*(S$3*-1))</f>
        <v>0</v>
      </c>
      <c r="V34" s="37">
        <f>IF(Tabella2[[#This Row],[Q/p.c.]]="","",Tabella2[[#This Row],[€ gruppo noenati]]+Tabella2[[#This Row],[% decurtazione]])</f>
        <v>0</v>
      </c>
      <c r="W34" s="5">
        <f>IF(Tabella2[[#This Row],[media mensile]]="","",Tabella2[[#This Row],[€ decurtato]]/S$2)</f>
        <v>0</v>
      </c>
      <c r="X34" s="18">
        <v>0.4</v>
      </c>
      <c r="Y34" s="37">
        <f>IF(Tabella2[[#This Row],[Q/p.c.]]="","",Tabella2[[#This Row],[Q/p.c.]]*Tabella2[[#This Row],[% b]])</f>
        <v>13.81818181818182</v>
      </c>
      <c r="Z34" s="37">
        <f>IF(Tabella2[[#This Row],[Q/p.c.]]="","",Tabella2[[#This Row],[€ gruppo bambino]]*(X$3*-1))</f>
        <v>-5.5272727272727282</v>
      </c>
      <c r="AA34" s="37">
        <f>IF(Tabella2[[#This Row],[Q/p.c.]]="","",Tabella2[[#This Row],[€ gruppo bambino]]+Tabella2[[#This Row],[% decurtazione b]])</f>
        <v>8.2909090909090928</v>
      </c>
      <c r="AB34" s="5">
        <f>IF(Tabella2[[#This Row],[media mensile]]="","",Tabella2[[#This Row],[€ decurtato b]]/X$2)</f>
        <v>0.11677336747759286</v>
      </c>
      <c r="AC34" s="18">
        <f>1-(Tabella2[[#This Row],[% n]]+Tabella2[[#This Row],[% b]])</f>
        <v>0.6</v>
      </c>
      <c r="AD34" s="37">
        <f>IF(Tabella2[[#This Row],[Q/p.c.]]="","",SUM((Tabella2[[#This Row],[Q/p.c.]]*Tabella2[[#This Row],[% a]]),(Tabella2[[#This Row],[% decurtazione]]*-1),(Tabella2[[#This Row],[% decurtazione b]]*-1)))</f>
        <v>26.254545454545454</v>
      </c>
      <c r="AE34" s="37">
        <f>IF(Tabella2[[#This Row],[Q/p.c.]]="","",Tabella2[[#This Row],[€ gruppo adulto]]*AE$3)</f>
        <v>11.814545454545454</v>
      </c>
      <c r="AF34" s="37">
        <f>IF(Tabella2[[#This Row],[Q/p.c.]]="","",Tabella2[[#This Row],[€ gruppo a da 1 a 2]]/AE$2)</f>
        <v>0.13737843551797041</v>
      </c>
      <c r="AG34" s="37">
        <f>IF(Tabella2[[#This Row],[Q/p.c.]]="","",Tabella2[[#This Row],[€ gruppo adulto]]-Tabella2[[#This Row],[€ gruppo a da 1 a 2]])</f>
        <v>14.44</v>
      </c>
      <c r="AH34" s="5">
        <f>IF(Tabella2[[#This Row],[Q/p.c.]]="","",Tabella2[[#This Row],[€ gruppo a &gt;2]]/AG$2)</f>
        <v>8.2514285714285707E-2</v>
      </c>
    </row>
    <row r="35" spans="3:34" x14ac:dyDescent="0.3">
      <c r="C35" s="7" t="str">
        <f>IF(Tabella2[[#This Row],[Macro_prodotto]]&lt;&gt;"",CONCATENATE("M-",Tabella2[[#This Row],[u_macro]]),A34)</f>
        <v>M-18</v>
      </c>
      <c r="D35" s="7" t="str">
        <f>IF(Tabella2[[#This Row],[Macro_prodotto]]&lt;&gt;"",CONCATENATE("M-",Tabella2[[#This Row],[u_macro]]),"")</f>
        <v>M-18</v>
      </c>
      <c r="E35" s="7">
        <f>IF(Tabella2[[#This Row],[Macro_prodotto]]="","",(COUNT(E$4:E34))+1)</f>
        <v>18</v>
      </c>
      <c r="F35" s="7" t="str">
        <f t="shared" si="0"/>
        <v>p-034</v>
      </c>
      <c r="G35" s="8" t="s">
        <v>35</v>
      </c>
      <c r="H35" s="8" t="s">
        <v>133</v>
      </c>
      <c r="I35" s="8" t="s">
        <v>35</v>
      </c>
      <c r="J35" s="7" t="s">
        <v>8</v>
      </c>
      <c r="K35" s="7">
        <v>1000</v>
      </c>
      <c r="L35" s="4" t="s">
        <v>31</v>
      </c>
      <c r="M35" s="13">
        <v>5</v>
      </c>
      <c r="N35" s="7" t="s">
        <v>0</v>
      </c>
      <c r="O35" s="7"/>
      <c r="P35" s="7" t="str">
        <f>IF(Tabella2[[#This Row],[quantità]]="","",Tabella2[[#This Row],[quantità]]-Tabella2[[#This Row],[quantità]]*P$2)</f>
        <v/>
      </c>
      <c r="Q35" s="3" t="str">
        <f>IF(Tabella2[[#This Row],[margine]]="","",Tabella2[[#This Row],[margine]]/11)</f>
        <v/>
      </c>
      <c r="R35" s="5" t="str">
        <f>IF(Tabella2[[#This Row],[media mensile]]="","",Tabella2[[#This Row],[media mensile]]*Tabella2[[#This Row],[prezzo]])</f>
        <v/>
      </c>
      <c r="S35" s="18">
        <v>0</v>
      </c>
      <c r="T35" s="37" t="str">
        <f>IF(Tabella2[[#This Row],[Q/p.c.]]="","",Tabella2[[#This Row],[Q/p.c.]]*Tabella2[[#This Row],[% n]])</f>
        <v/>
      </c>
      <c r="U35" s="37" t="str">
        <f>IF(Tabella2[[#This Row],[Q/p.c.]]="","",Tabella2[[#This Row],[€ gruppo noenati]]*(S$3*-1))</f>
        <v/>
      </c>
      <c r="V35" s="37" t="str">
        <f>IF(Tabella2[[#This Row],[Q/p.c.]]="","",Tabella2[[#This Row],[€ gruppo noenati]]+Tabella2[[#This Row],[% decurtazione]])</f>
        <v/>
      </c>
      <c r="W35" s="5" t="str">
        <f>IF(Tabella2[[#This Row],[media mensile]]="","",Tabella2[[#This Row],[€ decurtato]]/S$2)</f>
        <v/>
      </c>
      <c r="X35" s="18">
        <v>0.3</v>
      </c>
      <c r="Y35" s="37" t="str">
        <f>IF(Tabella2[[#This Row],[Q/p.c.]]="","",Tabella2[[#This Row],[Q/p.c.]]*Tabella2[[#This Row],[% b]])</f>
        <v/>
      </c>
      <c r="Z35" s="37" t="str">
        <f>IF(Tabella2[[#This Row],[Q/p.c.]]="","",Tabella2[[#This Row],[€ gruppo bambino]]*(X$3*-1))</f>
        <v/>
      </c>
      <c r="AA35" s="37" t="str">
        <f>IF(Tabella2[[#This Row],[Q/p.c.]]="","",Tabella2[[#This Row],[€ gruppo bambino]]+Tabella2[[#This Row],[% decurtazione b]])</f>
        <v/>
      </c>
      <c r="AB35" s="5" t="str">
        <f>IF(Tabella2[[#This Row],[media mensile]]="","",Tabella2[[#This Row],[€ decurtato b]]/X$2)</f>
        <v/>
      </c>
      <c r="AC35" s="18">
        <f>1-(Tabella2[[#This Row],[% n]]+Tabella2[[#This Row],[% b]])</f>
        <v>0.7</v>
      </c>
      <c r="AD35" s="37" t="str">
        <f>IF(Tabella2[[#This Row],[Q/p.c.]]="","",SUM((Tabella2[[#This Row],[Q/p.c.]]*Tabella2[[#This Row],[% a]]),(Tabella2[[#This Row],[% decurtazione]]*-1),(Tabella2[[#This Row],[% decurtazione b]]*-1)))</f>
        <v/>
      </c>
      <c r="AE35" s="37" t="str">
        <f>IF(Tabella2[[#This Row],[Q/p.c.]]="","",Tabella2[[#This Row],[€ gruppo adulto]]*AE$3)</f>
        <v/>
      </c>
      <c r="AF35" s="37" t="str">
        <f>IF(Tabella2[[#This Row],[Q/p.c.]]="","",Tabella2[[#This Row],[€ gruppo a da 1 a 2]]/AE$2)</f>
        <v/>
      </c>
      <c r="AG35" s="37" t="str">
        <f>IF(Tabella2[[#This Row],[Q/p.c.]]="","",Tabella2[[#This Row],[€ gruppo adulto]]-Tabella2[[#This Row],[€ gruppo a da 1 a 2]])</f>
        <v/>
      </c>
      <c r="AH35" s="5" t="str">
        <f>IF(Tabella2[[#This Row],[Q/p.c.]]="","",Tabella2[[#This Row],[€ gruppo a &gt;2]]/AG$2)</f>
        <v/>
      </c>
    </row>
    <row r="36" spans="3:34" hidden="1" outlineLevel="1" x14ac:dyDescent="0.3">
      <c r="C36" s="7">
        <f>IF(Tabella2[[#This Row],[Macro_prodotto]]&lt;&gt;"",CONCATENATE("M-",Tabella2[[#This Row],[u_macro]]),A35)</f>
        <v>0</v>
      </c>
      <c r="D36" s="7" t="str">
        <f>IF(Tabella2[[#This Row],[Macro_prodotto]]&lt;&gt;"",CONCATENATE("M-",Tabella2[[#This Row],[u_macro]]),"")</f>
        <v/>
      </c>
      <c r="E36" s="7" t="str">
        <f>IF(Tabella2[[#This Row],[Macro_prodotto]]="","",(COUNT(E$4:E35))+1)</f>
        <v/>
      </c>
      <c r="F36" s="7" t="str">
        <f t="shared" si="0"/>
        <v>p-035</v>
      </c>
      <c r="I36" s="8" t="s">
        <v>35</v>
      </c>
      <c r="J36" s="7" t="s">
        <v>8</v>
      </c>
      <c r="K36" s="7">
        <v>500</v>
      </c>
      <c r="L36" s="4" t="s">
        <v>31</v>
      </c>
      <c r="M36" s="13">
        <v>2.5</v>
      </c>
      <c r="N36" s="7"/>
      <c r="O36" s="7"/>
      <c r="P36" s="7" t="str">
        <f>IF(Tabella2[[#This Row],[quantità]]="","",Tabella2[[#This Row],[quantità]]-Tabella2[[#This Row],[quantità]]*P$2)</f>
        <v/>
      </c>
      <c r="Q36" s="3" t="str">
        <f>IF(Tabella2[[#This Row],[margine]]="","",Tabella2[[#This Row],[margine]]/11)</f>
        <v/>
      </c>
      <c r="R36" s="5" t="str">
        <f>IF(Tabella2[[#This Row],[media mensile]]="","",Tabella2[[#This Row],[media mensile]]*Tabella2[[#This Row],[prezzo]])</f>
        <v/>
      </c>
      <c r="S36" s="18"/>
      <c r="T36" s="37" t="str">
        <f>IF(Tabella2[[#This Row],[Q/p.c.]]="","",Tabella2[[#This Row],[Q/p.c.]]*Tabella2[[#This Row],[% n]])</f>
        <v/>
      </c>
      <c r="U36" s="37" t="str">
        <f>IF(Tabella2[[#This Row],[Q/p.c.]]="","",Tabella2[[#This Row],[€ gruppo noenati]]*(S$3*-1))</f>
        <v/>
      </c>
      <c r="V36" s="37" t="str">
        <f>IF(Tabella2[[#This Row],[Q/p.c.]]="","",Tabella2[[#This Row],[€ gruppo noenati]]+Tabella2[[#This Row],[% decurtazione]])</f>
        <v/>
      </c>
      <c r="W36" s="5" t="str">
        <f>IF(Tabella2[[#This Row],[media mensile]]="","",Tabella2[[#This Row],[€ decurtato]]/S$2)</f>
        <v/>
      </c>
      <c r="X36" s="18"/>
      <c r="Y36" s="37" t="str">
        <f>IF(Tabella2[[#This Row],[Q/p.c.]]="","",Tabella2[[#This Row],[Q/p.c.]]*Tabella2[[#This Row],[% b]])</f>
        <v/>
      </c>
      <c r="Z36" s="37" t="str">
        <f>IF(Tabella2[[#This Row],[Q/p.c.]]="","",Tabella2[[#This Row],[€ gruppo bambino]]*(X$3*-1))</f>
        <v/>
      </c>
      <c r="AA36" s="37" t="str">
        <f>IF(Tabella2[[#This Row],[Q/p.c.]]="","",Tabella2[[#This Row],[€ gruppo bambino]]+Tabella2[[#This Row],[% decurtazione b]])</f>
        <v/>
      </c>
      <c r="AB36" s="5" t="str">
        <f>IF(Tabella2[[#This Row],[media mensile]]="","",Tabella2[[#This Row],[€ decurtato b]]/X$2)</f>
        <v/>
      </c>
      <c r="AC36" s="18">
        <f>1-(Tabella2[[#This Row],[% n]]+Tabella2[[#This Row],[% b]])</f>
        <v>1</v>
      </c>
      <c r="AD36" s="37" t="str">
        <f>IF(Tabella2[[#This Row],[Q/p.c.]]="","",SUM((Tabella2[[#This Row],[Q/p.c.]]*Tabella2[[#This Row],[% a]]),(Tabella2[[#This Row],[% decurtazione]]*-1),(Tabella2[[#This Row],[% decurtazione b]]*-1)))</f>
        <v/>
      </c>
      <c r="AE36" s="37" t="str">
        <f>IF(Tabella2[[#This Row],[Q/p.c.]]="","",Tabella2[[#This Row],[€ gruppo adulto]]*AE$3)</f>
        <v/>
      </c>
      <c r="AF36" s="37" t="str">
        <f>IF(Tabella2[[#This Row],[Q/p.c.]]="","",Tabella2[[#This Row],[€ gruppo a da 1 a 2]]/AE$2)</f>
        <v/>
      </c>
      <c r="AG36" s="37" t="str">
        <f>IF(Tabella2[[#This Row],[Q/p.c.]]="","",Tabella2[[#This Row],[€ gruppo adulto]]-Tabella2[[#This Row],[€ gruppo a da 1 a 2]])</f>
        <v/>
      </c>
      <c r="AH36" s="5" t="str">
        <f>IF(Tabella2[[#This Row],[Q/p.c.]]="","",Tabella2[[#This Row],[€ gruppo a &gt;2]]/AG$2)</f>
        <v/>
      </c>
    </row>
    <row r="37" spans="3:34" hidden="1" outlineLevel="1" x14ac:dyDescent="0.3">
      <c r="C37" s="7">
        <f>IF(Tabella2[[#This Row],[Macro_prodotto]]&lt;&gt;"",CONCATENATE("M-",Tabella2[[#This Row],[u_macro]]),A36)</f>
        <v>0</v>
      </c>
      <c r="D37" s="7" t="str">
        <f>IF(Tabella2[[#This Row],[Macro_prodotto]]&lt;&gt;"",CONCATENATE("M-",Tabella2[[#This Row],[u_macro]]),"")</f>
        <v/>
      </c>
      <c r="E37" s="7" t="str">
        <f>IF(Tabella2[[#This Row],[Macro_prodotto]]="","",(COUNT(E$4:E36))+1)</f>
        <v/>
      </c>
      <c r="F37" s="7" t="str">
        <f t="shared" ref="F37:F68" si="1">IF((ROW(A36))&lt;10,CONCATENATE("p-00",(ROW(A36))),IF(AND((ROW(A36))&gt;=10,(ROW(A36))&lt;100),CONCATENATE("p-0",(ROW(A36))),CONCATENATE("p-",(ROW(A36)))))</f>
        <v>p-036</v>
      </c>
      <c r="I37" s="8" t="s">
        <v>35</v>
      </c>
      <c r="J37" s="7" t="s">
        <v>8</v>
      </c>
      <c r="K37" s="7">
        <v>250</v>
      </c>
      <c r="L37" s="4" t="s">
        <v>31</v>
      </c>
      <c r="M37" s="13">
        <v>1.5</v>
      </c>
      <c r="N37" s="7"/>
      <c r="O37" s="7"/>
      <c r="P37" s="7" t="str">
        <f>IF(Tabella2[[#This Row],[quantità]]="","",Tabella2[[#This Row],[quantità]]-Tabella2[[#This Row],[quantità]]*P$2)</f>
        <v/>
      </c>
      <c r="Q37" s="3" t="str">
        <f>IF(Tabella2[[#This Row],[margine]]="","",Tabella2[[#This Row],[margine]]/11)</f>
        <v/>
      </c>
      <c r="R37" s="5" t="str">
        <f>IF(Tabella2[[#This Row],[media mensile]]="","",Tabella2[[#This Row],[media mensile]]*Tabella2[[#This Row],[prezzo]])</f>
        <v/>
      </c>
      <c r="S37" s="18"/>
      <c r="T37" s="37" t="str">
        <f>IF(Tabella2[[#This Row],[Q/p.c.]]="","",Tabella2[[#This Row],[Q/p.c.]]*Tabella2[[#This Row],[% n]])</f>
        <v/>
      </c>
      <c r="U37" s="37" t="str">
        <f>IF(Tabella2[[#This Row],[Q/p.c.]]="","",Tabella2[[#This Row],[€ gruppo noenati]]*(S$3*-1))</f>
        <v/>
      </c>
      <c r="V37" s="37" t="str">
        <f>IF(Tabella2[[#This Row],[Q/p.c.]]="","",Tabella2[[#This Row],[€ gruppo noenati]]+Tabella2[[#This Row],[% decurtazione]])</f>
        <v/>
      </c>
      <c r="W37" s="5" t="str">
        <f>IF(Tabella2[[#This Row],[media mensile]]="","",Tabella2[[#This Row],[€ decurtato]]/S$2)</f>
        <v/>
      </c>
      <c r="X37" s="18"/>
      <c r="Y37" s="37" t="str">
        <f>IF(Tabella2[[#This Row],[Q/p.c.]]="","",Tabella2[[#This Row],[Q/p.c.]]*Tabella2[[#This Row],[% b]])</f>
        <v/>
      </c>
      <c r="Z37" s="37" t="str">
        <f>IF(Tabella2[[#This Row],[Q/p.c.]]="","",Tabella2[[#This Row],[€ gruppo bambino]]*(X$3*-1))</f>
        <v/>
      </c>
      <c r="AA37" s="37" t="str">
        <f>IF(Tabella2[[#This Row],[Q/p.c.]]="","",Tabella2[[#This Row],[€ gruppo bambino]]+Tabella2[[#This Row],[% decurtazione b]])</f>
        <v/>
      </c>
      <c r="AB37" s="5" t="str">
        <f>IF(Tabella2[[#This Row],[media mensile]]="","",Tabella2[[#This Row],[€ decurtato b]]/X$2)</f>
        <v/>
      </c>
      <c r="AC37" s="18">
        <f>1-(Tabella2[[#This Row],[% n]]+Tabella2[[#This Row],[% b]])</f>
        <v>1</v>
      </c>
      <c r="AD37" s="37" t="str">
        <f>IF(Tabella2[[#This Row],[Q/p.c.]]="","",SUM((Tabella2[[#This Row],[Q/p.c.]]*Tabella2[[#This Row],[% a]]),(Tabella2[[#This Row],[% decurtazione]]*-1),(Tabella2[[#This Row],[% decurtazione b]]*-1)))</f>
        <v/>
      </c>
      <c r="AE37" s="37" t="str">
        <f>IF(Tabella2[[#This Row],[Q/p.c.]]="","",Tabella2[[#This Row],[€ gruppo adulto]]*AE$3)</f>
        <v/>
      </c>
      <c r="AF37" s="37" t="str">
        <f>IF(Tabella2[[#This Row],[Q/p.c.]]="","",Tabella2[[#This Row],[€ gruppo a da 1 a 2]]/AE$2)</f>
        <v/>
      </c>
      <c r="AG37" s="37" t="str">
        <f>IF(Tabella2[[#This Row],[Q/p.c.]]="","",Tabella2[[#This Row],[€ gruppo adulto]]-Tabella2[[#This Row],[€ gruppo a da 1 a 2]])</f>
        <v/>
      </c>
      <c r="AH37" s="5" t="str">
        <f>IF(Tabella2[[#This Row],[Q/p.c.]]="","",Tabella2[[#This Row],[€ gruppo a &gt;2]]/AG$2)</f>
        <v/>
      </c>
    </row>
    <row r="38" spans="3:34" hidden="1" outlineLevel="1" x14ac:dyDescent="0.3">
      <c r="C38" s="7">
        <f>IF(Tabella2[[#This Row],[Macro_prodotto]]&lt;&gt;"",CONCATENATE("M-",Tabella2[[#This Row],[u_macro]]),A37)</f>
        <v>0</v>
      </c>
      <c r="D38" s="7" t="str">
        <f>IF(Tabella2[[#This Row],[Macro_prodotto]]&lt;&gt;"",CONCATENATE("M-",Tabella2[[#This Row],[u_macro]]),"")</f>
        <v/>
      </c>
      <c r="E38" s="7" t="str">
        <f>IF(Tabella2[[#This Row],[Macro_prodotto]]="","",(COUNT(E$4:E37))+1)</f>
        <v/>
      </c>
      <c r="F38" s="7" t="str">
        <f t="shared" si="1"/>
        <v>p-037</v>
      </c>
      <c r="I38" s="8" t="s">
        <v>35</v>
      </c>
      <c r="J38" s="7" t="s">
        <v>8</v>
      </c>
      <c r="K38" s="7">
        <v>100</v>
      </c>
      <c r="L38" s="4" t="s">
        <v>31</v>
      </c>
      <c r="M38" s="13">
        <v>0.5</v>
      </c>
      <c r="N38" s="7"/>
      <c r="O38" s="7"/>
      <c r="P38" s="7" t="str">
        <f>IF(Tabella2[[#This Row],[quantità]]="","",Tabella2[[#This Row],[quantità]]-Tabella2[[#This Row],[quantità]]*P$2)</f>
        <v/>
      </c>
      <c r="Q38" s="3" t="str">
        <f>IF(Tabella2[[#This Row],[margine]]="","",Tabella2[[#This Row],[margine]]/11)</f>
        <v/>
      </c>
      <c r="R38" s="5" t="str">
        <f>IF(Tabella2[[#This Row],[media mensile]]="","",Tabella2[[#This Row],[media mensile]]*Tabella2[[#This Row],[prezzo]])</f>
        <v/>
      </c>
      <c r="S38" s="18"/>
      <c r="T38" s="37" t="str">
        <f>IF(Tabella2[[#This Row],[Q/p.c.]]="","",Tabella2[[#This Row],[Q/p.c.]]*Tabella2[[#This Row],[% n]])</f>
        <v/>
      </c>
      <c r="U38" s="37" t="str">
        <f>IF(Tabella2[[#This Row],[Q/p.c.]]="","",Tabella2[[#This Row],[€ gruppo noenati]]*(S$3*-1))</f>
        <v/>
      </c>
      <c r="V38" s="37" t="str">
        <f>IF(Tabella2[[#This Row],[Q/p.c.]]="","",Tabella2[[#This Row],[€ gruppo noenati]]+Tabella2[[#This Row],[% decurtazione]])</f>
        <v/>
      </c>
      <c r="W38" s="5" t="str">
        <f>IF(Tabella2[[#This Row],[media mensile]]="","",Tabella2[[#This Row],[€ decurtato]]/S$2)</f>
        <v/>
      </c>
      <c r="X38" s="18"/>
      <c r="Y38" s="37" t="str">
        <f>IF(Tabella2[[#This Row],[Q/p.c.]]="","",Tabella2[[#This Row],[Q/p.c.]]*Tabella2[[#This Row],[% b]])</f>
        <v/>
      </c>
      <c r="Z38" s="37" t="str">
        <f>IF(Tabella2[[#This Row],[Q/p.c.]]="","",Tabella2[[#This Row],[€ gruppo bambino]]*(X$3*-1))</f>
        <v/>
      </c>
      <c r="AA38" s="37" t="str">
        <f>IF(Tabella2[[#This Row],[Q/p.c.]]="","",Tabella2[[#This Row],[€ gruppo bambino]]+Tabella2[[#This Row],[% decurtazione b]])</f>
        <v/>
      </c>
      <c r="AB38" s="5" t="str">
        <f>IF(Tabella2[[#This Row],[media mensile]]="","",Tabella2[[#This Row],[€ decurtato b]]/X$2)</f>
        <v/>
      </c>
      <c r="AC38" s="18">
        <f>1-(Tabella2[[#This Row],[% n]]+Tabella2[[#This Row],[% b]])</f>
        <v>1</v>
      </c>
      <c r="AD38" s="37" t="str">
        <f>IF(Tabella2[[#This Row],[Q/p.c.]]="","",SUM((Tabella2[[#This Row],[Q/p.c.]]*Tabella2[[#This Row],[% a]]),(Tabella2[[#This Row],[% decurtazione]]*-1),(Tabella2[[#This Row],[% decurtazione b]]*-1)))</f>
        <v/>
      </c>
      <c r="AE38" s="37" t="str">
        <f>IF(Tabella2[[#This Row],[Q/p.c.]]="","",Tabella2[[#This Row],[€ gruppo adulto]]*AE$3)</f>
        <v/>
      </c>
      <c r="AF38" s="37" t="str">
        <f>IF(Tabella2[[#This Row],[Q/p.c.]]="","",Tabella2[[#This Row],[€ gruppo a da 1 a 2]]/AE$2)</f>
        <v/>
      </c>
      <c r="AG38" s="37" t="str">
        <f>IF(Tabella2[[#This Row],[Q/p.c.]]="","",Tabella2[[#This Row],[€ gruppo adulto]]-Tabella2[[#This Row],[€ gruppo a da 1 a 2]])</f>
        <v/>
      </c>
      <c r="AH38" s="5" t="str">
        <f>IF(Tabella2[[#This Row],[Q/p.c.]]="","",Tabella2[[#This Row],[€ gruppo a &gt;2]]/AG$2)</f>
        <v/>
      </c>
    </row>
    <row r="39" spans="3:34" collapsed="1" x14ac:dyDescent="0.3">
      <c r="C39" s="7" t="str">
        <f>IF(Tabella2[[#This Row],[Macro_prodotto]]&lt;&gt;"",CONCATENATE("M-",Tabella2[[#This Row],[u_macro]]),A38)</f>
        <v>M-19</v>
      </c>
      <c r="D39" s="7" t="str">
        <f>IF(Tabella2[[#This Row],[Macro_prodotto]]&lt;&gt;"",CONCATENATE("M-",Tabella2[[#This Row],[u_macro]]),"")</f>
        <v>M-19</v>
      </c>
      <c r="E39" s="7">
        <f>IF(Tabella2[[#This Row],[Macro_prodotto]]="","",(COUNT(E$4:E38))+1)</f>
        <v>19</v>
      </c>
      <c r="F39" s="7" t="str">
        <f t="shared" si="1"/>
        <v>p-038</v>
      </c>
      <c r="G39" s="8" t="s">
        <v>39</v>
      </c>
      <c r="H39" s="8" t="s">
        <v>126</v>
      </c>
      <c r="I39" s="8" t="s">
        <v>39</v>
      </c>
      <c r="J39" s="7" t="s">
        <v>8</v>
      </c>
      <c r="K39" s="7">
        <v>1000</v>
      </c>
      <c r="L39" s="4" t="s">
        <v>31</v>
      </c>
      <c r="M39" s="13">
        <v>6.5</v>
      </c>
      <c r="N39" s="7" t="s">
        <v>0</v>
      </c>
      <c r="O39" s="7"/>
      <c r="P39" s="7" t="str">
        <f>IF(Tabella2[[#This Row],[quantità]]="","",Tabella2[[#This Row],[quantità]]-Tabella2[[#This Row],[quantità]]*P$2)</f>
        <v/>
      </c>
      <c r="Q39" s="3" t="str">
        <f>IF(Tabella2[[#This Row],[margine]]="","",Tabella2[[#This Row],[margine]]/11)</f>
        <v/>
      </c>
      <c r="R39" s="5" t="str">
        <f>IF(Tabella2[[#This Row],[media mensile]]="","",Tabella2[[#This Row],[media mensile]]*Tabella2[[#This Row],[prezzo]])</f>
        <v/>
      </c>
      <c r="S39" s="18">
        <v>0</v>
      </c>
      <c r="T39" s="37" t="str">
        <f>IF(Tabella2[[#This Row],[Q/p.c.]]="","",Tabella2[[#This Row],[Q/p.c.]]*Tabella2[[#This Row],[% n]])</f>
        <v/>
      </c>
      <c r="U39" s="37" t="str">
        <f>IF(Tabella2[[#This Row],[Q/p.c.]]="","",Tabella2[[#This Row],[€ gruppo noenati]]*(S$3*-1))</f>
        <v/>
      </c>
      <c r="V39" s="37" t="str">
        <f>IF(Tabella2[[#This Row],[Q/p.c.]]="","",Tabella2[[#This Row],[€ gruppo noenati]]+Tabella2[[#This Row],[% decurtazione]])</f>
        <v/>
      </c>
      <c r="W39" s="5" t="str">
        <f>IF(Tabella2[[#This Row],[media mensile]]="","",Tabella2[[#This Row],[€ decurtato]]/S$2)</f>
        <v/>
      </c>
      <c r="X39" s="18">
        <v>0.3</v>
      </c>
      <c r="Y39" s="37" t="str">
        <f>IF(Tabella2[[#This Row],[Q/p.c.]]="","",Tabella2[[#This Row],[Q/p.c.]]*Tabella2[[#This Row],[% b]])</f>
        <v/>
      </c>
      <c r="Z39" s="37" t="str">
        <f>IF(Tabella2[[#This Row],[Q/p.c.]]="","",Tabella2[[#This Row],[€ gruppo bambino]]*(X$3*-1))</f>
        <v/>
      </c>
      <c r="AA39" s="37" t="str">
        <f>IF(Tabella2[[#This Row],[Q/p.c.]]="","",Tabella2[[#This Row],[€ gruppo bambino]]+Tabella2[[#This Row],[% decurtazione b]])</f>
        <v/>
      </c>
      <c r="AB39" s="5" t="str">
        <f>IF(Tabella2[[#This Row],[media mensile]]="","",Tabella2[[#This Row],[€ decurtato b]]/X$2)</f>
        <v/>
      </c>
      <c r="AC39" s="18">
        <f>1-(Tabella2[[#This Row],[% n]]+Tabella2[[#This Row],[% b]])</f>
        <v>0.7</v>
      </c>
      <c r="AD39" s="37" t="str">
        <f>IF(Tabella2[[#This Row],[Q/p.c.]]="","",SUM((Tabella2[[#This Row],[Q/p.c.]]*Tabella2[[#This Row],[% a]]),(Tabella2[[#This Row],[% decurtazione]]*-1),(Tabella2[[#This Row],[% decurtazione b]]*-1)))</f>
        <v/>
      </c>
      <c r="AE39" s="37" t="str">
        <f>IF(Tabella2[[#This Row],[Q/p.c.]]="","",Tabella2[[#This Row],[€ gruppo adulto]]*AE$3)</f>
        <v/>
      </c>
      <c r="AF39" s="37" t="str">
        <f>IF(Tabella2[[#This Row],[Q/p.c.]]="","",Tabella2[[#This Row],[€ gruppo a da 1 a 2]]/AE$2)</f>
        <v/>
      </c>
      <c r="AG39" s="37" t="str">
        <f>IF(Tabella2[[#This Row],[Q/p.c.]]="","",Tabella2[[#This Row],[€ gruppo adulto]]-Tabella2[[#This Row],[€ gruppo a da 1 a 2]])</f>
        <v/>
      </c>
      <c r="AH39" s="5" t="str">
        <f>IF(Tabella2[[#This Row],[Q/p.c.]]="","",Tabella2[[#This Row],[€ gruppo a &gt;2]]/AG$2)</f>
        <v/>
      </c>
    </row>
    <row r="40" spans="3:34" x14ac:dyDescent="0.3">
      <c r="C40" s="7" t="str">
        <f>IF(Tabella2[[#This Row],[Macro_prodotto]]&lt;&gt;"",CONCATENATE("M-",Tabella2[[#This Row],[u_macro]]),A39)</f>
        <v>M-20</v>
      </c>
      <c r="D40" s="7" t="str">
        <f>IF(Tabella2[[#This Row],[Macro_prodotto]]&lt;&gt;"",CONCATENATE("M-",Tabella2[[#This Row],[u_macro]]),"")</f>
        <v>M-20</v>
      </c>
      <c r="E40" s="7">
        <f>IF(Tabella2[[#This Row],[Macro_prodotto]]="","",(COUNT(E$4:E39))+1)</f>
        <v>20</v>
      </c>
      <c r="F40" s="7" t="str">
        <f t="shared" si="1"/>
        <v>p-039</v>
      </c>
      <c r="G40" s="8" t="s">
        <v>46</v>
      </c>
      <c r="H40" s="8" t="s">
        <v>134</v>
      </c>
      <c r="I40" s="8" t="s">
        <v>46</v>
      </c>
      <c r="J40" s="7" t="s">
        <v>8</v>
      </c>
      <c r="K40" s="7">
        <v>100</v>
      </c>
      <c r="L40" s="4" t="s">
        <v>32</v>
      </c>
      <c r="M40" s="13">
        <v>1.5</v>
      </c>
      <c r="N40" s="7" t="s">
        <v>99</v>
      </c>
      <c r="O40" s="7"/>
      <c r="P40" s="7" t="str">
        <f>IF(Tabella2[[#This Row],[quantità]]="","",Tabella2[[#This Row],[quantità]]-Tabella2[[#This Row],[quantità]]*P$2)</f>
        <v/>
      </c>
      <c r="Q40" s="3" t="str">
        <f>IF(Tabella2[[#This Row],[margine]]="","",Tabella2[[#This Row],[margine]]/11)</f>
        <v/>
      </c>
      <c r="R40" s="5" t="str">
        <f>IF(Tabella2[[#This Row],[media mensile]]="","",Tabella2[[#This Row],[media mensile]]*Tabella2[[#This Row],[prezzo]])</f>
        <v/>
      </c>
      <c r="S40" s="18">
        <v>0</v>
      </c>
      <c r="T40" s="37" t="str">
        <f>IF(Tabella2[[#This Row],[Q/p.c.]]="","",Tabella2[[#This Row],[Q/p.c.]]*Tabella2[[#This Row],[% n]])</f>
        <v/>
      </c>
      <c r="U40" s="37" t="str">
        <f>IF(Tabella2[[#This Row],[Q/p.c.]]="","",Tabella2[[#This Row],[€ gruppo noenati]]*(S$3*-1))</f>
        <v/>
      </c>
      <c r="V40" s="37" t="str">
        <f>IF(Tabella2[[#This Row],[Q/p.c.]]="","",Tabella2[[#This Row],[€ gruppo noenati]]+Tabella2[[#This Row],[% decurtazione]])</f>
        <v/>
      </c>
      <c r="W40" s="5" t="str">
        <f>IF(Tabella2[[#This Row],[media mensile]]="","",Tabella2[[#This Row],[€ decurtato]]/S$2)</f>
        <v/>
      </c>
      <c r="X40" s="18">
        <v>0.4</v>
      </c>
      <c r="Y40" s="37" t="str">
        <f>IF(Tabella2[[#This Row],[Q/p.c.]]="","",Tabella2[[#This Row],[Q/p.c.]]*Tabella2[[#This Row],[% b]])</f>
        <v/>
      </c>
      <c r="Z40" s="37" t="str">
        <f>IF(Tabella2[[#This Row],[Q/p.c.]]="","",Tabella2[[#This Row],[€ gruppo bambino]]*(X$3*-1))</f>
        <v/>
      </c>
      <c r="AA40" s="37" t="str">
        <f>IF(Tabella2[[#This Row],[Q/p.c.]]="","",Tabella2[[#This Row],[€ gruppo bambino]]+Tabella2[[#This Row],[% decurtazione b]])</f>
        <v/>
      </c>
      <c r="AB40" s="5" t="str">
        <f>IF(Tabella2[[#This Row],[media mensile]]="","",Tabella2[[#This Row],[€ decurtato b]]/X$2)</f>
        <v/>
      </c>
      <c r="AC40" s="18">
        <f>1-(Tabella2[[#This Row],[% n]]+Tabella2[[#This Row],[% b]])</f>
        <v>0.6</v>
      </c>
      <c r="AD40" s="37" t="str">
        <f>IF(Tabella2[[#This Row],[Q/p.c.]]="","",SUM((Tabella2[[#This Row],[Q/p.c.]]*Tabella2[[#This Row],[% a]]),(Tabella2[[#This Row],[% decurtazione]]*-1),(Tabella2[[#This Row],[% decurtazione b]]*-1)))</f>
        <v/>
      </c>
      <c r="AE40" s="37" t="str">
        <f>IF(Tabella2[[#This Row],[Q/p.c.]]="","",Tabella2[[#This Row],[€ gruppo adulto]]*AE$3)</f>
        <v/>
      </c>
      <c r="AF40" s="37" t="str">
        <f>IF(Tabella2[[#This Row],[Q/p.c.]]="","",Tabella2[[#This Row],[€ gruppo a da 1 a 2]]/AE$2)</f>
        <v/>
      </c>
      <c r="AG40" s="37" t="str">
        <f>IF(Tabella2[[#This Row],[Q/p.c.]]="","",Tabella2[[#This Row],[€ gruppo adulto]]-Tabella2[[#This Row],[€ gruppo a da 1 a 2]])</f>
        <v/>
      </c>
      <c r="AH40" s="5" t="str">
        <f>IF(Tabella2[[#This Row],[Q/p.c.]]="","",Tabella2[[#This Row],[€ gruppo a &gt;2]]/AG$2)</f>
        <v/>
      </c>
    </row>
    <row r="41" spans="3:34" hidden="1" outlineLevel="1" x14ac:dyDescent="0.3">
      <c r="C41" s="7">
        <f>IF(Tabella2[[#This Row],[Macro_prodotto]]&lt;&gt;"",CONCATENATE("M-",Tabella2[[#This Row],[u_macro]]),A40)</f>
        <v>0</v>
      </c>
      <c r="D41" s="7" t="str">
        <f>IF(Tabella2[[#This Row],[Macro_prodotto]]&lt;&gt;"",CONCATENATE("M-",Tabella2[[#This Row],[u_macro]]),"")</f>
        <v/>
      </c>
      <c r="E41" s="7" t="str">
        <f>IF(Tabella2[[#This Row],[Macro_prodotto]]="","",(COUNT(E$4:E40))+1)</f>
        <v/>
      </c>
      <c r="F41" s="7" t="str">
        <f t="shared" si="1"/>
        <v>p-040</v>
      </c>
      <c r="I41" s="8" t="s">
        <v>46</v>
      </c>
      <c r="J41" s="7" t="s">
        <v>8</v>
      </c>
      <c r="K41" s="7">
        <v>50</v>
      </c>
      <c r="L41" s="4" t="s">
        <v>32</v>
      </c>
      <c r="M41" s="13">
        <v>1</v>
      </c>
      <c r="N41" s="7"/>
      <c r="O41" s="7"/>
      <c r="P41" s="7" t="str">
        <f>IF(Tabella2[[#This Row],[quantità]]="","",Tabella2[[#This Row],[quantità]]-Tabella2[[#This Row],[quantità]]*P$2)</f>
        <v/>
      </c>
      <c r="Q41" s="3" t="str">
        <f>IF(Tabella2[[#This Row],[margine]]="","",Tabella2[[#This Row],[margine]]/11)</f>
        <v/>
      </c>
      <c r="R41" s="5" t="str">
        <f>IF(Tabella2[[#This Row],[media mensile]]="","",Tabella2[[#This Row],[media mensile]]*Tabella2[[#This Row],[prezzo]])</f>
        <v/>
      </c>
      <c r="S41" s="18"/>
      <c r="T41" s="37" t="str">
        <f>IF(Tabella2[[#This Row],[Q/p.c.]]="","",Tabella2[[#This Row],[Q/p.c.]]*Tabella2[[#This Row],[% n]])</f>
        <v/>
      </c>
      <c r="U41" s="37" t="str">
        <f>IF(Tabella2[[#This Row],[Q/p.c.]]="","",Tabella2[[#This Row],[€ gruppo noenati]]*(S$3*-1))</f>
        <v/>
      </c>
      <c r="V41" s="37" t="str">
        <f>IF(Tabella2[[#This Row],[Q/p.c.]]="","",Tabella2[[#This Row],[€ gruppo noenati]]+Tabella2[[#This Row],[% decurtazione]])</f>
        <v/>
      </c>
      <c r="W41" s="5" t="str">
        <f>IF(Tabella2[[#This Row],[media mensile]]="","",Tabella2[[#This Row],[€ decurtato]]/S$2)</f>
        <v/>
      </c>
      <c r="X41" s="18"/>
      <c r="Y41" s="37" t="str">
        <f>IF(Tabella2[[#This Row],[Q/p.c.]]="","",Tabella2[[#This Row],[Q/p.c.]]*Tabella2[[#This Row],[% b]])</f>
        <v/>
      </c>
      <c r="Z41" s="37" t="str">
        <f>IF(Tabella2[[#This Row],[Q/p.c.]]="","",Tabella2[[#This Row],[€ gruppo bambino]]*(X$3*-1))</f>
        <v/>
      </c>
      <c r="AA41" s="37" t="str">
        <f>IF(Tabella2[[#This Row],[Q/p.c.]]="","",Tabella2[[#This Row],[€ gruppo bambino]]+Tabella2[[#This Row],[% decurtazione b]])</f>
        <v/>
      </c>
      <c r="AB41" s="5" t="str">
        <f>IF(Tabella2[[#This Row],[media mensile]]="","",Tabella2[[#This Row],[€ decurtato b]]/X$2)</f>
        <v/>
      </c>
      <c r="AC41" s="18">
        <f>1-(Tabella2[[#This Row],[% n]]+Tabella2[[#This Row],[% b]])</f>
        <v>1</v>
      </c>
      <c r="AD41" s="37" t="str">
        <f>IF(Tabella2[[#This Row],[Q/p.c.]]="","",SUM((Tabella2[[#This Row],[Q/p.c.]]*Tabella2[[#This Row],[% a]]),(Tabella2[[#This Row],[% decurtazione]]*-1),(Tabella2[[#This Row],[% decurtazione b]]*-1)))</f>
        <v/>
      </c>
      <c r="AE41" s="37" t="str">
        <f>IF(Tabella2[[#This Row],[Q/p.c.]]="","",Tabella2[[#This Row],[€ gruppo adulto]]*AE$3)</f>
        <v/>
      </c>
      <c r="AF41" s="37" t="str">
        <f>IF(Tabella2[[#This Row],[Q/p.c.]]="","",Tabella2[[#This Row],[€ gruppo a da 1 a 2]]/AE$2)</f>
        <v/>
      </c>
      <c r="AG41" s="37" t="str">
        <f>IF(Tabella2[[#This Row],[Q/p.c.]]="","",Tabella2[[#This Row],[€ gruppo adulto]]-Tabella2[[#This Row],[€ gruppo a da 1 a 2]])</f>
        <v/>
      </c>
      <c r="AH41" s="5" t="str">
        <f>IF(Tabella2[[#This Row],[Q/p.c.]]="","",Tabella2[[#This Row],[€ gruppo a &gt;2]]/AG$2)</f>
        <v/>
      </c>
    </row>
    <row r="42" spans="3:34" collapsed="1" x14ac:dyDescent="0.3">
      <c r="C42" s="7" t="str">
        <f>IF(Tabella2[[#This Row],[Macro_prodotto]]&lt;&gt;"",CONCATENATE("M-",Tabella2[[#This Row],[u_macro]]),A41)</f>
        <v>M-21</v>
      </c>
      <c r="D42" s="7" t="str">
        <f>IF(Tabella2[[#This Row],[Macro_prodotto]]&lt;&gt;"",CONCATENATE("M-",Tabella2[[#This Row],[u_macro]]),"")</f>
        <v>M-21</v>
      </c>
      <c r="E42" s="7">
        <f>IF(Tabella2[[#This Row],[Macro_prodotto]]="","",(COUNT(E$4:E41))+1)</f>
        <v>21</v>
      </c>
      <c r="F42" s="7" t="str">
        <f t="shared" si="1"/>
        <v>p-041</v>
      </c>
      <c r="G42" s="8" t="s">
        <v>50</v>
      </c>
      <c r="H42" s="8" t="s">
        <v>126</v>
      </c>
      <c r="I42" s="8" t="s">
        <v>50</v>
      </c>
      <c r="J42" s="7" t="s">
        <v>8</v>
      </c>
      <c r="K42" s="7">
        <v>125</v>
      </c>
      <c r="L42" s="4" t="s">
        <v>31</v>
      </c>
      <c r="M42" s="13">
        <v>0.3</v>
      </c>
      <c r="N42" s="7" t="s">
        <v>0</v>
      </c>
      <c r="O42" s="7">
        <v>2000</v>
      </c>
      <c r="P42" s="7">
        <f>IF(Tabella2[[#This Row],[quantità]]="","",Tabella2[[#This Row],[quantità]]-Tabella2[[#This Row],[quantità]]*P$2)</f>
        <v>1900</v>
      </c>
      <c r="Q42" s="3">
        <f>IF(Tabella2[[#This Row],[margine]]="","",Tabella2[[#This Row],[margine]]/11)</f>
        <v>172.72727272727272</v>
      </c>
      <c r="R42" s="5">
        <f>IF(Tabella2[[#This Row],[media mensile]]="","",Tabella2[[#This Row],[media mensile]]*Tabella2[[#This Row],[prezzo]])</f>
        <v>51.818181818181813</v>
      </c>
      <c r="S42" s="18">
        <v>0</v>
      </c>
      <c r="T42" s="37">
        <f>IF(Tabella2[[#This Row],[Q/p.c.]]="","",Tabella2[[#This Row],[Q/p.c.]]*Tabella2[[#This Row],[% n]])</f>
        <v>0</v>
      </c>
      <c r="U42" s="37">
        <f>IF(Tabella2[[#This Row],[Q/p.c.]]="","",Tabella2[[#This Row],[€ gruppo noenati]]*(S$3*-1))</f>
        <v>0</v>
      </c>
      <c r="V42" s="37">
        <f>IF(Tabella2[[#This Row],[Q/p.c.]]="","",Tabella2[[#This Row],[€ gruppo noenati]]+Tabella2[[#This Row],[% decurtazione]])</f>
        <v>0</v>
      </c>
      <c r="W42" s="5">
        <f>IF(Tabella2[[#This Row],[media mensile]]="","",Tabella2[[#This Row],[€ decurtato]]/S$2)</f>
        <v>0</v>
      </c>
      <c r="X42" s="18">
        <v>0.3</v>
      </c>
      <c r="Y42" s="37">
        <f>IF(Tabella2[[#This Row],[Q/p.c.]]="","",Tabella2[[#This Row],[Q/p.c.]]*Tabella2[[#This Row],[% b]])</f>
        <v>15.545454545454543</v>
      </c>
      <c r="Z42" s="37">
        <f>IF(Tabella2[[#This Row],[Q/p.c.]]="","",Tabella2[[#This Row],[€ gruppo bambino]]*(X$3*-1))</f>
        <v>-6.2181818181818178</v>
      </c>
      <c r="AA42" s="37">
        <f>IF(Tabella2[[#This Row],[Q/p.c.]]="","",Tabella2[[#This Row],[€ gruppo bambino]]+Tabella2[[#This Row],[% decurtazione b]])</f>
        <v>9.3272727272727245</v>
      </c>
      <c r="AB42" s="5">
        <f>IF(Tabella2[[#This Row],[media mensile]]="","",Tabella2[[#This Row],[€ decurtato b]]/X$2)</f>
        <v>0.13137003841229189</v>
      </c>
      <c r="AC42" s="18">
        <f>1-(Tabella2[[#This Row],[% n]]+Tabella2[[#This Row],[% b]])</f>
        <v>0.7</v>
      </c>
      <c r="AD42" s="37">
        <f>IF(Tabella2[[#This Row],[Q/p.c.]]="","",SUM((Tabella2[[#This Row],[Q/p.c.]]*Tabella2[[#This Row],[% a]]),(Tabella2[[#This Row],[% decurtazione]]*-1),(Tabella2[[#This Row],[% decurtazione b]]*-1)))</f>
        <v>42.490909090909085</v>
      </c>
      <c r="AE42" s="37">
        <f>IF(Tabella2[[#This Row],[Q/p.c.]]="","",Tabella2[[#This Row],[€ gruppo adulto]]*AE$3)</f>
        <v>19.120909090909088</v>
      </c>
      <c r="AF42" s="37">
        <f>IF(Tabella2[[#This Row],[Q/p.c.]]="","",Tabella2[[#This Row],[€ gruppo a da 1 a 2]]/AE$2)</f>
        <v>0.2223361522198731</v>
      </c>
      <c r="AG42" s="37">
        <f>IF(Tabella2[[#This Row],[Q/p.c.]]="","",Tabella2[[#This Row],[€ gruppo adulto]]-Tabella2[[#This Row],[€ gruppo a da 1 a 2]])</f>
        <v>23.369999999999997</v>
      </c>
      <c r="AH42" s="5">
        <f>IF(Tabella2[[#This Row],[Q/p.c.]]="","",Tabella2[[#This Row],[€ gruppo a &gt;2]]/AG$2)</f>
        <v>0.13354285714285713</v>
      </c>
    </row>
    <row r="43" spans="3:34" hidden="1" outlineLevel="1" x14ac:dyDescent="0.3">
      <c r="C43" s="7">
        <f>IF(Tabella2[[#This Row],[Macro_prodotto]]&lt;&gt;"",CONCATENATE("M-",Tabella2[[#This Row],[u_macro]]),A42)</f>
        <v>0</v>
      </c>
      <c r="D43" s="7" t="str">
        <f>IF(Tabella2[[#This Row],[Macro_prodotto]]&lt;&gt;"",CONCATENATE("M-",Tabella2[[#This Row],[u_macro]]),"")</f>
        <v/>
      </c>
      <c r="E43" s="7" t="str">
        <f>IF(Tabella2[[#This Row],[Macro_prodotto]]="","",(COUNT(E$4:E42))+1)</f>
        <v/>
      </c>
      <c r="F43" s="7" t="str">
        <f t="shared" si="1"/>
        <v>p-042</v>
      </c>
      <c r="I43" s="8" t="s">
        <v>50</v>
      </c>
      <c r="J43" s="7" t="s">
        <v>8</v>
      </c>
      <c r="K43" s="7">
        <v>400</v>
      </c>
      <c r="L43" s="4" t="s">
        <v>31</v>
      </c>
      <c r="M43" s="13">
        <v>1.5</v>
      </c>
      <c r="N43" s="7"/>
      <c r="O43" s="7"/>
      <c r="P43" s="7" t="str">
        <f>IF(Tabella2[[#This Row],[quantità]]="","",Tabella2[[#This Row],[quantità]]-Tabella2[[#This Row],[quantità]]*P$2)</f>
        <v/>
      </c>
      <c r="Q43" s="3" t="str">
        <f>IF(Tabella2[[#This Row],[margine]]="","",Tabella2[[#This Row],[margine]]/11)</f>
        <v/>
      </c>
      <c r="R43" s="5" t="str">
        <f>IF(Tabella2[[#This Row],[media mensile]]="","",Tabella2[[#This Row],[media mensile]]*Tabella2[[#This Row],[prezzo]])</f>
        <v/>
      </c>
      <c r="S43" s="18"/>
      <c r="T43" s="37" t="str">
        <f>IF(Tabella2[[#This Row],[Q/p.c.]]="","",Tabella2[[#This Row],[Q/p.c.]]*Tabella2[[#This Row],[% n]])</f>
        <v/>
      </c>
      <c r="U43" s="37" t="str">
        <f>IF(Tabella2[[#This Row],[Q/p.c.]]="","",Tabella2[[#This Row],[€ gruppo noenati]]*(S$3*-1))</f>
        <v/>
      </c>
      <c r="V43" s="37" t="str">
        <f>IF(Tabella2[[#This Row],[Q/p.c.]]="","",Tabella2[[#This Row],[€ gruppo noenati]]+Tabella2[[#This Row],[% decurtazione]])</f>
        <v/>
      </c>
      <c r="W43" s="5" t="str">
        <f>IF(Tabella2[[#This Row],[media mensile]]="","",Tabella2[[#This Row],[€ decurtato]]/S$2)</f>
        <v/>
      </c>
      <c r="X43" s="18"/>
      <c r="Y43" s="37" t="str">
        <f>IF(Tabella2[[#This Row],[Q/p.c.]]="","",Tabella2[[#This Row],[Q/p.c.]]*Tabella2[[#This Row],[% b]])</f>
        <v/>
      </c>
      <c r="Z43" s="37" t="str">
        <f>IF(Tabella2[[#This Row],[Q/p.c.]]="","",Tabella2[[#This Row],[€ gruppo bambino]]*(X$3*-1))</f>
        <v/>
      </c>
      <c r="AA43" s="37" t="str">
        <f>IF(Tabella2[[#This Row],[Q/p.c.]]="","",Tabella2[[#This Row],[€ gruppo bambino]]+Tabella2[[#This Row],[% decurtazione b]])</f>
        <v/>
      </c>
      <c r="AB43" s="5" t="str">
        <f>IF(Tabella2[[#This Row],[media mensile]]="","",Tabella2[[#This Row],[€ decurtato b]]/X$2)</f>
        <v/>
      </c>
      <c r="AC43" s="18">
        <f>1-(Tabella2[[#This Row],[% n]]+Tabella2[[#This Row],[% b]])</f>
        <v>1</v>
      </c>
      <c r="AD43" s="37" t="str">
        <f>IF(Tabella2[[#This Row],[Q/p.c.]]="","",SUM((Tabella2[[#This Row],[Q/p.c.]]*Tabella2[[#This Row],[% a]]),(Tabella2[[#This Row],[% decurtazione]]*-1),(Tabella2[[#This Row],[% decurtazione b]]*-1)))</f>
        <v/>
      </c>
      <c r="AE43" s="37" t="str">
        <f>IF(Tabella2[[#This Row],[Q/p.c.]]="","",Tabella2[[#This Row],[€ gruppo adulto]]*AE$3)</f>
        <v/>
      </c>
      <c r="AF43" s="37" t="str">
        <f>IF(Tabella2[[#This Row],[Q/p.c.]]="","",Tabella2[[#This Row],[€ gruppo a da 1 a 2]]/AE$2)</f>
        <v/>
      </c>
      <c r="AG43" s="37" t="str">
        <f>IF(Tabella2[[#This Row],[Q/p.c.]]="","",Tabella2[[#This Row],[€ gruppo adulto]]-Tabella2[[#This Row],[€ gruppo a da 1 a 2]])</f>
        <v/>
      </c>
      <c r="AH43" s="5" t="str">
        <f>IF(Tabella2[[#This Row],[Q/p.c.]]="","",Tabella2[[#This Row],[€ gruppo a &gt;2]]/AG$2)</f>
        <v/>
      </c>
    </row>
    <row r="44" spans="3:34" collapsed="1" x14ac:dyDescent="0.3">
      <c r="C44" s="7" t="str">
        <f>IF(Tabella2[[#This Row],[Macro_prodotto]]&lt;&gt;"",CONCATENATE("M-",Tabella2[[#This Row],[u_macro]]),A43)</f>
        <v>M-22</v>
      </c>
      <c r="D44" s="7" t="str">
        <f>IF(Tabella2[[#This Row],[Macro_prodotto]]&lt;&gt;"",CONCATENATE("M-",Tabella2[[#This Row],[u_macro]]),"")</f>
        <v>M-22</v>
      </c>
      <c r="E44" s="7">
        <f>IF(Tabella2[[#This Row],[Macro_prodotto]]="","",(COUNT(E$4:E43))+1)</f>
        <v>22</v>
      </c>
      <c r="F44" s="7" t="str">
        <f t="shared" si="1"/>
        <v>p-043</v>
      </c>
      <c r="G44" s="8" t="s">
        <v>51</v>
      </c>
      <c r="H44" s="8" t="s">
        <v>135</v>
      </c>
      <c r="I44" s="8" t="s">
        <v>51</v>
      </c>
      <c r="J44" s="7" t="s">
        <v>8</v>
      </c>
      <c r="K44" s="7">
        <v>1000</v>
      </c>
      <c r="L44" s="4" t="s">
        <v>31</v>
      </c>
      <c r="M44" s="13">
        <v>19.5</v>
      </c>
      <c r="N44" s="7" t="s">
        <v>0</v>
      </c>
      <c r="O44" s="7">
        <v>185</v>
      </c>
      <c r="P44" s="7">
        <f>IF(Tabella2[[#This Row],[quantità]]="","",Tabella2[[#This Row],[quantità]]-Tabella2[[#This Row],[quantità]]*P$2)</f>
        <v>175.75</v>
      </c>
      <c r="Q44" s="3">
        <f>IF(Tabella2[[#This Row],[margine]]="","",Tabella2[[#This Row],[margine]]/11)</f>
        <v>15.977272727272727</v>
      </c>
      <c r="R44" s="5">
        <f>IF(Tabella2[[#This Row],[media mensile]]="","",Tabella2[[#This Row],[media mensile]]*Tabella2[[#This Row],[prezzo]])</f>
        <v>311.55681818181819</v>
      </c>
      <c r="S44" s="18">
        <v>0</v>
      </c>
      <c r="T44" s="37">
        <f>IF(Tabella2[[#This Row],[Q/p.c.]]="","",Tabella2[[#This Row],[Q/p.c.]]*Tabella2[[#This Row],[% n]])</f>
        <v>0</v>
      </c>
      <c r="U44" s="37">
        <f>IF(Tabella2[[#This Row],[Q/p.c.]]="","",Tabella2[[#This Row],[€ gruppo noenati]]*(S$3*-1))</f>
        <v>0</v>
      </c>
      <c r="V44" s="37">
        <f>IF(Tabella2[[#This Row],[Q/p.c.]]="","",Tabella2[[#This Row],[€ gruppo noenati]]+Tabella2[[#This Row],[% decurtazione]])</f>
        <v>0</v>
      </c>
      <c r="W44" s="5">
        <f>IF(Tabella2[[#This Row],[media mensile]]="","",Tabella2[[#This Row],[€ decurtato]]/S$2)</f>
        <v>0</v>
      </c>
      <c r="X44" s="18">
        <v>0.3</v>
      </c>
      <c r="Y44" s="37">
        <f>IF(Tabella2[[#This Row],[Q/p.c.]]="","",Tabella2[[#This Row],[Q/p.c.]]*Tabella2[[#This Row],[% b]])</f>
        <v>93.467045454545456</v>
      </c>
      <c r="Z44" s="37">
        <f>IF(Tabella2[[#This Row],[Q/p.c.]]="","",Tabella2[[#This Row],[€ gruppo bambino]]*(X$3*-1))</f>
        <v>-37.386818181818185</v>
      </c>
      <c r="AA44" s="37">
        <f>IF(Tabella2[[#This Row],[Q/p.c.]]="","",Tabella2[[#This Row],[€ gruppo bambino]]+Tabella2[[#This Row],[% decurtazione b]])</f>
        <v>56.080227272727271</v>
      </c>
      <c r="AB44" s="5">
        <f>IF(Tabella2[[#This Row],[media mensile]]="","",Tabella2[[#This Row],[€ decurtato b]]/X$2)</f>
        <v>0.78986235595390519</v>
      </c>
      <c r="AC44" s="18">
        <f>1-(Tabella2[[#This Row],[% n]]+Tabella2[[#This Row],[% b]])</f>
        <v>0.7</v>
      </c>
      <c r="AD44" s="37">
        <f>IF(Tabella2[[#This Row],[Q/p.c.]]="","",SUM((Tabella2[[#This Row],[Q/p.c.]]*Tabella2[[#This Row],[% a]]),(Tabella2[[#This Row],[% decurtazione]]*-1),(Tabella2[[#This Row],[% decurtazione b]]*-1)))</f>
        <v>255.47659090909093</v>
      </c>
      <c r="AE44" s="37">
        <f>IF(Tabella2[[#This Row],[Q/p.c.]]="","",Tabella2[[#This Row],[€ gruppo adulto]]*AE$3)</f>
        <v>114.96446590909092</v>
      </c>
      <c r="AF44" s="37">
        <f>IF(Tabella2[[#This Row],[Q/p.c.]]="","",Tabella2[[#This Row],[€ gruppo a da 1 a 2]]/AE$2)</f>
        <v>1.3367961152219874</v>
      </c>
      <c r="AG44" s="37">
        <f>IF(Tabella2[[#This Row],[Q/p.c.]]="","",Tabella2[[#This Row],[€ gruppo adulto]]-Tabella2[[#This Row],[€ gruppo a da 1 a 2]])</f>
        <v>140.51212500000003</v>
      </c>
      <c r="AH44" s="5">
        <f>IF(Tabella2[[#This Row],[Q/p.c.]]="","",Tabella2[[#This Row],[€ gruppo a &gt;2]]/AG$2)</f>
        <v>0.80292642857142871</v>
      </c>
    </row>
    <row r="45" spans="3:34" hidden="1" outlineLevel="1" x14ac:dyDescent="0.3">
      <c r="C45" s="7">
        <f>IF(Tabella2[[#This Row],[Macro_prodotto]]&lt;&gt;"",CONCATENATE("M-",Tabella2[[#This Row],[u_macro]]),A44)</f>
        <v>0</v>
      </c>
      <c r="D45" s="7" t="str">
        <f>IF(Tabella2[[#This Row],[Macro_prodotto]]&lt;&gt;"",CONCATENATE("M-",Tabella2[[#This Row],[u_macro]]),"")</f>
        <v/>
      </c>
      <c r="E45" s="7" t="str">
        <f>IF(Tabella2[[#This Row],[Macro_prodotto]]="","",(COUNT(E$4:E44))+1)</f>
        <v/>
      </c>
      <c r="F45" s="7" t="str">
        <f t="shared" si="1"/>
        <v>p-044</v>
      </c>
      <c r="I45" s="8" t="s">
        <v>51</v>
      </c>
      <c r="J45" s="7" t="s">
        <v>8</v>
      </c>
      <c r="K45" s="7">
        <v>500</v>
      </c>
      <c r="L45" s="4" t="s">
        <v>31</v>
      </c>
      <c r="M45" s="13">
        <v>10</v>
      </c>
      <c r="N45" s="7"/>
      <c r="O45" s="7"/>
      <c r="P45" s="7" t="str">
        <f>IF(Tabella2[[#This Row],[quantità]]="","",Tabella2[[#This Row],[quantità]]-Tabella2[[#This Row],[quantità]]*P$2)</f>
        <v/>
      </c>
      <c r="Q45" s="3" t="str">
        <f>IF(Tabella2[[#This Row],[margine]]="","",Tabella2[[#This Row],[margine]]/11)</f>
        <v/>
      </c>
      <c r="R45" s="5" t="str">
        <f>IF(Tabella2[[#This Row],[media mensile]]="","",Tabella2[[#This Row],[media mensile]]*Tabella2[[#This Row],[prezzo]])</f>
        <v/>
      </c>
      <c r="S45" s="18"/>
      <c r="T45" s="37" t="str">
        <f>IF(Tabella2[[#This Row],[Q/p.c.]]="","",Tabella2[[#This Row],[Q/p.c.]]*Tabella2[[#This Row],[% n]])</f>
        <v/>
      </c>
      <c r="U45" s="37" t="str">
        <f>IF(Tabella2[[#This Row],[Q/p.c.]]="","",Tabella2[[#This Row],[€ gruppo noenati]]*(S$3*-1))</f>
        <v/>
      </c>
      <c r="V45" s="37" t="str">
        <f>IF(Tabella2[[#This Row],[Q/p.c.]]="","",Tabella2[[#This Row],[€ gruppo noenati]]+Tabella2[[#This Row],[% decurtazione]])</f>
        <v/>
      </c>
      <c r="W45" s="5" t="str">
        <f>IF(Tabella2[[#This Row],[media mensile]]="","",Tabella2[[#This Row],[€ decurtato]]/S$2)</f>
        <v/>
      </c>
      <c r="X45" s="18"/>
      <c r="Y45" s="37" t="str">
        <f>IF(Tabella2[[#This Row],[Q/p.c.]]="","",Tabella2[[#This Row],[Q/p.c.]]*Tabella2[[#This Row],[% b]])</f>
        <v/>
      </c>
      <c r="Z45" s="37" t="str">
        <f>IF(Tabella2[[#This Row],[Q/p.c.]]="","",Tabella2[[#This Row],[€ gruppo bambino]]*(X$3*-1))</f>
        <v/>
      </c>
      <c r="AA45" s="37" t="str">
        <f>IF(Tabella2[[#This Row],[Q/p.c.]]="","",Tabella2[[#This Row],[€ gruppo bambino]]+Tabella2[[#This Row],[% decurtazione b]])</f>
        <v/>
      </c>
      <c r="AB45" s="5" t="str">
        <f>IF(Tabella2[[#This Row],[media mensile]]="","",Tabella2[[#This Row],[€ decurtato b]]/X$2)</f>
        <v/>
      </c>
      <c r="AC45" s="18">
        <f>1-(Tabella2[[#This Row],[% n]]+Tabella2[[#This Row],[% b]])</f>
        <v>1</v>
      </c>
      <c r="AD45" s="37" t="str">
        <f>IF(Tabella2[[#This Row],[Q/p.c.]]="","",SUM((Tabella2[[#This Row],[Q/p.c.]]*Tabella2[[#This Row],[% a]]),(Tabella2[[#This Row],[% decurtazione]]*-1),(Tabella2[[#This Row],[% decurtazione b]]*-1)))</f>
        <v/>
      </c>
      <c r="AE45" s="37" t="str">
        <f>IF(Tabella2[[#This Row],[Q/p.c.]]="","",Tabella2[[#This Row],[€ gruppo adulto]]*AE$3)</f>
        <v/>
      </c>
      <c r="AF45" s="37" t="str">
        <f>IF(Tabella2[[#This Row],[Q/p.c.]]="","",Tabella2[[#This Row],[€ gruppo a da 1 a 2]]/AE$2)</f>
        <v/>
      </c>
      <c r="AG45" s="37" t="str">
        <f>IF(Tabella2[[#This Row],[Q/p.c.]]="","",Tabella2[[#This Row],[€ gruppo adulto]]-Tabella2[[#This Row],[€ gruppo a da 1 a 2]])</f>
        <v/>
      </c>
      <c r="AH45" s="5" t="str">
        <f>IF(Tabella2[[#This Row],[Q/p.c.]]="","",Tabella2[[#This Row],[€ gruppo a &gt;2]]/AG$2)</f>
        <v/>
      </c>
    </row>
    <row r="46" spans="3:34" hidden="1" outlineLevel="1" x14ac:dyDescent="0.3">
      <c r="C46" s="7">
        <f>IF(Tabella2[[#This Row],[Macro_prodotto]]&lt;&gt;"",CONCATENATE("M-",Tabella2[[#This Row],[u_macro]]),A45)</f>
        <v>0</v>
      </c>
      <c r="D46" s="7" t="str">
        <f>IF(Tabella2[[#This Row],[Macro_prodotto]]&lt;&gt;"",CONCATENATE("M-",Tabella2[[#This Row],[u_macro]]),"")</f>
        <v/>
      </c>
      <c r="E46" s="7" t="str">
        <f>IF(Tabella2[[#This Row],[Macro_prodotto]]="","",(COUNT(E$4:E45))+1)</f>
        <v/>
      </c>
      <c r="F46" s="7" t="str">
        <f t="shared" si="1"/>
        <v>p-045</v>
      </c>
      <c r="I46" s="8" t="s">
        <v>51</v>
      </c>
      <c r="J46" s="7" t="s">
        <v>8</v>
      </c>
      <c r="K46" s="7">
        <v>250</v>
      </c>
      <c r="L46" s="4" t="s">
        <v>31</v>
      </c>
      <c r="M46" s="13">
        <v>5</v>
      </c>
      <c r="N46" s="7"/>
      <c r="O46" s="7"/>
      <c r="P46" s="7" t="str">
        <f>IF(Tabella2[[#This Row],[quantità]]="","",Tabella2[[#This Row],[quantità]]-Tabella2[[#This Row],[quantità]]*P$2)</f>
        <v/>
      </c>
      <c r="Q46" s="3" t="str">
        <f>IF(Tabella2[[#This Row],[margine]]="","",Tabella2[[#This Row],[margine]]/11)</f>
        <v/>
      </c>
      <c r="R46" s="5" t="str">
        <f>IF(Tabella2[[#This Row],[media mensile]]="","",Tabella2[[#This Row],[media mensile]]*Tabella2[[#This Row],[prezzo]])</f>
        <v/>
      </c>
      <c r="S46" s="18"/>
      <c r="T46" s="37" t="str">
        <f>IF(Tabella2[[#This Row],[Q/p.c.]]="","",Tabella2[[#This Row],[Q/p.c.]]*Tabella2[[#This Row],[% n]])</f>
        <v/>
      </c>
      <c r="U46" s="37" t="str">
        <f>IF(Tabella2[[#This Row],[Q/p.c.]]="","",Tabella2[[#This Row],[€ gruppo noenati]]*(S$3*-1))</f>
        <v/>
      </c>
      <c r="V46" s="37" t="str">
        <f>IF(Tabella2[[#This Row],[Q/p.c.]]="","",Tabella2[[#This Row],[€ gruppo noenati]]+Tabella2[[#This Row],[% decurtazione]])</f>
        <v/>
      </c>
      <c r="W46" s="5" t="str">
        <f>IF(Tabella2[[#This Row],[media mensile]]="","",Tabella2[[#This Row],[€ decurtato]]/S$2)</f>
        <v/>
      </c>
      <c r="X46" s="18"/>
      <c r="Y46" s="37" t="str">
        <f>IF(Tabella2[[#This Row],[Q/p.c.]]="","",Tabella2[[#This Row],[Q/p.c.]]*Tabella2[[#This Row],[% b]])</f>
        <v/>
      </c>
      <c r="Z46" s="37" t="str">
        <f>IF(Tabella2[[#This Row],[Q/p.c.]]="","",Tabella2[[#This Row],[€ gruppo bambino]]*(X$3*-1))</f>
        <v/>
      </c>
      <c r="AA46" s="37" t="str">
        <f>IF(Tabella2[[#This Row],[Q/p.c.]]="","",Tabella2[[#This Row],[€ gruppo bambino]]+Tabella2[[#This Row],[% decurtazione b]])</f>
        <v/>
      </c>
      <c r="AB46" s="5" t="str">
        <f>IF(Tabella2[[#This Row],[media mensile]]="","",Tabella2[[#This Row],[€ decurtato b]]/X$2)</f>
        <v/>
      </c>
      <c r="AC46" s="18">
        <f>1-(Tabella2[[#This Row],[% n]]+Tabella2[[#This Row],[% b]])</f>
        <v>1</v>
      </c>
      <c r="AD46" s="37" t="str">
        <f>IF(Tabella2[[#This Row],[Q/p.c.]]="","",SUM((Tabella2[[#This Row],[Q/p.c.]]*Tabella2[[#This Row],[% a]]),(Tabella2[[#This Row],[% decurtazione]]*-1),(Tabella2[[#This Row],[% decurtazione b]]*-1)))</f>
        <v/>
      </c>
      <c r="AE46" s="37" t="str">
        <f>IF(Tabella2[[#This Row],[Q/p.c.]]="","",Tabella2[[#This Row],[€ gruppo adulto]]*AE$3)</f>
        <v/>
      </c>
      <c r="AF46" s="37" t="str">
        <f>IF(Tabella2[[#This Row],[Q/p.c.]]="","",Tabella2[[#This Row],[€ gruppo a da 1 a 2]]/AE$2)</f>
        <v/>
      </c>
      <c r="AG46" s="37" t="str">
        <f>IF(Tabella2[[#This Row],[Q/p.c.]]="","",Tabella2[[#This Row],[€ gruppo adulto]]-Tabella2[[#This Row],[€ gruppo a da 1 a 2]])</f>
        <v/>
      </c>
      <c r="AH46" s="5" t="str">
        <f>IF(Tabella2[[#This Row],[Q/p.c.]]="","",Tabella2[[#This Row],[€ gruppo a &gt;2]]/AG$2)</f>
        <v/>
      </c>
    </row>
    <row r="47" spans="3:34" collapsed="1" x14ac:dyDescent="0.3">
      <c r="C47" s="7" t="str">
        <f>IF(Tabella2[[#This Row],[Macro_prodotto]]&lt;&gt;"",CONCATENATE("M-",Tabella2[[#This Row],[u_macro]]),A46)</f>
        <v>M-23</v>
      </c>
      <c r="D47" s="7" t="str">
        <f>IF(Tabella2[[#This Row],[Macro_prodotto]]&lt;&gt;"",CONCATENATE("M-",Tabella2[[#This Row],[u_macro]]),"")</f>
        <v>M-23</v>
      </c>
      <c r="E47" s="7">
        <f>IF(Tabella2[[#This Row],[Macro_prodotto]]="","",(COUNT(E$4:E46))+1)</f>
        <v>23</v>
      </c>
      <c r="F47" s="7" t="str">
        <f t="shared" si="1"/>
        <v>p-046</v>
      </c>
      <c r="G47" s="8" t="s">
        <v>52</v>
      </c>
      <c r="H47" s="8" t="s">
        <v>135</v>
      </c>
      <c r="I47" s="8" t="s">
        <v>52</v>
      </c>
      <c r="J47" s="7" t="s">
        <v>8</v>
      </c>
      <c r="K47" s="7">
        <v>1000</v>
      </c>
      <c r="L47" s="4" t="s">
        <v>31</v>
      </c>
      <c r="M47" s="13">
        <v>11.5</v>
      </c>
      <c r="N47" s="7" t="s">
        <v>0</v>
      </c>
      <c r="O47" s="7"/>
      <c r="P47" s="7" t="str">
        <f>IF(Tabella2[[#This Row],[quantità]]="","",Tabella2[[#This Row],[quantità]]-Tabella2[[#This Row],[quantità]]*P$2)</f>
        <v/>
      </c>
      <c r="Q47" s="3" t="str">
        <f>IF(Tabella2[[#This Row],[margine]]="","",Tabella2[[#This Row],[margine]]/11)</f>
        <v/>
      </c>
      <c r="R47" s="5" t="str">
        <f>IF(Tabella2[[#This Row],[media mensile]]="","",Tabella2[[#This Row],[media mensile]]*Tabella2[[#This Row],[prezzo]])</f>
        <v/>
      </c>
      <c r="S47" s="18">
        <v>0</v>
      </c>
      <c r="T47" s="37" t="str">
        <f>IF(Tabella2[[#This Row],[Q/p.c.]]="","",Tabella2[[#This Row],[Q/p.c.]]*Tabella2[[#This Row],[% n]])</f>
        <v/>
      </c>
      <c r="U47" s="37" t="str">
        <f>IF(Tabella2[[#This Row],[Q/p.c.]]="","",Tabella2[[#This Row],[€ gruppo noenati]]*(S$3*-1))</f>
        <v/>
      </c>
      <c r="V47" s="37" t="str">
        <f>IF(Tabella2[[#This Row],[Q/p.c.]]="","",Tabella2[[#This Row],[€ gruppo noenati]]+Tabella2[[#This Row],[% decurtazione]])</f>
        <v/>
      </c>
      <c r="W47" s="5" t="str">
        <f>IF(Tabella2[[#This Row],[media mensile]]="","",Tabella2[[#This Row],[€ decurtato]]/S$2)</f>
        <v/>
      </c>
      <c r="X47" s="18">
        <v>0.3</v>
      </c>
      <c r="Y47" s="37" t="str">
        <f>IF(Tabella2[[#This Row],[Q/p.c.]]="","",Tabella2[[#This Row],[Q/p.c.]]*Tabella2[[#This Row],[% b]])</f>
        <v/>
      </c>
      <c r="Z47" s="37" t="str">
        <f>IF(Tabella2[[#This Row],[Q/p.c.]]="","",Tabella2[[#This Row],[€ gruppo bambino]]*(X$3*-1))</f>
        <v/>
      </c>
      <c r="AA47" s="37" t="str">
        <f>IF(Tabella2[[#This Row],[Q/p.c.]]="","",Tabella2[[#This Row],[€ gruppo bambino]]+Tabella2[[#This Row],[% decurtazione b]])</f>
        <v/>
      </c>
      <c r="AB47" s="5" t="str">
        <f>IF(Tabella2[[#This Row],[media mensile]]="","",Tabella2[[#This Row],[€ decurtato b]]/X$2)</f>
        <v/>
      </c>
      <c r="AC47" s="18">
        <f>1-(Tabella2[[#This Row],[% n]]+Tabella2[[#This Row],[% b]])</f>
        <v>0.7</v>
      </c>
      <c r="AD47" s="37" t="str">
        <f>IF(Tabella2[[#This Row],[Q/p.c.]]="","",SUM((Tabella2[[#This Row],[Q/p.c.]]*Tabella2[[#This Row],[% a]]),(Tabella2[[#This Row],[% decurtazione]]*-1),(Tabella2[[#This Row],[% decurtazione b]]*-1)))</f>
        <v/>
      </c>
      <c r="AE47" s="37" t="str">
        <f>IF(Tabella2[[#This Row],[Q/p.c.]]="","",Tabella2[[#This Row],[€ gruppo adulto]]*AE$3)</f>
        <v/>
      </c>
      <c r="AF47" s="37" t="str">
        <f>IF(Tabella2[[#This Row],[Q/p.c.]]="","",Tabella2[[#This Row],[€ gruppo a da 1 a 2]]/AE$2)</f>
        <v/>
      </c>
      <c r="AG47" s="37" t="str">
        <f>IF(Tabella2[[#This Row],[Q/p.c.]]="","",Tabella2[[#This Row],[€ gruppo adulto]]-Tabella2[[#This Row],[€ gruppo a da 1 a 2]])</f>
        <v/>
      </c>
      <c r="AH47" s="5" t="str">
        <f>IF(Tabella2[[#This Row],[Q/p.c.]]="","",Tabella2[[#This Row],[€ gruppo a &gt;2]]/AG$2)</f>
        <v/>
      </c>
    </row>
    <row r="48" spans="3:34" hidden="1" outlineLevel="1" x14ac:dyDescent="0.3">
      <c r="C48" s="7">
        <f>IF(Tabella2[[#This Row],[Macro_prodotto]]&lt;&gt;"",CONCATENATE("M-",Tabella2[[#This Row],[u_macro]]),A47)</f>
        <v>0</v>
      </c>
      <c r="D48" s="7" t="str">
        <f>IF(Tabella2[[#This Row],[Macro_prodotto]]&lt;&gt;"",CONCATENATE("M-",Tabella2[[#This Row],[u_macro]]),"")</f>
        <v/>
      </c>
      <c r="E48" s="7" t="str">
        <f>IF(Tabella2[[#This Row],[Macro_prodotto]]="","",(COUNT(E$4:E47))+1)</f>
        <v/>
      </c>
      <c r="F48" s="7" t="str">
        <f t="shared" si="1"/>
        <v>p-047</v>
      </c>
      <c r="I48" s="8" t="s">
        <v>52</v>
      </c>
      <c r="J48" s="7" t="s">
        <v>8</v>
      </c>
      <c r="K48" s="7">
        <v>500</v>
      </c>
      <c r="L48" s="4" t="s">
        <v>31</v>
      </c>
      <c r="M48" s="13">
        <v>6</v>
      </c>
      <c r="N48" s="7"/>
      <c r="O48" s="7"/>
      <c r="P48" s="7" t="str">
        <f>IF(Tabella2[[#This Row],[quantità]]="","",Tabella2[[#This Row],[quantità]]-Tabella2[[#This Row],[quantità]]*P$2)</f>
        <v/>
      </c>
      <c r="Q48" s="3" t="str">
        <f>IF(Tabella2[[#This Row],[margine]]="","",Tabella2[[#This Row],[margine]]/11)</f>
        <v/>
      </c>
      <c r="R48" s="5" t="str">
        <f>IF(Tabella2[[#This Row],[media mensile]]="","",Tabella2[[#This Row],[media mensile]]*Tabella2[[#This Row],[prezzo]])</f>
        <v/>
      </c>
      <c r="S48" s="18"/>
      <c r="T48" s="37" t="str">
        <f>IF(Tabella2[[#This Row],[Q/p.c.]]="","",Tabella2[[#This Row],[Q/p.c.]]*Tabella2[[#This Row],[% n]])</f>
        <v/>
      </c>
      <c r="U48" s="37" t="str">
        <f>IF(Tabella2[[#This Row],[Q/p.c.]]="","",Tabella2[[#This Row],[€ gruppo noenati]]*(S$3*-1))</f>
        <v/>
      </c>
      <c r="V48" s="37" t="str">
        <f>IF(Tabella2[[#This Row],[Q/p.c.]]="","",Tabella2[[#This Row],[€ gruppo noenati]]+Tabella2[[#This Row],[% decurtazione]])</f>
        <v/>
      </c>
      <c r="W48" s="5" t="str">
        <f>IF(Tabella2[[#This Row],[media mensile]]="","",Tabella2[[#This Row],[€ decurtato]]/S$2)</f>
        <v/>
      </c>
      <c r="X48" s="18"/>
      <c r="Y48" s="37" t="str">
        <f>IF(Tabella2[[#This Row],[Q/p.c.]]="","",Tabella2[[#This Row],[Q/p.c.]]*Tabella2[[#This Row],[% b]])</f>
        <v/>
      </c>
      <c r="Z48" s="37" t="str">
        <f>IF(Tabella2[[#This Row],[Q/p.c.]]="","",Tabella2[[#This Row],[€ gruppo bambino]]*(X$3*-1))</f>
        <v/>
      </c>
      <c r="AA48" s="37" t="str">
        <f>IF(Tabella2[[#This Row],[Q/p.c.]]="","",Tabella2[[#This Row],[€ gruppo bambino]]+Tabella2[[#This Row],[% decurtazione b]])</f>
        <v/>
      </c>
      <c r="AB48" s="5" t="str">
        <f>IF(Tabella2[[#This Row],[media mensile]]="","",Tabella2[[#This Row],[€ decurtato b]]/X$2)</f>
        <v/>
      </c>
      <c r="AC48" s="18">
        <f>1-(Tabella2[[#This Row],[% n]]+Tabella2[[#This Row],[% b]])</f>
        <v>1</v>
      </c>
      <c r="AD48" s="37" t="str">
        <f>IF(Tabella2[[#This Row],[Q/p.c.]]="","",SUM((Tabella2[[#This Row],[Q/p.c.]]*Tabella2[[#This Row],[% a]]),(Tabella2[[#This Row],[% decurtazione]]*-1),(Tabella2[[#This Row],[% decurtazione b]]*-1)))</f>
        <v/>
      </c>
      <c r="AE48" s="37" t="str">
        <f>IF(Tabella2[[#This Row],[Q/p.c.]]="","",Tabella2[[#This Row],[€ gruppo adulto]]*AE$3)</f>
        <v/>
      </c>
      <c r="AF48" s="37" t="str">
        <f>IF(Tabella2[[#This Row],[Q/p.c.]]="","",Tabella2[[#This Row],[€ gruppo a da 1 a 2]]/AE$2)</f>
        <v/>
      </c>
      <c r="AG48" s="37" t="str">
        <f>IF(Tabella2[[#This Row],[Q/p.c.]]="","",Tabella2[[#This Row],[€ gruppo adulto]]-Tabella2[[#This Row],[€ gruppo a da 1 a 2]])</f>
        <v/>
      </c>
      <c r="AH48" s="5" t="str">
        <f>IF(Tabella2[[#This Row],[Q/p.c.]]="","",Tabella2[[#This Row],[€ gruppo a &gt;2]]/AG$2)</f>
        <v/>
      </c>
    </row>
    <row r="49" spans="3:34" hidden="1" outlineLevel="1" x14ac:dyDescent="0.3">
      <c r="C49" s="7">
        <f>IF(Tabella2[[#This Row],[Macro_prodotto]]&lt;&gt;"",CONCATENATE("M-",Tabella2[[#This Row],[u_macro]]),A48)</f>
        <v>0</v>
      </c>
      <c r="D49" s="7" t="str">
        <f>IF(Tabella2[[#This Row],[Macro_prodotto]]&lt;&gt;"",CONCATENATE("M-",Tabella2[[#This Row],[u_macro]]),"")</f>
        <v/>
      </c>
      <c r="E49" s="7" t="str">
        <f>IF(Tabella2[[#This Row],[Macro_prodotto]]="","",(COUNT(E$4:E48))+1)</f>
        <v/>
      </c>
      <c r="F49" s="7" t="str">
        <f t="shared" si="1"/>
        <v>p-048</v>
      </c>
      <c r="I49" s="8" t="s">
        <v>52</v>
      </c>
      <c r="J49" s="7" t="s">
        <v>8</v>
      </c>
      <c r="K49" s="7">
        <v>250</v>
      </c>
      <c r="L49" s="4" t="s">
        <v>31</v>
      </c>
      <c r="M49" s="13">
        <v>3</v>
      </c>
      <c r="N49" s="7"/>
      <c r="O49" s="7"/>
      <c r="P49" s="7" t="str">
        <f>IF(Tabella2[[#This Row],[quantità]]="","",Tabella2[[#This Row],[quantità]]-Tabella2[[#This Row],[quantità]]*P$2)</f>
        <v/>
      </c>
      <c r="Q49" s="3" t="str">
        <f>IF(Tabella2[[#This Row],[margine]]="","",Tabella2[[#This Row],[margine]]/11)</f>
        <v/>
      </c>
      <c r="R49" s="5" t="str">
        <f>IF(Tabella2[[#This Row],[media mensile]]="","",Tabella2[[#This Row],[media mensile]]*Tabella2[[#This Row],[prezzo]])</f>
        <v/>
      </c>
      <c r="S49" s="18"/>
      <c r="T49" s="37" t="str">
        <f>IF(Tabella2[[#This Row],[Q/p.c.]]="","",Tabella2[[#This Row],[Q/p.c.]]*Tabella2[[#This Row],[% n]])</f>
        <v/>
      </c>
      <c r="U49" s="37" t="str">
        <f>IF(Tabella2[[#This Row],[Q/p.c.]]="","",Tabella2[[#This Row],[€ gruppo noenati]]*(S$3*-1))</f>
        <v/>
      </c>
      <c r="V49" s="37" t="str">
        <f>IF(Tabella2[[#This Row],[Q/p.c.]]="","",Tabella2[[#This Row],[€ gruppo noenati]]+Tabella2[[#This Row],[% decurtazione]])</f>
        <v/>
      </c>
      <c r="W49" s="5" t="str">
        <f>IF(Tabella2[[#This Row],[media mensile]]="","",Tabella2[[#This Row],[€ decurtato]]/S$2)</f>
        <v/>
      </c>
      <c r="X49" s="18"/>
      <c r="Y49" s="37" t="str">
        <f>IF(Tabella2[[#This Row],[Q/p.c.]]="","",Tabella2[[#This Row],[Q/p.c.]]*Tabella2[[#This Row],[% b]])</f>
        <v/>
      </c>
      <c r="Z49" s="37" t="str">
        <f>IF(Tabella2[[#This Row],[Q/p.c.]]="","",Tabella2[[#This Row],[€ gruppo bambino]]*(X$3*-1))</f>
        <v/>
      </c>
      <c r="AA49" s="37" t="str">
        <f>IF(Tabella2[[#This Row],[Q/p.c.]]="","",Tabella2[[#This Row],[€ gruppo bambino]]+Tabella2[[#This Row],[% decurtazione b]])</f>
        <v/>
      </c>
      <c r="AB49" s="5" t="str">
        <f>IF(Tabella2[[#This Row],[media mensile]]="","",Tabella2[[#This Row],[€ decurtato b]]/X$2)</f>
        <v/>
      </c>
      <c r="AC49" s="18">
        <f>1-(Tabella2[[#This Row],[% n]]+Tabella2[[#This Row],[% b]])</f>
        <v>1</v>
      </c>
      <c r="AD49" s="37" t="str">
        <f>IF(Tabella2[[#This Row],[Q/p.c.]]="","",SUM((Tabella2[[#This Row],[Q/p.c.]]*Tabella2[[#This Row],[% a]]),(Tabella2[[#This Row],[% decurtazione]]*-1),(Tabella2[[#This Row],[% decurtazione b]]*-1)))</f>
        <v/>
      </c>
      <c r="AE49" s="37" t="str">
        <f>IF(Tabella2[[#This Row],[Q/p.c.]]="","",Tabella2[[#This Row],[€ gruppo adulto]]*AE$3)</f>
        <v/>
      </c>
      <c r="AF49" s="37" t="str">
        <f>IF(Tabella2[[#This Row],[Q/p.c.]]="","",Tabella2[[#This Row],[€ gruppo a da 1 a 2]]/AE$2)</f>
        <v/>
      </c>
      <c r="AG49" s="37" t="str">
        <f>IF(Tabella2[[#This Row],[Q/p.c.]]="","",Tabella2[[#This Row],[€ gruppo adulto]]-Tabella2[[#This Row],[€ gruppo a da 1 a 2]])</f>
        <v/>
      </c>
      <c r="AH49" s="5" t="str">
        <f>IF(Tabella2[[#This Row],[Q/p.c.]]="","",Tabella2[[#This Row],[€ gruppo a &gt;2]]/AG$2)</f>
        <v/>
      </c>
    </row>
    <row r="50" spans="3:34" collapsed="1" x14ac:dyDescent="0.3">
      <c r="C50" s="7" t="str">
        <f>IF(Tabella2[[#This Row],[Macro_prodotto]]&lt;&gt;"",CONCATENATE("M-",Tabella2[[#This Row],[u_macro]]),A49)</f>
        <v>M-24</v>
      </c>
      <c r="D50" s="7" t="str">
        <f>IF(Tabella2[[#This Row],[Macro_prodotto]]&lt;&gt;"",CONCATENATE("M-",Tabella2[[#This Row],[u_macro]]),"")</f>
        <v>M-24</v>
      </c>
      <c r="E50" s="7">
        <f>IF(Tabella2[[#This Row],[Macro_prodotto]]="","",(COUNT(E$4:E49))+1)</f>
        <v>24</v>
      </c>
      <c r="F50" s="7" t="str">
        <f t="shared" si="1"/>
        <v>p-049</v>
      </c>
      <c r="G50" s="8" t="s">
        <v>55</v>
      </c>
      <c r="H50" s="8" t="s">
        <v>132</v>
      </c>
      <c r="I50" s="8" t="s">
        <v>55</v>
      </c>
      <c r="J50" s="7" t="s">
        <v>8</v>
      </c>
      <c r="K50" s="7">
        <v>6</v>
      </c>
      <c r="L50" s="4" t="s">
        <v>75</v>
      </c>
      <c r="M50" s="13">
        <v>1.5</v>
      </c>
      <c r="N50" s="7" t="s">
        <v>100</v>
      </c>
      <c r="O50" s="7"/>
      <c r="P50" s="7" t="str">
        <f>IF(Tabella2[[#This Row],[quantità]]="","",Tabella2[[#This Row],[quantità]]-Tabella2[[#This Row],[quantità]]*P$2)</f>
        <v/>
      </c>
      <c r="Q50" s="3" t="str">
        <f>IF(Tabella2[[#This Row],[margine]]="","",Tabella2[[#This Row],[margine]]/11)</f>
        <v/>
      </c>
      <c r="R50" s="5" t="str">
        <f>IF(Tabella2[[#This Row],[media mensile]]="","",Tabella2[[#This Row],[media mensile]]*Tabella2[[#This Row],[prezzo]])</f>
        <v/>
      </c>
      <c r="S50" s="18">
        <v>0</v>
      </c>
      <c r="T50" s="37" t="str">
        <f>IF(Tabella2[[#This Row],[Q/p.c.]]="","",Tabella2[[#This Row],[Q/p.c.]]*Tabella2[[#This Row],[% n]])</f>
        <v/>
      </c>
      <c r="U50" s="37" t="str">
        <f>IF(Tabella2[[#This Row],[Q/p.c.]]="","",Tabella2[[#This Row],[€ gruppo noenati]]*(S$3*-1))</f>
        <v/>
      </c>
      <c r="V50" s="37" t="str">
        <f>IF(Tabella2[[#This Row],[Q/p.c.]]="","",Tabella2[[#This Row],[€ gruppo noenati]]+Tabella2[[#This Row],[% decurtazione]])</f>
        <v/>
      </c>
      <c r="W50" s="5" t="str">
        <f>IF(Tabella2[[#This Row],[media mensile]]="","",Tabella2[[#This Row],[€ decurtato]]/S$2)</f>
        <v/>
      </c>
      <c r="X50" s="18">
        <v>0.3</v>
      </c>
      <c r="Y50" s="37" t="str">
        <f>IF(Tabella2[[#This Row],[Q/p.c.]]="","",Tabella2[[#This Row],[Q/p.c.]]*Tabella2[[#This Row],[% b]])</f>
        <v/>
      </c>
      <c r="Z50" s="37" t="str">
        <f>IF(Tabella2[[#This Row],[Q/p.c.]]="","",Tabella2[[#This Row],[€ gruppo bambino]]*(X$3*-1))</f>
        <v/>
      </c>
      <c r="AA50" s="37" t="str">
        <f>IF(Tabella2[[#This Row],[Q/p.c.]]="","",Tabella2[[#This Row],[€ gruppo bambino]]+Tabella2[[#This Row],[% decurtazione b]])</f>
        <v/>
      </c>
      <c r="AB50" s="5" t="str">
        <f>IF(Tabella2[[#This Row],[media mensile]]="","",Tabella2[[#This Row],[€ decurtato b]]/X$2)</f>
        <v/>
      </c>
      <c r="AC50" s="18">
        <f>1-(Tabella2[[#This Row],[% n]]+Tabella2[[#This Row],[% b]])</f>
        <v>0.7</v>
      </c>
      <c r="AD50" s="37" t="str">
        <f>IF(Tabella2[[#This Row],[Q/p.c.]]="","",SUM((Tabella2[[#This Row],[Q/p.c.]]*Tabella2[[#This Row],[% a]]),(Tabella2[[#This Row],[% decurtazione]]*-1),(Tabella2[[#This Row],[% decurtazione b]]*-1)))</f>
        <v/>
      </c>
      <c r="AE50" s="37" t="str">
        <f>IF(Tabella2[[#This Row],[Q/p.c.]]="","",Tabella2[[#This Row],[€ gruppo adulto]]*AE$3)</f>
        <v/>
      </c>
      <c r="AF50" s="37" t="str">
        <f>IF(Tabella2[[#This Row],[Q/p.c.]]="","",Tabella2[[#This Row],[€ gruppo a da 1 a 2]]/AE$2)</f>
        <v/>
      </c>
      <c r="AG50" s="37" t="str">
        <f>IF(Tabella2[[#This Row],[Q/p.c.]]="","",Tabella2[[#This Row],[€ gruppo adulto]]-Tabella2[[#This Row],[€ gruppo a da 1 a 2]])</f>
        <v/>
      </c>
      <c r="AH50" s="5" t="str">
        <f>IF(Tabella2[[#This Row],[Q/p.c.]]="","",Tabella2[[#This Row],[€ gruppo a &gt;2]]/AG$2)</f>
        <v/>
      </c>
    </row>
    <row r="51" spans="3:34" hidden="1" outlineLevel="1" x14ac:dyDescent="0.3">
      <c r="C51" s="7">
        <f>IF(Tabella2[[#This Row],[Macro_prodotto]]&lt;&gt;"",CONCATENATE("M-",Tabella2[[#This Row],[u_macro]]),A50)</f>
        <v>0</v>
      </c>
      <c r="D51" s="7" t="str">
        <f>IF(Tabella2[[#This Row],[Macro_prodotto]]&lt;&gt;"",CONCATENATE("M-",Tabella2[[#This Row],[u_macro]]),"")</f>
        <v/>
      </c>
      <c r="E51" s="7" t="str">
        <f>IF(Tabella2[[#This Row],[Macro_prodotto]]="","",(COUNT(E$4:E50))+1)</f>
        <v/>
      </c>
      <c r="F51" s="7" t="str">
        <f t="shared" si="1"/>
        <v>p-050</v>
      </c>
      <c r="I51" s="8" t="s">
        <v>55</v>
      </c>
      <c r="J51" s="7" t="s">
        <v>8</v>
      </c>
      <c r="K51" s="7">
        <v>6</v>
      </c>
      <c r="L51" s="4" t="s">
        <v>75</v>
      </c>
      <c r="M51" s="13">
        <v>2.5</v>
      </c>
      <c r="N51" s="7"/>
      <c r="O51" s="7"/>
      <c r="P51" s="7" t="str">
        <f>IF(Tabella2[[#This Row],[quantità]]="","",Tabella2[[#This Row],[quantità]]-Tabella2[[#This Row],[quantità]]*P$2)</f>
        <v/>
      </c>
      <c r="Q51" s="3" t="str">
        <f>IF(Tabella2[[#This Row],[margine]]="","",Tabella2[[#This Row],[margine]]/11)</f>
        <v/>
      </c>
      <c r="R51" s="5" t="str">
        <f>IF(Tabella2[[#This Row],[media mensile]]="","",Tabella2[[#This Row],[media mensile]]*Tabella2[[#This Row],[prezzo]])</f>
        <v/>
      </c>
      <c r="S51" s="18"/>
      <c r="T51" s="37" t="str">
        <f>IF(Tabella2[[#This Row],[Q/p.c.]]="","",Tabella2[[#This Row],[Q/p.c.]]*Tabella2[[#This Row],[% n]])</f>
        <v/>
      </c>
      <c r="U51" s="37" t="str">
        <f>IF(Tabella2[[#This Row],[Q/p.c.]]="","",Tabella2[[#This Row],[€ gruppo noenati]]*(S$3*-1))</f>
        <v/>
      </c>
      <c r="V51" s="37" t="str">
        <f>IF(Tabella2[[#This Row],[Q/p.c.]]="","",Tabella2[[#This Row],[€ gruppo noenati]]+Tabella2[[#This Row],[% decurtazione]])</f>
        <v/>
      </c>
      <c r="W51" s="5" t="str">
        <f>IF(Tabella2[[#This Row],[media mensile]]="","",Tabella2[[#This Row],[€ decurtato]]/S$2)</f>
        <v/>
      </c>
      <c r="X51" s="18"/>
      <c r="Y51" s="37" t="str">
        <f>IF(Tabella2[[#This Row],[Q/p.c.]]="","",Tabella2[[#This Row],[Q/p.c.]]*Tabella2[[#This Row],[% b]])</f>
        <v/>
      </c>
      <c r="Z51" s="37" t="str">
        <f>IF(Tabella2[[#This Row],[Q/p.c.]]="","",Tabella2[[#This Row],[€ gruppo bambino]]*(X$3*-1))</f>
        <v/>
      </c>
      <c r="AA51" s="37" t="str">
        <f>IF(Tabella2[[#This Row],[Q/p.c.]]="","",Tabella2[[#This Row],[€ gruppo bambino]]+Tabella2[[#This Row],[% decurtazione b]])</f>
        <v/>
      </c>
      <c r="AB51" s="5" t="str">
        <f>IF(Tabella2[[#This Row],[media mensile]]="","",Tabella2[[#This Row],[€ decurtato b]]/X$2)</f>
        <v/>
      </c>
      <c r="AC51" s="18">
        <f>1-(Tabella2[[#This Row],[% n]]+Tabella2[[#This Row],[% b]])</f>
        <v>1</v>
      </c>
      <c r="AD51" s="37" t="str">
        <f>IF(Tabella2[[#This Row],[Q/p.c.]]="","",SUM((Tabella2[[#This Row],[Q/p.c.]]*Tabella2[[#This Row],[% a]]),(Tabella2[[#This Row],[% decurtazione]]*-1),(Tabella2[[#This Row],[% decurtazione b]]*-1)))</f>
        <v/>
      </c>
      <c r="AE51" s="37" t="str">
        <f>IF(Tabella2[[#This Row],[Q/p.c.]]="","",Tabella2[[#This Row],[€ gruppo adulto]]*AE$3)</f>
        <v/>
      </c>
      <c r="AF51" s="37" t="str">
        <f>IF(Tabella2[[#This Row],[Q/p.c.]]="","",Tabella2[[#This Row],[€ gruppo a da 1 a 2]]/AE$2)</f>
        <v/>
      </c>
      <c r="AG51" s="37" t="str">
        <f>IF(Tabella2[[#This Row],[Q/p.c.]]="","",Tabella2[[#This Row],[€ gruppo adulto]]-Tabella2[[#This Row],[€ gruppo a da 1 a 2]])</f>
        <v/>
      </c>
      <c r="AH51" s="5" t="str">
        <f>IF(Tabella2[[#This Row],[Q/p.c.]]="","",Tabella2[[#This Row],[€ gruppo a &gt;2]]/AG$2)</f>
        <v/>
      </c>
    </row>
    <row r="52" spans="3:34" collapsed="1" x14ac:dyDescent="0.3">
      <c r="C52" s="7" t="str">
        <f>IF(Tabella2[[#This Row],[Macro_prodotto]]&lt;&gt;"",CONCATENATE("M-",Tabella2[[#This Row],[u_macro]]),A51)</f>
        <v>M-25</v>
      </c>
      <c r="D52" s="7" t="str">
        <f>IF(Tabella2[[#This Row],[Macro_prodotto]]&lt;&gt;"",CONCATENATE("M-",Tabella2[[#This Row],[u_macro]]),"")</f>
        <v>M-25</v>
      </c>
      <c r="E52" s="7">
        <f>IF(Tabella2[[#This Row],[Macro_prodotto]]="","",(COUNT(E$4:E51))+1)</f>
        <v>25</v>
      </c>
      <c r="F52" s="7" t="str">
        <f t="shared" si="1"/>
        <v>p-051</v>
      </c>
      <c r="G52" s="8" t="s">
        <v>56</v>
      </c>
      <c r="H52" s="8" t="s">
        <v>136</v>
      </c>
      <c r="I52" s="8" t="s">
        <v>56</v>
      </c>
      <c r="J52" s="7" t="s">
        <v>8</v>
      </c>
      <c r="K52" s="7">
        <v>1000</v>
      </c>
      <c r="L52" s="4" t="s">
        <v>31</v>
      </c>
      <c r="M52" s="13">
        <v>10</v>
      </c>
      <c r="N52" s="7" t="s">
        <v>0</v>
      </c>
      <c r="O52" s="7"/>
      <c r="P52" s="7" t="str">
        <f>IF(Tabella2[[#This Row],[quantità]]="","",Tabella2[[#This Row],[quantità]]-Tabella2[[#This Row],[quantità]]*P$2)</f>
        <v/>
      </c>
      <c r="Q52" s="3" t="str">
        <f>IF(Tabella2[[#This Row],[margine]]="","",Tabella2[[#This Row],[margine]]/11)</f>
        <v/>
      </c>
      <c r="R52" s="5" t="str">
        <f>IF(Tabella2[[#This Row],[media mensile]]="","",Tabella2[[#This Row],[media mensile]]*Tabella2[[#This Row],[prezzo]])</f>
        <v/>
      </c>
      <c r="S52" s="18">
        <v>0</v>
      </c>
      <c r="T52" s="37" t="str">
        <f>IF(Tabella2[[#This Row],[Q/p.c.]]="","",Tabella2[[#This Row],[Q/p.c.]]*Tabella2[[#This Row],[% n]])</f>
        <v/>
      </c>
      <c r="U52" s="37" t="str">
        <f>IF(Tabella2[[#This Row],[Q/p.c.]]="","",Tabella2[[#This Row],[€ gruppo noenati]]*(S$3*-1))</f>
        <v/>
      </c>
      <c r="V52" s="37" t="str">
        <f>IF(Tabella2[[#This Row],[Q/p.c.]]="","",Tabella2[[#This Row],[€ gruppo noenati]]+Tabella2[[#This Row],[% decurtazione]])</f>
        <v/>
      </c>
      <c r="W52" s="5" t="str">
        <f>IF(Tabella2[[#This Row],[media mensile]]="","",Tabella2[[#This Row],[€ decurtato]]/S$2)</f>
        <v/>
      </c>
      <c r="X52" s="18">
        <v>0.4</v>
      </c>
      <c r="Y52" s="37" t="str">
        <f>IF(Tabella2[[#This Row],[Q/p.c.]]="","",Tabella2[[#This Row],[Q/p.c.]]*Tabella2[[#This Row],[% b]])</f>
        <v/>
      </c>
      <c r="Z52" s="37" t="str">
        <f>IF(Tabella2[[#This Row],[Q/p.c.]]="","",Tabella2[[#This Row],[€ gruppo bambino]]*(X$3*-1))</f>
        <v/>
      </c>
      <c r="AA52" s="37" t="str">
        <f>IF(Tabella2[[#This Row],[Q/p.c.]]="","",Tabella2[[#This Row],[€ gruppo bambino]]+Tabella2[[#This Row],[% decurtazione b]])</f>
        <v/>
      </c>
      <c r="AB52" s="5" t="str">
        <f>IF(Tabella2[[#This Row],[media mensile]]="","",Tabella2[[#This Row],[€ decurtato b]]/X$2)</f>
        <v/>
      </c>
      <c r="AC52" s="18">
        <f>1-(Tabella2[[#This Row],[% n]]+Tabella2[[#This Row],[% b]])</f>
        <v>0.6</v>
      </c>
      <c r="AD52" s="37" t="str">
        <f>IF(Tabella2[[#This Row],[Q/p.c.]]="","",SUM((Tabella2[[#This Row],[Q/p.c.]]*Tabella2[[#This Row],[% a]]),(Tabella2[[#This Row],[% decurtazione]]*-1),(Tabella2[[#This Row],[% decurtazione b]]*-1)))</f>
        <v/>
      </c>
      <c r="AE52" s="37" t="str">
        <f>IF(Tabella2[[#This Row],[Q/p.c.]]="","",Tabella2[[#This Row],[€ gruppo adulto]]*AE$3)</f>
        <v/>
      </c>
      <c r="AF52" s="37" t="str">
        <f>IF(Tabella2[[#This Row],[Q/p.c.]]="","",Tabella2[[#This Row],[€ gruppo a da 1 a 2]]/AE$2)</f>
        <v/>
      </c>
      <c r="AG52" s="37" t="str">
        <f>IF(Tabella2[[#This Row],[Q/p.c.]]="","",Tabella2[[#This Row],[€ gruppo adulto]]-Tabella2[[#This Row],[€ gruppo a da 1 a 2]])</f>
        <v/>
      </c>
      <c r="AH52" s="5" t="str">
        <f>IF(Tabella2[[#This Row],[Q/p.c.]]="","",Tabella2[[#This Row],[€ gruppo a &gt;2]]/AG$2)</f>
        <v/>
      </c>
    </row>
    <row r="53" spans="3:34" hidden="1" outlineLevel="1" x14ac:dyDescent="0.3">
      <c r="C53" s="7">
        <f>IF(Tabella2[[#This Row],[Macro_prodotto]]&lt;&gt;"",CONCATENATE("M-",Tabella2[[#This Row],[u_macro]]),A52)</f>
        <v>0</v>
      </c>
      <c r="D53" s="7" t="str">
        <f>IF(Tabella2[[#This Row],[Macro_prodotto]]&lt;&gt;"",CONCATENATE("M-",Tabella2[[#This Row],[u_macro]]),"")</f>
        <v/>
      </c>
      <c r="E53" s="7" t="str">
        <f>IF(Tabella2[[#This Row],[Macro_prodotto]]="","",(COUNT(E$4:E52))+1)</f>
        <v/>
      </c>
      <c r="F53" s="7" t="str">
        <f t="shared" si="1"/>
        <v>p-052</v>
      </c>
      <c r="I53" s="8" t="s">
        <v>56</v>
      </c>
      <c r="J53" s="7" t="s">
        <v>8</v>
      </c>
      <c r="K53" s="7">
        <v>500</v>
      </c>
      <c r="L53" s="4" t="s">
        <v>31</v>
      </c>
      <c r="M53" s="13">
        <v>5</v>
      </c>
      <c r="N53" s="7"/>
      <c r="O53" s="7"/>
      <c r="P53" s="7" t="str">
        <f>IF(Tabella2[[#This Row],[quantità]]="","",Tabella2[[#This Row],[quantità]]-Tabella2[[#This Row],[quantità]]*P$2)</f>
        <v/>
      </c>
      <c r="Q53" s="3" t="str">
        <f>IF(Tabella2[[#This Row],[margine]]="","",Tabella2[[#This Row],[margine]]/11)</f>
        <v/>
      </c>
      <c r="R53" s="5" t="str">
        <f>IF(Tabella2[[#This Row],[media mensile]]="","",Tabella2[[#This Row],[media mensile]]*Tabella2[[#This Row],[prezzo]])</f>
        <v/>
      </c>
      <c r="S53" s="18"/>
      <c r="T53" s="37" t="str">
        <f>IF(Tabella2[[#This Row],[Q/p.c.]]="","",Tabella2[[#This Row],[Q/p.c.]]*Tabella2[[#This Row],[% n]])</f>
        <v/>
      </c>
      <c r="U53" s="37" t="str">
        <f>IF(Tabella2[[#This Row],[Q/p.c.]]="","",Tabella2[[#This Row],[€ gruppo noenati]]*(S$3*-1))</f>
        <v/>
      </c>
      <c r="V53" s="37" t="str">
        <f>IF(Tabella2[[#This Row],[Q/p.c.]]="","",Tabella2[[#This Row],[€ gruppo noenati]]+Tabella2[[#This Row],[% decurtazione]])</f>
        <v/>
      </c>
      <c r="W53" s="5" t="str">
        <f>IF(Tabella2[[#This Row],[media mensile]]="","",Tabella2[[#This Row],[€ decurtato]]/S$2)</f>
        <v/>
      </c>
      <c r="X53" s="18"/>
      <c r="Y53" s="37" t="str">
        <f>IF(Tabella2[[#This Row],[Q/p.c.]]="","",Tabella2[[#This Row],[Q/p.c.]]*Tabella2[[#This Row],[% b]])</f>
        <v/>
      </c>
      <c r="Z53" s="37" t="str">
        <f>IF(Tabella2[[#This Row],[Q/p.c.]]="","",Tabella2[[#This Row],[€ gruppo bambino]]*(X$3*-1))</f>
        <v/>
      </c>
      <c r="AA53" s="37" t="str">
        <f>IF(Tabella2[[#This Row],[Q/p.c.]]="","",Tabella2[[#This Row],[€ gruppo bambino]]+Tabella2[[#This Row],[% decurtazione b]])</f>
        <v/>
      </c>
      <c r="AB53" s="5" t="str">
        <f>IF(Tabella2[[#This Row],[media mensile]]="","",Tabella2[[#This Row],[€ decurtato b]]/X$2)</f>
        <v/>
      </c>
      <c r="AC53" s="18">
        <f>1-(Tabella2[[#This Row],[% n]]+Tabella2[[#This Row],[% b]])</f>
        <v>1</v>
      </c>
      <c r="AD53" s="37" t="str">
        <f>IF(Tabella2[[#This Row],[Q/p.c.]]="","",SUM((Tabella2[[#This Row],[Q/p.c.]]*Tabella2[[#This Row],[% a]]),(Tabella2[[#This Row],[% decurtazione]]*-1),(Tabella2[[#This Row],[% decurtazione b]]*-1)))</f>
        <v/>
      </c>
      <c r="AE53" s="37" t="str">
        <f>IF(Tabella2[[#This Row],[Q/p.c.]]="","",Tabella2[[#This Row],[€ gruppo adulto]]*AE$3)</f>
        <v/>
      </c>
      <c r="AF53" s="37" t="str">
        <f>IF(Tabella2[[#This Row],[Q/p.c.]]="","",Tabella2[[#This Row],[€ gruppo a da 1 a 2]]/AE$2)</f>
        <v/>
      </c>
      <c r="AG53" s="37" t="str">
        <f>IF(Tabella2[[#This Row],[Q/p.c.]]="","",Tabella2[[#This Row],[€ gruppo adulto]]-Tabella2[[#This Row],[€ gruppo a da 1 a 2]])</f>
        <v/>
      </c>
      <c r="AH53" s="5" t="str">
        <f>IF(Tabella2[[#This Row],[Q/p.c.]]="","",Tabella2[[#This Row],[€ gruppo a &gt;2]]/AG$2)</f>
        <v/>
      </c>
    </row>
    <row r="54" spans="3:34" hidden="1" outlineLevel="1" x14ac:dyDescent="0.3">
      <c r="C54" s="7">
        <f>IF(Tabella2[[#This Row],[Macro_prodotto]]&lt;&gt;"",CONCATENATE("M-",Tabella2[[#This Row],[u_macro]]),A53)</f>
        <v>0</v>
      </c>
      <c r="D54" s="7" t="str">
        <f>IF(Tabella2[[#This Row],[Macro_prodotto]]&lt;&gt;"",CONCATENATE("M-",Tabella2[[#This Row],[u_macro]]),"")</f>
        <v/>
      </c>
      <c r="E54" s="7" t="str">
        <f>IF(Tabella2[[#This Row],[Macro_prodotto]]="","",(COUNT(E$4:E53))+1)</f>
        <v/>
      </c>
      <c r="F54" s="7" t="str">
        <f t="shared" si="1"/>
        <v>p-053</v>
      </c>
      <c r="I54" s="8" t="s">
        <v>56</v>
      </c>
      <c r="J54" s="7" t="s">
        <v>8</v>
      </c>
      <c r="K54" s="7">
        <v>250</v>
      </c>
      <c r="L54" s="4" t="s">
        <v>31</v>
      </c>
      <c r="M54" s="13">
        <v>2.5</v>
      </c>
      <c r="N54" s="7"/>
      <c r="O54" s="7"/>
      <c r="P54" s="7" t="str">
        <f>IF(Tabella2[[#This Row],[quantità]]="","",Tabella2[[#This Row],[quantità]]-Tabella2[[#This Row],[quantità]]*P$2)</f>
        <v/>
      </c>
      <c r="Q54" s="3" t="str">
        <f>IF(Tabella2[[#This Row],[margine]]="","",Tabella2[[#This Row],[margine]]/11)</f>
        <v/>
      </c>
      <c r="R54" s="5" t="str">
        <f>IF(Tabella2[[#This Row],[media mensile]]="","",Tabella2[[#This Row],[media mensile]]*Tabella2[[#This Row],[prezzo]])</f>
        <v/>
      </c>
      <c r="S54" s="18"/>
      <c r="T54" s="37" t="str">
        <f>IF(Tabella2[[#This Row],[Q/p.c.]]="","",Tabella2[[#This Row],[Q/p.c.]]*Tabella2[[#This Row],[% n]])</f>
        <v/>
      </c>
      <c r="U54" s="37" t="str">
        <f>IF(Tabella2[[#This Row],[Q/p.c.]]="","",Tabella2[[#This Row],[€ gruppo noenati]]*(S$3*-1))</f>
        <v/>
      </c>
      <c r="V54" s="37" t="str">
        <f>IF(Tabella2[[#This Row],[Q/p.c.]]="","",Tabella2[[#This Row],[€ gruppo noenati]]+Tabella2[[#This Row],[% decurtazione]])</f>
        <v/>
      </c>
      <c r="W54" s="5" t="str">
        <f>IF(Tabella2[[#This Row],[media mensile]]="","",Tabella2[[#This Row],[€ decurtato]]/S$2)</f>
        <v/>
      </c>
      <c r="X54" s="18"/>
      <c r="Y54" s="37" t="str">
        <f>IF(Tabella2[[#This Row],[Q/p.c.]]="","",Tabella2[[#This Row],[Q/p.c.]]*Tabella2[[#This Row],[% b]])</f>
        <v/>
      </c>
      <c r="Z54" s="37" t="str">
        <f>IF(Tabella2[[#This Row],[Q/p.c.]]="","",Tabella2[[#This Row],[€ gruppo bambino]]*(X$3*-1))</f>
        <v/>
      </c>
      <c r="AA54" s="37" t="str">
        <f>IF(Tabella2[[#This Row],[Q/p.c.]]="","",Tabella2[[#This Row],[€ gruppo bambino]]+Tabella2[[#This Row],[% decurtazione b]])</f>
        <v/>
      </c>
      <c r="AB54" s="5" t="str">
        <f>IF(Tabella2[[#This Row],[media mensile]]="","",Tabella2[[#This Row],[€ decurtato b]]/X$2)</f>
        <v/>
      </c>
      <c r="AC54" s="18">
        <f>1-(Tabella2[[#This Row],[% n]]+Tabella2[[#This Row],[% b]])</f>
        <v>1</v>
      </c>
      <c r="AD54" s="37" t="str">
        <f>IF(Tabella2[[#This Row],[Q/p.c.]]="","",SUM((Tabella2[[#This Row],[Q/p.c.]]*Tabella2[[#This Row],[% a]]),(Tabella2[[#This Row],[% decurtazione]]*-1),(Tabella2[[#This Row],[% decurtazione b]]*-1)))</f>
        <v/>
      </c>
      <c r="AE54" s="37" t="str">
        <f>IF(Tabella2[[#This Row],[Q/p.c.]]="","",Tabella2[[#This Row],[€ gruppo adulto]]*AE$3)</f>
        <v/>
      </c>
      <c r="AF54" s="37" t="str">
        <f>IF(Tabella2[[#This Row],[Q/p.c.]]="","",Tabella2[[#This Row],[€ gruppo a da 1 a 2]]/AE$2)</f>
        <v/>
      </c>
      <c r="AG54" s="37" t="str">
        <f>IF(Tabella2[[#This Row],[Q/p.c.]]="","",Tabella2[[#This Row],[€ gruppo adulto]]-Tabella2[[#This Row],[€ gruppo a da 1 a 2]])</f>
        <v/>
      </c>
      <c r="AH54" s="5" t="str">
        <f>IF(Tabella2[[#This Row],[Q/p.c.]]="","",Tabella2[[#This Row],[€ gruppo a &gt;2]]/AG$2)</f>
        <v/>
      </c>
    </row>
    <row r="55" spans="3:34" collapsed="1" x14ac:dyDescent="0.3">
      <c r="C55" s="7" t="str">
        <f>IF(Tabella2[[#This Row],[Macro_prodotto]]&lt;&gt;"",CONCATENATE("M-",Tabella2[[#This Row],[u_macro]]),A54)</f>
        <v>M-26</v>
      </c>
      <c r="D55" s="7" t="str">
        <f>IF(Tabella2[[#This Row],[Macro_prodotto]]&lt;&gt;"",CONCATENATE("M-",Tabella2[[#This Row],[u_macro]]),"")</f>
        <v>M-26</v>
      </c>
      <c r="E55" s="7">
        <f>IF(Tabella2[[#This Row],[Macro_prodotto]]="","",(COUNT(E$4:E54))+1)</f>
        <v>26</v>
      </c>
      <c r="F55" s="7" t="str">
        <f t="shared" si="1"/>
        <v>p-054</v>
      </c>
      <c r="G55" s="8" t="s">
        <v>60</v>
      </c>
      <c r="H55" s="8" t="s">
        <v>137</v>
      </c>
      <c r="I55" s="8" t="s">
        <v>60</v>
      </c>
      <c r="J55" s="7" t="s">
        <v>8</v>
      </c>
      <c r="K55" s="7">
        <v>1000</v>
      </c>
      <c r="L55" s="4" t="s">
        <v>31</v>
      </c>
      <c r="M55" s="13">
        <v>8</v>
      </c>
      <c r="N55" s="7" t="s">
        <v>0</v>
      </c>
      <c r="O55" s="7"/>
      <c r="P55" s="7" t="str">
        <f>IF(Tabella2[[#This Row],[quantità]]="","",Tabella2[[#This Row],[quantità]]-Tabella2[[#This Row],[quantità]]*P$2)</f>
        <v/>
      </c>
      <c r="Q55" s="3" t="str">
        <f>IF(Tabella2[[#This Row],[margine]]="","",Tabella2[[#This Row],[margine]]/11)</f>
        <v/>
      </c>
      <c r="R55" s="5" t="str">
        <f>IF(Tabella2[[#This Row],[media mensile]]="","",Tabella2[[#This Row],[media mensile]]*Tabella2[[#This Row],[prezzo]])</f>
        <v/>
      </c>
      <c r="S55" s="18">
        <v>0</v>
      </c>
      <c r="T55" s="37" t="str">
        <f>IF(Tabella2[[#This Row],[Q/p.c.]]="","",Tabella2[[#This Row],[Q/p.c.]]*Tabella2[[#This Row],[% n]])</f>
        <v/>
      </c>
      <c r="U55" s="37" t="str">
        <f>IF(Tabella2[[#This Row],[Q/p.c.]]="","",Tabella2[[#This Row],[€ gruppo noenati]]*(S$3*-1))</f>
        <v/>
      </c>
      <c r="V55" s="37" t="str">
        <f>IF(Tabella2[[#This Row],[Q/p.c.]]="","",Tabella2[[#This Row],[€ gruppo noenati]]+Tabella2[[#This Row],[% decurtazione]])</f>
        <v/>
      </c>
      <c r="W55" s="5" t="str">
        <f>IF(Tabella2[[#This Row],[media mensile]]="","",Tabella2[[#This Row],[€ decurtato]]/S$2)</f>
        <v/>
      </c>
      <c r="X55" s="18">
        <v>0.4</v>
      </c>
      <c r="Y55" s="37" t="str">
        <f>IF(Tabella2[[#This Row],[Q/p.c.]]="","",Tabella2[[#This Row],[Q/p.c.]]*Tabella2[[#This Row],[% b]])</f>
        <v/>
      </c>
      <c r="Z55" s="37" t="str">
        <f>IF(Tabella2[[#This Row],[Q/p.c.]]="","",Tabella2[[#This Row],[€ gruppo bambino]]*(X$3*-1))</f>
        <v/>
      </c>
      <c r="AA55" s="37" t="str">
        <f>IF(Tabella2[[#This Row],[Q/p.c.]]="","",Tabella2[[#This Row],[€ gruppo bambino]]+Tabella2[[#This Row],[% decurtazione b]])</f>
        <v/>
      </c>
      <c r="AB55" s="5" t="str">
        <f>IF(Tabella2[[#This Row],[media mensile]]="","",Tabella2[[#This Row],[€ decurtato b]]/X$2)</f>
        <v/>
      </c>
      <c r="AC55" s="18">
        <f>1-(Tabella2[[#This Row],[% n]]+Tabella2[[#This Row],[% b]])</f>
        <v>0.6</v>
      </c>
      <c r="AD55" s="37" t="str">
        <f>IF(Tabella2[[#This Row],[Q/p.c.]]="","",SUM((Tabella2[[#This Row],[Q/p.c.]]*Tabella2[[#This Row],[% a]]),(Tabella2[[#This Row],[% decurtazione]]*-1),(Tabella2[[#This Row],[% decurtazione b]]*-1)))</f>
        <v/>
      </c>
      <c r="AE55" s="37" t="str">
        <f>IF(Tabella2[[#This Row],[Q/p.c.]]="","",Tabella2[[#This Row],[€ gruppo adulto]]*AE$3)</f>
        <v/>
      </c>
      <c r="AF55" s="37" t="str">
        <f>IF(Tabella2[[#This Row],[Q/p.c.]]="","",Tabella2[[#This Row],[€ gruppo a da 1 a 2]]/AE$2)</f>
        <v/>
      </c>
      <c r="AG55" s="37" t="str">
        <f>IF(Tabella2[[#This Row],[Q/p.c.]]="","",Tabella2[[#This Row],[€ gruppo adulto]]-Tabella2[[#This Row],[€ gruppo a da 1 a 2]])</f>
        <v/>
      </c>
      <c r="AH55" s="5" t="str">
        <f>IF(Tabella2[[#This Row],[Q/p.c.]]="","",Tabella2[[#This Row],[€ gruppo a &gt;2]]/AG$2)</f>
        <v/>
      </c>
    </row>
    <row r="56" spans="3:34" hidden="1" outlineLevel="1" x14ac:dyDescent="0.3">
      <c r="C56" s="7">
        <f>IF(Tabella2[[#This Row],[Macro_prodotto]]&lt;&gt;"",CONCATENATE("M-",Tabella2[[#This Row],[u_macro]]),A55)</f>
        <v>0</v>
      </c>
      <c r="D56" s="7" t="str">
        <f>IF(Tabella2[[#This Row],[Macro_prodotto]]&lt;&gt;"",CONCATENATE("M-",Tabella2[[#This Row],[u_macro]]),"")</f>
        <v/>
      </c>
      <c r="E56" s="7" t="str">
        <f>IF(Tabella2[[#This Row],[Macro_prodotto]]="","",(COUNT(E$4:E55))+1)</f>
        <v/>
      </c>
      <c r="F56" s="7" t="str">
        <f t="shared" si="1"/>
        <v>p-055</v>
      </c>
      <c r="I56" s="8" t="s">
        <v>60</v>
      </c>
      <c r="J56" s="7" t="s">
        <v>8</v>
      </c>
      <c r="K56" s="7">
        <v>200</v>
      </c>
      <c r="L56" s="4" t="s">
        <v>31</v>
      </c>
      <c r="M56" s="13">
        <v>2</v>
      </c>
      <c r="N56" s="7"/>
      <c r="O56" s="7"/>
      <c r="P56" s="7" t="str">
        <f>IF(Tabella2[[#This Row],[quantità]]="","",Tabella2[[#This Row],[quantità]]-Tabella2[[#This Row],[quantità]]*P$2)</f>
        <v/>
      </c>
      <c r="Q56" s="3" t="str">
        <f>IF(Tabella2[[#This Row],[margine]]="","",Tabella2[[#This Row],[margine]]/11)</f>
        <v/>
      </c>
      <c r="R56" s="5" t="str">
        <f>IF(Tabella2[[#This Row],[media mensile]]="","",Tabella2[[#This Row],[media mensile]]*Tabella2[[#This Row],[prezzo]])</f>
        <v/>
      </c>
      <c r="S56" s="18"/>
      <c r="T56" s="37" t="str">
        <f>IF(Tabella2[[#This Row],[Q/p.c.]]="","",Tabella2[[#This Row],[Q/p.c.]]*Tabella2[[#This Row],[% n]])</f>
        <v/>
      </c>
      <c r="U56" s="37" t="str">
        <f>IF(Tabella2[[#This Row],[Q/p.c.]]="","",Tabella2[[#This Row],[€ gruppo noenati]]*(S$3*-1))</f>
        <v/>
      </c>
      <c r="V56" s="37" t="str">
        <f>IF(Tabella2[[#This Row],[Q/p.c.]]="","",Tabella2[[#This Row],[€ gruppo noenati]]+Tabella2[[#This Row],[% decurtazione]])</f>
        <v/>
      </c>
      <c r="W56" s="5" t="str">
        <f>IF(Tabella2[[#This Row],[media mensile]]="","",Tabella2[[#This Row],[€ decurtato]]/S$2)</f>
        <v/>
      </c>
      <c r="X56" s="18"/>
      <c r="Y56" s="37" t="str">
        <f>IF(Tabella2[[#This Row],[Q/p.c.]]="","",Tabella2[[#This Row],[Q/p.c.]]*Tabella2[[#This Row],[% b]])</f>
        <v/>
      </c>
      <c r="Z56" s="37" t="str">
        <f>IF(Tabella2[[#This Row],[Q/p.c.]]="","",Tabella2[[#This Row],[€ gruppo bambino]]*(X$3*-1))</f>
        <v/>
      </c>
      <c r="AA56" s="37" t="str">
        <f>IF(Tabella2[[#This Row],[Q/p.c.]]="","",Tabella2[[#This Row],[€ gruppo bambino]]+Tabella2[[#This Row],[% decurtazione b]])</f>
        <v/>
      </c>
      <c r="AB56" s="5" t="str">
        <f>IF(Tabella2[[#This Row],[media mensile]]="","",Tabella2[[#This Row],[€ decurtato b]]/X$2)</f>
        <v/>
      </c>
      <c r="AC56" s="18">
        <f>1-(Tabella2[[#This Row],[% n]]+Tabella2[[#This Row],[% b]])</f>
        <v>1</v>
      </c>
      <c r="AD56" s="37" t="str">
        <f>IF(Tabella2[[#This Row],[Q/p.c.]]="","",SUM((Tabella2[[#This Row],[Q/p.c.]]*Tabella2[[#This Row],[% a]]),(Tabella2[[#This Row],[% decurtazione]]*-1),(Tabella2[[#This Row],[% decurtazione b]]*-1)))</f>
        <v/>
      </c>
      <c r="AE56" s="37" t="str">
        <f>IF(Tabella2[[#This Row],[Q/p.c.]]="","",Tabella2[[#This Row],[€ gruppo adulto]]*AE$3)</f>
        <v/>
      </c>
      <c r="AF56" s="37" t="str">
        <f>IF(Tabella2[[#This Row],[Q/p.c.]]="","",Tabella2[[#This Row],[€ gruppo a da 1 a 2]]/AE$2)</f>
        <v/>
      </c>
      <c r="AG56" s="37" t="str">
        <f>IF(Tabella2[[#This Row],[Q/p.c.]]="","",Tabella2[[#This Row],[€ gruppo adulto]]-Tabella2[[#This Row],[€ gruppo a da 1 a 2]])</f>
        <v/>
      </c>
      <c r="AH56" s="5" t="str">
        <f>IF(Tabella2[[#This Row],[Q/p.c.]]="","",Tabella2[[#This Row],[€ gruppo a &gt;2]]/AG$2)</f>
        <v/>
      </c>
    </row>
    <row r="57" spans="3:34" hidden="1" outlineLevel="1" x14ac:dyDescent="0.3">
      <c r="C57" s="7">
        <f>IF(Tabella2[[#This Row],[Macro_prodotto]]&lt;&gt;"",CONCATENATE("M-",Tabella2[[#This Row],[u_macro]]),A56)</f>
        <v>0</v>
      </c>
      <c r="D57" s="7" t="str">
        <f>IF(Tabella2[[#This Row],[Macro_prodotto]]&lt;&gt;"",CONCATENATE("M-",Tabella2[[#This Row],[u_macro]]),"")</f>
        <v/>
      </c>
      <c r="E57" s="7" t="str">
        <f>IF(Tabella2[[#This Row],[Macro_prodotto]]="","",(COUNT(E$4:E56))+1)</f>
        <v/>
      </c>
      <c r="F57" s="7" t="str">
        <f t="shared" si="1"/>
        <v>p-056</v>
      </c>
      <c r="I57" s="8" t="s">
        <v>60</v>
      </c>
      <c r="J57" s="7" t="s">
        <v>8</v>
      </c>
      <c r="K57" s="7">
        <v>100</v>
      </c>
      <c r="L57" s="4" t="s">
        <v>31</v>
      </c>
      <c r="M57" s="13">
        <v>1</v>
      </c>
      <c r="N57" s="7"/>
      <c r="O57" s="7"/>
      <c r="P57" s="7" t="str">
        <f>IF(Tabella2[[#This Row],[quantità]]="","",Tabella2[[#This Row],[quantità]]-Tabella2[[#This Row],[quantità]]*P$2)</f>
        <v/>
      </c>
      <c r="Q57" s="3" t="str">
        <f>IF(Tabella2[[#This Row],[margine]]="","",Tabella2[[#This Row],[margine]]/11)</f>
        <v/>
      </c>
      <c r="R57" s="5" t="str">
        <f>IF(Tabella2[[#This Row],[media mensile]]="","",Tabella2[[#This Row],[media mensile]]*Tabella2[[#This Row],[prezzo]])</f>
        <v/>
      </c>
      <c r="S57" s="18"/>
      <c r="T57" s="37" t="str">
        <f>IF(Tabella2[[#This Row],[Q/p.c.]]="","",Tabella2[[#This Row],[Q/p.c.]]*Tabella2[[#This Row],[% n]])</f>
        <v/>
      </c>
      <c r="U57" s="37" t="str">
        <f>IF(Tabella2[[#This Row],[Q/p.c.]]="","",Tabella2[[#This Row],[€ gruppo noenati]]*(S$3*-1))</f>
        <v/>
      </c>
      <c r="V57" s="37" t="str">
        <f>IF(Tabella2[[#This Row],[Q/p.c.]]="","",Tabella2[[#This Row],[€ gruppo noenati]]+Tabella2[[#This Row],[% decurtazione]])</f>
        <v/>
      </c>
      <c r="W57" s="5" t="str">
        <f>IF(Tabella2[[#This Row],[media mensile]]="","",Tabella2[[#This Row],[€ decurtato]]/S$2)</f>
        <v/>
      </c>
      <c r="X57" s="18"/>
      <c r="Y57" s="37" t="str">
        <f>IF(Tabella2[[#This Row],[Q/p.c.]]="","",Tabella2[[#This Row],[Q/p.c.]]*Tabella2[[#This Row],[% b]])</f>
        <v/>
      </c>
      <c r="Z57" s="37" t="str">
        <f>IF(Tabella2[[#This Row],[Q/p.c.]]="","",Tabella2[[#This Row],[€ gruppo bambino]]*(X$3*-1))</f>
        <v/>
      </c>
      <c r="AA57" s="37" t="str">
        <f>IF(Tabella2[[#This Row],[Q/p.c.]]="","",Tabella2[[#This Row],[€ gruppo bambino]]+Tabella2[[#This Row],[% decurtazione b]])</f>
        <v/>
      </c>
      <c r="AB57" s="5" t="str">
        <f>IF(Tabella2[[#This Row],[media mensile]]="","",Tabella2[[#This Row],[€ decurtato b]]/X$2)</f>
        <v/>
      </c>
      <c r="AC57" s="18">
        <f>1-(Tabella2[[#This Row],[% n]]+Tabella2[[#This Row],[% b]])</f>
        <v>1</v>
      </c>
      <c r="AD57" s="37" t="str">
        <f>IF(Tabella2[[#This Row],[Q/p.c.]]="","",SUM((Tabella2[[#This Row],[Q/p.c.]]*Tabella2[[#This Row],[% a]]),(Tabella2[[#This Row],[% decurtazione]]*-1),(Tabella2[[#This Row],[% decurtazione b]]*-1)))</f>
        <v/>
      </c>
      <c r="AE57" s="37" t="str">
        <f>IF(Tabella2[[#This Row],[Q/p.c.]]="","",Tabella2[[#This Row],[€ gruppo adulto]]*AE$3)</f>
        <v/>
      </c>
      <c r="AF57" s="37" t="str">
        <f>IF(Tabella2[[#This Row],[Q/p.c.]]="","",Tabella2[[#This Row],[€ gruppo a da 1 a 2]]/AE$2)</f>
        <v/>
      </c>
      <c r="AG57" s="37" t="str">
        <f>IF(Tabella2[[#This Row],[Q/p.c.]]="","",Tabella2[[#This Row],[€ gruppo adulto]]-Tabella2[[#This Row],[€ gruppo a da 1 a 2]])</f>
        <v/>
      </c>
      <c r="AH57" s="5" t="str">
        <f>IF(Tabella2[[#This Row],[Q/p.c.]]="","",Tabella2[[#This Row],[€ gruppo a &gt;2]]/AG$2)</f>
        <v/>
      </c>
    </row>
    <row r="58" spans="3:34" collapsed="1" x14ac:dyDescent="0.3">
      <c r="C58" s="7" t="str">
        <f>IF(Tabella2[[#This Row],[Macro_prodotto]]&lt;&gt;"",CONCATENATE("M-",Tabella2[[#This Row],[u_macro]]),A57)</f>
        <v>M-27</v>
      </c>
      <c r="D58" s="7" t="str">
        <f>IF(Tabella2[[#This Row],[Macro_prodotto]]&lt;&gt;"",CONCATENATE("M-",Tabella2[[#This Row],[u_macro]]),"")</f>
        <v>M-27</v>
      </c>
      <c r="E58" s="7">
        <f>IF(Tabella2[[#This Row],[Macro_prodotto]]="","",(COUNT(E$4:E57))+1)</f>
        <v>27</v>
      </c>
      <c r="F58" s="7" t="str">
        <f t="shared" si="1"/>
        <v>p-057</v>
      </c>
      <c r="G58" s="8" t="s">
        <v>63</v>
      </c>
      <c r="H58" s="8" t="s">
        <v>126</v>
      </c>
      <c r="I58" s="8" t="s">
        <v>63</v>
      </c>
      <c r="J58" s="7" t="s">
        <v>8</v>
      </c>
      <c r="K58" s="7">
        <v>1000</v>
      </c>
      <c r="L58" s="4" t="s">
        <v>31</v>
      </c>
      <c r="M58" s="13">
        <v>11</v>
      </c>
      <c r="N58" s="7" t="s">
        <v>0</v>
      </c>
      <c r="O58" s="7">
        <v>340</v>
      </c>
      <c r="P58" s="7">
        <f>IF(Tabella2[[#This Row],[quantità]]="","",Tabella2[[#This Row],[quantità]]-Tabella2[[#This Row],[quantità]]*P$2)</f>
        <v>323</v>
      </c>
      <c r="Q58" s="3">
        <f>IF(Tabella2[[#This Row],[margine]]="","",Tabella2[[#This Row],[margine]]/11)</f>
        <v>29.363636363636363</v>
      </c>
      <c r="R58" s="5">
        <f>IF(Tabella2[[#This Row],[media mensile]]="","",Tabella2[[#This Row],[media mensile]]*Tabella2[[#This Row],[prezzo]])</f>
        <v>323</v>
      </c>
      <c r="S58" s="18">
        <v>0</v>
      </c>
      <c r="T58" s="37">
        <f>IF(Tabella2[[#This Row],[Q/p.c.]]="","",Tabella2[[#This Row],[Q/p.c.]]*Tabella2[[#This Row],[% n]])</f>
        <v>0</v>
      </c>
      <c r="U58" s="37">
        <f>IF(Tabella2[[#This Row],[Q/p.c.]]="","",Tabella2[[#This Row],[€ gruppo noenati]]*(S$3*-1))</f>
        <v>0</v>
      </c>
      <c r="V58" s="37">
        <f>IF(Tabella2[[#This Row],[Q/p.c.]]="","",Tabella2[[#This Row],[€ gruppo noenati]]+Tabella2[[#This Row],[% decurtazione]])</f>
        <v>0</v>
      </c>
      <c r="W58" s="5">
        <f>IF(Tabella2[[#This Row],[media mensile]]="","",Tabella2[[#This Row],[€ decurtato]]/S$2)</f>
        <v>0</v>
      </c>
      <c r="X58" s="18">
        <v>0.2</v>
      </c>
      <c r="Y58" s="37">
        <f>IF(Tabella2[[#This Row],[Q/p.c.]]="","",Tabella2[[#This Row],[Q/p.c.]]*Tabella2[[#This Row],[% b]])</f>
        <v>64.600000000000009</v>
      </c>
      <c r="Z58" s="37">
        <f>IF(Tabella2[[#This Row],[Q/p.c.]]="","",Tabella2[[#This Row],[€ gruppo bambino]]*(X$3*-1))</f>
        <v>-25.840000000000003</v>
      </c>
      <c r="AA58" s="37">
        <f>IF(Tabella2[[#This Row],[Q/p.c.]]="","",Tabella2[[#This Row],[€ gruppo bambino]]+Tabella2[[#This Row],[% decurtazione b]])</f>
        <v>38.760000000000005</v>
      </c>
      <c r="AB58" s="5">
        <f>IF(Tabella2[[#This Row],[media mensile]]="","",Tabella2[[#This Row],[€ decurtato b]]/X$2)</f>
        <v>0.54591549295774655</v>
      </c>
      <c r="AC58" s="18">
        <f>1-(Tabella2[[#This Row],[% n]]+Tabella2[[#This Row],[% b]])</f>
        <v>0.8</v>
      </c>
      <c r="AD58" s="37">
        <f>IF(Tabella2[[#This Row],[Q/p.c.]]="","",SUM((Tabella2[[#This Row],[Q/p.c.]]*Tabella2[[#This Row],[% a]]),(Tabella2[[#This Row],[% decurtazione]]*-1),(Tabella2[[#This Row],[% decurtazione b]]*-1)))</f>
        <v>284.24</v>
      </c>
      <c r="AE58" s="37">
        <f>IF(Tabella2[[#This Row],[Q/p.c.]]="","",Tabella2[[#This Row],[€ gruppo adulto]]*AE$3)</f>
        <v>127.908</v>
      </c>
      <c r="AF58" s="37">
        <f>IF(Tabella2[[#This Row],[Q/p.c.]]="","",Tabella2[[#This Row],[€ gruppo a da 1 a 2]]/AE$2)</f>
        <v>1.4873023255813953</v>
      </c>
      <c r="AG58" s="37">
        <f>IF(Tabella2[[#This Row],[Q/p.c.]]="","",Tabella2[[#This Row],[€ gruppo adulto]]-Tabella2[[#This Row],[€ gruppo a da 1 a 2]])</f>
        <v>156.33199999999999</v>
      </c>
      <c r="AH58" s="5">
        <f>IF(Tabella2[[#This Row],[Q/p.c.]]="","",Tabella2[[#This Row],[€ gruppo a &gt;2]]/AG$2)</f>
        <v>0.89332571428571428</v>
      </c>
    </row>
    <row r="59" spans="3:34" hidden="1" outlineLevel="1" x14ac:dyDescent="0.3">
      <c r="C59" s="7">
        <f>IF(Tabella2[[#This Row],[Macro_prodotto]]&lt;&gt;"",CONCATENATE("M-",Tabella2[[#This Row],[u_macro]]),A58)</f>
        <v>0</v>
      </c>
      <c r="D59" s="7" t="str">
        <f>IF(Tabella2[[#This Row],[Macro_prodotto]]&lt;&gt;"",CONCATENATE("M-",Tabella2[[#This Row],[u_macro]]),"")</f>
        <v/>
      </c>
      <c r="E59" s="7" t="str">
        <f>IF(Tabella2[[#This Row],[Macro_prodotto]]="","",(COUNT(E$4:E58))+1)</f>
        <v/>
      </c>
      <c r="F59" s="7" t="str">
        <f t="shared" si="1"/>
        <v>p-058</v>
      </c>
      <c r="I59" s="8" t="s">
        <v>63</v>
      </c>
      <c r="J59" s="7" t="s">
        <v>8</v>
      </c>
      <c r="K59" s="7">
        <v>500</v>
      </c>
      <c r="L59" s="4" t="s">
        <v>31</v>
      </c>
      <c r="M59" s="13">
        <v>5.5</v>
      </c>
      <c r="N59" s="7"/>
      <c r="O59" s="7"/>
      <c r="P59" s="7" t="str">
        <f>IF(Tabella2[[#This Row],[quantità]]="","",Tabella2[[#This Row],[quantità]]-Tabella2[[#This Row],[quantità]]*P$2)</f>
        <v/>
      </c>
      <c r="Q59" s="3" t="str">
        <f>IF(Tabella2[[#This Row],[margine]]="","",Tabella2[[#This Row],[margine]]/11)</f>
        <v/>
      </c>
      <c r="R59" s="5" t="str">
        <f>IF(Tabella2[[#This Row],[media mensile]]="","",Tabella2[[#This Row],[media mensile]]*Tabella2[[#This Row],[prezzo]])</f>
        <v/>
      </c>
      <c r="S59" s="18"/>
      <c r="T59" s="37" t="str">
        <f>IF(Tabella2[[#This Row],[Q/p.c.]]="","",Tabella2[[#This Row],[Q/p.c.]]*Tabella2[[#This Row],[% n]])</f>
        <v/>
      </c>
      <c r="U59" s="37" t="str">
        <f>IF(Tabella2[[#This Row],[Q/p.c.]]="","",Tabella2[[#This Row],[€ gruppo noenati]]*(S$3*-1))</f>
        <v/>
      </c>
      <c r="V59" s="37" t="str">
        <f>IF(Tabella2[[#This Row],[Q/p.c.]]="","",Tabella2[[#This Row],[€ gruppo noenati]]+Tabella2[[#This Row],[% decurtazione]])</f>
        <v/>
      </c>
      <c r="W59" s="5" t="str">
        <f>IF(Tabella2[[#This Row],[media mensile]]="","",Tabella2[[#This Row],[€ decurtato]]/S$2)</f>
        <v/>
      </c>
      <c r="X59" s="18"/>
      <c r="Y59" s="37" t="str">
        <f>IF(Tabella2[[#This Row],[Q/p.c.]]="","",Tabella2[[#This Row],[Q/p.c.]]*Tabella2[[#This Row],[% b]])</f>
        <v/>
      </c>
      <c r="Z59" s="37" t="str">
        <f>IF(Tabella2[[#This Row],[Q/p.c.]]="","",Tabella2[[#This Row],[€ gruppo bambino]]*(X$3*-1))</f>
        <v/>
      </c>
      <c r="AA59" s="37" t="str">
        <f>IF(Tabella2[[#This Row],[Q/p.c.]]="","",Tabella2[[#This Row],[€ gruppo bambino]]+Tabella2[[#This Row],[% decurtazione b]])</f>
        <v/>
      </c>
      <c r="AB59" s="5" t="str">
        <f>IF(Tabella2[[#This Row],[media mensile]]="","",Tabella2[[#This Row],[€ decurtato b]]/X$2)</f>
        <v/>
      </c>
      <c r="AC59" s="18">
        <f>1-(Tabella2[[#This Row],[% n]]+Tabella2[[#This Row],[% b]])</f>
        <v>1</v>
      </c>
      <c r="AD59" s="37" t="str">
        <f>IF(Tabella2[[#This Row],[Q/p.c.]]="","",SUM((Tabella2[[#This Row],[Q/p.c.]]*Tabella2[[#This Row],[% a]]),(Tabella2[[#This Row],[% decurtazione]]*-1),(Tabella2[[#This Row],[% decurtazione b]]*-1)))</f>
        <v/>
      </c>
      <c r="AE59" s="37" t="str">
        <f>IF(Tabella2[[#This Row],[Q/p.c.]]="","",Tabella2[[#This Row],[€ gruppo adulto]]*AE$3)</f>
        <v/>
      </c>
      <c r="AF59" s="37" t="str">
        <f>IF(Tabella2[[#This Row],[Q/p.c.]]="","",Tabella2[[#This Row],[€ gruppo a da 1 a 2]]/AE$2)</f>
        <v/>
      </c>
      <c r="AG59" s="37" t="str">
        <f>IF(Tabella2[[#This Row],[Q/p.c.]]="","",Tabella2[[#This Row],[€ gruppo adulto]]-Tabella2[[#This Row],[€ gruppo a da 1 a 2]])</f>
        <v/>
      </c>
      <c r="AH59" s="5" t="str">
        <f>IF(Tabella2[[#This Row],[Q/p.c.]]="","",Tabella2[[#This Row],[€ gruppo a &gt;2]]/AG$2)</f>
        <v/>
      </c>
    </row>
    <row r="60" spans="3:34" hidden="1" outlineLevel="1" x14ac:dyDescent="0.3">
      <c r="C60" s="7">
        <f>IF(Tabella2[[#This Row],[Macro_prodotto]]&lt;&gt;"",CONCATENATE("M-",Tabella2[[#This Row],[u_macro]]),A59)</f>
        <v>0</v>
      </c>
      <c r="D60" s="7" t="str">
        <f>IF(Tabella2[[#This Row],[Macro_prodotto]]&lt;&gt;"",CONCATENATE("M-",Tabella2[[#This Row],[u_macro]]),"")</f>
        <v/>
      </c>
      <c r="E60" s="7" t="str">
        <f>IF(Tabella2[[#This Row],[Macro_prodotto]]="","",(COUNT(E$4:E59))+1)</f>
        <v/>
      </c>
      <c r="F60" s="7" t="str">
        <f t="shared" si="1"/>
        <v>p-059</v>
      </c>
      <c r="I60" s="8" t="s">
        <v>63</v>
      </c>
      <c r="J60" s="7" t="s">
        <v>8</v>
      </c>
      <c r="K60" s="7">
        <v>5</v>
      </c>
      <c r="L60" s="4" t="s">
        <v>31</v>
      </c>
      <c r="M60" s="13">
        <v>0.5</v>
      </c>
      <c r="N60" s="7"/>
      <c r="O60" s="7"/>
      <c r="P60" s="7" t="str">
        <f>IF(Tabella2[[#This Row],[quantità]]="","",Tabella2[[#This Row],[quantità]]-Tabella2[[#This Row],[quantità]]*P$2)</f>
        <v/>
      </c>
      <c r="Q60" s="3" t="str">
        <f>IF(Tabella2[[#This Row],[margine]]="","",Tabella2[[#This Row],[margine]]/11)</f>
        <v/>
      </c>
      <c r="R60" s="5" t="str">
        <f>IF(Tabella2[[#This Row],[media mensile]]="","",Tabella2[[#This Row],[media mensile]]*Tabella2[[#This Row],[prezzo]])</f>
        <v/>
      </c>
      <c r="S60" s="18"/>
      <c r="T60" s="37" t="str">
        <f>IF(Tabella2[[#This Row],[Q/p.c.]]="","",Tabella2[[#This Row],[Q/p.c.]]*Tabella2[[#This Row],[% n]])</f>
        <v/>
      </c>
      <c r="U60" s="37" t="str">
        <f>IF(Tabella2[[#This Row],[Q/p.c.]]="","",Tabella2[[#This Row],[€ gruppo noenati]]*(S$3*-1))</f>
        <v/>
      </c>
      <c r="V60" s="37" t="str">
        <f>IF(Tabella2[[#This Row],[Q/p.c.]]="","",Tabella2[[#This Row],[€ gruppo noenati]]+Tabella2[[#This Row],[% decurtazione]])</f>
        <v/>
      </c>
      <c r="W60" s="5" t="str">
        <f>IF(Tabella2[[#This Row],[media mensile]]="","",Tabella2[[#This Row],[€ decurtato]]/S$2)</f>
        <v/>
      </c>
      <c r="X60" s="18"/>
      <c r="Y60" s="37" t="str">
        <f>IF(Tabella2[[#This Row],[Q/p.c.]]="","",Tabella2[[#This Row],[Q/p.c.]]*Tabella2[[#This Row],[% b]])</f>
        <v/>
      </c>
      <c r="Z60" s="37" t="str">
        <f>IF(Tabella2[[#This Row],[Q/p.c.]]="","",Tabella2[[#This Row],[€ gruppo bambino]]*(X$3*-1))</f>
        <v/>
      </c>
      <c r="AA60" s="37" t="str">
        <f>IF(Tabella2[[#This Row],[Q/p.c.]]="","",Tabella2[[#This Row],[€ gruppo bambino]]+Tabella2[[#This Row],[% decurtazione b]])</f>
        <v/>
      </c>
      <c r="AB60" s="5" t="str">
        <f>IF(Tabella2[[#This Row],[media mensile]]="","",Tabella2[[#This Row],[€ decurtato b]]/X$2)</f>
        <v/>
      </c>
      <c r="AC60" s="18">
        <f>1-(Tabella2[[#This Row],[% n]]+Tabella2[[#This Row],[% b]])</f>
        <v>1</v>
      </c>
      <c r="AD60" s="37" t="str">
        <f>IF(Tabella2[[#This Row],[Q/p.c.]]="","",SUM((Tabella2[[#This Row],[Q/p.c.]]*Tabella2[[#This Row],[% a]]),(Tabella2[[#This Row],[% decurtazione]]*-1),(Tabella2[[#This Row],[% decurtazione b]]*-1)))</f>
        <v/>
      </c>
      <c r="AE60" s="37" t="str">
        <f>IF(Tabella2[[#This Row],[Q/p.c.]]="","",Tabella2[[#This Row],[€ gruppo adulto]]*AE$3)</f>
        <v/>
      </c>
      <c r="AF60" s="37" t="str">
        <f>IF(Tabella2[[#This Row],[Q/p.c.]]="","",Tabella2[[#This Row],[€ gruppo a da 1 a 2]]/AE$2)</f>
        <v/>
      </c>
      <c r="AG60" s="37" t="str">
        <f>IF(Tabella2[[#This Row],[Q/p.c.]]="","",Tabella2[[#This Row],[€ gruppo adulto]]-Tabella2[[#This Row],[€ gruppo a da 1 a 2]])</f>
        <v/>
      </c>
      <c r="AH60" s="5" t="str">
        <f>IF(Tabella2[[#This Row],[Q/p.c.]]="","",Tabella2[[#This Row],[€ gruppo a &gt;2]]/AG$2)</f>
        <v/>
      </c>
    </row>
    <row r="61" spans="3:34" collapsed="1" x14ac:dyDescent="0.3">
      <c r="C61" s="7" t="str">
        <f>IF(Tabella2[[#This Row],[Macro_prodotto]]&lt;&gt;"",CONCATENATE("M-",Tabella2[[#This Row],[u_macro]]),A60)</f>
        <v>M-28</v>
      </c>
      <c r="D61" s="7" t="str">
        <f>IF(Tabella2[[#This Row],[Macro_prodotto]]&lt;&gt;"",CONCATENATE("M-",Tabella2[[#This Row],[u_macro]]),"")</f>
        <v>M-28</v>
      </c>
      <c r="E61" s="7">
        <f>IF(Tabella2[[#This Row],[Macro_prodotto]]="","",(COUNT(E$4:E60))+1)</f>
        <v>28</v>
      </c>
      <c r="F61" s="7" t="str">
        <f t="shared" si="1"/>
        <v>p-060</v>
      </c>
      <c r="G61" s="8" t="s">
        <v>68</v>
      </c>
      <c r="H61" s="8" t="s">
        <v>126</v>
      </c>
      <c r="I61" s="8" t="s">
        <v>68</v>
      </c>
      <c r="J61" s="7" t="s">
        <v>8</v>
      </c>
      <c r="K61" s="7">
        <v>1000</v>
      </c>
      <c r="L61" s="4" t="s">
        <v>31</v>
      </c>
      <c r="M61" s="13">
        <v>2</v>
      </c>
      <c r="N61" s="7" t="s">
        <v>100</v>
      </c>
      <c r="O61" s="7"/>
      <c r="P61" s="7" t="str">
        <f>IF(Tabella2[[#This Row],[quantità]]="","",Tabella2[[#This Row],[quantità]]-Tabella2[[#This Row],[quantità]]*P$2)</f>
        <v/>
      </c>
      <c r="Q61" s="3" t="str">
        <f>IF(Tabella2[[#This Row],[margine]]="","",Tabella2[[#This Row],[margine]]/11)</f>
        <v/>
      </c>
      <c r="R61" s="5" t="str">
        <f>IF(Tabella2[[#This Row],[media mensile]]="","",Tabella2[[#This Row],[media mensile]]*Tabella2[[#This Row],[prezzo]])</f>
        <v/>
      </c>
      <c r="S61" s="18">
        <v>0</v>
      </c>
      <c r="T61" s="37" t="str">
        <f>IF(Tabella2[[#This Row],[Q/p.c.]]="","",Tabella2[[#This Row],[Q/p.c.]]*Tabella2[[#This Row],[% n]])</f>
        <v/>
      </c>
      <c r="U61" s="37" t="str">
        <f>IF(Tabella2[[#This Row],[Q/p.c.]]="","",Tabella2[[#This Row],[€ gruppo noenati]]*(S$3*-1))</f>
        <v/>
      </c>
      <c r="V61" s="37" t="str">
        <f>IF(Tabella2[[#This Row],[Q/p.c.]]="","",Tabella2[[#This Row],[€ gruppo noenati]]+Tabella2[[#This Row],[% decurtazione]])</f>
        <v/>
      </c>
      <c r="W61" s="5" t="str">
        <f>IF(Tabella2[[#This Row],[media mensile]]="","",Tabella2[[#This Row],[€ decurtato]]/S$2)</f>
        <v/>
      </c>
      <c r="X61" s="18">
        <v>0</v>
      </c>
      <c r="Y61" s="37" t="str">
        <f>IF(Tabella2[[#This Row],[Q/p.c.]]="","",Tabella2[[#This Row],[Q/p.c.]]*Tabella2[[#This Row],[% b]])</f>
        <v/>
      </c>
      <c r="Z61" s="37" t="str">
        <f>IF(Tabella2[[#This Row],[Q/p.c.]]="","",Tabella2[[#This Row],[€ gruppo bambino]]*(X$3*-1))</f>
        <v/>
      </c>
      <c r="AA61" s="37" t="str">
        <f>IF(Tabella2[[#This Row],[Q/p.c.]]="","",Tabella2[[#This Row],[€ gruppo bambino]]+Tabella2[[#This Row],[% decurtazione b]])</f>
        <v/>
      </c>
      <c r="AB61" s="5" t="str">
        <f>IF(Tabella2[[#This Row],[media mensile]]="","",Tabella2[[#This Row],[€ decurtato b]]/X$2)</f>
        <v/>
      </c>
      <c r="AC61" s="18">
        <f>1-(Tabella2[[#This Row],[% n]]+Tabella2[[#This Row],[% b]])</f>
        <v>1</v>
      </c>
      <c r="AD61" s="37" t="str">
        <f>IF(Tabella2[[#This Row],[Q/p.c.]]="","",SUM((Tabella2[[#This Row],[Q/p.c.]]*Tabella2[[#This Row],[% a]]),(Tabella2[[#This Row],[% decurtazione]]*-1),(Tabella2[[#This Row],[% decurtazione b]]*-1)))</f>
        <v/>
      </c>
      <c r="AE61" s="37" t="str">
        <f>IF(Tabella2[[#This Row],[Q/p.c.]]="","",Tabella2[[#This Row],[€ gruppo adulto]]*AE$3)</f>
        <v/>
      </c>
      <c r="AF61" s="37" t="str">
        <f>IF(Tabella2[[#This Row],[Q/p.c.]]="","",Tabella2[[#This Row],[€ gruppo a da 1 a 2]]/AE$2)</f>
        <v/>
      </c>
      <c r="AG61" s="37" t="str">
        <f>IF(Tabella2[[#This Row],[Q/p.c.]]="","",Tabella2[[#This Row],[€ gruppo adulto]]-Tabella2[[#This Row],[€ gruppo a da 1 a 2]])</f>
        <v/>
      </c>
      <c r="AH61" s="5" t="str">
        <f>IF(Tabella2[[#This Row],[Q/p.c.]]="","",Tabella2[[#This Row],[€ gruppo a &gt;2]]/AG$2)</f>
        <v/>
      </c>
    </row>
    <row r="62" spans="3:34" hidden="1" outlineLevel="1" x14ac:dyDescent="0.3">
      <c r="C62" s="7">
        <f>IF(Tabella2[[#This Row],[Macro_prodotto]]&lt;&gt;"",CONCATENATE("M-",Tabella2[[#This Row],[u_macro]]),A61)</f>
        <v>0</v>
      </c>
      <c r="D62" s="7" t="str">
        <f>IF(Tabella2[[#This Row],[Macro_prodotto]]&lt;&gt;"",CONCATENATE("M-",Tabella2[[#This Row],[u_macro]]),"")</f>
        <v/>
      </c>
      <c r="E62" s="7" t="str">
        <f>IF(Tabella2[[#This Row],[Macro_prodotto]]="","",(COUNT(E$4:E61))+1)</f>
        <v/>
      </c>
      <c r="F62" s="7" t="str">
        <f t="shared" si="1"/>
        <v>p-061</v>
      </c>
      <c r="I62" s="8" t="s">
        <v>68</v>
      </c>
      <c r="J62" s="7" t="s">
        <v>8</v>
      </c>
      <c r="K62" s="7">
        <v>500</v>
      </c>
      <c r="L62" s="4" t="s">
        <v>31</v>
      </c>
      <c r="M62" s="13">
        <v>6</v>
      </c>
      <c r="N62" s="7"/>
      <c r="O62" s="7"/>
      <c r="P62" s="7" t="str">
        <f>IF(Tabella2[[#This Row],[quantità]]="","",Tabella2[[#This Row],[quantità]]-Tabella2[[#This Row],[quantità]]*P$2)</f>
        <v/>
      </c>
      <c r="Q62" s="3" t="str">
        <f>IF(Tabella2[[#This Row],[margine]]="","",Tabella2[[#This Row],[margine]]/11)</f>
        <v/>
      </c>
      <c r="R62" s="5" t="str">
        <f>IF(Tabella2[[#This Row],[media mensile]]="","",Tabella2[[#This Row],[media mensile]]*Tabella2[[#This Row],[prezzo]])</f>
        <v/>
      </c>
      <c r="S62" s="18"/>
      <c r="T62" s="37" t="str">
        <f>IF(Tabella2[[#This Row],[Q/p.c.]]="","",Tabella2[[#This Row],[Q/p.c.]]*Tabella2[[#This Row],[% n]])</f>
        <v/>
      </c>
      <c r="U62" s="37" t="str">
        <f>IF(Tabella2[[#This Row],[Q/p.c.]]="","",Tabella2[[#This Row],[€ gruppo noenati]]*(S$3*-1))</f>
        <v/>
      </c>
      <c r="V62" s="37" t="str">
        <f>IF(Tabella2[[#This Row],[Q/p.c.]]="","",Tabella2[[#This Row],[€ gruppo noenati]]+Tabella2[[#This Row],[% decurtazione]])</f>
        <v/>
      </c>
      <c r="W62" s="5" t="str">
        <f>IF(Tabella2[[#This Row],[media mensile]]="","",Tabella2[[#This Row],[€ decurtato]]/S$2)</f>
        <v/>
      </c>
      <c r="X62" s="18"/>
      <c r="Y62" s="37" t="str">
        <f>IF(Tabella2[[#This Row],[Q/p.c.]]="","",Tabella2[[#This Row],[Q/p.c.]]*Tabella2[[#This Row],[% b]])</f>
        <v/>
      </c>
      <c r="Z62" s="37" t="str">
        <f>IF(Tabella2[[#This Row],[Q/p.c.]]="","",Tabella2[[#This Row],[€ gruppo bambino]]*(X$3*-1))</f>
        <v/>
      </c>
      <c r="AA62" s="37" t="str">
        <f>IF(Tabella2[[#This Row],[Q/p.c.]]="","",Tabella2[[#This Row],[€ gruppo bambino]]+Tabella2[[#This Row],[% decurtazione b]])</f>
        <v/>
      </c>
      <c r="AB62" s="5" t="str">
        <f>IF(Tabella2[[#This Row],[media mensile]]="","",Tabella2[[#This Row],[€ decurtato b]]/X$2)</f>
        <v/>
      </c>
      <c r="AC62" s="18">
        <f>1-(Tabella2[[#This Row],[% n]]+Tabella2[[#This Row],[% b]])</f>
        <v>1</v>
      </c>
      <c r="AD62" s="37" t="str">
        <f>IF(Tabella2[[#This Row],[Q/p.c.]]="","",SUM((Tabella2[[#This Row],[Q/p.c.]]*Tabella2[[#This Row],[% a]]),(Tabella2[[#This Row],[% decurtazione]]*-1),(Tabella2[[#This Row],[% decurtazione b]]*-1)))</f>
        <v/>
      </c>
      <c r="AE62" s="37" t="str">
        <f>IF(Tabella2[[#This Row],[Q/p.c.]]="","",Tabella2[[#This Row],[€ gruppo adulto]]*AE$3)</f>
        <v/>
      </c>
      <c r="AF62" s="37" t="str">
        <f>IF(Tabella2[[#This Row],[Q/p.c.]]="","",Tabella2[[#This Row],[€ gruppo a da 1 a 2]]/AE$2)</f>
        <v/>
      </c>
      <c r="AG62" s="37" t="str">
        <f>IF(Tabella2[[#This Row],[Q/p.c.]]="","",Tabella2[[#This Row],[€ gruppo adulto]]-Tabella2[[#This Row],[€ gruppo a da 1 a 2]])</f>
        <v/>
      </c>
      <c r="AH62" s="5" t="str">
        <f>IF(Tabella2[[#This Row],[Q/p.c.]]="","",Tabella2[[#This Row],[€ gruppo a &gt;2]]/AG$2)</f>
        <v/>
      </c>
    </row>
    <row r="63" spans="3:34" hidden="1" outlineLevel="1" x14ac:dyDescent="0.3">
      <c r="C63" s="7">
        <f>IF(Tabella2[[#This Row],[Macro_prodotto]]&lt;&gt;"",CONCATENATE("M-",Tabella2[[#This Row],[u_macro]]),A62)</f>
        <v>0</v>
      </c>
      <c r="D63" s="7" t="str">
        <f>IF(Tabella2[[#This Row],[Macro_prodotto]]&lt;&gt;"",CONCATENATE("M-",Tabella2[[#This Row],[u_macro]]),"")</f>
        <v/>
      </c>
      <c r="E63" s="7" t="str">
        <f>IF(Tabella2[[#This Row],[Macro_prodotto]]="","",(COUNT(E$4:E62))+1)</f>
        <v/>
      </c>
      <c r="F63" s="7" t="str">
        <f t="shared" si="1"/>
        <v>p-062</v>
      </c>
      <c r="I63" s="8" t="s">
        <v>68</v>
      </c>
      <c r="J63" s="7" t="s">
        <v>8</v>
      </c>
      <c r="K63" s="7">
        <v>250</v>
      </c>
      <c r="L63" s="4" t="s">
        <v>31</v>
      </c>
      <c r="M63" s="13">
        <v>3</v>
      </c>
      <c r="N63" s="7"/>
      <c r="O63" s="7"/>
      <c r="P63" s="7" t="str">
        <f>IF(Tabella2[[#This Row],[quantità]]="","",Tabella2[[#This Row],[quantità]]-Tabella2[[#This Row],[quantità]]*P$2)</f>
        <v/>
      </c>
      <c r="Q63" s="3" t="str">
        <f>IF(Tabella2[[#This Row],[margine]]="","",Tabella2[[#This Row],[margine]]/11)</f>
        <v/>
      </c>
      <c r="R63" s="5" t="str">
        <f>IF(Tabella2[[#This Row],[media mensile]]="","",Tabella2[[#This Row],[media mensile]]*Tabella2[[#This Row],[prezzo]])</f>
        <v/>
      </c>
      <c r="S63" s="18"/>
      <c r="T63" s="37" t="str">
        <f>IF(Tabella2[[#This Row],[Q/p.c.]]="","",Tabella2[[#This Row],[Q/p.c.]]*Tabella2[[#This Row],[% n]])</f>
        <v/>
      </c>
      <c r="U63" s="37" t="str">
        <f>IF(Tabella2[[#This Row],[Q/p.c.]]="","",Tabella2[[#This Row],[€ gruppo noenati]]*(S$3*-1))</f>
        <v/>
      </c>
      <c r="V63" s="37" t="str">
        <f>IF(Tabella2[[#This Row],[Q/p.c.]]="","",Tabella2[[#This Row],[€ gruppo noenati]]+Tabella2[[#This Row],[% decurtazione]])</f>
        <v/>
      </c>
      <c r="W63" s="5" t="str">
        <f>IF(Tabella2[[#This Row],[media mensile]]="","",Tabella2[[#This Row],[€ decurtato]]/S$2)</f>
        <v/>
      </c>
      <c r="X63" s="18"/>
      <c r="Y63" s="37" t="str">
        <f>IF(Tabella2[[#This Row],[Q/p.c.]]="","",Tabella2[[#This Row],[Q/p.c.]]*Tabella2[[#This Row],[% b]])</f>
        <v/>
      </c>
      <c r="Z63" s="37" t="str">
        <f>IF(Tabella2[[#This Row],[Q/p.c.]]="","",Tabella2[[#This Row],[€ gruppo bambino]]*(X$3*-1))</f>
        <v/>
      </c>
      <c r="AA63" s="37" t="str">
        <f>IF(Tabella2[[#This Row],[Q/p.c.]]="","",Tabella2[[#This Row],[€ gruppo bambino]]+Tabella2[[#This Row],[% decurtazione b]])</f>
        <v/>
      </c>
      <c r="AB63" s="5" t="str">
        <f>IF(Tabella2[[#This Row],[media mensile]]="","",Tabella2[[#This Row],[€ decurtato b]]/X$2)</f>
        <v/>
      </c>
      <c r="AC63" s="18">
        <f>1-(Tabella2[[#This Row],[% n]]+Tabella2[[#This Row],[% b]])</f>
        <v>1</v>
      </c>
      <c r="AD63" s="37" t="str">
        <f>IF(Tabella2[[#This Row],[Q/p.c.]]="","",SUM((Tabella2[[#This Row],[Q/p.c.]]*Tabella2[[#This Row],[% a]]),(Tabella2[[#This Row],[% decurtazione]]*-1),(Tabella2[[#This Row],[% decurtazione b]]*-1)))</f>
        <v/>
      </c>
      <c r="AE63" s="37" t="str">
        <f>IF(Tabella2[[#This Row],[Q/p.c.]]="","",Tabella2[[#This Row],[€ gruppo adulto]]*AE$3)</f>
        <v/>
      </c>
      <c r="AF63" s="37" t="str">
        <f>IF(Tabella2[[#This Row],[Q/p.c.]]="","",Tabella2[[#This Row],[€ gruppo a da 1 a 2]]/AE$2)</f>
        <v/>
      </c>
      <c r="AG63" s="37" t="str">
        <f>IF(Tabella2[[#This Row],[Q/p.c.]]="","",Tabella2[[#This Row],[€ gruppo adulto]]-Tabella2[[#This Row],[€ gruppo a da 1 a 2]])</f>
        <v/>
      </c>
      <c r="AH63" s="5" t="str">
        <f>IF(Tabella2[[#This Row],[Q/p.c.]]="","",Tabella2[[#This Row],[€ gruppo a &gt;2]]/AG$2)</f>
        <v/>
      </c>
    </row>
    <row r="64" spans="3:34" collapsed="1" x14ac:dyDescent="0.3">
      <c r="C64" s="7" t="str">
        <f>IF(Tabella2[[#This Row],[Macro_prodotto]]&lt;&gt;"",CONCATENATE("M-",Tabella2[[#This Row],[u_macro]]),A63)</f>
        <v>M-29</v>
      </c>
      <c r="D64" s="7" t="str">
        <f>IF(Tabella2[[#This Row],[Macro_prodotto]]&lt;&gt;"",CONCATENATE("M-",Tabella2[[#This Row],[u_macro]]),"")</f>
        <v>M-29</v>
      </c>
      <c r="E64" s="7">
        <f>IF(Tabella2[[#This Row],[Macro_prodotto]]="","",(COUNT(E$4:E63))+1)</f>
        <v>29</v>
      </c>
      <c r="F64" s="7" t="str">
        <f t="shared" si="1"/>
        <v>p-063</v>
      </c>
      <c r="G64" s="8" t="s">
        <v>78</v>
      </c>
      <c r="H64" s="8" t="s">
        <v>126</v>
      </c>
      <c r="I64" s="8" t="s">
        <v>78</v>
      </c>
      <c r="J64" s="7" t="s">
        <v>8</v>
      </c>
      <c r="K64" s="7">
        <v>200</v>
      </c>
      <c r="L64" s="4" t="s">
        <v>33</v>
      </c>
      <c r="M64" s="13">
        <v>1</v>
      </c>
      <c r="N64" s="7" t="s">
        <v>99</v>
      </c>
      <c r="O64" s="7"/>
      <c r="P64" s="7" t="str">
        <f>IF(Tabella2[[#This Row],[quantità]]="","",Tabella2[[#This Row],[quantità]]-Tabella2[[#This Row],[quantità]]*P$2)</f>
        <v/>
      </c>
      <c r="Q64" s="3" t="str">
        <f>IF(Tabella2[[#This Row],[margine]]="","",Tabella2[[#This Row],[margine]]/11)</f>
        <v/>
      </c>
      <c r="R64" s="5" t="str">
        <f>IF(Tabella2[[#This Row],[media mensile]]="","",Tabella2[[#This Row],[media mensile]]*Tabella2[[#This Row],[prezzo]])</f>
        <v/>
      </c>
      <c r="S64" s="18">
        <v>0</v>
      </c>
      <c r="T64" s="37" t="str">
        <f>IF(Tabella2[[#This Row],[Q/p.c.]]="","",Tabella2[[#This Row],[Q/p.c.]]*Tabella2[[#This Row],[% n]])</f>
        <v/>
      </c>
      <c r="U64" s="37" t="str">
        <f>IF(Tabella2[[#This Row],[Q/p.c.]]="","",Tabella2[[#This Row],[€ gruppo noenati]]*(S$3*-1))</f>
        <v/>
      </c>
      <c r="V64" s="37" t="str">
        <f>IF(Tabella2[[#This Row],[Q/p.c.]]="","",Tabella2[[#This Row],[€ gruppo noenati]]+Tabella2[[#This Row],[% decurtazione]])</f>
        <v/>
      </c>
      <c r="W64" s="5" t="str">
        <f>IF(Tabella2[[#This Row],[media mensile]]="","",Tabella2[[#This Row],[€ decurtato]]/S$2)</f>
        <v/>
      </c>
      <c r="X64" s="18">
        <v>0.2</v>
      </c>
      <c r="Y64" s="37" t="str">
        <f>IF(Tabella2[[#This Row],[Q/p.c.]]="","",Tabella2[[#This Row],[Q/p.c.]]*Tabella2[[#This Row],[% b]])</f>
        <v/>
      </c>
      <c r="Z64" s="37" t="str">
        <f>IF(Tabella2[[#This Row],[Q/p.c.]]="","",Tabella2[[#This Row],[€ gruppo bambino]]*(X$3*-1))</f>
        <v/>
      </c>
      <c r="AA64" s="37" t="str">
        <f>IF(Tabella2[[#This Row],[Q/p.c.]]="","",Tabella2[[#This Row],[€ gruppo bambino]]+Tabella2[[#This Row],[% decurtazione b]])</f>
        <v/>
      </c>
      <c r="AB64" s="5" t="str">
        <f>IF(Tabella2[[#This Row],[media mensile]]="","",Tabella2[[#This Row],[€ decurtato b]]/X$2)</f>
        <v/>
      </c>
      <c r="AC64" s="18">
        <f>1-(Tabella2[[#This Row],[% n]]+Tabella2[[#This Row],[% b]])</f>
        <v>0.8</v>
      </c>
      <c r="AD64" s="37" t="str">
        <f>IF(Tabella2[[#This Row],[Q/p.c.]]="","",SUM((Tabella2[[#This Row],[Q/p.c.]]*Tabella2[[#This Row],[% a]]),(Tabella2[[#This Row],[% decurtazione]]*-1),(Tabella2[[#This Row],[% decurtazione b]]*-1)))</f>
        <v/>
      </c>
      <c r="AE64" s="37" t="str">
        <f>IF(Tabella2[[#This Row],[Q/p.c.]]="","",Tabella2[[#This Row],[€ gruppo adulto]]*AE$3)</f>
        <v/>
      </c>
      <c r="AF64" s="37" t="str">
        <f>IF(Tabella2[[#This Row],[Q/p.c.]]="","",Tabella2[[#This Row],[€ gruppo a da 1 a 2]]/AE$2)</f>
        <v/>
      </c>
      <c r="AG64" s="37" t="str">
        <f>IF(Tabella2[[#This Row],[Q/p.c.]]="","",Tabella2[[#This Row],[€ gruppo adulto]]-Tabella2[[#This Row],[€ gruppo a da 1 a 2]])</f>
        <v/>
      </c>
      <c r="AH64" s="5" t="str">
        <f>IF(Tabella2[[#This Row],[Q/p.c.]]="","",Tabella2[[#This Row],[€ gruppo a &gt;2]]/AG$2)</f>
        <v/>
      </c>
    </row>
    <row r="65" spans="3:34" x14ac:dyDescent="0.3">
      <c r="C65" s="7" t="str">
        <f>IF(Tabella2[[#This Row],[Macro_prodotto]]&lt;&gt;"",CONCATENATE("M-",Tabella2[[#This Row],[u_macro]]),A64)</f>
        <v>M-30</v>
      </c>
      <c r="D65" s="7" t="str">
        <f>IF(Tabella2[[#This Row],[Macro_prodotto]]&lt;&gt;"",CONCATENATE("M-",Tabella2[[#This Row],[u_macro]]),"")</f>
        <v>M-30</v>
      </c>
      <c r="E65" s="7">
        <f>IF(Tabella2[[#This Row],[Macro_prodotto]]="","",(COUNT(E$4:E64))+1)</f>
        <v>30</v>
      </c>
      <c r="F65" s="7" t="str">
        <f t="shared" si="1"/>
        <v>p-064</v>
      </c>
      <c r="G65" s="8" t="s">
        <v>79</v>
      </c>
      <c r="H65" s="8" t="s">
        <v>135</v>
      </c>
      <c r="I65" s="8" t="s">
        <v>79</v>
      </c>
      <c r="J65" s="7" t="s">
        <v>8</v>
      </c>
      <c r="K65" s="7">
        <v>200</v>
      </c>
      <c r="L65" s="4" t="s">
        <v>31</v>
      </c>
      <c r="M65" s="13">
        <v>1.25</v>
      </c>
      <c r="N65" s="7" t="s">
        <v>0</v>
      </c>
      <c r="O65" s="7"/>
      <c r="P65" s="7" t="str">
        <f>IF(Tabella2[[#This Row],[quantità]]="","",Tabella2[[#This Row],[quantità]]-Tabella2[[#This Row],[quantità]]*P$2)</f>
        <v/>
      </c>
      <c r="Q65" s="3" t="str">
        <f>IF(Tabella2[[#This Row],[margine]]="","",Tabella2[[#This Row],[margine]]/11)</f>
        <v/>
      </c>
      <c r="R65" s="5" t="str">
        <f>IF(Tabella2[[#This Row],[media mensile]]="","",Tabella2[[#This Row],[media mensile]]*Tabella2[[#This Row],[prezzo]])</f>
        <v/>
      </c>
      <c r="S65" s="18">
        <v>0</v>
      </c>
      <c r="T65" s="37" t="str">
        <f>IF(Tabella2[[#This Row],[Q/p.c.]]="","",Tabella2[[#This Row],[Q/p.c.]]*Tabella2[[#This Row],[% n]])</f>
        <v/>
      </c>
      <c r="U65" s="37" t="str">
        <f>IF(Tabella2[[#This Row],[Q/p.c.]]="","",Tabella2[[#This Row],[€ gruppo noenati]]*(S$3*-1))</f>
        <v/>
      </c>
      <c r="V65" s="37" t="str">
        <f>IF(Tabella2[[#This Row],[Q/p.c.]]="","",Tabella2[[#This Row],[€ gruppo noenati]]+Tabella2[[#This Row],[% decurtazione]])</f>
        <v/>
      </c>
      <c r="W65" s="5" t="str">
        <f>IF(Tabella2[[#This Row],[media mensile]]="","",Tabella2[[#This Row],[€ decurtato]]/S$2)</f>
        <v/>
      </c>
      <c r="X65" s="18">
        <v>0.2</v>
      </c>
      <c r="Y65" s="37" t="str">
        <f>IF(Tabella2[[#This Row],[Q/p.c.]]="","",Tabella2[[#This Row],[Q/p.c.]]*Tabella2[[#This Row],[% b]])</f>
        <v/>
      </c>
      <c r="Z65" s="37" t="str">
        <f>IF(Tabella2[[#This Row],[Q/p.c.]]="","",Tabella2[[#This Row],[€ gruppo bambino]]*(X$3*-1))</f>
        <v/>
      </c>
      <c r="AA65" s="37" t="str">
        <f>IF(Tabella2[[#This Row],[Q/p.c.]]="","",Tabella2[[#This Row],[€ gruppo bambino]]+Tabella2[[#This Row],[% decurtazione b]])</f>
        <v/>
      </c>
      <c r="AB65" s="5" t="str">
        <f>IF(Tabella2[[#This Row],[media mensile]]="","",Tabella2[[#This Row],[€ decurtato b]]/X$2)</f>
        <v/>
      </c>
      <c r="AC65" s="18">
        <f>1-(Tabella2[[#This Row],[% n]]+Tabella2[[#This Row],[% b]])</f>
        <v>0.8</v>
      </c>
      <c r="AD65" s="37" t="str">
        <f>IF(Tabella2[[#This Row],[Q/p.c.]]="","",SUM((Tabella2[[#This Row],[Q/p.c.]]*Tabella2[[#This Row],[% a]]),(Tabella2[[#This Row],[% decurtazione]]*-1),(Tabella2[[#This Row],[% decurtazione b]]*-1)))</f>
        <v/>
      </c>
      <c r="AE65" s="37" t="str">
        <f>IF(Tabella2[[#This Row],[Q/p.c.]]="","",Tabella2[[#This Row],[€ gruppo adulto]]*AE$3)</f>
        <v/>
      </c>
      <c r="AF65" s="37" t="str">
        <f>IF(Tabella2[[#This Row],[Q/p.c.]]="","",Tabella2[[#This Row],[€ gruppo a da 1 a 2]]/AE$2)</f>
        <v/>
      </c>
      <c r="AG65" s="37" t="str">
        <f>IF(Tabella2[[#This Row],[Q/p.c.]]="","",Tabella2[[#This Row],[€ gruppo adulto]]-Tabella2[[#This Row],[€ gruppo a da 1 a 2]])</f>
        <v/>
      </c>
      <c r="AH65" s="5" t="str">
        <f>IF(Tabella2[[#This Row],[Q/p.c.]]="","",Tabella2[[#This Row],[€ gruppo a &gt;2]]/AG$2)</f>
        <v/>
      </c>
    </row>
    <row r="66" spans="3:34" x14ac:dyDescent="0.3">
      <c r="C66" s="7" t="str">
        <f>IF(Tabella2[[#This Row],[Macro_prodotto]]&lt;&gt;"",CONCATENATE("M-",Tabella2[[#This Row],[u_macro]]),A65)</f>
        <v>M-31</v>
      </c>
      <c r="D66" s="7" t="str">
        <f>IF(Tabella2[[#This Row],[Macro_prodotto]]&lt;&gt;"",CONCATENATE("M-",Tabella2[[#This Row],[u_macro]]),"")</f>
        <v>M-31</v>
      </c>
      <c r="E66" s="7">
        <f>IF(Tabella2[[#This Row],[Macro_prodotto]]="","",(COUNT(E$4:E65))+1)</f>
        <v>31</v>
      </c>
      <c r="F66" s="7" t="str">
        <f t="shared" si="1"/>
        <v>p-065</v>
      </c>
      <c r="G66" s="8" t="s">
        <v>80</v>
      </c>
      <c r="H66" s="8" t="s">
        <v>135</v>
      </c>
      <c r="I66" s="8" t="s">
        <v>80</v>
      </c>
      <c r="J66" s="7" t="s">
        <v>8</v>
      </c>
      <c r="K66" s="7">
        <v>200</v>
      </c>
      <c r="L66" s="4" t="s">
        <v>31</v>
      </c>
      <c r="M66" s="13">
        <v>3</v>
      </c>
      <c r="N66" s="7" t="s">
        <v>0</v>
      </c>
      <c r="O66" s="7"/>
      <c r="P66" s="7" t="str">
        <f>IF(Tabella2[[#This Row],[quantità]]="","",Tabella2[[#This Row],[quantità]]-Tabella2[[#This Row],[quantità]]*P$2)</f>
        <v/>
      </c>
      <c r="Q66" s="3" t="str">
        <f>IF(Tabella2[[#This Row],[margine]]="","",Tabella2[[#This Row],[margine]]/11)</f>
        <v/>
      </c>
      <c r="R66" s="5" t="str">
        <f>IF(Tabella2[[#This Row],[media mensile]]="","",Tabella2[[#This Row],[media mensile]]*Tabella2[[#This Row],[prezzo]])</f>
        <v/>
      </c>
      <c r="S66" s="18">
        <v>0</v>
      </c>
      <c r="T66" s="37" t="str">
        <f>IF(Tabella2[[#This Row],[Q/p.c.]]="","",Tabella2[[#This Row],[Q/p.c.]]*Tabella2[[#This Row],[% n]])</f>
        <v/>
      </c>
      <c r="U66" s="37" t="str">
        <f>IF(Tabella2[[#This Row],[Q/p.c.]]="","",Tabella2[[#This Row],[€ gruppo noenati]]*(S$3*-1))</f>
        <v/>
      </c>
      <c r="V66" s="37" t="str">
        <f>IF(Tabella2[[#This Row],[Q/p.c.]]="","",Tabella2[[#This Row],[€ gruppo noenati]]+Tabella2[[#This Row],[% decurtazione]])</f>
        <v/>
      </c>
      <c r="W66" s="5" t="str">
        <f>IF(Tabella2[[#This Row],[media mensile]]="","",Tabella2[[#This Row],[€ decurtato]]/S$2)</f>
        <v/>
      </c>
      <c r="X66" s="18">
        <v>0.2</v>
      </c>
      <c r="Y66" s="37" t="str">
        <f>IF(Tabella2[[#This Row],[Q/p.c.]]="","",Tabella2[[#This Row],[Q/p.c.]]*Tabella2[[#This Row],[% b]])</f>
        <v/>
      </c>
      <c r="Z66" s="37" t="str">
        <f>IF(Tabella2[[#This Row],[Q/p.c.]]="","",Tabella2[[#This Row],[€ gruppo bambino]]*(X$3*-1))</f>
        <v/>
      </c>
      <c r="AA66" s="37" t="str">
        <f>IF(Tabella2[[#This Row],[Q/p.c.]]="","",Tabella2[[#This Row],[€ gruppo bambino]]+Tabella2[[#This Row],[% decurtazione b]])</f>
        <v/>
      </c>
      <c r="AB66" s="5" t="str">
        <f>IF(Tabella2[[#This Row],[media mensile]]="","",Tabella2[[#This Row],[€ decurtato b]]/X$2)</f>
        <v/>
      </c>
      <c r="AC66" s="18">
        <f>1-(Tabella2[[#This Row],[% n]]+Tabella2[[#This Row],[% b]])</f>
        <v>0.8</v>
      </c>
      <c r="AD66" s="37" t="str">
        <f>IF(Tabella2[[#This Row],[Q/p.c.]]="","",SUM((Tabella2[[#This Row],[Q/p.c.]]*Tabella2[[#This Row],[% a]]),(Tabella2[[#This Row],[% decurtazione]]*-1),(Tabella2[[#This Row],[% decurtazione b]]*-1)))</f>
        <v/>
      </c>
      <c r="AE66" s="37" t="str">
        <f>IF(Tabella2[[#This Row],[Q/p.c.]]="","",Tabella2[[#This Row],[€ gruppo adulto]]*AE$3)</f>
        <v/>
      </c>
      <c r="AF66" s="37" t="str">
        <f>IF(Tabella2[[#This Row],[Q/p.c.]]="","",Tabella2[[#This Row],[€ gruppo a da 1 a 2]]/AE$2)</f>
        <v/>
      </c>
      <c r="AG66" s="37" t="str">
        <f>IF(Tabella2[[#This Row],[Q/p.c.]]="","",Tabella2[[#This Row],[€ gruppo adulto]]-Tabella2[[#This Row],[€ gruppo a da 1 a 2]])</f>
        <v/>
      </c>
      <c r="AH66" s="5" t="str">
        <f>IF(Tabella2[[#This Row],[Q/p.c.]]="","",Tabella2[[#This Row],[€ gruppo a &gt;2]]/AG$2)</f>
        <v/>
      </c>
    </row>
    <row r="67" spans="3:34" x14ac:dyDescent="0.3">
      <c r="C67" s="7" t="str">
        <f>IF(Tabella2[[#This Row],[Macro_prodotto]]&lt;&gt;"",CONCATENATE("M-",Tabella2[[#This Row],[u_macro]]),A66)</f>
        <v>M-32</v>
      </c>
      <c r="D67" s="7" t="str">
        <f>IF(Tabella2[[#This Row],[Macro_prodotto]]&lt;&gt;"",CONCATENATE("M-",Tabella2[[#This Row],[u_macro]]),"")</f>
        <v>M-32</v>
      </c>
      <c r="E67" s="7">
        <f>IF(Tabella2[[#This Row],[Macro_prodotto]]="","",(COUNT(E$4:E66))+1)</f>
        <v>32</v>
      </c>
      <c r="F67" s="7" t="str">
        <f t="shared" si="1"/>
        <v>p-066</v>
      </c>
      <c r="G67" s="8" t="s">
        <v>81</v>
      </c>
      <c r="H67" s="8" t="s">
        <v>132</v>
      </c>
      <c r="I67" s="8" t="s">
        <v>81</v>
      </c>
      <c r="J67" s="7" t="s">
        <v>8</v>
      </c>
      <c r="K67" s="7">
        <v>200</v>
      </c>
      <c r="L67" s="4" t="s">
        <v>31</v>
      </c>
      <c r="M67" s="13">
        <v>1</v>
      </c>
      <c r="N67" s="7" t="s">
        <v>0</v>
      </c>
      <c r="O67" s="7"/>
      <c r="P67" s="7" t="str">
        <f>IF(Tabella2[[#This Row],[quantità]]="","",Tabella2[[#This Row],[quantità]]-Tabella2[[#This Row],[quantità]]*P$2)</f>
        <v/>
      </c>
      <c r="Q67" s="3" t="str">
        <f>IF(Tabella2[[#This Row],[margine]]="","",Tabella2[[#This Row],[margine]]/11)</f>
        <v/>
      </c>
      <c r="R67" s="5" t="str">
        <f>IF(Tabella2[[#This Row],[media mensile]]="","",Tabella2[[#This Row],[media mensile]]*Tabella2[[#This Row],[prezzo]])</f>
        <v/>
      </c>
      <c r="S67" s="18">
        <v>0</v>
      </c>
      <c r="T67" s="37" t="str">
        <f>IF(Tabella2[[#This Row],[Q/p.c.]]="","",Tabella2[[#This Row],[Q/p.c.]]*Tabella2[[#This Row],[% n]])</f>
        <v/>
      </c>
      <c r="U67" s="37" t="str">
        <f>IF(Tabella2[[#This Row],[Q/p.c.]]="","",Tabella2[[#This Row],[€ gruppo noenati]]*(S$3*-1))</f>
        <v/>
      </c>
      <c r="V67" s="37" t="str">
        <f>IF(Tabella2[[#This Row],[Q/p.c.]]="","",Tabella2[[#This Row],[€ gruppo noenati]]+Tabella2[[#This Row],[% decurtazione]])</f>
        <v/>
      </c>
      <c r="W67" s="5" t="str">
        <f>IF(Tabella2[[#This Row],[media mensile]]="","",Tabella2[[#This Row],[€ decurtato]]/S$2)</f>
        <v/>
      </c>
      <c r="X67" s="18">
        <v>0.2</v>
      </c>
      <c r="Y67" s="37" t="str">
        <f>IF(Tabella2[[#This Row],[Q/p.c.]]="","",Tabella2[[#This Row],[Q/p.c.]]*Tabella2[[#This Row],[% b]])</f>
        <v/>
      </c>
      <c r="Z67" s="37" t="str">
        <f>IF(Tabella2[[#This Row],[Q/p.c.]]="","",Tabella2[[#This Row],[€ gruppo bambino]]*(X$3*-1))</f>
        <v/>
      </c>
      <c r="AA67" s="37" t="str">
        <f>IF(Tabella2[[#This Row],[Q/p.c.]]="","",Tabella2[[#This Row],[€ gruppo bambino]]+Tabella2[[#This Row],[% decurtazione b]])</f>
        <v/>
      </c>
      <c r="AB67" s="5" t="str">
        <f>IF(Tabella2[[#This Row],[media mensile]]="","",Tabella2[[#This Row],[€ decurtato b]]/X$2)</f>
        <v/>
      </c>
      <c r="AC67" s="18">
        <f>1-(Tabella2[[#This Row],[% n]]+Tabella2[[#This Row],[% b]])</f>
        <v>0.8</v>
      </c>
      <c r="AD67" s="37" t="str">
        <f>IF(Tabella2[[#This Row],[Q/p.c.]]="","",SUM((Tabella2[[#This Row],[Q/p.c.]]*Tabella2[[#This Row],[% a]]),(Tabella2[[#This Row],[% decurtazione]]*-1),(Tabella2[[#This Row],[% decurtazione b]]*-1)))</f>
        <v/>
      </c>
      <c r="AE67" s="37" t="str">
        <f>IF(Tabella2[[#This Row],[Q/p.c.]]="","",Tabella2[[#This Row],[€ gruppo adulto]]*AE$3)</f>
        <v/>
      </c>
      <c r="AF67" s="37" t="str">
        <f>IF(Tabella2[[#This Row],[Q/p.c.]]="","",Tabella2[[#This Row],[€ gruppo a da 1 a 2]]/AE$2)</f>
        <v/>
      </c>
      <c r="AG67" s="37" t="str">
        <f>IF(Tabella2[[#This Row],[Q/p.c.]]="","",Tabella2[[#This Row],[€ gruppo adulto]]-Tabella2[[#This Row],[€ gruppo a da 1 a 2]])</f>
        <v/>
      </c>
      <c r="AH67" s="5" t="str">
        <f>IF(Tabella2[[#This Row],[Q/p.c.]]="","",Tabella2[[#This Row],[€ gruppo a &gt;2]]/AG$2)</f>
        <v/>
      </c>
    </row>
    <row r="68" spans="3:34" x14ac:dyDescent="0.3">
      <c r="C68" s="7" t="str">
        <f>IF(Tabella2[[#This Row],[Macro_prodotto]]&lt;&gt;"",CONCATENATE("M-",Tabella2[[#This Row],[u_macro]]),A67)</f>
        <v>M-33</v>
      </c>
      <c r="D68" s="7" t="str">
        <f>IF(Tabella2[[#This Row],[Macro_prodotto]]&lt;&gt;"",CONCATENATE("M-",Tabella2[[#This Row],[u_macro]]),"")</f>
        <v>M-33</v>
      </c>
      <c r="E68" s="7">
        <f>IF(Tabella2[[#This Row],[Macro_prodotto]]="","",(COUNT(E$4:E67))+1)</f>
        <v>33</v>
      </c>
      <c r="F68" s="7" t="str">
        <f t="shared" si="1"/>
        <v>p-067</v>
      </c>
      <c r="G68" s="8" t="s">
        <v>82</v>
      </c>
      <c r="H68" s="8" t="s">
        <v>125</v>
      </c>
      <c r="I68" s="8" t="s">
        <v>82</v>
      </c>
      <c r="J68" s="7" t="s">
        <v>8</v>
      </c>
      <c r="K68" s="7">
        <v>250</v>
      </c>
      <c r="L68" s="4" t="s">
        <v>31</v>
      </c>
      <c r="M68" s="13">
        <v>1.5</v>
      </c>
      <c r="N68" s="7" t="s">
        <v>0</v>
      </c>
      <c r="O68" s="7"/>
      <c r="P68" s="7" t="str">
        <f>IF(Tabella2[[#This Row],[quantità]]="","",Tabella2[[#This Row],[quantità]]-Tabella2[[#This Row],[quantità]]*P$2)</f>
        <v/>
      </c>
      <c r="Q68" s="3" t="str">
        <f>IF(Tabella2[[#This Row],[margine]]="","",Tabella2[[#This Row],[margine]]/11)</f>
        <v/>
      </c>
      <c r="R68" s="5" t="str">
        <f>IF(Tabella2[[#This Row],[media mensile]]="","",Tabella2[[#This Row],[media mensile]]*Tabella2[[#This Row],[prezzo]])</f>
        <v/>
      </c>
      <c r="S68" s="18">
        <v>0</v>
      </c>
      <c r="T68" s="37" t="str">
        <f>IF(Tabella2[[#This Row],[Q/p.c.]]="","",Tabella2[[#This Row],[Q/p.c.]]*Tabella2[[#This Row],[% n]])</f>
        <v/>
      </c>
      <c r="U68" s="37" t="str">
        <f>IF(Tabella2[[#This Row],[Q/p.c.]]="","",Tabella2[[#This Row],[€ gruppo noenati]]*(S$3*-1))</f>
        <v/>
      </c>
      <c r="V68" s="37" t="str">
        <f>IF(Tabella2[[#This Row],[Q/p.c.]]="","",Tabella2[[#This Row],[€ gruppo noenati]]+Tabella2[[#This Row],[% decurtazione]])</f>
        <v/>
      </c>
      <c r="W68" s="5" t="str">
        <f>IF(Tabella2[[#This Row],[media mensile]]="","",Tabella2[[#This Row],[€ decurtato]]/S$2)</f>
        <v/>
      </c>
      <c r="X68" s="18">
        <v>0.2</v>
      </c>
      <c r="Y68" s="37" t="str">
        <f>IF(Tabella2[[#This Row],[Q/p.c.]]="","",Tabella2[[#This Row],[Q/p.c.]]*Tabella2[[#This Row],[% b]])</f>
        <v/>
      </c>
      <c r="Z68" s="37" t="str">
        <f>IF(Tabella2[[#This Row],[Q/p.c.]]="","",Tabella2[[#This Row],[€ gruppo bambino]]*(X$3*-1))</f>
        <v/>
      </c>
      <c r="AA68" s="37" t="str">
        <f>IF(Tabella2[[#This Row],[Q/p.c.]]="","",Tabella2[[#This Row],[€ gruppo bambino]]+Tabella2[[#This Row],[% decurtazione b]])</f>
        <v/>
      </c>
      <c r="AB68" s="5" t="str">
        <f>IF(Tabella2[[#This Row],[media mensile]]="","",Tabella2[[#This Row],[€ decurtato b]]/X$2)</f>
        <v/>
      </c>
      <c r="AC68" s="18">
        <f>1-(Tabella2[[#This Row],[% n]]+Tabella2[[#This Row],[% b]])</f>
        <v>0.8</v>
      </c>
      <c r="AD68" s="37" t="str">
        <f>IF(Tabella2[[#This Row],[Q/p.c.]]="","",SUM((Tabella2[[#This Row],[Q/p.c.]]*Tabella2[[#This Row],[% a]]),(Tabella2[[#This Row],[% decurtazione]]*-1),(Tabella2[[#This Row],[% decurtazione b]]*-1)))</f>
        <v/>
      </c>
      <c r="AE68" s="37" t="str">
        <f>IF(Tabella2[[#This Row],[Q/p.c.]]="","",Tabella2[[#This Row],[€ gruppo adulto]]*AE$3)</f>
        <v/>
      </c>
      <c r="AF68" s="37" t="str">
        <f>IF(Tabella2[[#This Row],[Q/p.c.]]="","",Tabella2[[#This Row],[€ gruppo a da 1 a 2]]/AE$2)</f>
        <v/>
      </c>
      <c r="AG68" s="37" t="str">
        <f>IF(Tabella2[[#This Row],[Q/p.c.]]="","",Tabella2[[#This Row],[€ gruppo adulto]]-Tabella2[[#This Row],[€ gruppo a da 1 a 2]])</f>
        <v/>
      </c>
      <c r="AH68" s="5" t="str">
        <f>IF(Tabella2[[#This Row],[Q/p.c.]]="","",Tabella2[[#This Row],[€ gruppo a &gt;2]]/AG$2)</f>
        <v/>
      </c>
    </row>
    <row r="69" spans="3:34" x14ac:dyDescent="0.3">
      <c r="C69" s="7" t="str">
        <f>IF(Tabella2[[#This Row],[Macro_prodotto]]&lt;&gt;"",CONCATENATE("M-",Tabella2[[#This Row],[u_macro]]),A68)</f>
        <v>M-34</v>
      </c>
      <c r="D69" s="7" t="str">
        <f>IF(Tabella2[[#This Row],[Macro_prodotto]]&lt;&gt;"",CONCATENATE("M-",Tabella2[[#This Row],[u_macro]]),"")</f>
        <v>M-34</v>
      </c>
      <c r="E69" s="7">
        <f>IF(Tabella2[[#This Row],[Macro_prodotto]]="","",(COUNT(E$4:E68))+1)</f>
        <v>34</v>
      </c>
      <c r="F69" s="7" t="str">
        <f t="shared" ref="F69:F80" si="2">IF((ROW(A68))&lt;10,CONCATENATE("p-00",(ROW(A68))),IF(AND((ROW(A68))&gt;=10,(ROW(A68))&lt;100),CONCATENATE("p-0",(ROW(A68))),CONCATENATE("p-",(ROW(A68)))))</f>
        <v>p-068</v>
      </c>
      <c r="G69" s="8" t="s">
        <v>83</v>
      </c>
      <c r="H69" s="8" t="s">
        <v>125</v>
      </c>
      <c r="I69" s="8" t="s">
        <v>83</v>
      </c>
      <c r="J69" s="7" t="s">
        <v>8</v>
      </c>
      <c r="K69" s="7">
        <v>125</v>
      </c>
      <c r="L69" s="4" t="s">
        <v>31</v>
      </c>
      <c r="M69" s="13">
        <v>1.5</v>
      </c>
      <c r="N69" s="7" t="s">
        <v>0</v>
      </c>
      <c r="O69" s="7"/>
      <c r="P69" s="7" t="str">
        <f>IF(Tabella2[[#This Row],[quantità]]="","",Tabella2[[#This Row],[quantità]]-Tabella2[[#This Row],[quantità]]*P$2)</f>
        <v/>
      </c>
      <c r="Q69" s="3" t="str">
        <f>IF(Tabella2[[#This Row],[margine]]="","",Tabella2[[#This Row],[margine]]/11)</f>
        <v/>
      </c>
      <c r="R69" s="5" t="str">
        <f>IF(Tabella2[[#This Row],[media mensile]]="","",Tabella2[[#This Row],[media mensile]]*Tabella2[[#This Row],[prezzo]])</f>
        <v/>
      </c>
      <c r="S69" s="18">
        <v>0</v>
      </c>
      <c r="T69" s="37" t="str">
        <f>IF(Tabella2[[#This Row],[Q/p.c.]]="","",Tabella2[[#This Row],[Q/p.c.]]*Tabella2[[#This Row],[% n]])</f>
        <v/>
      </c>
      <c r="U69" s="37" t="str">
        <f>IF(Tabella2[[#This Row],[Q/p.c.]]="","",Tabella2[[#This Row],[€ gruppo noenati]]*(S$3*-1))</f>
        <v/>
      </c>
      <c r="V69" s="37" t="str">
        <f>IF(Tabella2[[#This Row],[Q/p.c.]]="","",Tabella2[[#This Row],[€ gruppo noenati]]+Tabella2[[#This Row],[% decurtazione]])</f>
        <v/>
      </c>
      <c r="W69" s="5" t="str">
        <f>IF(Tabella2[[#This Row],[media mensile]]="","",Tabella2[[#This Row],[€ decurtato]]/S$2)</f>
        <v/>
      </c>
      <c r="X69" s="18">
        <v>0.3</v>
      </c>
      <c r="Y69" s="37" t="str">
        <f>IF(Tabella2[[#This Row],[Q/p.c.]]="","",Tabella2[[#This Row],[Q/p.c.]]*Tabella2[[#This Row],[% b]])</f>
        <v/>
      </c>
      <c r="Z69" s="37" t="str">
        <f>IF(Tabella2[[#This Row],[Q/p.c.]]="","",Tabella2[[#This Row],[€ gruppo bambino]]*(X$3*-1))</f>
        <v/>
      </c>
      <c r="AA69" s="37" t="str">
        <f>IF(Tabella2[[#This Row],[Q/p.c.]]="","",Tabella2[[#This Row],[€ gruppo bambino]]+Tabella2[[#This Row],[% decurtazione b]])</f>
        <v/>
      </c>
      <c r="AB69" s="5" t="str">
        <f>IF(Tabella2[[#This Row],[media mensile]]="","",Tabella2[[#This Row],[€ decurtato b]]/X$2)</f>
        <v/>
      </c>
      <c r="AC69" s="18">
        <f>1-(Tabella2[[#This Row],[% n]]+Tabella2[[#This Row],[% b]])</f>
        <v>0.7</v>
      </c>
      <c r="AD69" s="37" t="str">
        <f>IF(Tabella2[[#This Row],[Q/p.c.]]="","",SUM((Tabella2[[#This Row],[Q/p.c.]]*Tabella2[[#This Row],[% a]]),(Tabella2[[#This Row],[% decurtazione]]*-1),(Tabella2[[#This Row],[% decurtazione b]]*-1)))</f>
        <v/>
      </c>
      <c r="AE69" s="37" t="str">
        <f>IF(Tabella2[[#This Row],[Q/p.c.]]="","",Tabella2[[#This Row],[€ gruppo adulto]]*AE$3)</f>
        <v/>
      </c>
      <c r="AF69" s="37" t="str">
        <f>IF(Tabella2[[#This Row],[Q/p.c.]]="","",Tabella2[[#This Row],[€ gruppo a da 1 a 2]]/AE$2)</f>
        <v/>
      </c>
      <c r="AG69" s="37" t="str">
        <f>IF(Tabella2[[#This Row],[Q/p.c.]]="","",Tabella2[[#This Row],[€ gruppo adulto]]-Tabella2[[#This Row],[€ gruppo a da 1 a 2]])</f>
        <v/>
      </c>
      <c r="AH69" s="5" t="str">
        <f>IF(Tabella2[[#This Row],[Q/p.c.]]="","",Tabella2[[#This Row],[€ gruppo a &gt;2]]/AG$2)</f>
        <v/>
      </c>
    </row>
    <row r="70" spans="3:34" x14ac:dyDescent="0.3">
      <c r="C70" s="7" t="str">
        <f>IF(Tabella2[[#This Row],[Macro_prodotto]]&lt;&gt;"",CONCATENATE("M-",Tabella2[[#This Row],[u_macro]]),A69)</f>
        <v>M-35</v>
      </c>
      <c r="D70" s="7" t="str">
        <f>IF(Tabella2[[#This Row],[Macro_prodotto]]&lt;&gt;"",CONCATENATE("M-",Tabella2[[#This Row],[u_macro]]),"")</f>
        <v>M-35</v>
      </c>
      <c r="E70" s="7">
        <f>IF(Tabella2[[#This Row],[Macro_prodotto]]="","",(COUNT(E$4:E69))+1)</f>
        <v>35</v>
      </c>
      <c r="F70" s="7" t="str">
        <f t="shared" si="2"/>
        <v>p-069</v>
      </c>
      <c r="G70" s="8" t="s">
        <v>84</v>
      </c>
      <c r="H70" s="8" t="s">
        <v>125</v>
      </c>
      <c r="I70" s="8" t="s">
        <v>84</v>
      </c>
      <c r="J70" s="7" t="s">
        <v>8</v>
      </c>
      <c r="K70" s="7">
        <v>500</v>
      </c>
      <c r="L70" s="4" t="s">
        <v>31</v>
      </c>
      <c r="M70" s="13">
        <v>1</v>
      </c>
      <c r="N70" s="7" t="s">
        <v>0</v>
      </c>
      <c r="O70" s="7"/>
      <c r="P70" s="7" t="str">
        <f>IF(Tabella2[[#This Row],[quantità]]="","",Tabella2[[#This Row],[quantità]]-Tabella2[[#This Row],[quantità]]*P$2)</f>
        <v/>
      </c>
      <c r="Q70" s="3" t="str">
        <f>IF(Tabella2[[#This Row],[margine]]="","",Tabella2[[#This Row],[margine]]/11)</f>
        <v/>
      </c>
      <c r="R70" s="5" t="str">
        <f>IF(Tabella2[[#This Row],[media mensile]]="","",Tabella2[[#This Row],[media mensile]]*Tabella2[[#This Row],[prezzo]])</f>
        <v/>
      </c>
      <c r="S70" s="18">
        <v>0</v>
      </c>
      <c r="T70" s="37" t="str">
        <f>IF(Tabella2[[#This Row],[Q/p.c.]]="","",Tabella2[[#This Row],[Q/p.c.]]*Tabella2[[#This Row],[% n]])</f>
        <v/>
      </c>
      <c r="U70" s="37" t="str">
        <f>IF(Tabella2[[#This Row],[Q/p.c.]]="","",Tabella2[[#This Row],[€ gruppo noenati]]*(S$3*-1))</f>
        <v/>
      </c>
      <c r="V70" s="37" t="str">
        <f>IF(Tabella2[[#This Row],[Q/p.c.]]="","",Tabella2[[#This Row],[€ gruppo noenati]]+Tabella2[[#This Row],[% decurtazione]])</f>
        <v/>
      </c>
      <c r="W70" s="5" t="str">
        <f>IF(Tabella2[[#This Row],[media mensile]]="","",Tabella2[[#This Row],[€ decurtato]]/S$2)</f>
        <v/>
      </c>
      <c r="X70" s="18">
        <v>0.3</v>
      </c>
      <c r="Y70" s="37" t="str">
        <f>IF(Tabella2[[#This Row],[Q/p.c.]]="","",Tabella2[[#This Row],[Q/p.c.]]*Tabella2[[#This Row],[% b]])</f>
        <v/>
      </c>
      <c r="Z70" s="37" t="str">
        <f>IF(Tabella2[[#This Row],[Q/p.c.]]="","",Tabella2[[#This Row],[€ gruppo bambino]]*(X$3*-1))</f>
        <v/>
      </c>
      <c r="AA70" s="37" t="str">
        <f>IF(Tabella2[[#This Row],[Q/p.c.]]="","",Tabella2[[#This Row],[€ gruppo bambino]]+Tabella2[[#This Row],[% decurtazione b]])</f>
        <v/>
      </c>
      <c r="AB70" s="5" t="str">
        <f>IF(Tabella2[[#This Row],[media mensile]]="","",Tabella2[[#This Row],[€ decurtato b]]/X$2)</f>
        <v/>
      </c>
      <c r="AC70" s="18">
        <f>1-(Tabella2[[#This Row],[% n]]+Tabella2[[#This Row],[% b]])</f>
        <v>0.7</v>
      </c>
      <c r="AD70" s="37" t="str">
        <f>IF(Tabella2[[#This Row],[Q/p.c.]]="","",SUM((Tabella2[[#This Row],[Q/p.c.]]*Tabella2[[#This Row],[% a]]),(Tabella2[[#This Row],[% decurtazione]]*-1),(Tabella2[[#This Row],[% decurtazione b]]*-1)))</f>
        <v/>
      </c>
      <c r="AE70" s="37" t="str">
        <f>IF(Tabella2[[#This Row],[Q/p.c.]]="","",Tabella2[[#This Row],[€ gruppo adulto]]*AE$3)</f>
        <v/>
      </c>
      <c r="AF70" s="37" t="str">
        <f>IF(Tabella2[[#This Row],[Q/p.c.]]="","",Tabella2[[#This Row],[€ gruppo a da 1 a 2]]/AE$2)</f>
        <v/>
      </c>
      <c r="AG70" s="37" t="str">
        <f>IF(Tabella2[[#This Row],[Q/p.c.]]="","",Tabella2[[#This Row],[€ gruppo adulto]]-Tabella2[[#This Row],[€ gruppo a da 1 a 2]])</f>
        <v/>
      </c>
      <c r="AH70" s="5" t="str">
        <f>IF(Tabella2[[#This Row],[Q/p.c.]]="","",Tabella2[[#This Row],[€ gruppo a &gt;2]]/AG$2)</f>
        <v/>
      </c>
    </row>
    <row r="71" spans="3:34" x14ac:dyDescent="0.3">
      <c r="C71" s="7" t="str">
        <f>IF(Tabella2[[#This Row],[Macro_prodotto]]&lt;&gt;"",CONCATENATE("M-",Tabella2[[#This Row],[u_macro]]),A70)</f>
        <v>M-36</v>
      </c>
      <c r="D71" s="7" t="str">
        <f>IF(Tabella2[[#This Row],[Macro_prodotto]]&lt;&gt;"",CONCATENATE("M-",Tabella2[[#This Row],[u_macro]]),"")</f>
        <v>M-36</v>
      </c>
      <c r="E71" s="7">
        <f>IF(Tabella2[[#This Row],[Macro_prodotto]]="","",(COUNT(E$4:E70))+1)</f>
        <v>36</v>
      </c>
      <c r="F71" s="7" t="str">
        <f t="shared" si="2"/>
        <v>p-070</v>
      </c>
      <c r="G71" s="8" t="s">
        <v>85</v>
      </c>
      <c r="H71" s="8" t="s">
        <v>131</v>
      </c>
      <c r="I71" s="8" t="s">
        <v>85</v>
      </c>
      <c r="J71" s="7" t="s">
        <v>8</v>
      </c>
      <c r="K71" s="7">
        <v>250</v>
      </c>
      <c r="L71" s="4" t="s">
        <v>31</v>
      </c>
      <c r="M71" s="13">
        <v>2.5</v>
      </c>
      <c r="N71" s="7" t="s">
        <v>0</v>
      </c>
      <c r="O71" s="7"/>
      <c r="P71" s="7" t="str">
        <f>IF(Tabella2[[#This Row],[quantità]]="","",Tabella2[[#This Row],[quantità]]-Tabella2[[#This Row],[quantità]]*P$2)</f>
        <v/>
      </c>
      <c r="Q71" s="3" t="str">
        <f>IF(Tabella2[[#This Row],[margine]]="","",Tabella2[[#This Row],[margine]]/11)</f>
        <v/>
      </c>
      <c r="R71" s="5" t="str">
        <f>IF(Tabella2[[#This Row],[media mensile]]="","",Tabella2[[#This Row],[media mensile]]*Tabella2[[#This Row],[prezzo]])</f>
        <v/>
      </c>
      <c r="S71" s="18">
        <v>0</v>
      </c>
      <c r="T71" s="37" t="str">
        <f>IF(Tabella2[[#This Row],[Q/p.c.]]="","",Tabella2[[#This Row],[Q/p.c.]]*Tabella2[[#This Row],[% n]])</f>
        <v/>
      </c>
      <c r="U71" s="37" t="str">
        <f>IF(Tabella2[[#This Row],[Q/p.c.]]="","",Tabella2[[#This Row],[€ gruppo noenati]]*(S$3*-1))</f>
        <v/>
      </c>
      <c r="V71" s="37" t="str">
        <f>IF(Tabella2[[#This Row],[Q/p.c.]]="","",Tabella2[[#This Row],[€ gruppo noenati]]+Tabella2[[#This Row],[% decurtazione]])</f>
        <v/>
      </c>
      <c r="W71" s="5" t="str">
        <f>IF(Tabella2[[#This Row],[media mensile]]="","",Tabella2[[#This Row],[€ decurtato]]/S$2)</f>
        <v/>
      </c>
      <c r="X71" s="18">
        <v>0</v>
      </c>
      <c r="Y71" s="37" t="str">
        <f>IF(Tabella2[[#This Row],[Q/p.c.]]="","",Tabella2[[#This Row],[Q/p.c.]]*Tabella2[[#This Row],[% b]])</f>
        <v/>
      </c>
      <c r="Z71" s="37" t="str">
        <f>IF(Tabella2[[#This Row],[Q/p.c.]]="","",Tabella2[[#This Row],[€ gruppo bambino]]*(X$3*-1))</f>
        <v/>
      </c>
      <c r="AA71" s="37" t="str">
        <f>IF(Tabella2[[#This Row],[Q/p.c.]]="","",Tabella2[[#This Row],[€ gruppo bambino]]+Tabella2[[#This Row],[% decurtazione b]])</f>
        <v/>
      </c>
      <c r="AB71" s="5" t="str">
        <f>IF(Tabella2[[#This Row],[media mensile]]="","",Tabella2[[#This Row],[€ decurtato b]]/X$2)</f>
        <v/>
      </c>
      <c r="AC71" s="18">
        <v>0</v>
      </c>
      <c r="AD71" s="37" t="str">
        <f>IF(Tabella2[[#This Row],[Q/p.c.]]="","",SUM((Tabella2[[#This Row],[Q/p.c.]]*Tabella2[[#This Row],[% a]]),(Tabella2[[#This Row],[% decurtazione]]*-1),(Tabella2[[#This Row],[% decurtazione b]]*-1)))</f>
        <v/>
      </c>
      <c r="AE71" s="37" t="str">
        <f>IF(Tabella2[[#This Row],[Q/p.c.]]="","",Tabella2[[#This Row],[€ gruppo adulto]]*AE$3)</f>
        <v/>
      </c>
      <c r="AF71" s="37" t="str">
        <f>IF(Tabella2[[#This Row],[Q/p.c.]]="","",Tabella2[[#This Row],[€ gruppo a da 1 a 2]]/AE$2)</f>
        <v/>
      </c>
      <c r="AG71" s="37" t="str">
        <f>IF(Tabella2[[#This Row],[Q/p.c.]]="","",Tabella2[[#This Row],[€ gruppo adulto]]-Tabella2[[#This Row],[€ gruppo a da 1 a 2]])</f>
        <v/>
      </c>
      <c r="AH71" s="5" t="str">
        <f>IF(Tabella2[[#This Row],[Q/p.c.]]="","",Tabella2[[#This Row],[€ gruppo a &gt;2]]/AG$2)</f>
        <v/>
      </c>
    </row>
    <row r="72" spans="3:34" x14ac:dyDescent="0.3">
      <c r="C72" s="7" t="str">
        <f>IF(Tabella2[[#This Row],[Macro_prodotto]]&lt;&gt;"",CONCATENATE("M-",Tabella2[[#This Row],[u_macro]]),A71)</f>
        <v>M-37</v>
      </c>
      <c r="D72" s="7" t="str">
        <f>IF(Tabella2[[#This Row],[Macro_prodotto]]&lt;&gt;"",CONCATENATE("M-",Tabella2[[#This Row],[u_macro]]),"")</f>
        <v>M-37</v>
      </c>
      <c r="E72" s="7">
        <f>IF(Tabella2[[#This Row],[Macro_prodotto]]="","",(COUNT(E$4:E71))+1)</f>
        <v>37</v>
      </c>
      <c r="F72" s="7" t="str">
        <f t="shared" si="2"/>
        <v>p-071</v>
      </c>
      <c r="G72" s="8" t="s">
        <v>86</v>
      </c>
      <c r="H72" s="8" t="s">
        <v>125</v>
      </c>
      <c r="I72" s="8" t="s">
        <v>86</v>
      </c>
      <c r="J72" s="7" t="s">
        <v>8</v>
      </c>
      <c r="K72" s="7">
        <v>4</v>
      </c>
      <c r="L72" s="4" t="s">
        <v>75</v>
      </c>
      <c r="M72" s="13">
        <v>5</v>
      </c>
      <c r="N72" s="7" t="s">
        <v>100</v>
      </c>
      <c r="O72" s="7"/>
      <c r="P72" s="7" t="str">
        <f>IF(Tabella2[[#This Row],[quantità]]="","",Tabella2[[#This Row],[quantità]]-Tabella2[[#This Row],[quantità]]*P$2)</f>
        <v/>
      </c>
      <c r="Q72" s="3" t="str">
        <f>IF(Tabella2[[#This Row],[margine]]="","",Tabella2[[#This Row],[margine]]/11)</f>
        <v/>
      </c>
      <c r="R72" s="5" t="str">
        <f>IF(Tabella2[[#This Row],[media mensile]]="","",Tabella2[[#This Row],[media mensile]]*Tabella2[[#This Row],[prezzo]])</f>
        <v/>
      </c>
      <c r="S72" s="18">
        <v>0</v>
      </c>
      <c r="T72" s="37" t="str">
        <f>IF(Tabella2[[#This Row],[Q/p.c.]]="","",Tabella2[[#This Row],[Q/p.c.]]*Tabella2[[#This Row],[% n]])</f>
        <v/>
      </c>
      <c r="U72" s="37" t="str">
        <f>IF(Tabella2[[#This Row],[Q/p.c.]]="","",Tabella2[[#This Row],[€ gruppo noenati]]*(S$3*-1))</f>
        <v/>
      </c>
      <c r="V72" s="37" t="str">
        <f>IF(Tabella2[[#This Row],[Q/p.c.]]="","",Tabella2[[#This Row],[€ gruppo noenati]]+Tabella2[[#This Row],[% decurtazione]])</f>
        <v/>
      </c>
      <c r="W72" s="5" t="str">
        <f>IF(Tabella2[[#This Row],[media mensile]]="","",Tabella2[[#This Row],[€ decurtato]]/S$2)</f>
        <v/>
      </c>
      <c r="X72" s="18">
        <v>0.4</v>
      </c>
      <c r="Y72" s="37" t="str">
        <f>IF(Tabella2[[#This Row],[Q/p.c.]]="","",Tabella2[[#This Row],[Q/p.c.]]*Tabella2[[#This Row],[% b]])</f>
        <v/>
      </c>
      <c r="Z72" s="37" t="str">
        <f>IF(Tabella2[[#This Row],[Q/p.c.]]="","",Tabella2[[#This Row],[€ gruppo bambino]]*(X$3*-1))</f>
        <v/>
      </c>
      <c r="AA72" s="37" t="str">
        <f>IF(Tabella2[[#This Row],[Q/p.c.]]="","",Tabella2[[#This Row],[€ gruppo bambino]]+Tabella2[[#This Row],[% decurtazione b]])</f>
        <v/>
      </c>
      <c r="AB72" s="5" t="str">
        <f>IF(Tabella2[[#This Row],[media mensile]]="","",Tabella2[[#This Row],[€ decurtato b]]/X$2)</f>
        <v/>
      </c>
      <c r="AC72" s="18">
        <f>1-(Tabella2[[#This Row],[% n]]+Tabella2[[#This Row],[% b]])</f>
        <v>0.6</v>
      </c>
      <c r="AD72" s="37" t="str">
        <f>IF(Tabella2[[#This Row],[Q/p.c.]]="","",SUM((Tabella2[[#This Row],[Q/p.c.]]*Tabella2[[#This Row],[% a]]),(Tabella2[[#This Row],[% decurtazione]]*-1),(Tabella2[[#This Row],[% decurtazione b]]*-1)))</f>
        <v/>
      </c>
      <c r="AE72" s="37" t="str">
        <f>IF(Tabella2[[#This Row],[Q/p.c.]]="","",Tabella2[[#This Row],[€ gruppo adulto]]*AE$3)</f>
        <v/>
      </c>
      <c r="AF72" s="37" t="str">
        <f>IF(Tabella2[[#This Row],[Q/p.c.]]="","",Tabella2[[#This Row],[€ gruppo a da 1 a 2]]/AE$2)</f>
        <v/>
      </c>
      <c r="AG72" s="37" t="str">
        <f>IF(Tabella2[[#This Row],[Q/p.c.]]="","",Tabella2[[#This Row],[€ gruppo adulto]]-Tabella2[[#This Row],[€ gruppo a da 1 a 2]])</f>
        <v/>
      </c>
      <c r="AH72" s="5" t="str">
        <f>IF(Tabella2[[#This Row],[Q/p.c.]]="","",Tabella2[[#This Row],[€ gruppo a &gt;2]]/AG$2)</f>
        <v/>
      </c>
    </row>
    <row r="73" spans="3:34" x14ac:dyDescent="0.3">
      <c r="C73" s="7" t="str">
        <f>IF(Tabella2[[#This Row],[Macro_prodotto]]&lt;&gt;"",CONCATENATE("M-",Tabella2[[#This Row],[u_macro]]),A72)</f>
        <v>M-38</v>
      </c>
      <c r="D73" s="7" t="str">
        <f>IF(Tabella2[[#This Row],[Macro_prodotto]]&lt;&gt;"",CONCATENATE("M-",Tabella2[[#This Row],[u_macro]]),"")</f>
        <v>M-38</v>
      </c>
      <c r="E73" s="7">
        <f>IF(Tabella2[[#This Row],[Macro_prodotto]]="","",(COUNT(E$4:E72))+1)</f>
        <v>38</v>
      </c>
      <c r="F73" s="7" t="str">
        <f t="shared" si="2"/>
        <v>p-072</v>
      </c>
      <c r="G73" s="8" t="s">
        <v>87</v>
      </c>
      <c r="H73" s="8" t="s">
        <v>132</v>
      </c>
      <c r="I73" s="8" t="s">
        <v>87</v>
      </c>
      <c r="J73" s="7" t="s">
        <v>8</v>
      </c>
      <c r="K73" s="7">
        <v>500</v>
      </c>
      <c r="L73" s="4" t="s">
        <v>31</v>
      </c>
      <c r="M73" s="13">
        <v>3.5</v>
      </c>
      <c r="N73" s="7" t="s">
        <v>0</v>
      </c>
      <c r="O73" s="7"/>
      <c r="P73" s="7" t="str">
        <f>IF(Tabella2[[#This Row],[quantità]]="","",Tabella2[[#This Row],[quantità]]-Tabella2[[#This Row],[quantità]]*P$2)</f>
        <v/>
      </c>
      <c r="Q73" s="3" t="str">
        <f>IF(Tabella2[[#This Row],[margine]]="","",Tabella2[[#This Row],[margine]]/11)</f>
        <v/>
      </c>
      <c r="R73" s="5" t="str">
        <f>IF(Tabella2[[#This Row],[media mensile]]="","",Tabella2[[#This Row],[media mensile]]*Tabella2[[#This Row],[prezzo]])</f>
        <v/>
      </c>
      <c r="S73" s="18">
        <v>0</v>
      </c>
      <c r="T73" s="37" t="str">
        <f>IF(Tabella2[[#This Row],[Q/p.c.]]="","",Tabella2[[#This Row],[Q/p.c.]]*Tabella2[[#This Row],[% n]])</f>
        <v/>
      </c>
      <c r="U73" s="37" t="str">
        <f>IF(Tabella2[[#This Row],[Q/p.c.]]="","",Tabella2[[#This Row],[€ gruppo noenati]]*(S$3*-1))</f>
        <v/>
      </c>
      <c r="V73" s="37" t="str">
        <f>IF(Tabella2[[#This Row],[Q/p.c.]]="","",Tabella2[[#This Row],[€ gruppo noenati]]+Tabella2[[#This Row],[% decurtazione]])</f>
        <v/>
      </c>
      <c r="W73" s="5" t="str">
        <f>IF(Tabella2[[#This Row],[media mensile]]="","",Tabella2[[#This Row],[€ decurtato]]/S$2)</f>
        <v/>
      </c>
      <c r="X73" s="18">
        <v>0.6</v>
      </c>
      <c r="Y73" s="37" t="str">
        <f>IF(Tabella2[[#This Row],[Q/p.c.]]="","",Tabella2[[#This Row],[Q/p.c.]]*Tabella2[[#This Row],[% b]])</f>
        <v/>
      </c>
      <c r="Z73" s="37" t="str">
        <f>IF(Tabella2[[#This Row],[Q/p.c.]]="","",Tabella2[[#This Row],[€ gruppo bambino]]*(X$3*-1))</f>
        <v/>
      </c>
      <c r="AA73" s="37" t="str">
        <f>IF(Tabella2[[#This Row],[Q/p.c.]]="","",Tabella2[[#This Row],[€ gruppo bambino]]+Tabella2[[#This Row],[% decurtazione b]])</f>
        <v/>
      </c>
      <c r="AB73" s="5" t="str">
        <f>IF(Tabella2[[#This Row],[media mensile]]="","",Tabella2[[#This Row],[€ decurtato b]]/X$2)</f>
        <v/>
      </c>
      <c r="AC73" s="18">
        <f>1-(Tabella2[[#This Row],[% n]]+Tabella2[[#This Row],[% b]])</f>
        <v>0.4</v>
      </c>
      <c r="AD73" s="37" t="str">
        <f>IF(Tabella2[[#This Row],[Q/p.c.]]="","",SUM((Tabella2[[#This Row],[Q/p.c.]]*Tabella2[[#This Row],[% a]]),(Tabella2[[#This Row],[% decurtazione]]*-1),(Tabella2[[#This Row],[% decurtazione b]]*-1)))</f>
        <v/>
      </c>
      <c r="AE73" s="37" t="str">
        <f>IF(Tabella2[[#This Row],[Q/p.c.]]="","",Tabella2[[#This Row],[€ gruppo adulto]]*AE$3)</f>
        <v/>
      </c>
      <c r="AF73" s="37" t="str">
        <f>IF(Tabella2[[#This Row],[Q/p.c.]]="","",Tabella2[[#This Row],[€ gruppo a da 1 a 2]]/AE$2)</f>
        <v/>
      </c>
      <c r="AG73" s="37" t="str">
        <f>IF(Tabella2[[#This Row],[Q/p.c.]]="","",Tabella2[[#This Row],[€ gruppo adulto]]-Tabella2[[#This Row],[€ gruppo a da 1 a 2]])</f>
        <v/>
      </c>
      <c r="AH73" s="5" t="str">
        <f>IF(Tabella2[[#This Row],[Q/p.c.]]="","",Tabella2[[#This Row],[€ gruppo a &gt;2]]/AG$2)</f>
        <v/>
      </c>
    </row>
    <row r="74" spans="3:34" x14ac:dyDescent="0.3">
      <c r="C74" s="7" t="str">
        <f>IF(Tabella2[[#This Row],[Macro_prodotto]]&lt;&gt;"",CONCATENATE("M-",Tabella2[[#This Row],[u_macro]]),A73)</f>
        <v>M-39</v>
      </c>
      <c r="D74" s="7" t="str">
        <f>IF(Tabella2[[#This Row],[Macro_prodotto]]&lt;&gt;"",CONCATENATE("M-",Tabella2[[#This Row],[u_macro]]),"")</f>
        <v>M-39</v>
      </c>
      <c r="E74" s="7">
        <f>IF(Tabella2[[#This Row],[Macro_prodotto]]="","",(COUNT(E$4:E73))+1)</f>
        <v>39</v>
      </c>
      <c r="F74" s="7" t="str">
        <f t="shared" si="2"/>
        <v>p-073</v>
      </c>
      <c r="G74" s="8" t="s">
        <v>88</v>
      </c>
      <c r="H74" s="8" t="s">
        <v>125</v>
      </c>
      <c r="I74" s="8" t="s">
        <v>88</v>
      </c>
      <c r="J74" s="7" t="s">
        <v>8</v>
      </c>
      <c r="K74" s="7">
        <v>500</v>
      </c>
      <c r="L74" s="4" t="s">
        <v>31</v>
      </c>
      <c r="M74" s="13">
        <v>2</v>
      </c>
      <c r="N74" s="7" t="s">
        <v>0</v>
      </c>
      <c r="O74" s="7"/>
      <c r="P74" s="7" t="str">
        <f>IF(Tabella2[[#This Row],[quantità]]="","",Tabella2[[#This Row],[quantità]]-Tabella2[[#This Row],[quantità]]*P$2)</f>
        <v/>
      </c>
      <c r="Q74" s="3" t="str">
        <f>IF(Tabella2[[#This Row],[margine]]="","",Tabella2[[#This Row],[margine]]/11)</f>
        <v/>
      </c>
      <c r="R74" s="5" t="str">
        <f>IF(Tabella2[[#This Row],[media mensile]]="","",Tabella2[[#This Row],[media mensile]]*Tabella2[[#This Row],[prezzo]])</f>
        <v/>
      </c>
      <c r="S74" s="18">
        <v>0</v>
      </c>
      <c r="T74" s="37" t="str">
        <f>IF(Tabella2[[#This Row],[Q/p.c.]]="","",Tabella2[[#This Row],[Q/p.c.]]*Tabella2[[#This Row],[% n]])</f>
        <v/>
      </c>
      <c r="U74" s="37" t="str">
        <f>IF(Tabella2[[#This Row],[Q/p.c.]]="","",Tabella2[[#This Row],[€ gruppo noenati]]*(S$3*-1))</f>
        <v/>
      </c>
      <c r="V74" s="37" t="str">
        <f>IF(Tabella2[[#This Row],[Q/p.c.]]="","",Tabella2[[#This Row],[€ gruppo noenati]]+Tabella2[[#This Row],[% decurtazione]])</f>
        <v/>
      </c>
      <c r="W74" s="5" t="str">
        <f>IF(Tabella2[[#This Row],[media mensile]]="","",Tabella2[[#This Row],[€ decurtato]]/S$2)</f>
        <v/>
      </c>
      <c r="X74" s="18">
        <v>0.35</v>
      </c>
      <c r="Y74" s="37" t="str">
        <f>IF(Tabella2[[#This Row],[Q/p.c.]]="","",Tabella2[[#This Row],[Q/p.c.]]*Tabella2[[#This Row],[% b]])</f>
        <v/>
      </c>
      <c r="Z74" s="37" t="str">
        <f>IF(Tabella2[[#This Row],[Q/p.c.]]="","",Tabella2[[#This Row],[€ gruppo bambino]]*(X$3*-1))</f>
        <v/>
      </c>
      <c r="AA74" s="37" t="str">
        <f>IF(Tabella2[[#This Row],[Q/p.c.]]="","",Tabella2[[#This Row],[€ gruppo bambino]]+Tabella2[[#This Row],[% decurtazione b]])</f>
        <v/>
      </c>
      <c r="AB74" s="5" t="str">
        <f>IF(Tabella2[[#This Row],[media mensile]]="","",Tabella2[[#This Row],[€ decurtato b]]/X$2)</f>
        <v/>
      </c>
      <c r="AC74" s="18">
        <f>1-(Tabella2[[#This Row],[% n]]+Tabella2[[#This Row],[% b]])</f>
        <v>0.65</v>
      </c>
      <c r="AD74" s="37" t="str">
        <f>IF(Tabella2[[#This Row],[Q/p.c.]]="","",SUM((Tabella2[[#This Row],[Q/p.c.]]*Tabella2[[#This Row],[% a]]),(Tabella2[[#This Row],[% decurtazione]]*-1),(Tabella2[[#This Row],[% decurtazione b]]*-1)))</f>
        <v/>
      </c>
      <c r="AE74" s="37" t="str">
        <f>IF(Tabella2[[#This Row],[Q/p.c.]]="","",Tabella2[[#This Row],[€ gruppo adulto]]*AE$3)</f>
        <v/>
      </c>
      <c r="AF74" s="37" t="str">
        <f>IF(Tabella2[[#This Row],[Q/p.c.]]="","",Tabella2[[#This Row],[€ gruppo a da 1 a 2]]/AE$2)</f>
        <v/>
      </c>
      <c r="AG74" s="37" t="str">
        <f>IF(Tabella2[[#This Row],[Q/p.c.]]="","",Tabella2[[#This Row],[€ gruppo adulto]]-Tabella2[[#This Row],[€ gruppo a da 1 a 2]])</f>
        <v/>
      </c>
      <c r="AH74" s="5" t="str">
        <f>IF(Tabella2[[#This Row],[Q/p.c.]]="","",Tabella2[[#This Row],[€ gruppo a &gt;2]]/AG$2)</f>
        <v/>
      </c>
    </row>
    <row r="75" spans="3:34" x14ac:dyDescent="0.3">
      <c r="C75" s="7" t="str">
        <f>IF(Tabella2[[#This Row],[Macro_prodotto]]&lt;&gt;"",CONCATENATE("M-",Tabella2[[#This Row],[u_macro]]),A74)</f>
        <v>M-40</v>
      </c>
      <c r="D75" s="7" t="str">
        <f>IF(Tabella2[[#This Row],[Macro_prodotto]]&lt;&gt;"",CONCATENATE("M-",Tabella2[[#This Row],[u_macro]]),"")</f>
        <v>M-40</v>
      </c>
      <c r="E75" s="7">
        <f>IF(Tabella2[[#This Row],[Macro_prodotto]]="","",(COUNT(E$4:E74))+1)</f>
        <v>40</v>
      </c>
      <c r="F75" s="7" t="str">
        <f t="shared" si="2"/>
        <v>p-074</v>
      </c>
      <c r="G75" s="8" t="s">
        <v>89</v>
      </c>
      <c r="H75" s="8" t="s">
        <v>132</v>
      </c>
      <c r="I75" s="8" t="s">
        <v>89</v>
      </c>
      <c r="J75" s="7" t="s">
        <v>8</v>
      </c>
      <c r="K75" s="7">
        <v>250</v>
      </c>
      <c r="L75" s="4" t="s">
        <v>31</v>
      </c>
      <c r="M75" s="13">
        <v>1.5</v>
      </c>
      <c r="N75" s="7" t="s">
        <v>0</v>
      </c>
      <c r="O75" s="7"/>
      <c r="P75" s="7" t="str">
        <f>IF(Tabella2[[#This Row],[quantità]]="","",Tabella2[[#This Row],[quantità]]-Tabella2[[#This Row],[quantità]]*P$2)</f>
        <v/>
      </c>
      <c r="Q75" s="3" t="str">
        <f>IF(Tabella2[[#This Row],[margine]]="","",Tabella2[[#This Row],[margine]]/11)</f>
        <v/>
      </c>
      <c r="R75" s="5" t="str">
        <f>IF(Tabella2[[#This Row],[media mensile]]="","",Tabella2[[#This Row],[media mensile]]*Tabella2[[#This Row],[prezzo]])</f>
        <v/>
      </c>
      <c r="S75" s="18">
        <v>0</v>
      </c>
      <c r="T75" s="37" t="str">
        <f>IF(Tabella2[[#This Row],[Q/p.c.]]="","",Tabella2[[#This Row],[Q/p.c.]]*Tabella2[[#This Row],[% n]])</f>
        <v/>
      </c>
      <c r="U75" s="37" t="str">
        <f>IF(Tabella2[[#This Row],[Q/p.c.]]="","",Tabella2[[#This Row],[€ gruppo noenati]]*(S$3*-1))</f>
        <v/>
      </c>
      <c r="V75" s="37" t="str">
        <f>IF(Tabella2[[#This Row],[Q/p.c.]]="","",Tabella2[[#This Row],[€ gruppo noenati]]+Tabella2[[#This Row],[% decurtazione]])</f>
        <v/>
      </c>
      <c r="W75" s="5" t="str">
        <f>IF(Tabella2[[#This Row],[media mensile]]="","",Tabella2[[#This Row],[€ decurtato]]/S$2)</f>
        <v/>
      </c>
      <c r="X75" s="18">
        <v>0.4</v>
      </c>
      <c r="Y75" s="37" t="str">
        <f>IF(Tabella2[[#This Row],[Q/p.c.]]="","",Tabella2[[#This Row],[Q/p.c.]]*Tabella2[[#This Row],[% b]])</f>
        <v/>
      </c>
      <c r="Z75" s="37" t="str">
        <f>IF(Tabella2[[#This Row],[Q/p.c.]]="","",Tabella2[[#This Row],[€ gruppo bambino]]*(X$3*-1))</f>
        <v/>
      </c>
      <c r="AA75" s="37" t="str">
        <f>IF(Tabella2[[#This Row],[Q/p.c.]]="","",Tabella2[[#This Row],[€ gruppo bambino]]+Tabella2[[#This Row],[% decurtazione b]])</f>
        <v/>
      </c>
      <c r="AB75" s="5" t="str">
        <f>IF(Tabella2[[#This Row],[media mensile]]="","",Tabella2[[#This Row],[€ decurtato b]]/X$2)</f>
        <v/>
      </c>
      <c r="AC75" s="18">
        <f>1-(Tabella2[[#This Row],[% n]]+Tabella2[[#This Row],[% b]])</f>
        <v>0.6</v>
      </c>
      <c r="AD75" s="37" t="str">
        <f>IF(Tabella2[[#This Row],[Q/p.c.]]="","",SUM((Tabella2[[#This Row],[Q/p.c.]]*Tabella2[[#This Row],[% a]]),(Tabella2[[#This Row],[% decurtazione]]*-1),(Tabella2[[#This Row],[% decurtazione b]]*-1)))</f>
        <v/>
      </c>
      <c r="AE75" s="37" t="str">
        <f>IF(Tabella2[[#This Row],[Q/p.c.]]="","",Tabella2[[#This Row],[€ gruppo adulto]]*AE$3)</f>
        <v/>
      </c>
      <c r="AF75" s="37" t="str">
        <f>IF(Tabella2[[#This Row],[Q/p.c.]]="","",Tabella2[[#This Row],[€ gruppo a da 1 a 2]]/AE$2)</f>
        <v/>
      </c>
      <c r="AG75" s="37" t="str">
        <f>IF(Tabella2[[#This Row],[Q/p.c.]]="","",Tabella2[[#This Row],[€ gruppo adulto]]-Tabella2[[#This Row],[€ gruppo a da 1 a 2]])</f>
        <v/>
      </c>
      <c r="AH75" s="5" t="str">
        <f>IF(Tabella2[[#This Row],[Q/p.c.]]="","",Tabella2[[#This Row],[€ gruppo a &gt;2]]/AG$2)</f>
        <v/>
      </c>
    </row>
    <row r="76" spans="3:34" x14ac:dyDescent="0.3">
      <c r="C76" s="7" t="str">
        <f>IF(Tabella2[[#This Row],[Macro_prodotto]]&lt;&gt;"",CONCATENATE("M-",Tabella2[[#This Row],[u_macro]]),A75)</f>
        <v>M-41</v>
      </c>
      <c r="D76" s="7" t="str">
        <f>IF(Tabella2[[#This Row],[Macro_prodotto]]&lt;&gt;"",CONCATENATE("M-",Tabella2[[#This Row],[u_macro]]),"")</f>
        <v>M-41</v>
      </c>
      <c r="E76" s="7">
        <f>IF(Tabella2[[#This Row],[Macro_prodotto]]="","",(COUNT(E$4:E75))+1)</f>
        <v>41</v>
      </c>
      <c r="F76" s="7" t="str">
        <f t="shared" si="2"/>
        <v>p-075</v>
      </c>
      <c r="G76" s="8" t="s">
        <v>43</v>
      </c>
      <c r="H76" s="8" t="s">
        <v>138</v>
      </c>
      <c r="I76" s="8" t="s">
        <v>43</v>
      </c>
      <c r="J76" s="7" t="s">
        <v>8</v>
      </c>
      <c r="K76" s="7">
        <v>100</v>
      </c>
      <c r="L76" s="4" t="s">
        <v>31</v>
      </c>
      <c r="M76" s="13">
        <v>2</v>
      </c>
      <c r="N76" s="7" t="s">
        <v>0</v>
      </c>
      <c r="O76" s="7"/>
      <c r="P76" s="7" t="str">
        <f>IF(Tabella2[[#This Row],[quantità]]="","",Tabella2[[#This Row],[quantità]]-Tabella2[[#This Row],[quantità]]*P$2)</f>
        <v/>
      </c>
      <c r="Q76" s="3" t="str">
        <f>IF(Tabella2[[#This Row],[margine]]="","",Tabella2[[#This Row],[margine]]/11)</f>
        <v/>
      </c>
      <c r="R76" s="5" t="str">
        <f>IF(Tabella2[[#This Row],[media mensile]]="","",Tabella2[[#This Row],[media mensile]]*Tabella2[[#This Row],[prezzo]])</f>
        <v/>
      </c>
      <c r="S76" s="18">
        <v>0</v>
      </c>
      <c r="T76" s="37" t="str">
        <f>IF(Tabella2[[#This Row],[Q/p.c.]]="","",Tabella2[[#This Row],[Q/p.c.]]*Tabella2[[#This Row],[% n]])</f>
        <v/>
      </c>
      <c r="U76" s="37" t="str">
        <f>IF(Tabella2[[#This Row],[Q/p.c.]]="","",Tabella2[[#This Row],[€ gruppo noenati]]*(S$3*-1))</f>
        <v/>
      </c>
      <c r="V76" s="37" t="str">
        <f>IF(Tabella2[[#This Row],[Q/p.c.]]="","",Tabella2[[#This Row],[€ gruppo noenati]]+Tabella2[[#This Row],[% decurtazione]])</f>
        <v/>
      </c>
      <c r="W76" s="5" t="str">
        <f>IF(Tabella2[[#This Row],[media mensile]]="","",Tabella2[[#This Row],[€ decurtato]]/S$2)</f>
        <v/>
      </c>
      <c r="X76" s="18">
        <v>0.4</v>
      </c>
      <c r="Y76" s="37" t="str">
        <f>IF(Tabella2[[#This Row],[Q/p.c.]]="","",Tabella2[[#This Row],[Q/p.c.]]*Tabella2[[#This Row],[% b]])</f>
        <v/>
      </c>
      <c r="Z76" s="37" t="str">
        <f>IF(Tabella2[[#This Row],[Q/p.c.]]="","",Tabella2[[#This Row],[€ gruppo bambino]]*(X$3*-1))</f>
        <v/>
      </c>
      <c r="AA76" s="37" t="str">
        <f>IF(Tabella2[[#This Row],[Q/p.c.]]="","",Tabella2[[#This Row],[€ gruppo bambino]]+Tabella2[[#This Row],[% decurtazione b]])</f>
        <v/>
      </c>
      <c r="AB76" s="5" t="str">
        <f>IF(Tabella2[[#This Row],[media mensile]]="","",Tabella2[[#This Row],[€ decurtato b]]/X$2)</f>
        <v/>
      </c>
      <c r="AC76" s="18">
        <f>1-(Tabella2[[#This Row],[% n]]+Tabella2[[#This Row],[% b]])</f>
        <v>0.6</v>
      </c>
      <c r="AD76" s="37" t="str">
        <f>IF(Tabella2[[#This Row],[Q/p.c.]]="","",SUM((Tabella2[[#This Row],[Q/p.c.]]*Tabella2[[#This Row],[% a]]),(Tabella2[[#This Row],[% decurtazione]]*-1),(Tabella2[[#This Row],[% decurtazione b]]*-1)))</f>
        <v/>
      </c>
      <c r="AE76" s="37" t="str">
        <f>IF(Tabella2[[#This Row],[Q/p.c.]]="","",Tabella2[[#This Row],[€ gruppo adulto]]*AE$3)</f>
        <v/>
      </c>
      <c r="AF76" s="37" t="str">
        <f>IF(Tabella2[[#This Row],[Q/p.c.]]="","",Tabella2[[#This Row],[€ gruppo a da 1 a 2]]/AE$2)</f>
        <v/>
      </c>
      <c r="AG76" s="37" t="str">
        <f>IF(Tabella2[[#This Row],[Q/p.c.]]="","",Tabella2[[#This Row],[€ gruppo adulto]]-Tabella2[[#This Row],[€ gruppo a da 1 a 2]])</f>
        <v/>
      </c>
      <c r="AH76" s="5" t="str">
        <f>IF(Tabella2[[#This Row],[Q/p.c.]]="","",Tabella2[[#This Row],[€ gruppo a &gt;2]]/AG$2)</f>
        <v/>
      </c>
    </row>
    <row r="77" spans="3:34" x14ac:dyDescent="0.3">
      <c r="C77" s="7" t="str">
        <f>IF(Tabella2[[#This Row],[Macro_prodotto]]&lt;&gt;"",CONCATENATE("M-",Tabella2[[#This Row],[u_macro]]),A76)</f>
        <v>M-42</v>
      </c>
      <c r="D77" s="7" t="str">
        <f>IF(Tabella2[[#This Row],[Macro_prodotto]]&lt;&gt;"",CONCATENATE("M-",Tabella2[[#This Row],[u_macro]]),"")</f>
        <v>M-42</v>
      </c>
      <c r="E77" s="7">
        <f>IF(Tabella2[[#This Row],[Macro_prodotto]]="","",(COUNT(E$4:E76))+1)</f>
        <v>42</v>
      </c>
      <c r="F77" s="7" t="str">
        <f t="shared" si="2"/>
        <v>p-076</v>
      </c>
      <c r="G77" s="8" t="s">
        <v>90</v>
      </c>
      <c r="H77" s="8" t="s">
        <v>138</v>
      </c>
      <c r="I77" s="8" t="s">
        <v>90</v>
      </c>
      <c r="J77" s="7" t="s">
        <v>8</v>
      </c>
      <c r="K77" s="7">
        <v>100</v>
      </c>
      <c r="L77" s="4" t="s">
        <v>31</v>
      </c>
      <c r="M77" s="13">
        <v>2</v>
      </c>
      <c r="N77" s="7" t="s">
        <v>0</v>
      </c>
      <c r="O77" s="7"/>
      <c r="P77" s="7" t="str">
        <f>IF(Tabella2[[#This Row],[quantità]]="","",Tabella2[[#This Row],[quantità]]-Tabella2[[#This Row],[quantità]]*P$2)</f>
        <v/>
      </c>
      <c r="Q77" s="3" t="str">
        <f>IF(Tabella2[[#This Row],[margine]]="","",Tabella2[[#This Row],[margine]]/11)</f>
        <v/>
      </c>
      <c r="R77" s="5" t="str">
        <f>IF(Tabella2[[#This Row],[media mensile]]="","",Tabella2[[#This Row],[media mensile]]*Tabella2[[#This Row],[prezzo]])</f>
        <v/>
      </c>
      <c r="S77" s="18">
        <v>0</v>
      </c>
      <c r="T77" s="37" t="str">
        <f>IF(Tabella2[[#This Row],[Q/p.c.]]="","",Tabella2[[#This Row],[Q/p.c.]]*Tabella2[[#This Row],[% n]])</f>
        <v/>
      </c>
      <c r="U77" s="37" t="str">
        <f>IF(Tabella2[[#This Row],[Q/p.c.]]="","",Tabella2[[#This Row],[€ gruppo noenati]]*(S$3*-1))</f>
        <v/>
      </c>
      <c r="V77" s="37" t="str">
        <f>IF(Tabella2[[#This Row],[Q/p.c.]]="","",Tabella2[[#This Row],[€ gruppo noenati]]+Tabella2[[#This Row],[% decurtazione]])</f>
        <v/>
      </c>
      <c r="W77" s="5" t="str">
        <f>IF(Tabella2[[#This Row],[media mensile]]="","",Tabella2[[#This Row],[€ decurtato]]/S$2)</f>
        <v/>
      </c>
      <c r="X77" s="18">
        <v>0.4</v>
      </c>
      <c r="Y77" s="37" t="str">
        <f>IF(Tabella2[[#This Row],[Q/p.c.]]="","",Tabella2[[#This Row],[Q/p.c.]]*Tabella2[[#This Row],[% b]])</f>
        <v/>
      </c>
      <c r="Z77" s="37" t="str">
        <f>IF(Tabella2[[#This Row],[Q/p.c.]]="","",Tabella2[[#This Row],[€ gruppo bambino]]*(X$3*-1))</f>
        <v/>
      </c>
      <c r="AA77" s="37" t="str">
        <f>IF(Tabella2[[#This Row],[Q/p.c.]]="","",Tabella2[[#This Row],[€ gruppo bambino]]+Tabella2[[#This Row],[% decurtazione b]])</f>
        <v/>
      </c>
      <c r="AB77" s="5" t="str">
        <f>IF(Tabella2[[#This Row],[media mensile]]="","",Tabella2[[#This Row],[€ decurtato b]]/X$2)</f>
        <v/>
      </c>
      <c r="AC77" s="18">
        <f>1-(Tabella2[[#This Row],[% n]]+Tabella2[[#This Row],[% b]])</f>
        <v>0.6</v>
      </c>
      <c r="AD77" s="37" t="str">
        <f>IF(Tabella2[[#This Row],[Q/p.c.]]="","",SUM((Tabella2[[#This Row],[Q/p.c.]]*Tabella2[[#This Row],[% a]]),(Tabella2[[#This Row],[% decurtazione]]*-1),(Tabella2[[#This Row],[% decurtazione b]]*-1)))</f>
        <v/>
      </c>
      <c r="AE77" s="37" t="str">
        <f>IF(Tabella2[[#This Row],[Q/p.c.]]="","",Tabella2[[#This Row],[€ gruppo adulto]]*AE$3)</f>
        <v/>
      </c>
      <c r="AF77" s="37" t="str">
        <f>IF(Tabella2[[#This Row],[Q/p.c.]]="","",Tabella2[[#This Row],[€ gruppo a da 1 a 2]]/AE$2)</f>
        <v/>
      </c>
      <c r="AG77" s="37" t="str">
        <f>IF(Tabella2[[#This Row],[Q/p.c.]]="","",Tabella2[[#This Row],[€ gruppo adulto]]-Tabella2[[#This Row],[€ gruppo a da 1 a 2]])</f>
        <v/>
      </c>
      <c r="AH77" s="5" t="str">
        <f>IF(Tabella2[[#This Row],[Q/p.c.]]="","",Tabella2[[#This Row],[€ gruppo a &gt;2]]/AG$2)</f>
        <v/>
      </c>
    </row>
    <row r="78" spans="3:34" x14ac:dyDescent="0.3">
      <c r="C78" s="7" t="str">
        <f>IF(Tabella2[[#This Row],[Macro_prodotto]]&lt;&gt;"",CONCATENATE("M-",Tabella2[[#This Row],[u_macro]]),A77)</f>
        <v>M-43</v>
      </c>
      <c r="D78" s="7" t="str">
        <f>IF(Tabella2[[#This Row],[Macro_prodotto]]&lt;&gt;"",CONCATENATE("M-",Tabella2[[#This Row],[u_macro]]),"")</f>
        <v>M-43</v>
      </c>
      <c r="E78" s="7">
        <f>IF(Tabella2[[#This Row],[Macro_prodotto]]="","",(COUNT(E$4:E77))+1)</f>
        <v>43</v>
      </c>
      <c r="F78" s="7" t="str">
        <f t="shared" si="2"/>
        <v>p-077</v>
      </c>
      <c r="G78" s="8" t="s">
        <v>91</v>
      </c>
      <c r="H78" s="8" t="s">
        <v>131</v>
      </c>
      <c r="I78" s="8" t="s">
        <v>91</v>
      </c>
      <c r="J78" s="7" t="s">
        <v>8</v>
      </c>
      <c r="K78" s="7">
        <v>320</v>
      </c>
      <c r="L78" s="4" t="s">
        <v>31</v>
      </c>
      <c r="M78" s="13">
        <v>1.7</v>
      </c>
      <c r="N78" s="7" t="s">
        <v>0</v>
      </c>
      <c r="O78" s="7">
        <v>1285</v>
      </c>
      <c r="P78" s="7">
        <f>IF(Tabella2[[#This Row],[quantità]]="","",Tabella2[[#This Row],[quantità]]-Tabella2[[#This Row],[quantità]]*P$2)</f>
        <v>1220.75</v>
      </c>
      <c r="Q78" s="3">
        <f>IF(Tabella2[[#This Row],[margine]]="","",Tabella2[[#This Row],[margine]]/11)</f>
        <v>110.97727272727273</v>
      </c>
      <c r="R78" s="5">
        <f>IF(Tabella2[[#This Row],[media mensile]]="","",Tabella2[[#This Row],[media mensile]]*Tabella2[[#This Row],[prezzo]])</f>
        <v>188.66136363636363</v>
      </c>
      <c r="S78" s="18">
        <v>0</v>
      </c>
      <c r="T78" s="37">
        <f>IF(Tabella2[[#This Row],[Q/p.c.]]="","",Tabella2[[#This Row],[Q/p.c.]]*Tabella2[[#This Row],[% n]])</f>
        <v>0</v>
      </c>
      <c r="U78" s="37">
        <f>IF(Tabella2[[#This Row],[Q/p.c.]]="","",Tabella2[[#This Row],[€ gruppo noenati]]*(S$3*-1))</f>
        <v>0</v>
      </c>
      <c r="V78" s="37">
        <f>IF(Tabella2[[#This Row],[Q/p.c.]]="","",Tabella2[[#This Row],[€ gruppo noenati]]+Tabella2[[#This Row],[% decurtazione]])</f>
        <v>0</v>
      </c>
      <c r="W78" s="5">
        <f>IF(Tabella2[[#This Row],[media mensile]]="","",Tabella2[[#This Row],[€ decurtato]]/S$2)</f>
        <v>0</v>
      </c>
      <c r="X78" s="18">
        <v>0.25</v>
      </c>
      <c r="Y78" s="37">
        <f>IF(Tabella2[[#This Row],[Q/p.c.]]="","",Tabella2[[#This Row],[Q/p.c.]]*Tabella2[[#This Row],[% b]])</f>
        <v>47.165340909090908</v>
      </c>
      <c r="Z78" s="37">
        <f>IF(Tabella2[[#This Row],[Q/p.c.]]="","",Tabella2[[#This Row],[€ gruppo bambino]]*(X$3*-1))</f>
        <v>-18.866136363636365</v>
      </c>
      <c r="AA78" s="37">
        <f>IF(Tabella2[[#This Row],[Q/p.c.]]="","",Tabella2[[#This Row],[€ gruppo bambino]]+Tabella2[[#This Row],[% decurtazione b]])</f>
        <v>28.299204545454543</v>
      </c>
      <c r="AB78" s="5">
        <f>IF(Tabella2[[#This Row],[media mensile]]="","",Tabella2[[#This Row],[€ decurtato b]]/X$2)</f>
        <v>0.39858034571062739</v>
      </c>
      <c r="AC78" s="18">
        <f>1-(Tabella2[[#This Row],[% n]]+Tabella2[[#This Row],[% b]])</f>
        <v>0.75</v>
      </c>
      <c r="AD78" s="37">
        <f>IF(Tabella2[[#This Row],[Q/p.c.]]="","",SUM((Tabella2[[#This Row],[Q/p.c.]]*Tabella2[[#This Row],[% a]]),(Tabella2[[#This Row],[% decurtazione]]*-1),(Tabella2[[#This Row],[% decurtazione b]]*-1)))</f>
        <v>160.3621590909091</v>
      </c>
      <c r="AE78" s="37">
        <f>IF(Tabella2[[#This Row],[Q/p.c.]]="","",Tabella2[[#This Row],[€ gruppo adulto]]*AE$3)</f>
        <v>72.162971590909095</v>
      </c>
      <c r="AF78" s="37">
        <f>IF(Tabella2[[#This Row],[Q/p.c.]]="","",Tabella2[[#This Row],[€ gruppo a da 1 a 2]]/AE$2)</f>
        <v>0.83910432082452435</v>
      </c>
      <c r="AG78" s="37">
        <f>IF(Tabella2[[#This Row],[Q/p.c.]]="","",Tabella2[[#This Row],[€ gruppo adulto]]-Tabella2[[#This Row],[€ gruppo a da 1 a 2]])</f>
        <v>88.199187500000008</v>
      </c>
      <c r="AH78" s="5">
        <f>IF(Tabella2[[#This Row],[Q/p.c.]]="","",Tabella2[[#This Row],[€ gruppo a &gt;2]]/AG$2)</f>
        <v>0.50399535714285715</v>
      </c>
    </row>
    <row r="79" spans="3:34" x14ac:dyDescent="0.3">
      <c r="C79" s="7" t="str">
        <f>IF(Tabella2[[#This Row],[Macro_prodotto]]&lt;&gt;"",CONCATENATE("M-",Tabella2[[#This Row],[u_macro]]),A78)</f>
        <v>M-44</v>
      </c>
      <c r="D79" s="7" t="str">
        <f>IF(Tabella2[[#This Row],[Macro_prodotto]]&lt;&gt;"",CONCATENATE("M-",Tabella2[[#This Row],[u_macro]]),"")</f>
        <v>M-44</v>
      </c>
      <c r="E79" s="7">
        <f>IF(Tabella2[[#This Row],[Macro_prodotto]]="","",(COUNT(E$4:E78))+1)</f>
        <v>44</v>
      </c>
      <c r="F79" s="7" t="str">
        <f t="shared" si="2"/>
        <v>p-078</v>
      </c>
      <c r="G79" s="8" t="s">
        <v>92</v>
      </c>
      <c r="H79" s="8" t="s">
        <v>92</v>
      </c>
      <c r="I79" s="8" t="s">
        <v>92</v>
      </c>
      <c r="J79" s="7" t="s">
        <v>8</v>
      </c>
      <c r="K79" s="7">
        <v>400</v>
      </c>
      <c r="L79" s="4" t="s">
        <v>31</v>
      </c>
      <c r="M79" s="13">
        <v>2</v>
      </c>
      <c r="N79" s="7" t="s">
        <v>0</v>
      </c>
      <c r="O79" s="7"/>
      <c r="P79" s="7" t="str">
        <f>IF(Tabella2[[#This Row],[quantità]]="","",Tabella2[[#This Row],[quantità]]-Tabella2[[#This Row],[quantità]]*P$2)</f>
        <v/>
      </c>
      <c r="Q79" s="3" t="str">
        <f>IF(Tabella2[[#This Row],[margine]]="","",Tabella2[[#This Row],[margine]]/11)</f>
        <v/>
      </c>
      <c r="R79" s="5" t="str">
        <f>IF(Tabella2[[#This Row],[media mensile]]="","",Tabella2[[#This Row],[media mensile]]*Tabella2[[#This Row],[prezzo]])</f>
        <v/>
      </c>
      <c r="S79" s="18">
        <v>0</v>
      </c>
      <c r="T79" s="37" t="str">
        <f>IF(Tabella2[[#This Row],[Q/p.c.]]="","",Tabella2[[#This Row],[Q/p.c.]]*Tabella2[[#This Row],[% n]])</f>
        <v/>
      </c>
      <c r="U79" s="37" t="str">
        <f>IF(Tabella2[[#This Row],[Q/p.c.]]="","",Tabella2[[#This Row],[€ gruppo noenati]]*(S$3*-1))</f>
        <v/>
      </c>
      <c r="V79" s="37" t="str">
        <f>IF(Tabella2[[#This Row],[Q/p.c.]]="","",Tabella2[[#This Row],[€ gruppo noenati]]+Tabella2[[#This Row],[% decurtazione]])</f>
        <v/>
      </c>
      <c r="W79" s="5" t="str">
        <f>IF(Tabella2[[#This Row],[media mensile]]="","",Tabella2[[#This Row],[€ decurtato]]/S$2)</f>
        <v/>
      </c>
      <c r="X79" s="18">
        <v>0.3</v>
      </c>
      <c r="Y79" s="37" t="str">
        <f>IF(Tabella2[[#This Row],[Q/p.c.]]="","",Tabella2[[#This Row],[Q/p.c.]]*Tabella2[[#This Row],[% b]])</f>
        <v/>
      </c>
      <c r="Z79" s="37" t="str">
        <f>IF(Tabella2[[#This Row],[Q/p.c.]]="","",Tabella2[[#This Row],[€ gruppo bambino]]*(X$3*-1))</f>
        <v/>
      </c>
      <c r="AA79" s="37" t="str">
        <f>IF(Tabella2[[#This Row],[Q/p.c.]]="","",Tabella2[[#This Row],[€ gruppo bambino]]+Tabella2[[#This Row],[% decurtazione b]])</f>
        <v/>
      </c>
      <c r="AB79" s="5" t="str">
        <f>IF(Tabella2[[#This Row],[media mensile]]="","",Tabella2[[#This Row],[€ decurtato b]]/X$2)</f>
        <v/>
      </c>
      <c r="AC79" s="18">
        <f>1-(Tabella2[[#This Row],[% n]]+Tabella2[[#This Row],[% b]])</f>
        <v>0.7</v>
      </c>
      <c r="AD79" s="37" t="str">
        <f>IF(Tabella2[[#This Row],[Q/p.c.]]="","",SUM((Tabella2[[#This Row],[Q/p.c.]]*Tabella2[[#This Row],[% a]]),(Tabella2[[#This Row],[% decurtazione]]*-1),(Tabella2[[#This Row],[% decurtazione b]]*-1)))</f>
        <v/>
      </c>
      <c r="AE79" s="37" t="str">
        <f>IF(Tabella2[[#This Row],[Q/p.c.]]="","",Tabella2[[#This Row],[€ gruppo adulto]]*AE$3)</f>
        <v/>
      </c>
      <c r="AF79" s="37" t="str">
        <f>IF(Tabella2[[#This Row],[Q/p.c.]]="","",Tabella2[[#This Row],[€ gruppo a da 1 a 2]]/AE$2)</f>
        <v/>
      </c>
      <c r="AG79" s="37" t="str">
        <f>IF(Tabella2[[#This Row],[Q/p.c.]]="","",Tabella2[[#This Row],[€ gruppo adulto]]-Tabella2[[#This Row],[€ gruppo a da 1 a 2]])</f>
        <v/>
      </c>
      <c r="AH79" s="5" t="str">
        <f>IF(Tabella2[[#This Row],[Q/p.c.]]="","",Tabella2[[#This Row],[€ gruppo a &gt;2]]/AG$2)</f>
        <v/>
      </c>
    </row>
    <row r="80" spans="3:34" x14ac:dyDescent="0.3">
      <c r="C80" s="7" t="str">
        <f>IF(Tabella2[[#This Row],[Macro_prodotto]]&lt;&gt;"",CONCATENATE("M-",Tabella2[[#This Row],[u_macro]]),A79)</f>
        <v>M-45</v>
      </c>
      <c r="D80" s="7" t="str">
        <f>IF(Tabella2[[#This Row],[Macro_prodotto]]&lt;&gt;"",CONCATENATE("M-",Tabella2[[#This Row],[u_macro]]),"")</f>
        <v>M-45</v>
      </c>
      <c r="E80" s="7">
        <f>IF(Tabella2[[#This Row],[Macro_prodotto]]="","",(COUNT(E$4:E79))+1)</f>
        <v>45</v>
      </c>
      <c r="F80" s="7" t="str">
        <f t="shared" si="2"/>
        <v>p-079</v>
      </c>
      <c r="G80" s="8" t="s">
        <v>93</v>
      </c>
      <c r="H80" s="8" t="s">
        <v>93</v>
      </c>
      <c r="I80" s="8" t="s">
        <v>93</v>
      </c>
      <c r="J80" s="7" t="s">
        <v>8</v>
      </c>
      <c r="K80" s="7">
        <v>200</v>
      </c>
      <c r="L80" s="4" t="s">
        <v>31</v>
      </c>
      <c r="M80" s="13">
        <v>4</v>
      </c>
      <c r="N80" s="7" t="s">
        <v>0</v>
      </c>
      <c r="O80" s="7"/>
      <c r="P80" s="7" t="str">
        <f>IF(Tabella2[[#This Row],[quantità]]="","",Tabella2[[#This Row],[quantità]]-Tabella2[[#This Row],[quantità]]*P$2)</f>
        <v/>
      </c>
      <c r="Q80" s="3" t="str">
        <f>IF(Tabella2[[#This Row],[margine]]="","",Tabella2[[#This Row],[margine]]/11)</f>
        <v/>
      </c>
      <c r="R80" s="5" t="str">
        <f>IF(Tabella2[[#This Row],[media mensile]]="","",Tabella2[[#This Row],[media mensile]]*Tabella2[[#This Row],[prezzo]])</f>
        <v/>
      </c>
      <c r="S80" s="18">
        <v>0</v>
      </c>
      <c r="T80" s="37" t="str">
        <f>IF(Tabella2[[#This Row],[Q/p.c.]]="","",Tabella2[[#This Row],[Q/p.c.]]*Tabella2[[#This Row],[% n]])</f>
        <v/>
      </c>
      <c r="U80" s="37" t="str">
        <f>IF(Tabella2[[#This Row],[Q/p.c.]]="","",Tabella2[[#This Row],[€ gruppo noenati]]*(S$3*-1))</f>
        <v/>
      </c>
      <c r="V80" s="37" t="str">
        <f>IF(Tabella2[[#This Row],[Q/p.c.]]="","",Tabella2[[#This Row],[€ gruppo noenati]]+Tabella2[[#This Row],[% decurtazione]])</f>
        <v/>
      </c>
      <c r="W80" s="5" t="str">
        <f>IF(Tabella2[[#This Row],[media mensile]]="","",Tabella2[[#This Row],[€ decurtato]]/S$2)</f>
        <v/>
      </c>
      <c r="X80" s="18">
        <v>0.4</v>
      </c>
      <c r="Y80" s="37" t="str">
        <f>IF(Tabella2[[#This Row],[Q/p.c.]]="","",Tabella2[[#This Row],[Q/p.c.]]*Tabella2[[#This Row],[% b]])</f>
        <v/>
      </c>
      <c r="Z80" s="37" t="str">
        <f>IF(Tabella2[[#This Row],[Q/p.c.]]="","",Tabella2[[#This Row],[€ gruppo bambino]]*(X$3*-1))</f>
        <v/>
      </c>
      <c r="AA80" s="37" t="str">
        <f>IF(Tabella2[[#This Row],[Q/p.c.]]="","",Tabella2[[#This Row],[€ gruppo bambino]]+Tabella2[[#This Row],[% decurtazione b]])</f>
        <v/>
      </c>
      <c r="AB80" s="5" t="str">
        <f>IF(Tabella2[[#This Row],[media mensile]]="","",Tabella2[[#This Row],[€ decurtato b]]/X$2)</f>
        <v/>
      </c>
      <c r="AC80" s="18">
        <f>1-(Tabella2[[#This Row],[% n]]+Tabella2[[#This Row],[% b]])</f>
        <v>0.6</v>
      </c>
      <c r="AD80" s="37" t="str">
        <f>IF(Tabella2[[#This Row],[Q/p.c.]]="","",SUM((Tabella2[[#This Row],[Q/p.c.]]*Tabella2[[#This Row],[% a]]),(Tabella2[[#This Row],[% decurtazione]]*-1),(Tabella2[[#This Row],[% decurtazione b]]*-1)))</f>
        <v/>
      </c>
      <c r="AE80" s="37" t="str">
        <f>IF(Tabella2[[#This Row],[Q/p.c.]]="","",Tabella2[[#This Row],[€ gruppo adulto]]*AE$3)</f>
        <v/>
      </c>
      <c r="AF80" s="37" t="str">
        <f>IF(Tabella2[[#This Row],[Q/p.c.]]="","",Tabella2[[#This Row],[€ gruppo a da 1 a 2]]/AE$2)</f>
        <v/>
      </c>
      <c r="AG80" s="37" t="str">
        <f>IF(Tabella2[[#This Row],[Q/p.c.]]="","",Tabella2[[#This Row],[€ gruppo adulto]]-Tabella2[[#This Row],[€ gruppo a da 1 a 2]])</f>
        <v/>
      </c>
      <c r="AH80" s="5" t="str">
        <f>IF(Tabella2[[#This Row],[Q/p.c.]]="","",Tabella2[[#This Row],[€ gruppo a &gt;2]]/AG$2)</f>
        <v/>
      </c>
    </row>
    <row r="81" spans="1:34" hidden="1" x14ac:dyDescent="0.3">
      <c r="A81" s="28"/>
      <c r="C81" s="28" t="str">
        <f>IF(Tabella2[[#This Row],[Macro_prodotto]]&lt;&gt;"",CONCATENATE("M-",Tabella2[[#This Row],[u_macro]]),A80)</f>
        <v>M-46</v>
      </c>
      <c r="D81" s="28" t="str">
        <f>IF(Tabella2[[#This Row],[Macro_prodotto]]&lt;&gt;"",CONCATENATE("M-",Tabella2[[#This Row],[u_macro]]),"")</f>
        <v>M-46</v>
      </c>
      <c r="E81" s="28">
        <f>IF(Tabella2[[#This Row],[Macro_prodotto]]="","",(COUNT(E$4:E80))+1)</f>
        <v>46</v>
      </c>
      <c r="F81" s="28" t="str">
        <f t="shared" ref="F81:F86" si="3">IF((ROW(A80))&lt;10,CONCATENATE("p-00",(ROW(A80))),IF(AND((ROW(A80))&gt;=10,(ROW(A80))&lt;100),CONCATENATE("p-0",(ROW(A80))),CONCATENATE("p-",(ROW(A80)))))</f>
        <v>p-080</v>
      </c>
      <c r="G81" s="8" t="s">
        <v>120</v>
      </c>
      <c r="H81" s="8" t="s">
        <v>127</v>
      </c>
      <c r="I81" s="8" t="s">
        <v>120</v>
      </c>
      <c r="J81" s="7" t="s">
        <v>10</v>
      </c>
      <c r="K81" s="7">
        <v>450</v>
      </c>
      <c r="L81" s="7" t="s">
        <v>31</v>
      </c>
      <c r="M81" s="13">
        <v>2.2999999999999998</v>
      </c>
      <c r="N81" s="7" t="s">
        <v>0</v>
      </c>
      <c r="O81" s="7">
        <v>528</v>
      </c>
      <c r="P81" s="28">
        <f>IF(Tabella2[[#This Row],[quantità]]="","",Tabella2[[#This Row],[quantità]]-Tabella2[[#This Row],[quantità]]*P$2)</f>
        <v>501.6</v>
      </c>
      <c r="Q81" s="3">
        <f>IF(Tabella2[[#This Row],[margine]]="","",Tabella2[[#This Row],[margine]]/11)</f>
        <v>45.6</v>
      </c>
      <c r="R81" s="5">
        <f>IF(Tabella2[[#This Row],[media mensile]]="","",Tabella2[[#This Row],[media mensile]]*Tabella2[[#This Row],[prezzo]])</f>
        <v>104.88</v>
      </c>
      <c r="S81" s="18">
        <v>0</v>
      </c>
      <c r="T81" s="37">
        <f>IF(Tabella2[[#This Row],[Q/p.c.]]="","",Tabella2[[#This Row],[Q/p.c.]]*Tabella2[[#This Row],[% n]])</f>
        <v>0</v>
      </c>
      <c r="U81" s="37">
        <f>IF(Tabella2[[#This Row],[Q/p.c.]]="","",Tabella2[[#This Row],[€ gruppo noenati]]*(S$3*-1))</f>
        <v>0</v>
      </c>
      <c r="V81" s="37">
        <f>IF(Tabella2[[#This Row],[Q/p.c.]]="","",Tabella2[[#This Row],[€ gruppo noenati]]+Tabella2[[#This Row],[% decurtazione]])</f>
        <v>0</v>
      </c>
      <c r="W81" s="5">
        <f>IF(Tabella2[[#This Row],[media mensile]]="","",Tabella2[[#This Row],[€ decurtato]]/S$2)</f>
        <v>0</v>
      </c>
      <c r="X81" s="18">
        <v>0.2</v>
      </c>
      <c r="Y81" s="37">
        <f>IF(Tabella2[[#This Row],[Q/p.c.]]="","",Tabella2[[#This Row],[Q/p.c.]]*Tabella2[[#This Row],[% b]])</f>
        <v>20.975999999999999</v>
      </c>
      <c r="Z81" s="37">
        <f>IF(Tabella2[[#This Row],[Q/p.c.]]="","",Tabella2[[#This Row],[€ gruppo bambino]]*(X$3*-1))</f>
        <v>-8.3903999999999996</v>
      </c>
      <c r="AA81" s="37">
        <f>IF(Tabella2[[#This Row],[Q/p.c.]]="","",Tabella2[[#This Row],[€ gruppo bambino]]+Tabella2[[#This Row],[% decurtazione b]])</f>
        <v>12.585599999999999</v>
      </c>
      <c r="AB81" s="5">
        <f>IF(Tabella2[[#This Row],[media mensile]]="","",Tabella2[[#This Row],[€ decurtato b]]/X$2)</f>
        <v>0.17726197183098591</v>
      </c>
      <c r="AC81" s="18">
        <f>1-(Tabella2[[#This Row],[% n]]+Tabella2[[#This Row],[% b]])</f>
        <v>0.8</v>
      </c>
      <c r="AD81" s="37">
        <f>IF(Tabella2[[#This Row],[Q/p.c.]]="","",SUM((Tabella2[[#This Row],[Q/p.c.]]*Tabella2[[#This Row],[% a]]),(Tabella2[[#This Row],[% decurtazione]]*-1),(Tabella2[[#This Row],[% decurtazione b]]*-1)))</f>
        <v>92.294399999999996</v>
      </c>
      <c r="AE81" s="37">
        <f>IF(Tabella2[[#This Row],[Q/p.c.]]="","",Tabella2[[#This Row],[€ gruppo adulto]]*AE$3)</f>
        <v>41.53248</v>
      </c>
      <c r="AF81" s="37">
        <f>IF(Tabella2[[#This Row],[Q/p.c.]]="","",Tabella2[[#This Row],[€ gruppo a da 1 a 2]]/AE$2)</f>
        <v>0.48293581395348839</v>
      </c>
      <c r="AG81" s="37">
        <f>IF(Tabella2[[#This Row],[Q/p.c.]]="","",Tabella2[[#This Row],[€ gruppo adulto]]-Tabella2[[#This Row],[€ gruppo a da 1 a 2]])</f>
        <v>50.761919999999996</v>
      </c>
      <c r="AH81" s="5">
        <f>IF(Tabella2[[#This Row],[Q/p.c.]]="","",Tabella2[[#This Row],[€ gruppo a &gt;2]]/AG$2)</f>
        <v>0.29006811428571427</v>
      </c>
    </row>
    <row r="82" spans="1:34" hidden="1" x14ac:dyDescent="0.3">
      <c r="A82" s="28"/>
      <c r="C82" s="28" t="str">
        <f>IF(Tabella2[[#This Row],[Macro_prodotto]]&lt;&gt;"",CONCATENATE("M-",Tabella2[[#This Row],[u_macro]]),A81)</f>
        <v>M-47</v>
      </c>
      <c r="D82" s="28" t="str">
        <f>IF(Tabella2[[#This Row],[Macro_prodotto]]&lt;&gt;"",CONCATENATE("M-",Tabella2[[#This Row],[u_macro]]),"")</f>
        <v>M-47</v>
      </c>
      <c r="E82" s="28">
        <f>IF(Tabella2[[#This Row],[Macro_prodotto]]="","",(COUNT(E$4:E81))+1)</f>
        <v>47</v>
      </c>
      <c r="F82" s="28" t="str">
        <f t="shared" si="3"/>
        <v>p-081</v>
      </c>
      <c r="G82" s="8" t="s">
        <v>121</v>
      </c>
      <c r="H82" s="8" t="s">
        <v>125</v>
      </c>
      <c r="I82" s="8" t="s">
        <v>121</v>
      </c>
      <c r="J82" s="7" t="s">
        <v>10</v>
      </c>
      <c r="K82" s="7">
        <v>250</v>
      </c>
      <c r="L82" s="7" t="s">
        <v>31</v>
      </c>
      <c r="M82" s="13">
        <v>1</v>
      </c>
      <c r="N82" s="7" t="s">
        <v>0</v>
      </c>
      <c r="O82" s="7">
        <v>744</v>
      </c>
      <c r="P82" s="28">
        <f>IF(Tabella2[[#This Row],[quantità]]="","",Tabella2[[#This Row],[quantità]]-Tabella2[[#This Row],[quantità]]*P$2)</f>
        <v>706.8</v>
      </c>
      <c r="Q82" s="3">
        <f>IF(Tabella2[[#This Row],[margine]]="","",Tabella2[[#This Row],[margine]]/11)</f>
        <v>64.25454545454545</v>
      </c>
      <c r="R82" s="5">
        <f>IF(Tabella2[[#This Row],[media mensile]]="","",Tabella2[[#This Row],[media mensile]]*Tabella2[[#This Row],[prezzo]])</f>
        <v>64.25454545454545</v>
      </c>
      <c r="S82" s="18">
        <v>0</v>
      </c>
      <c r="T82" s="37">
        <f>IF(Tabella2[[#This Row],[Q/p.c.]]="","",Tabella2[[#This Row],[Q/p.c.]]*Tabella2[[#This Row],[% n]])</f>
        <v>0</v>
      </c>
      <c r="U82" s="37">
        <f>IF(Tabella2[[#This Row],[Q/p.c.]]="","",Tabella2[[#This Row],[€ gruppo noenati]]*(S$3*-1))</f>
        <v>0</v>
      </c>
      <c r="V82" s="37">
        <f>IF(Tabella2[[#This Row],[Q/p.c.]]="","",Tabella2[[#This Row],[€ gruppo noenati]]+Tabella2[[#This Row],[% decurtazione]])</f>
        <v>0</v>
      </c>
      <c r="W82" s="5">
        <f>IF(Tabella2[[#This Row],[media mensile]]="","",Tabella2[[#This Row],[€ decurtato]]/S$2)</f>
        <v>0</v>
      </c>
      <c r="X82" s="18">
        <v>0.3</v>
      </c>
      <c r="Y82" s="37">
        <f>IF(Tabella2[[#This Row],[Q/p.c.]]="","",Tabella2[[#This Row],[Q/p.c.]]*Tabella2[[#This Row],[% b]])</f>
        <v>19.276363636363634</v>
      </c>
      <c r="Z82" s="37">
        <f>IF(Tabella2[[#This Row],[Q/p.c.]]="","",Tabella2[[#This Row],[€ gruppo bambino]]*(X$3*-1))</f>
        <v>-7.7105454545454535</v>
      </c>
      <c r="AA82" s="37">
        <f>IF(Tabella2[[#This Row],[Q/p.c.]]="","",Tabella2[[#This Row],[€ gruppo bambino]]+Tabella2[[#This Row],[% decurtazione b]])</f>
        <v>11.56581818181818</v>
      </c>
      <c r="AB82" s="5">
        <f>IF(Tabella2[[#This Row],[media mensile]]="","",Tabella2[[#This Row],[€ decurtato b]]/X$2)</f>
        <v>0.16289884763124199</v>
      </c>
      <c r="AC82" s="18">
        <f>1-(Tabella2[[#This Row],[% n]]+Tabella2[[#This Row],[% b]])</f>
        <v>0.7</v>
      </c>
      <c r="AD82" s="37">
        <f>IF(Tabella2[[#This Row],[Q/p.c.]]="","",SUM((Tabella2[[#This Row],[Q/p.c.]]*Tabella2[[#This Row],[% a]]),(Tabella2[[#This Row],[% decurtazione]]*-1),(Tabella2[[#This Row],[% decurtazione b]]*-1)))</f>
        <v>52.688727272727263</v>
      </c>
      <c r="AE82" s="37">
        <f>IF(Tabella2[[#This Row],[Q/p.c.]]="","",Tabella2[[#This Row],[€ gruppo adulto]]*AE$3)</f>
        <v>23.709927272727271</v>
      </c>
      <c r="AF82" s="37">
        <f>IF(Tabella2[[#This Row],[Q/p.c.]]="","",Tabella2[[#This Row],[€ gruppo a da 1 a 2]]/AE$2)</f>
        <v>0.27569682875264268</v>
      </c>
      <c r="AG82" s="37">
        <f>IF(Tabella2[[#This Row],[Q/p.c.]]="","",Tabella2[[#This Row],[€ gruppo adulto]]-Tabella2[[#This Row],[€ gruppo a da 1 a 2]])</f>
        <v>28.978799999999993</v>
      </c>
      <c r="AH82" s="5">
        <f>IF(Tabella2[[#This Row],[Q/p.c.]]="","",Tabella2[[#This Row],[€ gruppo a &gt;2]]/AG$2)</f>
        <v>0.16559314285714283</v>
      </c>
    </row>
    <row r="83" spans="1:34" hidden="1" x14ac:dyDescent="0.3">
      <c r="A83" s="28"/>
      <c r="C83" s="28" t="str">
        <f>IF(Tabella2[[#This Row],[Macro_prodotto]]&lt;&gt;"",CONCATENATE("M-",Tabella2[[#This Row],[u_macro]]),A82)</f>
        <v>M-48</v>
      </c>
      <c r="D83" s="28" t="str">
        <f>IF(Tabella2[[#This Row],[Macro_prodotto]]&lt;&gt;"",CONCATENATE("M-",Tabella2[[#This Row],[u_macro]]),"")</f>
        <v>M-48</v>
      </c>
      <c r="E83" s="28">
        <f>IF(Tabella2[[#This Row],[Macro_prodotto]]="","",(COUNT(E$4:E82))+1)</f>
        <v>48</v>
      </c>
      <c r="F83" s="28" t="str">
        <f t="shared" si="3"/>
        <v>p-082</v>
      </c>
      <c r="G83" s="8" t="s">
        <v>122</v>
      </c>
      <c r="H83" s="8" t="s">
        <v>92</v>
      </c>
      <c r="I83" s="8" t="s">
        <v>122</v>
      </c>
      <c r="J83" s="7" t="s">
        <v>10</v>
      </c>
      <c r="K83" s="7">
        <v>250</v>
      </c>
      <c r="L83" s="7" t="s">
        <v>31</v>
      </c>
      <c r="M83" s="13">
        <v>4.5</v>
      </c>
      <c r="N83" s="7" t="s">
        <v>0</v>
      </c>
      <c r="O83" s="7">
        <v>312</v>
      </c>
      <c r="P83" s="28">
        <f>IF(Tabella2[[#This Row],[quantità]]="","",Tabella2[[#This Row],[quantità]]-Tabella2[[#This Row],[quantità]]*P$2)</f>
        <v>296.39999999999998</v>
      </c>
      <c r="Q83" s="3">
        <f>IF(Tabella2[[#This Row],[margine]]="","",Tabella2[[#This Row],[margine]]/11)</f>
        <v>26.945454545454542</v>
      </c>
      <c r="R83" s="5">
        <f>IF(Tabella2[[#This Row],[media mensile]]="","",Tabella2[[#This Row],[media mensile]]*Tabella2[[#This Row],[prezzo]])</f>
        <v>121.25454545454544</v>
      </c>
      <c r="S83" s="18">
        <v>0</v>
      </c>
      <c r="T83" s="37">
        <f>IF(Tabella2[[#This Row],[Q/p.c.]]="","",Tabella2[[#This Row],[Q/p.c.]]*Tabella2[[#This Row],[% n]])</f>
        <v>0</v>
      </c>
      <c r="U83" s="37">
        <f>IF(Tabella2[[#This Row],[Q/p.c.]]="","",Tabella2[[#This Row],[€ gruppo noenati]]*(S$3*-1))</f>
        <v>0</v>
      </c>
      <c r="V83" s="37">
        <f>IF(Tabella2[[#This Row],[Q/p.c.]]="","",Tabella2[[#This Row],[€ gruppo noenati]]+Tabella2[[#This Row],[% decurtazione]])</f>
        <v>0</v>
      </c>
      <c r="W83" s="5">
        <f>IF(Tabella2[[#This Row],[media mensile]]="","",Tabella2[[#This Row],[€ decurtato]]/S$2)</f>
        <v>0</v>
      </c>
      <c r="X83" s="18">
        <v>0.5</v>
      </c>
      <c r="Y83" s="37">
        <f>IF(Tabella2[[#This Row],[Q/p.c.]]="","",Tabella2[[#This Row],[Q/p.c.]]*Tabella2[[#This Row],[% b]])</f>
        <v>60.627272727272718</v>
      </c>
      <c r="Z83" s="37">
        <f>IF(Tabella2[[#This Row],[Q/p.c.]]="","",Tabella2[[#This Row],[€ gruppo bambino]]*(X$3*-1))</f>
        <v>-24.25090909090909</v>
      </c>
      <c r="AA83" s="37">
        <f>IF(Tabella2[[#This Row],[Q/p.c.]]="","",Tabella2[[#This Row],[€ gruppo bambino]]+Tabella2[[#This Row],[% decurtazione b]])</f>
        <v>36.376363636363628</v>
      </c>
      <c r="AB83" s="5">
        <f>IF(Tabella2[[#This Row],[media mensile]]="","",Tabella2[[#This Row],[€ decurtato b]]/X$2)</f>
        <v>0.51234314980793838</v>
      </c>
      <c r="AC83" s="18">
        <f>1-(Tabella2[[#This Row],[% n]]+Tabella2[[#This Row],[% b]])</f>
        <v>0.5</v>
      </c>
      <c r="AD83" s="37">
        <f>IF(Tabella2[[#This Row],[Q/p.c.]]="","",SUM((Tabella2[[#This Row],[Q/p.c.]]*Tabella2[[#This Row],[% a]]),(Tabella2[[#This Row],[% decurtazione]]*-1),(Tabella2[[#This Row],[% decurtazione b]]*-1)))</f>
        <v>84.878181818181815</v>
      </c>
      <c r="AE83" s="37">
        <f>IF(Tabella2[[#This Row],[Q/p.c.]]="","",Tabella2[[#This Row],[€ gruppo adulto]]*AE$3)</f>
        <v>38.195181818181815</v>
      </c>
      <c r="AF83" s="37">
        <f>IF(Tabella2[[#This Row],[Q/p.c.]]="","",Tabella2[[#This Row],[€ gruppo a da 1 a 2]]/AE$2)</f>
        <v>0.44413002114164901</v>
      </c>
      <c r="AG83" s="37">
        <f>IF(Tabella2[[#This Row],[Q/p.c.]]="","",Tabella2[[#This Row],[€ gruppo adulto]]-Tabella2[[#This Row],[€ gruppo a da 1 a 2]])</f>
        <v>46.683</v>
      </c>
      <c r="AH83" s="5">
        <f>IF(Tabella2[[#This Row],[Q/p.c.]]="","",Tabella2[[#This Row],[€ gruppo a &gt;2]]/AG$2)</f>
        <v>0.26676</v>
      </c>
    </row>
    <row r="84" spans="1:34" hidden="1" x14ac:dyDescent="0.3">
      <c r="A84" s="28"/>
      <c r="C84" s="28" t="str">
        <f>IF(Tabella2[[#This Row],[Macro_prodotto]]&lt;&gt;"",CONCATENATE("M-",Tabella2[[#This Row],[u_macro]]),A83)</f>
        <v>M-49</v>
      </c>
      <c r="D84" s="28" t="str">
        <f>IF(Tabella2[[#This Row],[Macro_prodotto]]&lt;&gt;"",CONCATENATE("M-",Tabella2[[#This Row],[u_macro]]),"")</f>
        <v>M-49</v>
      </c>
      <c r="E84" s="28">
        <f>IF(Tabella2[[#This Row],[Macro_prodotto]]="","",(COUNT(E$4:E83))+1)</f>
        <v>49</v>
      </c>
      <c r="F84" s="28" t="str">
        <f t="shared" si="3"/>
        <v>p-083</v>
      </c>
      <c r="G84" s="8" t="s">
        <v>123</v>
      </c>
      <c r="H84" s="8" t="s">
        <v>132</v>
      </c>
      <c r="I84" s="8" t="s">
        <v>123</v>
      </c>
      <c r="J84" s="7" t="s">
        <v>10</v>
      </c>
      <c r="K84" s="7">
        <v>1000</v>
      </c>
      <c r="L84" s="7" t="s">
        <v>31</v>
      </c>
      <c r="M84" s="13">
        <v>2.5</v>
      </c>
      <c r="N84" s="7" t="s">
        <v>0</v>
      </c>
      <c r="O84" s="7">
        <v>1428</v>
      </c>
      <c r="P84" s="28">
        <f>IF(Tabella2[[#This Row],[quantità]]="","",Tabella2[[#This Row],[quantità]]-Tabella2[[#This Row],[quantità]]*P$2)</f>
        <v>1356.6</v>
      </c>
      <c r="Q84" s="3">
        <f>IF(Tabella2[[#This Row],[margine]]="","",Tabella2[[#This Row],[margine]]/11)</f>
        <v>123.32727272727271</v>
      </c>
      <c r="R84" s="5">
        <f>IF(Tabella2[[#This Row],[media mensile]]="","",Tabella2[[#This Row],[media mensile]]*Tabella2[[#This Row],[prezzo]])</f>
        <v>308.31818181818176</v>
      </c>
      <c r="S84" s="18">
        <v>0</v>
      </c>
      <c r="T84" s="37">
        <f>IF(Tabella2[[#This Row],[Q/p.c.]]="","",Tabella2[[#This Row],[Q/p.c.]]*Tabella2[[#This Row],[% n]])</f>
        <v>0</v>
      </c>
      <c r="U84" s="37">
        <f>IF(Tabella2[[#This Row],[Q/p.c.]]="","",Tabella2[[#This Row],[€ gruppo noenati]]*(S$3*-1))</f>
        <v>0</v>
      </c>
      <c r="V84" s="37">
        <f>IF(Tabella2[[#This Row],[Q/p.c.]]="","",Tabella2[[#This Row],[€ gruppo noenati]]+Tabella2[[#This Row],[% decurtazione]])</f>
        <v>0</v>
      </c>
      <c r="W84" s="5">
        <f>IF(Tabella2[[#This Row],[media mensile]]="","",Tabella2[[#This Row],[€ decurtato]]/S$2)</f>
        <v>0</v>
      </c>
      <c r="X84" s="18">
        <v>0.3</v>
      </c>
      <c r="Y84" s="37">
        <f>IF(Tabella2[[#This Row],[Q/p.c.]]="","",Tabella2[[#This Row],[Q/p.c.]]*Tabella2[[#This Row],[% b]])</f>
        <v>92.495454545454521</v>
      </c>
      <c r="Z84" s="37">
        <f>IF(Tabella2[[#This Row],[Q/p.c.]]="","",Tabella2[[#This Row],[€ gruppo bambino]]*(X$3*-1))</f>
        <v>-36.998181818181813</v>
      </c>
      <c r="AA84" s="37">
        <f>IF(Tabella2[[#This Row],[Q/p.c.]]="","",Tabella2[[#This Row],[€ gruppo bambino]]+Tabella2[[#This Row],[% decurtazione b]])</f>
        <v>55.497272727272708</v>
      </c>
      <c r="AB84" s="5">
        <f>IF(Tabella2[[#This Row],[media mensile]]="","",Tabella2[[#This Row],[€ decurtato b]]/X$2)</f>
        <v>0.78165172855313669</v>
      </c>
      <c r="AC84" s="18">
        <f>1-(Tabella2[[#This Row],[% n]]+Tabella2[[#This Row],[% b]])</f>
        <v>0.7</v>
      </c>
      <c r="AD84" s="37">
        <f>IF(Tabella2[[#This Row],[Q/p.c.]]="","",SUM((Tabella2[[#This Row],[Q/p.c.]]*Tabella2[[#This Row],[% a]]),(Tabella2[[#This Row],[% decurtazione]]*-1),(Tabella2[[#This Row],[% decurtazione b]]*-1)))</f>
        <v>252.82090909090903</v>
      </c>
      <c r="AE84" s="37">
        <f>IF(Tabella2[[#This Row],[Q/p.c.]]="","",Tabella2[[#This Row],[€ gruppo adulto]]*AE$3)</f>
        <v>113.76940909090906</v>
      </c>
      <c r="AF84" s="37">
        <f>IF(Tabella2[[#This Row],[Q/p.c.]]="","",Tabella2[[#This Row],[€ gruppo a da 1 a 2]]/AE$2)</f>
        <v>1.322900105708245</v>
      </c>
      <c r="AG84" s="37">
        <f>IF(Tabella2[[#This Row],[Q/p.c.]]="","",Tabella2[[#This Row],[€ gruppo adulto]]-Tabella2[[#This Row],[€ gruppo a da 1 a 2]])</f>
        <v>139.05149999999998</v>
      </c>
      <c r="AH84" s="5">
        <f>IF(Tabella2[[#This Row],[Q/p.c.]]="","",Tabella2[[#This Row],[€ gruppo a &gt;2]]/AG$2)</f>
        <v>0.79457999999999984</v>
      </c>
    </row>
    <row r="85" spans="1:34" hidden="1" x14ac:dyDescent="0.3">
      <c r="A85" s="28"/>
      <c r="C85" s="28">
        <f>IF(Tabella2[[#This Row],[Macro_prodotto]]&lt;&gt;"",CONCATENATE("M-",Tabella2[[#This Row],[u_macro]]),A84)</f>
        <v>0</v>
      </c>
      <c r="D85" s="28" t="str">
        <f>IF(Tabella2[[#This Row],[Macro_prodotto]]&lt;&gt;"",CONCATENATE("M-",Tabella2[[#This Row],[u_macro]]),"")</f>
        <v/>
      </c>
      <c r="E85" s="28" t="str">
        <f>IF(Tabella2[[#This Row],[Macro_prodotto]]="","",(COUNT(E$4:E84))+1)</f>
        <v/>
      </c>
      <c r="F85" s="28" t="str">
        <f t="shared" si="3"/>
        <v>p-084</v>
      </c>
      <c r="I85" s="8" t="s">
        <v>139</v>
      </c>
      <c r="J85" s="7" t="s">
        <v>10</v>
      </c>
      <c r="K85" s="7">
        <v>1000</v>
      </c>
      <c r="L85" s="7" t="s">
        <v>33</v>
      </c>
      <c r="M85" s="13">
        <v>1.5</v>
      </c>
      <c r="N85" s="7" t="s">
        <v>99</v>
      </c>
      <c r="O85" s="7">
        <v>735</v>
      </c>
      <c r="P85" s="28">
        <f>IF(Tabella2[[#This Row],[quantità]]="","",Tabella2[[#This Row],[quantità]]-Tabella2[[#This Row],[quantità]]*P$2)</f>
        <v>698.25</v>
      </c>
      <c r="Q85" s="3">
        <f>IF(Tabella2[[#This Row],[margine]]="","",Tabella2[[#This Row],[margine]]/11)</f>
        <v>63.477272727272727</v>
      </c>
      <c r="R85" s="5">
        <f>IF(Tabella2[[#This Row],[media mensile]]="","",Tabella2[[#This Row],[media mensile]]*Tabella2[[#This Row],[prezzo]])</f>
        <v>95.215909090909093</v>
      </c>
      <c r="S85" s="18">
        <v>0</v>
      </c>
      <c r="T85" s="37">
        <f>IF(Tabella2[[#This Row],[Q/p.c.]]="","",Tabella2[[#This Row],[Q/p.c.]]*Tabella2[[#This Row],[% n]])</f>
        <v>0</v>
      </c>
      <c r="U85" s="37">
        <f>IF(Tabella2[[#This Row],[Q/p.c.]]="","",Tabella2[[#This Row],[€ gruppo noenati]]*(S$3*-1))</f>
        <v>0</v>
      </c>
      <c r="V85" s="37">
        <f>IF(Tabella2[[#This Row],[Q/p.c.]]="","",Tabella2[[#This Row],[€ gruppo noenati]]+Tabella2[[#This Row],[% decurtazione]])</f>
        <v>0</v>
      </c>
      <c r="W85" s="5">
        <f>IF(Tabella2[[#This Row],[media mensile]]="","",Tabella2[[#This Row],[€ decurtato]]/S$2)</f>
        <v>0</v>
      </c>
      <c r="X85" s="18">
        <v>0</v>
      </c>
      <c r="Y85" s="37">
        <f>IF(Tabella2[[#This Row],[Q/p.c.]]="","",Tabella2[[#This Row],[Q/p.c.]]*Tabella2[[#This Row],[% b]])</f>
        <v>0</v>
      </c>
      <c r="Z85" s="37">
        <f>IF(Tabella2[[#This Row],[Q/p.c.]]="","",Tabella2[[#This Row],[€ gruppo bambino]]*(X$3*-1))</f>
        <v>0</v>
      </c>
      <c r="AA85" s="37">
        <f>IF(Tabella2[[#This Row],[Q/p.c.]]="","",Tabella2[[#This Row],[€ gruppo bambino]]+Tabella2[[#This Row],[% decurtazione b]])</f>
        <v>0</v>
      </c>
      <c r="AB85" s="5">
        <f>IF(Tabella2[[#This Row],[media mensile]]="","",Tabella2[[#This Row],[€ decurtato b]]/X$2)</f>
        <v>0</v>
      </c>
      <c r="AC85" s="18">
        <f>1-(Tabella2[[#This Row],[% n]]+Tabella2[[#This Row],[% b]])</f>
        <v>1</v>
      </c>
      <c r="AD85" s="37">
        <f>IF(Tabella2[[#This Row],[Q/p.c.]]="","",SUM((Tabella2[[#This Row],[Q/p.c.]]*Tabella2[[#This Row],[% a]]),(Tabella2[[#This Row],[% decurtazione]]*-1),(Tabella2[[#This Row],[% decurtazione b]]*-1)))</f>
        <v>95.215909090909093</v>
      </c>
      <c r="AE85" s="37">
        <f>IF(Tabella2[[#This Row],[Q/p.c.]]="","",Tabella2[[#This Row],[€ gruppo adulto]]*AE$3)</f>
        <v>42.847159090909095</v>
      </c>
      <c r="AF85" s="37">
        <f>IF(Tabella2[[#This Row],[Q/p.c.]]="","",Tabella2[[#This Row],[€ gruppo a da 1 a 2]]/AE$2)</f>
        <v>0.49822278012684995</v>
      </c>
      <c r="AG85" s="37">
        <f>IF(Tabella2[[#This Row],[Q/p.c.]]="","",Tabella2[[#This Row],[€ gruppo adulto]]-Tabella2[[#This Row],[€ gruppo a da 1 a 2]])</f>
        <v>52.368749999999999</v>
      </c>
      <c r="AH85" s="5">
        <f>IF(Tabella2[[#This Row],[Q/p.c.]]="","",Tabella2[[#This Row],[€ gruppo a &gt;2]]/AG$2)</f>
        <v>0.29925000000000002</v>
      </c>
    </row>
    <row r="86" spans="1:34" hidden="1" x14ac:dyDescent="0.3">
      <c r="A86" s="28"/>
      <c r="C86" s="28">
        <f>IF(Tabella2[[#This Row],[Macro_prodotto]]&lt;&gt;"",CONCATENATE("M-",Tabella2[[#This Row],[u_macro]]),A85)</f>
        <v>0</v>
      </c>
      <c r="D86" s="28" t="str">
        <f>IF(Tabella2[[#This Row],[Macro_prodotto]]&lt;&gt;"",CONCATENATE("M-",Tabella2[[#This Row],[u_macro]]),"")</f>
        <v/>
      </c>
      <c r="E86" s="28" t="str">
        <f>IF(Tabella2[[#This Row],[Macro_prodotto]]="","",(COUNT(E$4:E85))+1)</f>
        <v/>
      </c>
      <c r="F86" s="28" t="str">
        <f t="shared" si="3"/>
        <v>p-085</v>
      </c>
      <c r="I86" s="8" t="s">
        <v>160</v>
      </c>
      <c r="J86" s="7" t="s">
        <v>8</v>
      </c>
      <c r="K86" s="7">
        <v>1000</v>
      </c>
      <c r="L86" s="7" t="s">
        <v>31</v>
      </c>
      <c r="M86" s="13">
        <v>8</v>
      </c>
      <c r="N86" s="7" t="s">
        <v>0</v>
      </c>
      <c r="O86" s="7">
        <v>138</v>
      </c>
      <c r="P86" s="28">
        <f>IF(Tabella2[[#This Row],[quantità]]="","",Tabella2[[#This Row],[quantità]]-Tabella2[[#This Row],[quantità]]*P$2)</f>
        <v>131.1</v>
      </c>
      <c r="Q86" s="3">
        <f>IF(Tabella2[[#This Row],[margine]]="","",Tabella2[[#This Row],[margine]]/11)</f>
        <v>11.918181818181818</v>
      </c>
      <c r="R86" s="5">
        <f>IF(Tabella2[[#This Row],[media mensile]]="","",Tabella2[[#This Row],[media mensile]]*Tabella2[[#This Row],[prezzo]])</f>
        <v>95.345454545454544</v>
      </c>
      <c r="S86" s="18">
        <v>0</v>
      </c>
      <c r="T86" s="37">
        <f>IF(Tabella2[[#This Row],[Q/p.c.]]="","",Tabella2[[#This Row],[Q/p.c.]]*Tabella2[[#This Row],[% n]])</f>
        <v>0</v>
      </c>
      <c r="U86" s="37">
        <f>IF(Tabella2[[#This Row],[Q/p.c.]]="","",Tabella2[[#This Row],[€ gruppo noenati]]*(S$3*-1))</f>
        <v>0</v>
      </c>
      <c r="V86" s="37">
        <f>IF(Tabella2[[#This Row],[Q/p.c.]]="","",Tabella2[[#This Row],[€ gruppo noenati]]+Tabella2[[#This Row],[% decurtazione]])</f>
        <v>0</v>
      </c>
      <c r="W86" s="5">
        <f>IF(Tabella2[[#This Row],[media mensile]]="","",Tabella2[[#This Row],[€ decurtato]]/S$2)</f>
        <v>0</v>
      </c>
      <c r="X86" s="18">
        <v>0.2</v>
      </c>
      <c r="Y86" s="37">
        <f>IF(Tabella2[[#This Row],[Q/p.c.]]="","",Tabella2[[#This Row],[Q/p.c.]]*Tabella2[[#This Row],[% b]])</f>
        <v>19.06909090909091</v>
      </c>
      <c r="Z86" s="37">
        <f>IF(Tabella2[[#This Row],[Q/p.c.]]="","",Tabella2[[#This Row],[€ gruppo bambino]]*(X$3*-1))</f>
        <v>-7.6276363636363644</v>
      </c>
      <c r="AA86" s="37">
        <f>IF(Tabella2[[#This Row],[Q/p.c.]]="","",Tabella2[[#This Row],[€ gruppo bambino]]+Tabella2[[#This Row],[% decurtazione b]])</f>
        <v>11.441454545454546</v>
      </c>
      <c r="AB86" s="5">
        <f>IF(Tabella2[[#This Row],[media mensile]]="","",Tabella2[[#This Row],[€ decurtato b]]/X$2)</f>
        <v>0.1611472471190781</v>
      </c>
      <c r="AC86" s="18">
        <f>1-(Tabella2[[#This Row],[% n]]+Tabella2[[#This Row],[% b]])</f>
        <v>0.8</v>
      </c>
      <c r="AD86" s="37">
        <f>IF(Tabella2[[#This Row],[Q/p.c.]]="","",SUM((Tabella2[[#This Row],[Q/p.c.]]*Tabella2[[#This Row],[% a]]),(Tabella2[[#This Row],[% decurtazione]]*-1),(Tabella2[[#This Row],[% decurtazione b]]*-1)))</f>
        <v>83.904000000000011</v>
      </c>
      <c r="AE86" s="37">
        <f>IF(Tabella2[[#This Row],[Q/p.c.]]="","",Tabella2[[#This Row],[€ gruppo adulto]]*AE$3)</f>
        <v>37.756800000000005</v>
      </c>
      <c r="AF86" s="37">
        <f>IF(Tabella2[[#This Row],[Q/p.c.]]="","",Tabella2[[#This Row],[€ gruppo a da 1 a 2]]/AE$2)</f>
        <v>0.43903255813953496</v>
      </c>
      <c r="AG86" s="37">
        <f>IF(Tabella2[[#This Row],[Q/p.c.]]="","",Tabella2[[#This Row],[€ gruppo adulto]]-Tabella2[[#This Row],[€ gruppo a da 1 a 2]])</f>
        <v>46.147200000000005</v>
      </c>
      <c r="AH86" s="5">
        <f>IF(Tabella2[[#This Row],[Q/p.c.]]="","",Tabella2[[#This Row],[€ gruppo a &gt;2]]/AG$2)</f>
        <v>0.26369828571428572</v>
      </c>
    </row>
  </sheetData>
  <dataConsolidate/>
  <mergeCells count="7">
    <mergeCell ref="S3:W3"/>
    <mergeCell ref="X3:AB3"/>
    <mergeCell ref="S1:W1"/>
    <mergeCell ref="X1:AB1"/>
    <mergeCell ref="AC1:AH1"/>
    <mergeCell ref="S2:W2"/>
    <mergeCell ref="X2:AB2"/>
  </mergeCell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ColWidth="12.33203125" defaultRowHeight="17.399999999999999" customHeight="1" x14ac:dyDescent="0.3"/>
  <cols>
    <col min="1" max="1" width="12.6640625" style="1" bestFit="1" customWidth="1"/>
    <col min="2" max="2" width="14" style="1" bestFit="1" customWidth="1"/>
    <col min="3" max="3" width="16" style="7" bestFit="1" customWidth="1"/>
    <col min="4" max="4" width="11.33203125" style="1" bestFit="1" customWidth="1"/>
    <col min="5" max="16384" width="12.33203125" style="1"/>
  </cols>
  <sheetData>
    <row r="1" spans="1:4" ht="17.399999999999999" customHeight="1" x14ac:dyDescent="0.3">
      <c r="A1" s="1" t="str">
        <f>u_prodotti!S1</f>
        <v>neonato
(0-2)</v>
      </c>
      <c r="B1" s="1" t="str">
        <f>u_prodotti!X1</f>
        <v>bambino
(3-10)</v>
      </c>
      <c r="C1" s="7" t="s">
        <v>159</v>
      </c>
      <c r="D1" s="1" t="str">
        <f>u_prodotti!AC1</f>
        <v>adulto
(&gt;10)</v>
      </c>
    </row>
    <row r="2" spans="1:4" ht="17.399999999999999" customHeight="1" x14ac:dyDescent="0.3">
      <c r="A2" s="1">
        <f>SUM(Tabella2[€/p.c. n])</f>
        <v>0</v>
      </c>
      <c r="B2" s="1">
        <f>SUM(Tabella2[€/p.c. b])</f>
        <v>7.8650220230473735</v>
      </c>
      <c r="C2" s="7">
        <f>SUM(Tabella2[€/p.c. a da 1 a 2])</f>
        <v>17.735431300211417</v>
      </c>
      <c r="D2" s="1">
        <f>SUM(Tabella2[€/p.c. a &gt;2])</f>
        <v>10.652519371428571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07"/>
  <sheetViews>
    <sheetView showGridLines="0" tabSelected="1" workbookViewId="0">
      <selection activeCell="M106" sqref="M2:M106"/>
    </sheetView>
  </sheetViews>
  <sheetFormatPr defaultColWidth="13.88671875" defaultRowHeight="19.2" customHeight="1" outlineLevelCol="1" x14ac:dyDescent="0.3"/>
  <cols>
    <col min="1" max="1" width="6.5546875" style="7" bestFit="1" customWidth="1"/>
    <col min="2" max="2" width="6.5546875" style="7" customWidth="1"/>
    <col min="3" max="3" width="20.5546875" style="7" customWidth="1"/>
    <col min="4" max="4" width="11.88671875" style="7" bestFit="1" customWidth="1"/>
    <col min="5" max="5" width="12.33203125" style="7" bestFit="1" customWidth="1"/>
    <col min="6" max="6" width="10.21875" style="7" bestFit="1" customWidth="1"/>
    <col min="7" max="7" width="15.6640625" style="7" customWidth="1" outlineLevel="1"/>
    <col min="8" max="8" width="15.6640625" style="7" customWidth="1"/>
    <col min="9" max="11" width="15.6640625" style="7" hidden="1" customWidth="1" outlineLevel="1"/>
    <col min="12" max="12" width="19.5546875" style="3" hidden="1" customWidth="1" outlineLevel="1"/>
    <col min="13" max="13" width="13.88671875" style="48" collapsed="1"/>
    <col min="14" max="16384" width="13.88671875" style="7"/>
  </cols>
  <sheetData>
    <row r="1" spans="1:15" ht="30.6" customHeight="1" x14ac:dyDescent="0.3">
      <c r="A1" s="7" t="s">
        <v>103</v>
      </c>
      <c r="B1" s="7" t="s">
        <v>118</v>
      </c>
      <c r="C1" s="7" t="s">
        <v>102</v>
      </c>
      <c r="D1" s="6" t="s">
        <v>119</v>
      </c>
      <c r="E1" s="6" t="s">
        <v>145</v>
      </c>
      <c r="F1" s="6" t="s">
        <v>146</v>
      </c>
      <c r="G1" s="6" t="s">
        <v>113</v>
      </c>
      <c r="H1" s="6" t="s">
        <v>351</v>
      </c>
      <c r="I1" s="6" t="s">
        <v>114</v>
      </c>
      <c r="J1" s="6" t="s">
        <v>115</v>
      </c>
      <c r="K1" s="6" t="s">
        <v>116</v>
      </c>
      <c r="L1" s="27" t="s">
        <v>104</v>
      </c>
      <c r="M1" s="60" t="s">
        <v>350</v>
      </c>
    </row>
    <row r="2" spans="1:15" ht="19.2" customHeight="1" x14ac:dyDescent="0.3">
      <c r="A2" s="7">
        <f>ROW(A1)</f>
        <v>1</v>
      </c>
      <c r="B2" s="7">
        <v>1</v>
      </c>
      <c r="C2" s="7" t="s">
        <v>245</v>
      </c>
      <c r="E2" s="7">
        <v>1</v>
      </c>
      <c r="F2" s="7">
        <v>2</v>
      </c>
      <c r="G2" s="7">
        <f>SUM(Tabella4[[#This Row],[adulti (&gt;10)]],Tabella4[[#This Row],[bambini (3-10)]]*0.05)</f>
        <v>2.0499999999999998</v>
      </c>
      <c r="H2" s="7">
        <f>IF(Tabella4[[#This Row],[Macro_Cat1]]=0,"",VLOOKUP(Tabella4[[#This Row],[Macro_Cat1]],Tabella3[[#All],[ID]:[BLOCCO]],2,FALSE))</f>
        <v>5</v>
      </c>
      <c r="L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44</v>
      </c>
      <c r="O2" s="7" t="str">
        <f>CONCATENATE("cat"," ",Tabella4[[#This Row],[Categoria assegnata]])</f>
        <v>cat 5</v>
      </c>
    </row>
    <row r="3" spans="1:15" ht="19.2" customHeight="1" x14ac:dyDescent="0.3">
      <c r="A3" s="7">
        <f t="shared" ref="A3:A34" si="0">ROW(A2)</f>
        <v>2</v>
      </c>
      <c r="B3" s="7">
        <v>2</v>
      </c>
      <c r="C3" s="7" t="s">
        <v>246</v>
      </c>
      <c r="E3" s="7">
        <v>2</v>
      </c>
      <c r="F3" s="7">
        <v>4</v>
      </c>
      <c r="G3" s="7">
        <f>SUM(Tabella4[[#This Row],[adulti (&gt;10)]],Tabella4[[#This Row],[bambini (3-10)]]*0.05)</f>
        <v>4.0999999999999996</v>
      </c>
      <c r="H3" s="7">
        <f>IF(Tabella4[[#This Row],[Macro_Cat1]]=0,"",VLOOKUP(Tabella4[[#This Row],[Macro_Cat1]],Tabella3[[#All],[ID]:[BLOCCO]],2,FALSE))</f>
        <v>8</v>
      </c>
      <c r="L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58.340121531809032</v>
      </c>
      <c r="M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3" s="7" t="str">
        <f>CONCATENATE("cat"," ",Tabella4[[#This Row],[Categoria assegnata]])</f>
        <v>cat 8</v>
      </c>
    </row>
    <row r="4" spans="1:15" ht="19.2" customHeight="1" x14ac:dyDescent="0.3">
      <c r="A4" s="7">
        <f t="shared" si="0"/>
        <v>3</v>
      </c>
      <c r="B4" s="7">
        <v>3</v>
      </c>
      <c r="C4" s="7" t="s">
        <v>247</v>
      </c>
      <c r="E4" s="7">
        <v>2</v>
      </c>
      <c r="F4" s="7">
        <v>2</v>
      </c>
      <c r="G4" s="7">
        <f>SUM(Tabella4[[#This Row],[adulti (&gt;10)]],Tabella4[[#This Row],[bambini (3-10)]]*0.05)</f>
        <v>2.1</v>
      </c>
      <c r="H4" s="7">
        <f>IF(Tabella4[[#This Row],[Macro_Cat1]]=0,"",VLOOKUP(Tabella4[[#This Row],[Macro_Cat1]],Tabella3[[#All],[ID]:[BLOCCO]],2,FALSE))</f>
        <v>6</v>
      </c>
      <c r="L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51.200906646517581</v>
      </c>
      <c r="M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4" s="7" t="str">
        <f>CONCATENATE("cat"," ",Tabella4[[#This Row],[Categoria assegnata]])</f>
        <v>cat 6</v>
      </c>
    </row>
    <row r="5" spans="1:15" ht="19.2" customHeight="1" x14ac:dyDescent="0.3">
      <c r="A5" s="7">
        <f t="shared" si="0"/>
        <v>4</v>
      </c>
      <c r="B5" s="7">
        <v>4</v>
      </c>
      <c r="C5" s="7" t="s">
        <v>248</v>
      </c>
      <c r="D5" s="7">
        <v>1</v>
      </c>
      <c r="E5" s="7">
        <v>1</v>
      </c>
      <c r="F5" s="7">
        <v>2</v>
      </c>
      <c r="G5" s="7">
        <f>SUM(Tabella4[[#This Row],[adulti (&gt;10)]],Tabella4[[#This Row],[bambini (3-10)]]*0.05)</f>
        <v>2.0499999999999998</v>
      </c>
      <c r="H5" s="7">
        <f>IF(Tabella4[[#This Row],[Macro_Cat1]]=0,"",VLOOKUP(Tabella4[[#This Row],[Macro_Cat1]],Tabella3[[#All],[ID]:[BLOCCO]],2,FALSE))</f>
        <v>5</v>
      </c>
      <c r="L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62</v>
      </c>
      <c r="O5" s="7" t="str">
        <f>CONCATENATE("cat"," ",Tabella4[[#This Row],[Categoria assegnata]])</f>
        <v>cat 5</v>
      </c>
    </row>
    <row r="6" spans="1:15" ht="19.2" customHeight="1" x14ac:dyDescent="0.3">
      <c r="A6" s="7">
        <f t="shared" si="0"/>
        <v>5</v>
      </c>
      <c r="B6" s="7">
        <v>5</v>
      </c>
      <c r="C6" s="7" t="s">
        <v>249</v>
      </c>
      <c r="F6" s="7">
        <v>1</v>
      </c>
      <c r="G6" s="7">
        <f>SUM(Tabella4[[#This Row],[adulti (&gt;10)]],Tabella4[[#This Row],[bambini (3-10)]]*0.05)</f>
        <v>1</v>
      </c>
      <c r="H6" s="7">
        <f>IF(Tabella4[[#This Row],[Macro_Cat1]]=0,"",VLOOKUP(Tabella4[[#This Row],[Macro_Cat1]],Tabella3[[#All],[ID]:[BLOCCO]],2,FALSE))</f>
        <v>1</v>
      </c>
      <c r="L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6" s="7" t="str">
        <f>CONCATENATE("cat"," ",Tabella4[[#This Row],[Categoria assegnata]])</f>
        <v>cat 1</v>
      </c>
    </row>
    <row r="7" spans="1:15" ht="19.2" customHeight="1" x14ac:dyDescent="0.3">
      <c r="A7" s="7">
        <f t="shared" si="0"/>
        <v>6</v>
      </c>
      <c r="B7" s="7">
        <v>6</v>
      </c>
      <c r="C7" s="7" t="s">
        <v>250</v>
      </c>
      <c r="F7" s="7">
        <v>1</v>
      </c>
      <c r="G7" s="7">
        <f>SUM(Tabella4[[#This Row],[adulti (&gt;10)]],Tabella4[[#This Row],[bambini (3-10)]]*0.05)</f>
        <v>1</v>
      </c>
      <c r="H7" s="7">
        <f>IF(Tabella4[[#This Row],[Macro_Cat1]]=0,"",VLOOKUP(Tabella4[[#This Row],[Macro_Cat1]],Tabella3[[#All],[ID]:[BLOCCO]],2,FALSE))</f>
        <v>1</v>
      </c>
      <c r="L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7" s="7" t="str">
        <f>CONCATENATE("cat"," ",Tabella4[[#This Row],[Categoria assegnata]])</f>
        <v>cat 1</v>
      </c>
    </row>
    <row r="8" spans="1:15" ht="19.2" customHeight="1" x14ac:dyDescent="0.3">
      <c r="A8" s="7">
        <f t="shared" si="0"/>
        <v>7</v>
      </c>
      <c r="B8" s="7">
        <v>7</v>
      </c>
      <c r="C8" s="7" t="s">
        <v>251</v>
      </c>
      <c r="F8" s="7">
        <v>2</v>
      </c>
      <c r="G8" s="7">
        <f>SUM(Tabella4[[#This Row],[adulti (&gt;10)]],Tabella4[[#This Row],[bambini (3-10)]]*0.05)</f>
        <v>2</v>
      </c>
      <c r="H8" s="7">
        <f>IF(Tabella4[[#This Row],[Macro_Cat1]]=0,"",VLOOKUP(Tabella4[[#This Row],[Macro_Cat1]],Tabella3[[#All],[ID]:[BLOCCO]],2,FALSE))</f>
        <v>4</v>
      </c>
      <c r="L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8" s="7" t="str">
        <f>CONCATENATE("cat"," ",Tabella4[[#This Row],[Categoria assegnata]])</f>
        <v>cat 4</v>
      </c>
    </row>
    <row r="9" spans="1:15" ht="19.2" customHeight="1" x14ac:dyDescent="0.3">
      <c r="A9" s="7">
        <f t="shared" si="0"/>
        <v>8</v>
      </c>
      <c r="B9" s="7">
        <v>8</v>
      </c>
      <c r="C9" s="7" t="s">
        <v>252</v>
      </c>
      <c r="F9" s="7">
        <v>3</v>
      </c>
      <c r="G9" s="7">
        <f>SUM(Tabella4[[#This Row],[adulti (&gt;10)]],Tabella4[[#This Row],[bambini (3-10)]]*0.05)</f>
        <v>3</v>
      </c>
      <c r="H9" s="7">
        <f>IF(Tabella4[[#This Row],[Macro_Cat1]]=0,"",VLOOKUP(Tabella4[[#This Row],[Macro_Cat1]],Tabella3[[#All],[ID]:[BLOCCO]],2,FALSE))</f>
        <v>6</v>
      </c>
      <c r="L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31.957558114285714</v>
      </c>
      <c r="M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9" s="7" t="str">
        <f>CONCATENATE("cat"," ",Tabella4[[#This Row],[Categoria assegnata]])</f>
        <v>cat 6</v>
      </c>
    </row>
    <row r="10" spans="1:15" ht="19.2" customHeight="1" x14ac:dyDescent="0.3">
      <c r="A10" s="7">
        <f t="shared" si="0"/>
        <v>9</v>
      </c>
      <c r="B10" s="7">
        <v>9</v>
      </c>
      <c r="C10" s="7" t="s">
        <v>253</v>
      </c>
      <c r="E10" s="7">
        <v>1</v>
      </c>
      <c r="F10" s="7">
        <v>6</v>
      </c>
      <c r="G10" s="7">
        <f>SUM(Tabella4[[#This Row],[adulti (&gt;10)]],Tabella4[[#This Row],[bambini (3-10)]]*0.05)</f>
        <v>6.05</v>
      </c>
      <c r="H10" s="7">
        <f>IF(Tabella4[[#This Row],[Macro_Cat1]]=0,"",VLOOKUP(Tabella4[[#This Row],[Macro_Cat1]],Tabella3[[#All],[ID]:[BLOCCO]],2,FALSE))</f>
        <v>10</v>
      </c>
      <c r="L1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71.780138251618808</v>
      </c>
      <c r="M1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72</v>
      </c>
      <c r="O10" s="7" t="str">
        <f>CONCATENATE("cat"," ",Tabella4[[#This Row],[Categoria assegnata]])</f>
        <v>cat 10</v>
      </c>
    </row>
    <row r="11" spans="1:15" ht="19.2" customHeight="1" x14ac:dyDescent="0.3">
      <c r="A11" s="7">
        <f t="shared" si="0"/>
        <v>10</v>
      </c>
      <c r="B11" s="7">
        <v>10</v>
      </c>
      <c r="C11" s="7" t="s">
        <v>254</v>
      </c>
      <c r="G11" s="7">
        <f>SUM(Tabella4[[#This Row],[adulti (&gt;10)]],Tabella4[[#This Row],[bambini (3-10)]]*0.05)</f>
        <v>0</v>
      </c>
      <c r="H11" s="7" t="str">
        <f>IF(Tabella4[[#This Row],[Macro_Cat1]]=0,"",VLOOKUP(Tabella4[[#This Row],[Macro_Cat1]],Tabella3[[#All],[ID]:[BLOCCO]],2,FALSE))</f>
        <v/>
      </c>
      <c r="L1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0</v>
      </c>
      <c r="M11" s="48" t="str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/>
      </c>
      <c r="O11" s="7" t="str">
        <f>CONCATENATE("cat"," ",Tabella4[[#This Row],[Categoria assegnata]])</f>
        <v xml:space="preserve">cat </v>
      </c>
    </row>
    <row r="12" spans="1:15" ht="19.2" customHeight="1" x14ac:dyDescent="0.3">
      <c r="A12" s="7">
        <f t="shared" si="0"/>
        <v>11</v>
      </c>
      <c r="B12" s="7">
        <v>11</v>
      </c>
      <c r="C12" s="7" t="s">
        <v>255</v>
      </c>
      <c r="D12" s="7">
        <v>1</v>
      </c>
      <c r="E12" s="7">
        <v>1</v>
      </c>
      <c r="F12" s="7">
        <v>2</v>
      </c>
      <c r="G12" s="7">
        <f>SUM(Tabella4[[#This Row],[adulti (&gt;10)]],Tabella4[[#This Row],[bambini (3-10)]]*0.05)</f>
        <v>2.0499999999999998</v>
      </c>
      <c r="H12" s="7">
        <f>IF(Tabella4[[#This Row],[Macro_Cat1]]=0,"",VLOOKUP(Tabella4[[#This Row],[Macro_Cat1]],Tabella3[[#All],[ID]:[BLOCCO]],2,FALSE))</f>
        <v>5</v>
      </c>
      <c r="L1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1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62</v>
      </c>
      <c r="O12" s="7" t="str">
        <f>CONCATENATE("cat"," ",Tabella4[[#This Row],[Categoria assegnata]])</f>
        <v>cat 5</v>
      </c>
    </row>
    <row r="13" spans="1:15" ht="19.2" customHeight="1" x14ac:dyDescent="0.3">
      <c r="A13" s="7">
        <f t="shared" si="0"/>
        <v>12</v>
      </c>
      <c r="B13" s="7">
        <v>12</v>
      </c>
      <c r="C13" s="7" t="s">
        <v>256</v>
      </c>
      <c r="E13" s="7">
        <v>2</v>
      </c>
      <c r="F13" s="7">
        <v>3</v>
      </c>
      <c r="G13" s="7">
        <f>SUM(Tabella4[[#This Row],[adulti (&gt;10)]],Tabella4[[#This Row],[bambini (3-10)]]*0.05)</f>
        <v>3.1</v>
      </c>
      <c r="H13" s="7">
        <f>IF(Tabella4[[#This Row],[Macro_Cat1]]=0,"",VLOOKUP(Tabella4[[#This Row],[Macro_Cat1]],Tabella3[[#All],[ID]:[BLOCCO]],2,FALSE))</f>
        <v>7</v>
      </c>
      <c r="L1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47.687602160380465</v>
      </c>
      <c r="M1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13" s="7" t="str">
        <f>CONCATENATE("cat"," ",Tabella4[[#This Row],[Categoria assegnata]])</f>
        <v>cat 7</v>
      </c>
    </row>
    <row r="14" spans="1:15" ht="19.2" customHeight="1" x14ac:dyDescent="0.3">
      <c r="A14" s="7">
        <f t="shared" si="0"/>
        <v>13</v>
      </c>
      <c r="B14" s="7">
        <v>13</v>
      </c>
      <c r="C14" s="7" t="s">
        <v>257</v>
      </c>
      <c r="F14" s="7">
        <v>5</v>
      </c>
      <c r="G14" s="7">
        <f>SUM(Tabella4[[#This Row],[adulti (&gt;10)]],Tabella4[[#This Row],[bambini (3-10)]]*0.05)</f>
        <v>5</v>
      </c>
      <c r="H14" s="7">
        <f>IF(Tabella4[[#This Row],[Macro_Cat1]]=0,"",VLOOKUP(Tabella4[[#This Row],[Macro_Cat1]],Tabella3[[#All],[ID]:[BLOCCO]],2,FALSE))</f>
        <v>8</v>
      </c>
      <c r="L1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1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14" s="7" t="str">
        <f>CONCATENATE("cat"," ",Tabella4[[#This Row],[Categoria assegnata]])</f>
        <v>cat 8</v>
      </c>
    </row>
    <row r="15" spans="1:15" ht="19.2" customHeight="1" x14ac:dyDescent="0.3">
      <c r="A15" s="7">
        <f t="shared" si="0"/>
        <v>14</v>
      </c>
      <c r="B15" s="7">
        <v>14</v>
      </c>
      <c r="C15" s="7" t="s">
        <v>258</v>
      </c>
      <c r="F15" s="7">
        <v>2</v>
      </c>
      <c r="G15" s="7">
        <f>SUM(Tabella4[[#This Row],[adulti (&gt;10)]],Tabella4[[#This Row],[bambini (3-10)]]*0.05)</f>
        <v>2</v>
      </c>
      <c r="H15" s="7">
        <f>IF(Tabella4[[#This Row],[Macro_Cat1]]=0,"",VLOOKUP(Tabella4[[#This Row],[Macro_Cat1]],Tabella3[[#All],[ID]:[BLOCCO]],2,FALSE))</f>
        <v>4</v>
      </c>
      <c r="L1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1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15" s="7" t="str">
        <f>CONCATENATE("cat"," ",Tabella4[[#This Row],[Categoria assegnata]])</f>
        <v>cat 4</v>
      </c>
    </row>
    <row r="16" spans="1:15" ht="19.2" customHeight="1" x14ac:dyDescent="0.3">
      <c r="A16" s="7">
        <f t="shared" si="0"/>
        <v>15</v>
      </c>
      <c r="B16" s="7">
        <v>15</v>
      </c>
      <c r="C16" s="7" t="s">
        <v>259</v>
      </c>
      <c r="F16" s="7">
        <v>1</v>
      </c>
      <c r="G16" s="7">
        <f>SUM(Tabella4[[#This Row],[adulti (&gt;10)]],Tabella4[[#This Row],[bambini (3-10)]]*0.05)</f>
        <v>1</v>
      </c>
      <c r="H16" s="7">
        <f>IF(Tabella4[[#This Row],[Macro_Cat1]]=0,"",VLOOKUP(Tabella4[[#This Row],[Macro_Cat1]],Tabella3[[#All],[ID]:[BLOCCO]],2,FALSE))</f>
        <v>1</v>
      </c>
      <c r="L1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1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16" s="7" t="str">
        <f>CONCATENATE("cat"," ",Tabella4[[#This Row],[Categoria assegnata]])</f>
        <v>cat 1</v>
      </c>
    </row>
    <row r="17" spans="1:15" ht="19.2" customHeight="1" x14ac:dyDescent="0.3">
      <c r="A17" s="7">
        <f t="shared" si="0"/>
        <v>16</v>
      </c>
      <c r="B17" s="7">
        <v>16</v>
      </c>
      <c r="C17" s="7" t="s">
        <v>260</v>
      </c>
      <c r="E17" s="7">
        <v>1</v>
      </c>
      <c r="F17" s="7">
        <v>6</v>
      </c>
      <c r="G17" s="7">
        <f>SUM(Tabella4[[#This Row],[adulti (&gt;10)]],Tabella4[[#This Row],[bambini (3-10)]]*0.05)</f>
        <v>6.05</v>
      </c>
      <c r="H17" s="7">
        <f>IF(Tabella4[[#This Row],[Macro_Cat1]]=0,"",VLOOKUP(Tabella4[[#This Row],[Macro_Cat1]],Tabella3[[#All],[ID]:[BLOCCO]],2,FALSE))</f>
        <v>10</v>
      </c>
      <c r="L1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71.780138251618808</v>
      </c>
      <c r="M1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72</v>
      </c>
      <c r="O17" s="7" t="str">
        <f>CONCATENATE("cat"," ",Tabella4[[#This Row],[Categoria assegnata]])</f>
        <v>cat 10</v>
      </c>
    </row>
    <row r="18" spans="1:15" ht="19.2" customHeight="1" x14ac:dyDescent="0.3">
      <c r="A18" s="7">
        <f t="shared" si="0"/>
        <v>17</v>
      </c>
      <c r="B18" s="7">
        <v>17</v>
      </c>
      <c r="C18" s="7" t="s">
        <v>261</v>
      </c>
      <c r="E18" s="7">
        <v>2</v>
      </c>
      <c r="F18" s="7">
        <v>3</v>
      </c>
      <c r="G18" s="7">
        <f>SUM(Tabella4[[#This Row],[adulti (&gt;10)]],Tabella4[[#This Row],[bambini (3-10)]]*0.05)</f>
        <v>3.1</v>
      </c>
      <c r="H18" s="7">
        <f>IF(Tabella4[[#This Row],[Macro_Cat1]]=0,"",VLOOKUP(Tabella4[[#This Row],[Macro_Cat1]],Tabella3[[#All],[ID]:[BLOCCO]],2,FALSE))</f>
        <v>7</v>
      </c>
      <c r="L1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47.687602160380465</v>
      </c>
      <c r="M1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18" s="7" t="str">
        <f>CONCATENATE("cat"," ",Tabella4[[#This Row],[Categoria assegnata]])</f>
        <v>cat 7</v>
      </c>
    </row>
    <row r="19" spans="1:15" ht="19.2" customHeight="1" x14ac:dyDescent="0.3">
      <c r="A19" s="7">
        <f t="shared" si="0"/>
        <v>18</v>
      </c>
      <c r="B19" s="7">
        <v>18</v>
      </c>
      <c r="C19" s="7" t="s">
        <v>262</v>
      </c>
      <c r="F19" s="7">
        <v>5</v>
      </c>
      <c r="G19" s="7">
        <f>SUM(Tabella4[[#This Row],[adulti (&gt;10)]],Tabella4[[#This Row],[bambini (3-10)]]*0.05)</f>
        <v>5</v>
      </c>
      <c r="H19" s="7">
        <f>IF(Tabella4[[#This Row],[Macro_Cat1]]=0,"",VLOOKUP(Tabella4[[#This Row],[Macro_Cat1]],Tabella3[[#All],[ID]:[BLOCCO]],2,FALSE))</f>
        <v>8</v>
      </c>
      <c r="L1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1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19" s="7" t="str">
        <f>CONCATENATE("cat"," ",Tabella4[[#This Row],[Categoria assegnata]])</f>
        <v>cat 8</v>
      </c>
    </row>
    <row r="20" spans="1:15" ht="19.2" customHeight="1" x14ac:dyDescent="0.3">
      <c r="A20" s="7">
        <f t="shared" si="0"/>
        <v>19</v>
      </c>
      <c r="B20" s="7">
        <v>19</v>
      </c>
      <c r="C20" s="7" t="s">
        <v>263</v>
      </c>
      <c r="F20" s="7">
        <v>2</v>
      </c>
      <c r="G20" s="7">
        <f>SUM(Tabella4[[#This Row],[adulti (&gt;10)]],Tabella4[[#This Row],[bambini (3-10)]]*0.05)</f>
        <v>2</v>
      </c>
      <c r="H20" s="7">
        <f>IF(Tabella4[[#This Row],[Macro_Cat1]]=0,"",VLOOKUP(Tabella4[[#This Row],[Macro_Cat1]],Tabella3[[#All],[ID]:[BLOCCO]],2,FALSE))</f>
        <v>4</v>
      </c>
      <c r="L2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2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20" s="7" t="str">
        <f>CONCATENATE("cat"," ",Tabella4[[#This Row],[Categoria assegnata]])</f>
        <v>cat 4</v>
      </c>
    </row>
    <row r="21" spans="1:15" ht="19.2" customHeight="1" x14ac:dyDescent="0.3">
      <c r="A21" s="7">
        <f t="shared" si="0"/>
        <v>20</v>
      </c>
      <c r="B21" s="7">
        <v>20</v>
      </c>
      <c r="C21" s="7" t="s">
        <v>264</v>
      </c>
      <c r="G21" s="7">
        <f>SUM(Tabella4[[#This Row],[adulti (&gt;10)]],Tabella4[[#This Row],[bambini (3-10)]]*0.05)</f>
        <v>0</v>
      </c>
      <c r="H21" s="7" t="str">
        <f>IF(Tabella4[[#This Row],[Macro_Cat1]]=0,"",VLOOKUP(Tabella4[[#This Row],[Macro_Cat1]],Tabella3[[#All],[ID]:[BLOCCO]],2,FALSE))</f>
        <v/>
      </c>
      <c r="L2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0</v>
      </c>
      <c r="M21" s="48" t="str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/>
      </c>
      <c r="O21" s="7" t="str">
        <f>CONCATENATE("cat"," ",Tabella4[[#This Row],[Categoria assegnata]])</f>
        <v xml:space="preserve">cat </v>
      </c>
    </row>
    <row r="22" spans="1:15" ht="19.2" customHeight="1" x14ac:dyDescent="0.3">
      <c r="A22" s="7">
        <f t="shared" si="0"/>
        <v>21</v>
      </c>
      <c r="B22" s="7">
        <v>21</v>
      </c>
      <c r="C22" s="7" t="s">
        <v>265</v>
      </c>
      <c r="E22" s="7">
        <v>1</v>
      </c>
      <c r="F22" s="7">
        <v>5</v>
      </c>
      <c r="G22" s="7">
        <f>SUM(Tabella4[[#This Row],[adulti (&gt;10)]],Tabella4[[#This Row],[bambini (3-10)]]*0.05)</f>
        <v>5.05</v>
      </c>
      <c r="H22" s="7">
        <f>IF(Tabella4[[#This Row],[Macro_Cat1]]=0,"",VLOOKUP(Tabella4[[#This Row],[Macro_Cat1]],Tabella3[[#All],[ID]:[BLOCCO]],2,FALSE))</f>
        <v>9</v>
      </c>
      <c r="L2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61.127618880190226</v>
      </c>
      <c r="M2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22" s="7" t="str">
        <f>CONCATENATE("cat"," ",Tabella4[[#This Row],[Categoria assegnata]])</f>
        <v>cat 9</v>
      </c>
    </row>
    <row r="23" spans="1:15" ht="19.2" customHeight="1" x14ac:dyDescent="0.3">
      <c r="A23" s="7">
        <f t="shared" si="0"/>
        <v>22</v>
      </c>
      <c r="B23" s="7">
        <v>22</v>
      </c>
      <c r="C23" s="7" t="s">
        <v>266</v>
      </c>
      <c r="E23" s="7">
        <v>1</v>
      </c>
      <c r="F23" s="7">
        <v>2</v>
      </c>
      <c r="G23" s="7">
        <f>SUM(Tabella4[[#This Row],[adulti (&gt;10)]],Tabella4[[#This Row],[bambini (3-10)]]*0.05)</f>
        <v>2.0499999999999998</v>
      </c>
      <c r="H23" s="7">
        <f>IF(Tabella4[[#This Row],[Macro_Cat1]]=0,"",VLOOKUP(Tabella4[[#This Row],[Macro_Cat1]],Tabella3[[#All],[ID]:[BLOCCO]],2,FALSE))</f>
        <v>5</v>
      </c>
      <c r="L2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2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44</v>
      </c>
      <c r="O23" s="7" t="str">
        <f>CONCATENATE("cat"," ",Tabella4[[#This Row],[Categoria assegnata]])</f>
        <v>cat 5</v>
      </c>
    </row>
    <row r="24" spans="1:15" ht="19.2" customHeight="1" x14ac:dyDescent="0.3">
      <c r="A24" s="7">
        <f t="shared" si="0"/>
        <v>23</v>
      </c>
      <c r="B24" s="7">
        <v>23</v>
      </c>
      <c r="C24" s="7" t="s">
        <v>267</v>
      </c>
      <c r="E24" s="7">
        <v>2</v>
      </c>
      <c r="F24" s="7">
        <v>3</v>
      </c>
      <c r="G24" s="7">
        <f>SUM(Tabella4[[#This Row],[adulti (&gt;10)]],Tabella4[[#This Row],[bambini (3-10)]]*0.05)</f>
        <v>3.1</v>
      </c>
      <c r="H24" s="7">
        <f>IF(Tabella4[[#This Row],[Macro_Cat1]]=0,"",VLOOKUP(Tabella4[[#This Row],[Macro_Cat1]],Tabella3[[#All],[ID]:[BLOCCO]],2,FALSE))</f>
        <v>7</v>
      </c>
      <c r="L2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47.687602160380465</v>
      </c>
      <c r="M2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24" s="7" t="str">
        <f>CONCATENATE("cat"," ",Tabella4[[#This Row],[Categoria assegnata]])</f>
        <v>cat 7</v>
      </c>
    </row>
    <row r="25" spans="1:15" ht="19.2" customHeight="1" x14ac:dyDescent="0.3">
      <c r="A25" s="7">
        <f t="shared" si="0"/>
        <v>24</v>
      </c>
      <c r="B25" s="7">
        <v>24</v>
      </c>
      <c r="C25" s="7" t="s">
        <v>268</v>
      </c>
      <c r="F25" s="7">
        <v>1</v>
      </c>
      <c r="G25" s="7">
        <f>SUM(Tabella4[[#This Row],[adulti (&gt;10)]],Tabella4[[#This Row],[bambini (3-10)]]*0.05)</f>
        <v>1</v>
      </c>
      <c r="H25" s="7">
        <f>IF(Tabella4[[#This Row],[Macro_Cat1]]=0,"",VLOOKUP(Tabella4[[#This Row],[Macro_Cat1]],Tabella3[[#All],[ID]:[BLOCCO]],2,FALSE))</f>
        <v>1</v>
      </c>
      <c r="L2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2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25" s="7" t="str">
        <f>CONCATENATE("cat"," ",Tabella4[[#This Row],[Categoria assegnata]])</f>
        <v>cat 1</v>
      </c>
    </row>
    <row r="26" spans="1:15" ht="19.2" customHeight="1" x14ac:dyDescent="0.3">
      <c r="A26" s="7">
        <f t="shared" si="0"/>
        <v>25</v>
      </c>
      <c r="B26" s="7">
        <v>25</v>
      </c>
      <c r="C26" s="7" t="s">
        <v>269</v>
      </c>
      <c r="E26" s="7">
        <v>2</v>
      </c>
      <c r="F26" s="7">
        <v>2</v>
      </c>
      <c r="G26" s="7">
        <f>SUM(Tabella4[[#This Row],[adulti (&gt;10)]],Tabella4[[#This Row],[bambini (3-10)]]*0.05)</f>
        <v>2.1</v>
      </c>
      <c r="H26" s="7">
        <f>IF(Tabella4[[#This Row],[Macro_Cat1]]=0,"",VLOOKUP(Tabella4[[#This Row],[Macro_Cat1]],Tabella3[[#All],[ID]:[BLOCCO]],2,FALSE))</f>
        <v>6</v>
      </c>
      <c r="L2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51.200906646517581</v>
      </c>
      <c r="M2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26" s="7" t="str">
        <f>CONCATENATE("cat"," ",Tabella4[[#This Row],[Categoria assegnata]])</f>
        <v>cat 6</v>
      </c>
    </row>
    <row r="27" spans="1:15" ht="19.2" customHeight="1" x14ac:dyDescent="0.3">
      <c r="A27" s="7">
        <f t="shared" si="0"/>
        <v>26</v>
      </c>
      <c r="B27" s="7">
        <v>26</v>
      </c>
      <c r="C27" s="7" t="s">
        <v>270</v>
      </c>
      <c r="D27" s="7">
        <v>1</v>
      </c>
      <c r="E27" s="7">
        <v>1</v>
      </c>
      <c r="F27" s="7">
        <v>2</v>
      </c>
      <c r="G27" s="7">
        <f>SUM(Tabella4[[#This Row],[adulti (&gt;10)]],Tabella4[[#This Row],[bambini (3-10)]]*0.05)</f>
        <v>2.0499999999999998</v>
      </c>
      <c r="H27" s="7">
        <f>IF(Tabella4[[#This Row],[Macro_Cat1]]=0,"",VLOOKUP(Tabella4[[#This Row],[Macro_Cat1]],Tabella3[[#All],[ID]:[BLOCCO]],2,FALSE))</f>
        <v>5</v>
      </c>
      <c r="L2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2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62</v>
      </c>
      <c r="O27" s="7" t="str">
        <f>CONCATENATE("cat"," ",Tabella4[[#This Row],[Categoria assegnata]])</f>
        <v>cat 5</v>
      </c>
    </row>
    <row r="28" spans="1:15" ht="19.2" customHeight="1" x14ac:dyDescent="0.3">
      <c r="A28" s="7">
        <f t="shared" si="0"/>
        <v>27</v>
      </c>
      <c r="B28" s="7">
        <v>27</v>
      </c>
      <c r="C28" s="7" t="s">
        <v>271</v>
      </c>
      <c r="F28" s="7">
        <v>2</v>
      </c>
      <c r="G28" s="7">
        <f>SUM(Tabella4[[#This Row],[adulti (&gt;10)]],Tabella4[[#This Row],[bambini (3-10)]]*0.05)</f>
        <v>2</v>
      </c>
      <c r="H28" s="7">
        <f>IF(Tabella4[[#This Row],[Macro_Cat1]]=0,"",VLOOKUP(Tabella4[[#This Row],[Macro_Cat1]],Tabella3[[#All],[ID]:[BLOCCO]],2,FALSE))</f>
        <v>4</v>
      </c>
      <c r="L2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2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28" s="7" t="str">
        <f>CONCATENATE("cat"," ",Tabella4[[#This Row],[Categoria assegnata]])</f>
        <v>cat 4</v>
      </c>
    </row>
    <row r="29" spans="1:15" ht="19.2" customHeight="1" x14ac:dyDescent="0.3">
      <c r="A29" s="7">
        <f t="shared" si="0"/>
        <v>28</v>
      </c>
      <c r="B29" s="7">
        <v>28</v>
      </c>
      <c r="C29" s="7" t="s">
        <v>272</v>
      </c>
      <c r="E29" s="7">
        <v>3</v>
      </c>
      <c r="F29" s="7">
        <v>2</v>
      </c>
      <c r="G29" s="7">
        <f>SUM(Tabella4[[#This Row],[adulti (&gt;10)]],Tabella4[[#This Row],[bambini (3-10)]]*0.05)</f>
        <v>2.15</v>
      </c>
      <c r="H29" s="7">
        <f>IF(Tabella4[[#This Row],[Macro_Cat1]]=0,"",VLOOKUP(Tabella4[[#This Row],[Macro_Cat1]],Tabella3[[#All],[ID]:[BLOCCO]],2,FALSE))</f>
        <v>7</v>
      </c>
      <c r="L2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59.065928669564954</v>
      </c>
      <c r="M2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29" s="7" t="str">
        <f>CONCATENATE("cat"," ",Tabella4[[#This Row],[Categoria assegnata]])</f>
        <v>cat 7</v>
      </c>
    </row>
    <row r="30" spans="1:15" ht="19.2" customHeight="1" x14ac:dyDescent="0.3">
      <c r="A30" s="7">
        <f t="shared" si="0"/>
        <v>29</v>
      </c>
      <c r="B30" s="7">
        <v>29</v>
      </c>
      <c r="C30" s="7" t="s">
        <v>273</v>
      </c>
      <c r="F30" s="7">
        <v>4</v>
      </c>
      <c r="G30" s="7">
        <f>SUM(Tabella4[[#This Row],[adulti (&gt;10)]],Tabella4[[#This Row],[bambini (3-10)]]*0.05)</f>
        <v>4</v>
      </c>
      <c r="H30" s="7">
        <f>IF(Tabella4[[#This Row],[Macro_Cat1]]=0,"",VLOOKUP(Tabella4[[#This Row],[Macro_Cat1]],Tabella3[[#All],[ID]:[BLOCCO]],2,FALSE))</f>
        <v>7</v>
      </c>
      <c r="L3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3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30" s="7" t="str">
        <f>CONCATENATE("cat"," ",Tabella4[[#This Row],[Categoria assegnata]])</f>
        <v>cat 7</v>
      </c>
    </row>
    <row r="31" spans="1:15" ht="19.2" customHeight="1" x14ac:dyDescent="0.3">
      <c r="A31" s="7">
        <f t="shared" si="0"/>
        <v>30</v>
      </c>
      <c r="B31" s="7">
        <v>30</v>
      </c>
      <c r="C31" s="7" t="s">
        <v>274</v>
      </c>
      <c r="E31" s="7">
        <v>1</v>
      </c>
      <c r="F31" s="7">
        <v>1</v>
      </c>
      <c r="G31" s="7">
        <f>SUM(Tabella4[[#This Row],[adulti (&gt;10)]],Tabella4[[#This Row],[bambini (3-10)]]*0.05)</f>
        <v>1.05</v>
      </c>
      <c r="H31" s="7">
        <f>IF(Tabella4[[#This Row],[Macro_Cat1]]=0,"",VLOOKUP(Tabella4[[#This Row],[Macro_Cat1]],Tabella3[[#All],[ID]:[BLOCCO]],2,FALSE))</f>
        <v>2</v>
      </c>
      <c r="L3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25.60045332325879</v>
      </c>
      <c r="M3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26</v>
      </c>
      <c r="O31" s="7" t="str">
        <f>CONCATENATE("cat"," ",Tabella4[[#This Row],[Categoria assegnata]])</f>
        <v>cat 2</v>
      </c>
    </row>
    <row r="32" spans="1:15" ht="19.2" customHeight="1" x14ac:dyDescent="0.3">
      <c r="A32" s="7">
        <f t="shared" si="0"/>
        <v>31</v>
      </c>
      <c r="B32" s="7">
        <v>31</v>
      </c>
      <c r="C32" s="7" t="s">
        <v>275</v>
      </c>
      <c r="D32" s="7">
        <v>1</v>
      </c>
      <c r="E32" s="7">
        <v>1</v>
      </c>
      <c r="F32" s="7">
        <v>3</v>
      </c>
      <c r="G32" s="7">
        <f>SUM(Tabella4[[#This Row],[adulti (&gt;10)]],Tabella4[[#This Row],[bambini (3-10)]]*0.05)</f>
        <v>3.05</v>
      </c>
      <c r="H32" s="7">
        <f>IF(Tabella4[[#This Row],[Macro_Cat1]]=0,"",VLOOKUP(Tabella4[[#This Row],[Macro_Cat1]],Tabella3[[#All],[ID]:[BLOCCO]],2,FALSE))</f>
        <v>7</v>
      </c>
      <c r="L3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39.822580137333091</v>
      </c>
      <c r="M3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65</v>
      </c>
      <c r="O32" s="7" t="str">
        <f>CONCATENATE("cat"," ",Tabella4[[#This Row],[Categoria assegnata]])</f>
        <v>cat 7</v>
      </c>
    </row>
    <row r="33" spans="1:15" ht="19.2" customHeight="1" x14ac:dyDescent="0.3">
      <c r="A33" s="7">
        <f t="shared" si="0"/>
        <v>32</v>
      </c>
      <c r="B33" s="7">
        <v>32</v>
      </c>
      <c r="C33" s="7" t="s">
        <v>276</v>
      </c>
      <c r="E33" s="7">
        <v>2</v>
      </c>
      <c r="F33" s="7">
        <v>2</v>
      </c>
      <c r="G33" s="7">
        <f>SUM(Tabella4[[#This Row],[adulti (&gt;10)]],Tabella4[[#This Row],[bambini (3-10)]]*0.05)</f>
        <v>2.1</v>
      </c>
      <c r="H33" s="7">
        <f>IF(Tabella4[[#This Row],[Macro_Cat1]]=0,"",VLOOKUP(Tabella4[[#This Row],[Macro_Cat1]],Tabella3[[#All],[ID]:[BLOCCO]],2,FALSE))</f>
        <v>6</v>
      </c>
      <c r="L3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51.200906646517581</v>
      </c>
      <c r="M3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33" s="7" t="str">
        <f>CONCATENATE("cat"," ",Tabella4[[#This Row],[Categoria assegnata]])</f>
        <v>cat 6</v>
      </c>
    </row>
    <row r="34" spans="1:15" ht="19.2" customHeight="1" x14ac:dyDescent="0.3">
      <c r="A34" s="7">
        <f t="shared" si="0"/>
        <v>33</v>
      </c>
      <c r="B34" s="7">
        <v>33</v>
      </c>
      <c r="C34" s="7" t="s">
        <v>277</v>
      </c>
      <c r="E34" s="7">
        <v>2</v>
      </c>
      <c r="F34" s="7">
        <v>3</v>
      </c>
      <c r="G34" s="7">
        <f>SUM(Tabella4[[#This Row],[adulti (&gt;10)]],Tabella4[[#This Row],[bambini (3-10)]]*0.05)</f>
        <v>3.1</v>
      </c>
      <c r="H34" s="7">
        <f>IF(Tabella4[[#This Row],[Macro_Cat1]]=0,"",VLOOKUP(Tabella4[[#This Row],[Macro_Cat1]],Tabella3[[#All],[ID]:[BLOCCO]],2,FALSE))</f>
        <v>7</v>
      </c>
      <c r="L3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47.687602160380465</v>
      </c>
      <c r="M3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34" s="7" t="str">
        <f>CONCATENATE("cat"," ",Tabella4[[#This Row],[Categoria assegnata]])</f>
        <v>cat 7</v>
      </c>
    </row>
    <row r="35" spans="1:15" ht="19.2" customHeight="1" x14ac:dyDescent="0.3">
      <c r="A35" s="7">
        <f t="shared" ref="A35:A66" si="1">ROW(A34)</f>
        <v>34</v>
      </c>
      <c r="B35" s="7">
        <v>34</v>
      </c>
      <c r="C35" s="7" t="s">
        <v>278</v>
      </c>
      <c r="D35" s="7">
        <v>1</v>
      </c>
      <c r="E35" s="7">
        <v>1</v>
      </c>
      <c r="F35" s="7">
        <v>4</v>
      </c>
      <c r="G35" s="7">
        <f>SUM(Tabella4[[#This Row],[adulti (&gt;10)]],Tabella4[[#This Row],[bambini (3-10)]]*0.05)</f>
        <v>4.05</v>
      </c>
      <c r="H35" s="7">
        <f>IF(Tabella4[[#This Row],[Macro_Cat1]]=0,"",VLOOKUP(Tabella4[[#This Row],[Macro_Cat1]],Tabella3[[#All],[ID]:[BLOCCO]],2,FALSE))</f>
        <v>8</v>
      </c>
      <c r="L3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50.475099508761659</v>
      </c>
      <c r="M3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73</v>
      </c>
      <c r="O35" s="7" t="str">
        <f>CONCATENATE("cat"," ",Tabella4[[#This Row],[Categoria assegnata]])</f>
        <v>cat 8</v>
      </c>
    </row>
    <row r="36" spans="1:15" ht="19.2" customHeight="1" x14ac:dyDescent="0.3">
      <c r="A36" s="7">
        <f t="shared" si="1"/>
        <v>35</v>
      </c>
      <c r="B36" s="7">
        <v>35</v>
      </c>
      <c r="C36" s="7" t="s">
        <v>279</v>
      </c>
      <c r="E36" s="7">
        <v>3</v>
      </c>
      <c r="F36" s="7">
        <v>4</v>
      </c>
      <c r="G36" s="7">
        <f>SUM(Tabella4[[#This Row],[adulti (&gt;10)]],Tabella4[[#This Row],[bambini (3-10)]]*0.05)</f>
        <v>4.1500000000000004</v>
      </c>
      <c r="H36" s="7">
        <f>IF(Tabella4[[#This Row],[Macro_Cat1]]=0,"",VLOOKUP(Tabella4[[#This Row],[Macro_Cat1]],Tabella3[[#All],[ID]:[BLOCCO]],2,FALSE))</f>
        <v>9</v>
      </c>
      <c r="L3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66.205143554856406</v>
      </c>
      <c r="M3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36" s="7" t="str">
        <f>CONCATENATE("cat"," ",Tabella4[[#This Row],[Categoria assegnata]])</f>
        <v>cat 9</v>
      </c>
    </row>
    <row r="37" spans="1:15" ht="19.2" customHeight="1" x14ac:dyDescent="0.3">
      <c r="A37" s="7">
        <f t="shared" si="1"/>
        <v>36</v>
      </c>
      <c r="B37" s="7">
        <v>36</v>
      </c>
      <c r="C37" s="7" t="s">
        <v>280</v>
      </c>
      <c r="F37" s="7">
        <v>5</v>
      </c>
      <c r="G37" s="7">
        <f>SUM(Tabella4[[#This Row],[adulti (&gt;10)]],Tabella4[[#This Row],[bambini (3-10)]]*0.05)</f>
        <v>5</v>
      </c>
      <c r="H37" s="7">
        <f>IF(Tabella4[[#This Row],[Macro_Cat1]]=0,"",VLOOKUP(Tabella4[[#This Row],[Macro_Cat1]],Tabella3[[#All],[ID]:[BLOCCO]],2,FALSE))</f>
        <v>8</v>
      </c>
      <c r="L3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3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37" s="7" t="str">
        <f>CONCATENATE("cat"," ",Tabella4[[#This Row],[Categoria assegnata]])</f>
        <v>cat 8</v>
      </c>
    </row>
    <row r="38" spans="1:15" ht="19.2" customHeight="1" x14ac:dyDescent="0.3">
      <c r="A38" s="7">
        <f t="shared" si="1"/>
        <v>37</v>
      </c>
      <c r="B38" s="7">
        <v>37</v>
      </c>
      <c r="C38" s="7" t="s">
        <v>281</v>
      </c>
      <c r="F38" s="7">
        <v>3</v>
      </c>
      <c r="G38" s="7">
        <f>SUM(Tabella4[[#This Row],[adulti (&gt;10)]],Tabella4[[#This Row],[bambini (3-10)]]*0.05)</f>
        <v>3</v>
      </c>
      <c r="H38" s="7">
        <f>IF(Tabella4[[#This Row],[Macro_Cat1]]=0,"",VLOOKUP(Tabella4[[#This Row],[Macro_Cat1]],Tabella3[[#All],[ID]:[BLOCCO]],2,FALSE))</f>
        <v>6</v>
      </c>
      <c r="L3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31.957558114285714</v>
      </c>
      <c r="M3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38" s="7" t="str">
        <f>CONCATENATE("cat"," ",Tabella4[[#This Row],[Categoria assegnata]])</f>
        <v>cat 6</v>
      </c>
    </row>
    <row r="39" spans="1:15" ht="19.2" customHeight="1" x14ac:dyDescent="0.3">
      <c r="A39" s="7">
        <f t="shared" si="1"/>
        <v>38</v>
      </c>
      <c r="B39" s="7">
        <v>38</v>
      </c>
      <c r="C39" s="7" t="s">
        <v>282</v>
      </c>
      <c r="F39" s="7">
        <v>1</v>
      </c>
      <c r="G39" s="7">
        <f>SUM(Tabella4[[#This Row],[adulti (&gt;10)]],Tabella4[[#This Row],[bambini (3-10)]]*0.05)</f>
        <v>1</v>
      </c>
      <c r="H39" s="7">
        <f>IF(Tabella4[[#This Row],[Macro_Cat1]]=0,"",VLOOKUP(Tabella4[[#This Row],[Macro_Cat1]],Tabella3[[#All],[ID]:[BLOCCO]],2,FALSE))</f>
        <v>1</v>
      </c>
      <c r="L3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3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39" s="7" t="str">
        <f>CONCATENATE("cat"," ",Tabella4[[#This Row],[Categoria assegnata]])</f>
        <v>cat 1</v>
      </c>
    </row>
    <row r="40" spans="1:15" ht="19.2" customHeight="1" x14ac:dyDescent="0.3">
      <c r="A40" s="7">
        <f t="shared" si="1"/>
        <v>39</v>
      </c>
      <c r="B40" s="7">
        <v>39</v>
      </c>
      <c r="C40" s="7" t="s">
        <v>283</v>
      </c>
      <c r="E40" s="7">
        <v>3</v>
      </c>
      <c r="F40" s="7">
        <v>2</v>
      </c>
      <c r="G40" s="7">
        <f>SUM(Tabella4[[#This Row],[adulti (&gt;10)]],Tabella4[[#This Row],[bambini (3-10)]]*0.05)</f>
        <v>2.15</v>
      </c>
      <c r="H40" s="7">
        <f>IF(Tabella4[[#This Row],[Macro_Cat1]]=0,"",VLOOKUP(Tabella4[[#This Row],[Macro_Cat1]],Tabella3[[#All],[ID]:[BLOCCO]],2,FALSE))</f>
        <v>7</v>
      </c>
      <c r="L4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59.065928669564954</v>
      </c>
      <c r="M4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40" s="7" t="str">
        <f>CONCATENATE("cat"," ",Tabella4[[#This Row],[Categoria assegnata]])</f>
        <v>cat 7</v>
      </c>
    </row>
    <row r="41" spans="1:15" ht="19.2" customHeight="1" x14ac:dyDescent="0.3">
      <c r="A41" s="7">
        <f t="shared" si="1"/>
        <v>40</v>
      </c>
      <c r="B41" s="7">
        <v>40</v>
      </c>
      <c r="C41" s="7" t="s">
        <v>284</v>
      </c>
      <c r="G41" s="7">
        <f>SUM(Tabella4[[#This Row],[adulti (&gt;10)]],Tabella4[[#This Row],[bambini (3-10)]]*0.05)</f>
        <v>0</v>
      </c>
      <c r="H41" s="7" t="str">
        <f>IF(Tabella4[[#This Row],[Macro_Cat1]]=0,"",VLOOKUP(Tabella4[[#This Row],[Macro_Cat1]],Tabella3[[#All],[ID]:[BLOCCO]],2,FALSE))</f>
        <v/>
      </c>
      <c r="L4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0</v>
      </c>
      <c r="M41" s="48" t="str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/>
      </c>
      <c r="O41" s="7" t="str">
        <f>CONCATENATE("cat"," ",Tabella4[[#This Row],[Categoria assegnata]])</f>
        <v xml:space="preserve">cat </v>
      </c>
    </row>
    <row r="42" spans="1:15" ht="19.2" customHeight="1" x14ac:dyDescent="0.3">
      <c r="A42" s="7">
        <f t="shared" si="1"/>
        <v>41</v>
      </c>
      <c r="B42" s="7">
        <v>41</v>
      </c>
      <c r="C42" s="7" t="s">
        <v>285</v>
      </c>
      <c r="F42" s="7">
        <v>1</v>
      </c>
      <c r="G42" s="7">
        <f>SUM(Tabella4[[#This Row],[adulti (&gt;10)]],Tabella4[[#This Row],[bambini (3-10)]]*0.05)</f>
        <v>1</v>
      </c>
      <c r="H42" s="7">
        <f>IF(Tabella4[[#This Row],[Macro_Cat1]]=0,"",VLOOKUP(Tabella4[[#This Row],[Macro_Cat1]],Tabella3[[#All],[ID]:[BLOCCO]],2,FALSE))</f>
        <v>1</v>
      </c>
      <c r="L4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4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42" s="7" t="str">
        <f>CONCATENATE("cat"," ",Tabella4[[#This Row],[Categoria assegnata]])</f>
        <v>cat 1</v>
      </c>
    </row>
    <row r="43" spans="1:15" ht="19.2" customHeight="1" x14ac:dyDescent="0.3">
      <c r="A43" s="7">
        <f t="shared" si="1"/>
        <v>42</v>
      </c>
      <c r="B43" s="7">
        <v>42</v>
      </c>
      <c r="C43" s="7" t="s">
        <v>286</v>
      </c>
      <c r="F43" s="7">
        <v>1</v>
      </c>
      <c r="G43" s="7">
        <f>SUM(Tabella4[[#This Row],[adulti (&gt;10)]],Tabella4[[#This Row],[bambini (3-10)]]*0.05)</f>
        <v>1</v>
      </c>
      <c r="H43" s="7">
        <f>IF(Tabella4[[#This Row],[Macro_Cat1]]=0,"",VLOOKUP(Tabella4[[#This Row],[Macro_Cat1]],Tabella3[[#All],[ID]:[BLOCCO]],2,FALSE))</f>
        <v>1</v>
      </c>
      <c r="L4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4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43" s="7" t="str">
        <f>CONCATENATE("cat"," ",Tabella4[[#This Row],[Categoria assegnata]])</f>
        <v>cat 1</v>
      </c>
    </row>
    <row r="44" spans="1:15" ht="19.2" customHeight="1" x14ac:dyDescent="0.3">
      <c r="A44" s="7">
        <f t="shared" si="1"/>
        <v>43</v>
      </c>
      <c r="B44" s="7">
        <v>43</v>
      </c>
      <c r="C44" s="7" t="s">
        <v>287</v>
      </c>
      <c r="E44" s="7">
        <v>1</v>
      </c>
      <c r="F44" s="7">
        <v>4</v>
      </c>
      <c r="G44" s="7">
        <f>SUM(Tabella4[[#This Row],[adulti (&gt;10)]],Tabella4[[#This Row],[bambini (3-10)]]*0.05)</f>
        <v>4.05</v>
      </c>
      <c r="H44" s="7">
        <f>IF(Tabella4[[#This Row],[Macro_Cat1]]=0,"",VLOOKUP(Tabella4[[#This Row],[Macro_Cat1]],Tabella3[[#All],[ID]:[BLOCCO]],2,FALSE))</f>
        <v>8</v>
      </c>
      <c r="L4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50.475099508761659</v>
      </c>
      <c r="M4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44" s="7" t="str">
        <f>CONCATENATE("cat"," ",Tabella4[[#This Row],[Categoria assegnata]])</f>
        <v>cat 8</v>
      </c>
    </row>
    <row r="45" spans="1:15" ht="19.2" customHeight="1" x14ac:dyDescent="0.3">
      <c r="A45" s="7">
        <f t="shared" si="1"/>
        <v>44</v>
      </c>
      <c r="B45" s="7">
        <v>44</v>
      </c>
      <c r="C45" s="7" t="s">
        <v>288</v>
      </c>
      <c r="F45" s="7">
        <v>4</v>
      </c>
      <c r="G45" s="7">
        <f>SUM(Tabella4[[#This Row],[adulti (&gt;10)]],Tabella4[[#This Row],[bambini (3-10)]]*0.05)</f>
        <v>4</v>
      </c>
      <c r="H45" s="7">
        <f>IF(Tabella4[[#This Row],[Macro_Cat1]]=0,"",VLOOKUP(Tabella4[[#This Row],[Macro_Cat1]],Tabella3[[#All],[ID]:[BLOCCO]],2,FALSE))</f>
        <v>7</v>
      </c>
      <c r="L4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4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45" s="7" t="str">
        <f>CONCATENATE("cat"," ",Tabella4[[#This Row],[Categoria assegnata]])</f>
        <v>cat 7</v>
      </c>
    </row>
    <row r="46" spans="1:15" ht="19.2" customHeight="1" x14ac:dyDescent="0.3">
      <c r="A46" s="7">
        <f t="shared" si="1"/>
        <v>45</v>
      </c>
      <c r="B46" s="7">
        <v>45</v>
      </c>
      <c r="C46" s="7" t="s">
        <v>289</v>
      </c>
      <c r="F46" s="7">
        <v>5</v>
      </c>
      <c r="G46" s="7">
        <f>SUM(Tabella4[[#This Row],[adulti (&gt;10)]],Tabella4[[#This Row],[bambini (3-10)]]*0.05)</f>
        <v>5</v>
      </c>
      <c r="H46" s="7">
        <f>IF(Tabella4[[#This Row],[Macro_Cat1]]=0,"",VLOOKUP(Tabella4[[#This Row],[Macro_Cat1]],Tabella3[[#All],[ID]:[BLOCCO]],2,FALSE))</f>
        <v>8</v>
      </c>
      <c r="L4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4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46" s="7" t="str">
        <f>CONCATENATE("cat"," ",Tabella4[[#This Row],[Categoria assegnata]])</f>
        <v>cat 8</v>
      </c>
    </row>
    <row r="47" spans="1:15" ht="19.2" customHeight="1" x14ac:dyDescent="0.3">
      <c r="A47" s="7">
        <f t="shared" si="1"/>
        <v>46</v>
      </c>
      <c r="B47" s="7">
        <v>46</v>
      </c>
      <c r="C47" s="7" t="s">
        <v>290</v>
      </c>
      <c r="F47" s="7">
        <v>1</v>
      </c>
      <c r="G47" s="7">
        <f>SUM(Tabella4[[#This Row],[adulti (&gt;10)]],Tabella4[[#This Row],[bambini (3-10)]]*0.05)</f>
        <v>1</v>
      </c>
      <c r="H47" s="7">
        <f>IF(Tabella4[[#This Row],[Macro_Cat1]]=0,"",VLOOKUP(Tabella4[[#This Row],[Macro_Cat1]],Tabella3[[#All],[ID]:[BLOCCO]],2,FALSE))</f>
        <v>1</v>
      </c>
      <c r="L4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4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47" s="7" t="str">
        <f>CONCATENATE("cat"," ",Tabella4[[#This Row],[Categoria assegnata]])</f>
        <v>cat 1</v>
      </c>
    </row>
    <row r="48" spans="1:15" ht="19.2" customHeight="1" x14ac:dyDescent="0.3">
      <c r="A48" s="7">
        <f t="shared" si="1"/>
        <v>47</v>
      </c>
      <c r="B48" s="7">
        <v>47</v>
      </c>
      <c r="C48" s="7" t="s">
        <v>291</v>
      </c>
      <c r="F48" s="7">
        <v>1</v>
      </c>
      <c r="G48" s="7">
        <f>SUM(Tabella4[[#This Row],[adulti (&gt;10)]],Tabella4[[#This Row],[bambini (3-10)]]*0.05)</f>
        <v>1</v>
      </c>
      <c r="H48" s="7">
        <f>IF(Tabella4[[#This Row],[Macro_Cat1]]=0,"",VLOOKUP(Tabella4[[#This Row],[Macro_Cat1]],Tabella3[[#All],[ID]:[BLOCCO]],2,FALSE))</f>
        <v>1</v>
      </c>
      <c r="L4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4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48" s="7" t="str">
        <f>CONCATENATE("cat"," ",Tabella4[[#This Row],[Categoria assegnata]])</f>
        <v>cat 1</v>
      </c>
    </row>
    <row r="49" spans="1:15" ht="19.2" customHeight="1" x14ac:dyDescent="0.3">
      <c r="A49" s="7">
        <f t="shared" si="1"/>
        <v>48</v>
      </c>
      <c r="B49" s="7">
        <v>48</v>
      </c>
      <c r="C49" s="7" t="s">
        <v>292</v>
      </c>
      <c r="D49" s="7">
        <v>1</v>
      </c>
      <c r="E49" s="7">
        <v>3</v>
      </c>
      <c r="F49" s="7">
        <v>3</v>
      </c>
      <c r="G49" s="7">
        <f>SUM(Tabella4[[#This Row],[adulti (&gt;10)]],Tabella4[[#This Row],[bambini (3-10)]]*0.05)</f>
        <v>3.15</v>
      </c>
      <c r="H49" s="7">
        <f>IF(Tabella4[[#This Row],[Macro_Cat1]]=0,"",VLOOKUP(Tabella4[[#This Row],[Macro_Cat1]],Tabella3[[#All],[ID]:[BLOCCO]],2,FALSE))</f>
        <v>8</v>
      </c>
      <c r="L4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55.552624183427838</v>
      </c>
      <c r="M4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73</v>
      </c>
      <c r="O49" s="7" t="str">
        <f>CONCATENATE("cat"," ",Tabella4[[#This Row],[Categoria assegnata]])</f>
        <v>cat 8</v>
      </c>
    </row>
    <row r="50" spans="1:15" ht="19.2" customHeight="1" x14ac:dyDescent="0.3">
      <c r="A50" s="7">
        <f t="shared" si="1"/>
        <v>49</v>
      </c>
      <c r="B50" s="7">
        <v>49</v>
      </c>
      <c r="C50" s="7" t="s">
        <v>293</v>
      </c>
      <c r="F50" s="7">
        <v>2</v>
      </c>
      <c r="G50" s="7">
        <f>SUM(Tabella4[[#This Row],[adulti (&gt;10)]],Tabella4[[#This Row],[bambini (3-10)]]*0.05)</f>
        <v>2</v>
      </c>
      <c r="H50" s="7">
        <f>IF(Tabella4[[#This Row],[Macro_Cat1]]=0,"",VLOOKUP(Tabella4[[#This Row],[Macro_Cat1]],Tabella3[[#All],[ID]:[BLOCCO]],2,FALSE))</f>
        <v>4</v>
      </c>
      <c r="L5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5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50" s="7" t="str">
        <f>CONCATENATE("cat"," ",Tabella4[[#This Row],[Categoria assegnata]])</f>
        <v>cat 4</v>
      </c>
    </row>
    <row r="51" spans="1:15" ht="19.2" customHeight="1" x14ac:dyDescent="0.3">
      <c r="A51" s="7">
        <f t="shared" si="1"/>
        <v>50</v>
      </c>
      <c r="B51" s="7">
        <v>50</v>
      </c>
      <c r="C51" s="7" t="s">
        <v>294</v>
      </c>
      <c r="F51" s="7">
        <v>3</v>
      </c>
      <c r="G51" s="7">
        <f>SUM(Tabella4[[#This Row],[adulti (&gt;10)]],Tabella4[[#This Row],[bambini (3-10)]]*0.05)</f>
        <v>3</v>
      </c>
      <c r="H51" s="7">
        <f>IF(Tabella4[[#This Row],[Macro_Cat1]]=0,"",VLOOKUP(Tabella4[[#This Row],[Macro_Cat1]],Tabella3[[#All],[ID]:[BLOCCO]],2,FALSE))</f>
        <v>6</v>
      </c>
      <c r="L5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31.957558114285714</v>
      </c>
      <c r="M5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51" s="7" t="str">
        <f>CONCATENATE("cat"," ",Tabella4[[#This Row],[Categoria assegnata]])</f>
        <v>cat 6</v>
      </c>
    </row>
    <row r="52" spans="1:15" ht="19.2" customHeight="1" x14ac:dyDescent="0.3">
      <c r="A52" s="7">
        <f t="shared" si="1"/>
        <v>51</v>
      </c>
      <c r="B52" s="7">
        <v>51</v>
      </c>
      <c r="C52" s="7" t="s">
        <v>295</v>
      </c>
      <c r="E52" s="7">
        <v>2</v>
      </c>
      <c r="F52" s="7">
        <v>1</v>
      </c>
      <c r="G52" s="7">
        <f>SUM(Tabella4[[#This Row],[adulti (&gt;10)]],Tabella4[[#This Row],[bambini (3-10)]]*0.05)</f>
        <v>1.1000000000000001</v>
      </c>
      <c r="H52" s="7">
        <f>IF(Tabella4[[#This Row],[Macro_Cat1]]=0,"",VLOOKUP(Tabella4[[#This Row],[Macro_Cat1]],Tabella3[[#All],[ID]:[BLOCCO]],2,FALSE))</f>
        <v>3</v>
      </c>
      <c r="L5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33.465475346306164</v>
      </c>
      <c r="M5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34</v>
      </c>
      <c r="O52" s="7" t="str">
        <f>CONCATENATE("cat"," ",Tabella4[[#This Row],[Categoria assegnata]])</f>
        <v>cat 3</v>
      </c>
    </row>
    <row r="53" spans="1:15" ht="19.2" customHeight="1" x14ac:dyDescent="0.3">
      <c r="A53" s="7">
        <f t="shared" si="1"/>
        <v>52</v>
      </c>
      <c r="B53" s="7">
        <v>52</v>
      </c>
      <c r="C53" s="7" t="s">
        <v>296</v>
      </c>
      <c r="F53" s="7">
        <v>2</v>
      </c>
      <c r="G53" s="7">
        <f>SUM(Tabella4[[#This Row],[adulti (&gt;10)]],Tabella4[[#This Row],[bambini (3-10)]]*0.05)</f>
        <v>2</v>
      </c>
      <c r="H53" s="7">
        <f>IF(Tabella4[[#This Row],[Macro_Cat1]]=0,"",VLOOKUP(Tabella4[[#This Row],[Macro_Cat1]],Tabella3[[#All],[ID]:[BLOCCO]],2,FALSE))</f>
        <v>4</v>
      </c>
      <c r="L5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5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53" s="7" t="str">
        <f>CONCATENATE("cat"," ",Tabella4[[#This Row],[Categoria assegnata]])</f>
        <v>cat 4</v>
      </c>
    </row>
    <row r="54" spans="1:15" ht="19.2" customHeight="1" x14ac:dyDescent="0.3">
      <c r="A54" s="7">
        <f t="shared" si="1"/>
        <v>53</v>
      </c>
      <c r="B54" s="7">
        <v>53</v>
      </c>
      <c r="C54" s="7" t="s">
        <v>297</v>
      </c>
      <c r="F54" s="7">
        <v>1</v>
      </c>
      <c r="G54" s="7">
        <f>SUM(Tabella4[[#This Row],[adulti (&gt;10)]],Tabella4[[#This Row],[bambini (3-10)]]*0.05)</f>
        <v>1</v>
      </c>
      <c r="H54" s="7">
        <f>IF(Tabella4[[#This Row],[Macro_Cat1]]=0,"",VLOOKUP(Tabella4[[#This Row],[Macro_Cat1]],Tabella3[[#All],[ID]:[BLOCCO]],2,FALSE))</f>
        <v>1</v>
      </c>
      <c r="L5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5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54" s="7" t="str">
        <f>CONCATENATE("cat"," ",Tabella4[[#This Row],[Categoria assegnata]])</f>
        <v>cat 1</v>
      </c>
    </row>
    <row r="55" spans="1:15" ht="19.2" customHeight="1" x14ac:dyDescent="0.3">
      <c r="A55" s="7">
        <f t="shared" si="1"/>
        <v>54</v>
      </c>
      <c r="B55" s="7">
        <v>54</v>
      </c>
      <c r="C55" s="7" t="s">
        <v>298</v>
      </c>
      <c r="F55" s="7">
        <v>1</v>
      </c>
      <c r="G55" s="7">
        <f>SUM(Tabella4[[#This Row],[adulti (&gt;10)]],Tabella4[[#This Row],[bambini (3-10)]]*0.05)</f>
        <v>1</v>
      </c>
      <c r="H55" s="7">
        <f>IF(Tabella4[[#This Row],[Macro_Cat1]]=0,"",VLOOKUP(Tabella4[[#This Row],[Macro_Cat1]],Tabella3[[#All],[ID]:[BLOCCO]],2,FALSE))</f>
        <v>1</v>
      </c>
      <c r="L5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5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55" s="7" t="str">
        <f>CONCATENATE("cat"," ",Tabella4[[#This Row],[Categoria assegnata]])</f>
        <v>cat 1</v>
      </c>
    </row>
    <row r="56" spans="1:15" ht="19.2" customHeight="1" x14ac:dyDescent="0.3">
      <c r="A56" s="7">
        <f t="shared" si="1"/>
        <v>55</v>
      </c>
      <c r="B56" s="7">
        <v>55</v>
      </c>
      <c r="C56" s="7" t="s">
        <v>299</v>
      </c>
      <c r="F56" s="7">
        <v>4</v>
      </c>
      <c r="G56" s="7">
        <f>SUM(Tabella4[[#This Row],[adulti (&gt;10)]],Tabella4[[#This Row],[bambini (3-10)]]*0.05)</f>
        <v>4</v>
      </c>
      <c r="H56" s="7">
        <f>IF(Tabella4[[#This Row],[Macro_Cat1]]=0,"",VLOOKUP(Tabella4[[#This Row],[Macro_Cat1]],Tabella3[[#All],[ID]:[BLOCCO]],2,FALSE))</f>
        <v>7</v>
      </c>
      <c r="L5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5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56" s="7" t="str">
        <f>CONCATENATE("cat"," ",Tabella4[[#This Row],[Categoria assegnata]])</f>
        <v>cat 7</v>
      </c>
    </row>
    <row r="57" spans="1:15" ht="19.2" customHeight="1" x14ac:dyDescent="0.3">
      <c r="A57" s="7">
        <f t="shared" si="1"/>
        <v>56</v>
      </c>
      <c r="B57" s="7">
        <v>56</v>
      </c>
      <c r="C57" s="7" t="s">
        <v>300</v>
      </c>
      <c r="F57" s="7">
        <v>1</v>
      </c>
      <c r="G57" s="7">
        <f>SUM(Tabella4[[#This Row],[adulti (&gt;10)]],Tabella4[[#This Row],[bambini (3-10)]]*0.05)</f>
        <v>1</v>
      </c>
      <c r="H57" s="7">
        <f>IF(Tabella4[[#This Row],[Macro_Cat1]]=0,"",VLOOKUP(Tabella4[[#This Row],[Macro_Cat1]],Tabella3[[#All],[ID]:[BLOCCO]],2,FALSE))</f>
        <v>1</v>
      </c>
      <c r="L5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5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57" s="7" t="str">
        <f>CONCATENATE("cat"," ",Tabella4[[#This Row],[Categoria assegnata]])</f>
        <v>cat 1</v>
      </c>
    </row>
    <row r="58" spans="1:15" ht="19.2" customHeight="1" x14ac:dyDescent="0.3">
      <c r="A58" s="7">
        <f t="shared" si="1"/>
        <v>57</v>
      </c>
      <c r="B58" s="7">
        <v>57</v>
      </c>
      <c r="C58" s="7" t="s">
        <v>301</v>
      </c>
      <c r="E58" s="7">
        <v>1</v>
      </c>
      <c r="F58" s="7">
        <v>5</v>
      </c>
      <c r="G58" s="7">
        <f>SUM(Tabella4[[#This Row],[adulti (&gt;10)]],Tabella4[[#This Row],[bambini (3-10)]]*0.05)</f>
        <v>5.05</v>
      </c>
      <c r="H58" s="7">
        <f>IF(Tabella4[[#This Row],[Macro_Cat1]]=0,"",VLOOKUP(Tabella4[[#This Row],[Macro_Cat1]],Tabella3[[#All],[ID]:[BLOCCO]],2,FALSE))</f>
        <v>9</v>
      </c>
      <c r="L5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61.127618880190226</v>
      </c>
      <c r="M5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58" s="7" t="str">
        <f>CONCATENATE("cat"," ",Tabella4[[#This Row],[Categoria assegnata]])</f>
        <v>cat 9</v>
      </c>
    </row>
    <row r="59" spans="1:15" ht="19.2" customHeight="1" x14ac:dyDescent="0.3">
      <c r="A59" s="7">
        <f t="shared" si="1"/>
        <v>58</v>
      </c>
      <c r="B59" s="7">
        <v>58</v>
      </c>
      <c r="C59" s="7" t="s">
        <v>302</v>
      </c>
      <c r="F59" s="7">
        <v>5</v>
      </c>
      <c r="G59" s="7">
        <f>SUM(Tabella4[[#This Row],[adulti (&gt;10)]],Tabella4[[#This Row],[bambini (3-10)]]*0.05)</f>
        <v>5</v>
      </c>
      <c r="H59" s="7">
        <f>IF(Tabella4[[#This Row],[Macro_Cat1]]=0,"",VLOOKUP(Tabella4[[#This Row],[Macro_Cat1]],Tabella3[[#All],[ID]:[BLOCCO]],2,FALSE))</f>
        <v>8</v>
      </c>
      <c r="L5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5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59" s="7" t="str">
        <f>CONCATENATE("cat"," ",Tabella4[[#This Row],[Categoria assegnata]])</f>
        <v>cat 8</v>
      </c>
    </row>
    <row r="60" spans="1:15" ht="19.2" customHeight="1" x14ac:dyDescent="0.3">
      <c r="A60" s="7">
        <f t="shared" si="1"/>
        <v>59</v>
      </c>
      <c r="B60" s="7">
        <v>59</v>
      </c>
      <c r="C60" s="7" t="s">
        <v>303</v>
      </c>
      <c r="F60" s="7">
        <v>1</v>
      </c>
      <c r="G60" s="7">
        <f>SUM(Tabella4[[#This Row],[adulti (&gt;10)]],Tabella4[[#This Row],[bambini (3-10)]]*0.05)</f>
        <v>1</v>
      </c>
      <c r="H60" s="7">
        <f>IF(Tabella4[[#This Row],[Macro_Cat1]]=0,"",VLOOKUP(Tabella4[[#This Row],[Macro_Cat1]],Tabella3[[#All],[ID]:[BLOCCO]],2,FALSE))</f>
        <v>1</v>
      </c>
      <c r="L6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6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60" s="7" t="str">
        <f>CONCATENATE("cat"," ",Tabella4[[#This Row],[Categoria assegnata]])</f>
        <v>cat 1</v>
      </c>
    </row>
    <row r="61" spans="1:15" ht="19.2" customHeight="1" x14ac:dyDescent="0.3">
      <c r="A61" s="7">
        <f t="shared" si="1"/>
        <v>60</v>
      </c>
      <c r="B61" s="7">
        <v>60</v>
      </c>
      <c r="C61" s="7" t="s">
        <v>304</v>
      </c>
      <c r="E61" s="7">
        <v>1</v>
      </c>
      <c r="F61" s="7">
        <v>2</v>
      </c>
      <c r="G61" s="7">
        <f>SUM(Tabella4[[#This Row],[adulti (&gt;10)]],Tabella4[[#This Row],[bambini (3-10)]]*0.05)</f>
        <v>2.0499999999999998</v>
      </c>
      <c r="H61" s="7">
        <f>IF(Tabella4[[#This Row],[Macro_Cat1]]=0,"",VLOOKUP(Tabella4[[#This Row],[Macro_Cat1]],Tabella3[[#All],[ID]:[BLOCCO]],2,FALSE))</f>
        <v>5</v>
      </c>
      <c r="L6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6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44</v>
      </c>
      <c r="O61" s="7" t="str">
        <f>CONCATENATE("cat"," ",Tabella4[[#This Row],[Categoria assegnata]])</f>
        <v>cat 5</v>
      </c>
    </row>
    <row r="62" spans="1:15" ht="19.2" customHeight="1" x14ac:dyDescent="0.3">
      <c r="A62" s="7">
        <f t="shared" si="1"/>
        <v>61</v>
      </c>
      <c r="B62" s="7">
        <v>61</v>
      </c>
      <c r="C62" s="7" t="s">
        <v>305</v>
      </c>
      <c r="F62" s="7">
        <v>4</v>
      </c>
      <c r="G62" s="7">
        <f>SUM(Tabella4[[#This Row],[adulti (&gt;10)]],Tabella4[[#This Row],[bambini (3-10)]]*0.05)</f>
        <v>4</v>
      </c>
      <c r="H62" s="7">
        <f>IF(Tabella4[[#This Row],[Macro_Cat1]]=0,"",VLOOKUP(Tabella4[[#This Row],[Macro_Cat1]],Tabella3[[#All],[ID]:[BLOCCO]],2,FALSE))</f>
        <v>7</v>
      </c>
      <c r="L6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6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62" s="7" t="str">
        <f>CONCATENATE("cat"," ",Tabella4[[#This Row],[Categoria assegnata]])</f>
        <v>cat 7</v>
      </c>
    </row>
    <row r="63" spans="1:15" ht="19.2" customHeight="1" x14ac:dyDescent="0.3">
      <c r="A63" s="7">
        <f t="shared" si="1"/>
        <v>62</v>
      </c>
      <c r="B63" s="7">
        <v>62</v>
      </c>
      <c r="C63" s="7" t="s">
        <v>306</v>
      </c>
      <c r="F63" s="7">
        <v>1</v>
      </c>
      <c r="G63" s="7">
        <f>SUM(Tabella4[[#This Row],[adulti (&gt;10)]],Tabella4[[#This Row],[bambini (3-10)]]*0.05)</f>
        <v>1</v>
      </c>
      <c r="H63" s="7">
        <f>IF(Tabella4[[#This Row],[Macro_Cat1]]=0,"",VLOOKUP(Tabella4[[#This Row],[Macro_Cat1]],Tabella3[[#All],[ID]:[BLOCCO]],2,FALSE))</f>
        <v>1</v>
      </c>
      <c r="L6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6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63" s="7" t="str">
        <f>CONCATENATE("cat"," ",Tabella4[[#This Row],[Categoria assegnata]])</f>
        <v>cat 1</v>
      </c>
    </row>
    <row r="64" spans="1:15" ht="19.2" customHeight="1" x14ac:dyDescent="0.3">
      <c r="A64" s="7">
        <f t="shared" si="1"/>
        <v>63</v>
      </c>
      <c r="B64" s="7">
        <v>63</v>
      </c>
      <c r="C64" s="7" t="s">
        <v>307</v>
      </c>
      <c r="D64" s="7">
        <v>1</v>
      </c>
      <c r="E64" s="7">
        <v>1</v>
      </c>
      <c r="F64" s="7">
        <v>2</v>
      </c>
      <c r="G64" s="7">
        <f>SUM(Tabella4[[#This Row],[adulti (&gt;10)]],Tabella4[[#This Row],[bambini (3-10)]]*0.05)</f>
        <v>2.0499999999999998</v>
      </c>
      <c r="H64" s="7">
        <f>IF(Tabella4[[#This Row],[Macro_Cat1]]=0,"",VLOOKUP(Tabella4[[#This Row],[Macro_Cat1]],Tabella3[[#All],[ID]:[BLOCCO]],2,FALSE))</f>
        <v>5</v>
      </c>
      <c r="L6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6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62</v>
      </c>
      <c r="O64" s="7" t="str">
        <f>CONCATENATE("cat"," ",Tabella4[[#This Row],[Categoria assegnata]])</f>
        <v>cat 5</v>
      </c>
    </row>
    <row r="65" spans="1:15" ht="19.2" customHeight="1" x14ac:dyDescent="0.3">
      <c r="A65" s="7">
        <f t="shared" si="1"/>
        <v>64</v>
      </c>
      <c r="B65" s="7">
        <v>64</v>
      </c>
      <c r="C65" s="7" t="s">
        <v>308</v>
      </c>
      <c r="E65" s="7">
        <v>2</v>
      </c>
      <c r="F65" s="7">
        <v>4</v>
      </c>
      <c r="G65" s="7">
        <f>SUM(Tabella4[[#This Row],[adulti (&gt;10)]],Tabella4[[#This Row],[bambini (3-10)]]*0.05)</f>
        <v>4.0999999999999996</v>
      </c>
      <c r="H65" s="7">
        <f>IF(Tabella4[[#This Row],[Macro_Cat1]]=0,"",VLOOKUP(Tabella4[[#This Row],[Macro_Cat1]],Tabella3[[#All],[ID]:[BLOCCO]],2,FALSE))</f>
        <v>8</v>
      </c>
      <c r="L6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58.340121531809032</v>
      </c>
      <c r="M6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65" s="7" t="str">
        <f>CONCATENATE("cat"," ",Tabella4[[#This Row],[Categoria assegnata]])</f>
        <v>cat 8</v>
      </c>
    </row>
    <row r="66" spans="1:15" ht="19.2" customHeight="1" x14ac:dyDescent="0.3">
      <c r="A66" s="7">
        <f t="shared" si="1"/>
        <v>65</v>
      </c>
      <c r="B66" s="7">
        <v>65</v>
      </c>
      <c r="C66" s="7" t="s">
        <v>309</v>
      </c>
      <c r="F66" s="7">
        <v>1</v>
      </c>
      <c r="G66" s="7">
        <f>SUM(Tabella4[[#This Row],[adulti (&gt;10)]],Tabella4[[#This Row],[bambini (3-10)]]*0.05)</f>
        <v>1</v>
      </c>
      <c r="H66" s="7">
        <f>IF(Tabella4[[#This Row],[Macro_Cat1]]=0,"",VLOOKUP(Tabella4[[#This Row],[Macro_Cat1]],Tabella3[[#All],[ID]:[BLOCCO]],2,FALSE))</f>
        <v>1</v>
      </c>
      <c r="L6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6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66" s="7" t="str">
        <f>CONCATENATE("cat"," ",Tabella4[[#This Row],[Categoria assegnata]])</f>
        <v>cat 1</v>
      </c>
    </row>
    <row r="67" spans="1:15" ht="19.2" customHeight="1" x14ac:dyDescent="0.3">
      <c r="A67" s="7">
        <f t="shared" ref="A67:A98" si="2">ROW(A66)</f>
        <v>66</v>
      </c>
      <c r="B67" s="7">
        <v>66</v>
      </c>
      <c r="C67" s="7" t="s">
        <v>310</v>
      </c>
      <c r="G67" s="7">
        <f>SUM(Tabella4[[#This Row],[adulti (&gt;10)]],Tabella4[[#This Row],[bambini (3-10)]]*0.05)</f>
        <v>0</v>
      </c>
      <c r="H67" s="7" t="str">
        <f>IF(Tabella4[[#This Row],[Macro_Cat1]]=0,"",VLOOKUP(Tabella4[[#This Row],[Macro_Cat1]],Tabella3[[#All],[ID]:[BLOCCO]],2,FALSE))</f>
        <v/>
      </c>
      <c r="L6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0</v>
      </c>
      <c r="M67" s="48" t="str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/>
      </c>
      <c r="O67" s="7" t="str">
        <f>CONCATENATE("cat"," ",Tabella4[[#This Row],[Categoria assegnata]])</f>
        <v xml:space="preserve">cat </v>
      </c>
    </row>
    <row r="68" spans="1:15" ht="19.2" customHeight="1" x14ac:dyDescent="0.3">
      <c r="A68" s="7">
        <f t="shared" si="2"/>
        <v>67</v>
      </c>
      <c r="B68" s="7">
        <v>67</v>
      </c>
      <c r="C68" s="7" t="s">
        <v>311</v>
      </c>
      <c r="E68" s="7">
        <v>3</v>
      </c>
      <c r="F68" s="7">
        <v>3</v>
      </c>
      <c r="G68" s="7">
        <f>SUM(Tabella4[[#This Row],[adulti (&gt;10)]],Tabella4[[#This Row],[bambini (3-10)]]*0.05)</f>
        <v>3.15</v>
      </c>
      <c r="H68" s="7">
        <f>IF(Tabella4[[#This Row],[Macro_Cat1]]=0,"",VLOOKUP(Tabella4[[#This Row],[Macro_Cat1]],Tabella3[[#All],[ID]:[BLOCCO]],2,FALSE))</f>
        <v>8</v>
      </c>
      <c r="L6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55.552624183427838</v>
      </c>
      <c r="M6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68" s="7" t="str">
        <f>CONCATENATE("cat"," ",Tabella4[[#This Row],[Categoria assegnata]])</f>
        <v>cat 8</v>
      </c>
    </row>
    <row r="69" spans="1:15" ht="19.2" customHeight="1" x14ac:dyDescent="0.3">
      <c r="A69" s="7">
        <f t="shared" si="2"/>
        <v>68</v>
      </c>
      <c r="B69" s="7">
        <v>68</v>
      </c>
      <c r="C69" s="7" t="s">
        <v>312</v>
      </c>
      <c r="F69" s="7">
        <v>6</v>
      </c>
      <c r="G69" s="7">
        <f>SUM(Tabella4[[#This Row],[adulti (&gt;10)]],Tabella4[[#This Row],[bambini (3-10)]]*0.05)</f>
        <v>6</v>
      </c>
      <c r="H69" s="7">
        <f>IF(Tabella4[[#This Row],[Macro_Cat1]]=0,"",VLOOKUP(Tabella4[[#This Row],[Macro_Cat1]],Tabella3[[#All],[ID]:[BLOCCO]],2,FALSE))</f>
        <v>9</v>
      </c>
      <c r="L6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63.915116228571428</v>
      </c>
      <c r="M6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69" s="7" t="str">
        <f>CONCATENATE("cat"," ",Tabella4[[#This Row],[Categoria assegnata]])</f>
        <v>cat 9</v>
      </c>
    </row>
    <row r="70" spans="1:15" ht="19.2" customHeight="1" x14ac:dyDescent="0.3">
      <c r="A70" s="7">
        <f t="shared" si="2"/>
        <v>69</v>
      </c>
      <c r="B70" s="7">
        <v>69</v>
      </c>
      <c r="C70" s="7" t="s">
        <v>313</v>
      </c>
      <c r="E70" s="7">
        <v>3</v>
      </c>
      <c r="F70" s="7">
        <v>1</v>
      </c>
      <c r="G70" s="7">
        <f>SUM(Tabella4[[#This Row],[adulti (&gt;10)]],Tabella4[[#This Row],[bambini (3-10)]]*0.05)</f>
        <v>1.1499999999999999</v>
      </c>
      <c r="H70" s="7">
        <f>IF(Tabella4[[#This Row],[Macro_Cat1]]=0,"",VLOOKUP(Tabella4[[#This Row],[Macro_Cat1]],Tabella3[[#All],[ID]:[BLOCCO]],2,FALSE))</f>
        <v>5</v>
      </c>
      <c r="L7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41.330497369353537</v>
      </c>
      <c r="M7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44</v>
      </c>
      <c r="O70" s="7" t="str">
        <f>CONCATENATE("cat"," ",Tabella4[[#This Row],[Categoria assegnata]])</f>
        <v>cat 5</v>
      </c>
    </row>
    <row r="71" spans="1:15" ht="19.2" customHeight="1" x14ac:dyDescent="0.3">
      <c r="A71" s="7">
        <f t="shared" si="2"/>
        <v>70</v>
      </c>
      <c r="B71" s="7">
        <v>70</v>
      </c>
      <c r="C71" s="7" t="s">
        <v>314</v>
      </c>
      <c r="E71" s="7">
        <v>3</v>
      </c>
      <c r="F71" s="7">
        <v>2</v>
      </c>
      <c r="G71" s="7">
        <f>SUM(Tabella4[[#This Row],[adulti (&gt;10)]],Tabella4[[#This Row],[bambini (3-10)]]*0.05)</f>
        <v>2.15</v>
      </c>
      <c r="H71" s="7">
        <f>IF(Tabella4[[#This Row],[Macro_Cat1]]=0,"",VLOOKUP(Tabella4[[#This Row],[Macro_Cat1]],Tabella3[[#All],[ID]:[BLOCCO]],2,FALSE))</f>
        <v>7</v>
      </c>
      <c r="L7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59.065928669564954</v>
      </c>
      <c r="M7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71" s="7" t="str">
        <f>CONCATENATE("cat"," ",Tabella4[[#This Row],[Categoria assegnata]])</f>
        <v>cat 7</v>
      </c>
    </row>
    <row r="72" spans="1:15" ht="19.2" customHeight="1" x14ac:dyDescent="0.3">
      <c r="A72" s="7">
        <f t="shared" si="2"/>
        <v>71</v>
      </c>
      <c r="B72" s="7">
        <v>71</v>
      </c>
      <c r="C72" s="7" t="s">
        <v>315</v>
      </c>
      <c r="F72" s="7">
        <v>1</v>
      </c>
      <c r="G72" s="7">
        <f>SUM(Tabella4[[#This Row],[adulti (&gt;10)]],Tabella4[[#This Row],[bambini (3-10)]]*0.05)</f>
        <v>1</v>
      </c>
      <c r="H72" s="7">
        <f>IF(Tabella4[[#This Row],[Macro_Cat1]]=0,"",VLOOKUP(Tabella4[[#This Row],[Macro_Cat1]],Tabella3[[#All],[ID]:[BLOCCO]],2,FALSE))</f>
        <v>1</v>
      </c>
      <c r="L7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7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72" s="7" t="str">
        <f>CONCATENATE("cat"," ",Tabella4[[#This Row],[Categoria assegnata]])</f>
        <v>cat 1</v>
      </c>
    </row>
    <row r="73" spans="1:15" ht="19.2" customHeight="1" x14ac:dyDescent="0.3">
      <c r="A73" s="7">
        <f t="shared" si="2"/>
        <v>72</v>
      </c>
      <c r="B73" s="7">
        <v>72</v>
      </c>
      <c r="C73" s="7" t="s">
        <v>316</v>
      </c>
      <c r="E73" s="7">
        <v>1</v>
      </c>
      <c r="F73" s="7">
        <v>2</v>
      </c>
      <c r="G73" s="7">
        <f>SUM(Tabella4[[#This Row],[adulti (&gt;10)]],Tabella4[[#This Row],[bambini (3-10)]]*0.05)</f>
        <v>2.0499999999999998</v>
      </c>
      <c r="H73" s="7">
        <f>IF(Tabella4[[#This Row],[Macro_Cat1]]=0,"",VLOOKUP(Tabella4[[#This Row],[Macro_Cat1]],Tabella3[[#All],[ID]:[BLOCCO]],2,FALSE))</f>
        <v>5</v>
      </c>
      <c r="L7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43.335884623470207</v>
      </c>
      <c r="M7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44</v>
      </c>
      <c r="O73" s="7" t="str">
        <f>CONCATENATE("cat"," ",Tabella4[[#This Row],[Categoria assegnata]])</f>
        <v>cat 5</v>
      </c>
    </row>
    <row r="74" spans="1:15" ht="19.2" customHeight="1" x14ac:dyDescent="0.3">
      <c r="A74" s="7">
        <f t="shared" si="2"/>
        <v>73</v>
      </c>
      <c r="B74" s="7">
        <v>73</v>
      </c>
      <c r="C74" s="7" t="s">
        <v>317</v>
      </c>
      <c r="E74" s="7">
        <v>1</v>
      </c>
      <c r="F74" s="7">
        <v>5</v>
      </c>
      <c r="G74" s="7">
        <f>SUM(Tabella4[[#This Row],[adulti (&gt;10)]],Tabella4[[#This Row],[bambini (3-10)]]*0.05)</f>
        <v>5.05</v>
      </c>
      <c r="H74" s="7">
        <f>IF(Tabella4[[#This Row],[Macro_Cat1]]=0,"",VLOOKUP(Tabella4[[#This Row],[Macro_Cat1]],Tabella3[[#All],[ID]:[BLOCCO]],2,FALSE))</f>
        <v>9</v>
      </c>
      <c r="L7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61.127618880190226</v>
      </c>
      <c r="M7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74" s="7" t="str">
        <f>CONCATENATE("cat"," ",Tabella4[[#This Row],[Categoria assegnata]])</f>
        <v>cat 9</v>
      </c>
    </row>
    <row r="75" spans="1:15" ht="19.2" customHeight="1" x14ac:dyDescent="0.3">
      <c r="A75" s="7">
        <f t="shared" si="2"/>
        <v>74</v>
      </c>
      <c r="B75" s="7">
        <v>74</v>
      </c>
      <c r="C75" s="7" t="s">
        <v>318</v>
      </c>
      <c r="F75" s="7">
        <v>1</v>
      </c>
      <c r="G75" s="7">
        <f>SUM(Tabella4[[#This Row],[adulti (&gt;10)]],Tabella4[[#This Row],[bambini (3-10)]]*0.05)</f>
        <v>1</v>
      </c>
      <c r="H75" s="7">
        <f>IF(Tabella4[[#This Row],[Macro_Cat1]]=0,"",VLOOKUP(Tabella4[[#This Row],[Macro_Cat1]],Tabella3[[#All],[ID]:[BLOCCO]],2,FALSE))</f>
        <v>1</v>
      </c>
      <c r="L7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7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75" s="7" t="str">
        <f>CONCATENATE("cat"," ",Tabella4[[#This Row],[Categoria assegnata]])</f>
        <v>cat 1</v>
      </c>
    </row>
    <row r="76" spans="1:15" ht="19.2" customHeight="1" x14ac:dyDescent="0.3">
      <c r="A76" s="7">
        <f t="shared" si="2"/>
        <v>75</v>
      </c>
      <c r="B76" s="7">
        <v>75</v>
      </c>
      <c r="C76" s="7" t="s">
        <v>319</v>
      </c>
      <c r="E76" s="7">
        <v>2</v>
      </c>
      <c r="F76" s="7">
        <v>5</v>
      </c>
      <c r="G76" s="7">
        <f>SUM(Tabella4[[#This Row],[adulti (&gt;10)]],Tabella4[[#This Row],[bambini (3-10)]]*0.05)</f>
        <v>5.0999999999999996</v>
      </c>
      <c r="H76" s="7">
        <f>IF(Tabella4[[#This Row],[Macro_Cat1]]=0,"",VLOOKUP(Tabella4[[#This Row],[Macro_Cat1]],Tabella3[[#All],[ID]:[BLOCCO]],2,FALSE))</f>
        <v>9</v>
      </c>
      <c r="L7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68.9926409032376</v>
      </c>
      <c r="M7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76" s="7" t="str">
        <f>CONCATENATE("cat"," ",Tabella4[[#This Row],[Categoria assegnata]])</f>
        <v>cat 9</v>
      </c>
    </row>
    <row r="77" spans="1:15" ht="19.2" customHeight="1" x14ac:dyDescent="0.3">
      <c r="A77" s="7">
        <f t="shared" si="2"/>
        <v>76</v>
      </c>
      <c r="B77" s="7">
        <v>76</v>
      </c>
      <c r="C77" s="7" t="s">
        <v>320</v>
      </c>
      <c r="F77" s="7">
        <v>1</v>
      </c>
      <c r="G77" s="7">
        <f>SUM(Tabella4[[#This Row],[adulti (&gt;10)]],Tabella4[[#This Row],[bambini (3-10)]]*0.05)</f>
        <v>1</v>
      </c>
      <c r="H77" s="7">
        <f>IF(Tabella4[[#This Row],[Macro_Cat1]]=0,"",VLOOKUP(Tabella4[[#This Row],[Macro_Cat1]],Tabella3[[#All],[ID]:[BLOCCO]],2,FALSE))</f>
        <v>1</v>
      </c>
      <c r="L7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7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77" s="7" t="str">
        <f>CONCATENATE("cat"," ",Tabella4[[#This Row],[Categoria assegnata]])</f>
        <v>cat 1</v>
      </c>
    </row>
    <row r="78" spans="1:15" ht="19.2" customHeight="1" x14ac:dyDescent="0.3">
      <c r="A78" s="7">
        <f t="shared" si="2"/>
        <v>77</v>
      </c>
      <c r="B78" s="7">
        <v>77</v>
      </c>
      <c r="C78" s="7" t="s">
        <v>321</v>
      </c>
      <c r="F78" s="7">
        <v>1</v>
      </c>
      <c r="G78" s="7">
        <f>SUM(Tabella4[[#This Row],[adulti (&gt;10)]],Tabella4[[#This Row],[bambini (3-10)]]*0.05)</f>
        <v>1</v>
      </c>
      <c r="H78" s="7">
        <f>IF(Tabella4[[#This Row],[Macro_Cat1]]=0,"",VLOOKUP(Tabella4[[#This Row],[Macro_Cat1]],Tabella3[[#All],[ID]:[BLOCCO]],2,FALSE))</f>
        <v>1</v>
      </c>
      <c r="L7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7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78" s="7" t="str">
        <f>CONCATENATE("cat"," ",Tabella4[[#This Row],[Categoria assegnata]])</f>
        <v>cat 1</v>
      </c>
    </row>
    <row r="79" spans="1:15" ht="19.2" customHeight="1" x14ac:dyDescent="0.3">
      <c r="A79" s="7">
        <f t="shared" si="2"/>
        <v>78</v>
      </c>
      <c r="B79" s="7">
        <v>78</v>
      </c>
      <c r="C79" s="7" t="s">
        <v>322</v>
      </c>
      <c r="E79" s="7">
        <v>2</v>
      </c>
      <c r="F79" s="7">
        <v>4</v>
      </c>
      <c r="G79" s="7">
        <f>SUM(Tabella4[[#This Row],[adulti (&gt;10)]],Tabella4[[#This Row],[bambini (3-10)]]*0.05)</f>
        <v>4.0999999999999996</v>
      </c>
      <c r="H79" s="7">
        <f>IF(Tabella4[[#This Row],[Macro_Cat1]]=0,"",VLOOKUP(Tabella4[[#This Row],[Macro_Cat1]],Tabella3[[#All],[ID]:[BLOCCO]],2,FALSE))</f>
        <v>8</v>
      </c>
      <c r="L7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58.340121531809032</v>
      </c>
      <c r="M7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79" s="7" t="str">
        <f>CONCATENATE("cat"," ",Tabella4[[#This Row],[Categoria assegnata]])</f>
        <v>cat 8</v>
      </c>
    </row>
    <row r="80" spans="1:15" ht="19.2" customHeight="1" x14ac:dyDescent="0.3">
      <c r="A80" s="7">
        <f t="shared" si="2"/>
        <v>79</v>
      </c>
      <c r="B80" s="7">
        <v>79</v>
      </c>
      <c r="C80" s="7" t="s">
        <v>323</v>
      </c>
      <c r="F80" s="7">
        <v>1</v>
      </c>
      <c r="G80" s="7">
        <f>SUM(Tabella4[[#This Row],[adulti (&gt;10)]],Tabella4[[#This Row],[bambini (3-10)]]*0.05)</f>
        <v>1</v>
      </c>
      <c r="H80" s="7">
        <f>IF(Tabella4[[#This Row],[Macro_Cat1]]=0,"",VLOOKUP(Tabella4[[#This Row],[Macro_Cat1]],Tabella3[[#All],[ID]:[BLOCCO]],2,FALSE))</f>
        <v>1</v>
      </c>
      <c r="L8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8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80" s="7" t="str">
        <f>CONCATENATE("cat"," ",Tabella4[[#This Row],[Categoria assegnata]])</f>
        <v>cat 1</v>
      </c>
    </row>
    <row r="81" spans="1:15" ht="19.2" customHeight="1" x14ac:dyDescent="0.3">
      <c r="A81" s="7">
        <f t="shared" si="2"/>
        <v>80</v>
      </c>
      <c r="B81" s="7">
        <v>80</v>
      </c>
      <c r="C81" s="7" t="s">
        <v>324</v>
      </c>
      <c r="E81" s="7">
        <v>1</v>
      </c>
      <c r="F81" s="7">
        <v>1</v>
      </c>
      <c r="G81" s="7">
        <f>SUM(Tabella4[[#This Row],[adulti (&gt;10)]],Tabella4[[#This Row],[bambini (3-10)]]*0.05)</f>
        <v>1.05</v>
      </c>
      <c r="H81" s="7">
        <f>IF(Tabella4[[#This Row],[Macro_Cat1]]=0,"",VLOOKUP(Tabella4[[#This Row],[Macro_Cat1]],Tabella3[[#All],[ID]:[BLOCCO]],2,FALSE))</f>
        <v>2</v>
      </c>
      <c r="L8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25.60045332325879</v>
      </c>
      <c r="M8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26</v>
      </c>
      <c r="O81" s="7" t="str">
        <f>CONCATENATE("cat"," ",Tabella4[[#This Row],[Categoria assegnata]])</f>
        <v>cat 2</v>
      </c>
    </row>
    <row r="82" spans="1:15" ht="19.2" customHeight="1" x14ac:dyDescent="0.3">
      <c r="A82" s="7">
        <f t="shared" si="2"/>
        <v>81</v>
      </c>
      <c r="B82" s="7">
        <v>81</v>
      </c>
      <c r="C82" s="7" t="s">
        <v>325</v>
      </c>
      <c r="F82" s="7">
        <v>2</v>
      </c>
      <c r="G82" s="7">
        <f>SUM(Tabella4[[#This Row],[adulti (&gt;10)]],Tabella4[[#This Row],[bambini (3-10)]]*0.05)</f>
        <v>2</v>
      </c>
      <c r="H82" s="7">
        <f>IF(Tabella4[[#This Row],[Macro_Cat1]]=0,"",VLOOKUP(Tabella4[[#This Row],[Macro_Cat1]],Tabella3[[#All],[ID]:[BLOCCO]],2,FALSE))</f>
        <v>4</v>
      </c>
      <c r="L8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8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82" s="7" t="str">
        <f>CONCATENATE("cat"," ",Tabella4[[#This Row],[Categoria assegnata]])</f>
        <v>cat 4</v>
      </c>
    </row>
    <row r="83" spans="1:15" ht="19.2" customHeight="1" x14ac:dyDescent="0.3">
      <c r="A83" s="7">
        <f t="shared" si="2"/>
        <v>82</v>
      </c>
      <c r="B83" s="7">
        <v>82</v>
      </c>
      <c r="C83" s="7" t="s">
        <v>326</v>
      </c>
      <c r="E83" s="7">
        <v>1</v>
      </c>
      <c r="F83" s="7">
        <v>1</v>
      </c>
      <c r="G83" s="7">
        <f>SUM(Tabella4[[#This Row],[adulti (&gt;10)]],Tabella4[[#This Row],[bambini (3-10)]]*0.05)</f>
        <v>1.05</v>
      </c>
      <c r="H83" s="7">
        <f>IF(Tabella4[[#This Row],[Macro_Cat1]]=0,"",VLOOKUP(Tabella4[[#This Row],[Macro_Cat1]],Tabella3[[#All],[ID]:[BLOCCO]],2,FALSE))</f>
        <v>2</v>
      </c>
      <c r="L8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25.60045332325879</v>
      </c>
      <c r="M8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26</v>
      </c>
      <c r="O83" s="7" t="str">
        <f>CONCATENATE("cat"," ",Tabella4[[#This Row],[Categoria assegnata]])</f>
        <v>cat 2</v>
      </c>
    </row>
    <row r="84" spans="1:15" ht="19.2" customHeight="1" x14ac:dyDescent="0.3">
      <c r="A84" s="7">
        <f t="shared" si="2"/>
        <v>83</v>
      </c>
      <c r="B84" s="7">
        <v>83</v>
      </c>
      <c r="C84" s="7" t="s">
        <v>327</v>
      </c>
      <c r="F84" s="7">
        <v>1</v>
      </c>
      <c r="G84" s="7">
        <f>SUM(Tabella4[[#This Row],[adulti (&gt;10)]],Tabella4[[#This Row],[bambini (3-10)]]*0.05)</f>
        <v>1</v>
      </c>
      <c r="H84" s="7">
        <f>IF(Tabella4[[#This Row],[Macro_Cat1]]=0,"",VLOOKUP(Tabella4[[#This Row],[Macro_Cat1]],Tabella3[[#All],[ID]:[BLOCCO]],2,FALSE))</f>
        <v>1</v>
      </c>
      <c r="L8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8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84" s="7" t="str">
        <f>CONCATENATE("cat"," ",Tabella4[[#This Row],[Categoria assegnata]])</f>
        <v>cat 1</v>
      </c>
    </row>
    <row r="85" spans="1:15" ht="19.2" customHeight="1" x14ac:dyDescent="0.3">
      <c r="A85" s="7">
        <f t="shared" si="2"/>
        <v>84</v>
      </c>
      <c r="B85" s="7">
        <v>84</v>
      </c>
      <c r="C85" s="7" t="s">
        <v>328</v>
      </c>
      <c r="F85" s="7">
        <v>1</v>
      </c>
      <c r="G85" s="7">
        <f>SUM(Tabella4[[#This Row],[adulti (&gt;10)]],Tabella4[[#This Row],[bambini (3-10)]]*0.05)</f>
        <v>1</v>
      </c>
      <c r="H85" s="7">
        <f>IF(Tabella4[[#This Row],[Macro_Cat1]]=0,"",VLOOKUP(Tabella4[[#This Row],[Macro_Cat1]],Tabella3[[#All],[ID]:[BLOCCO]],2,FALSE))</f>
        <v>1</v>
      </c>
      <c r="L8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8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85" s="7" t="str">
        <f>CONCATENATE("cat"," ",Tabella4[[#This Row],[Categoria assegnata]])</f>
        <v>cat 1</v>
      </c>
    </row>
    <row r="86" spans="1:15" ht="19.2" customHeight="1" x14ac:dyDescent="0.3">
      <c r="A86" s="7">
        <f t="shared" si="2"/>
        <v>85</v>
      </c>
      <c r="B86" s="7">
        <v>85</v>
      </c>
      <c r="C86" s="7" t="s">
        <v>329</v>
      </c>
      <c r="F86" s="7">
        <v>2</v>
      </c>
      <c r="G86" s="7">
        <f>SUM(Tabella4[[#This Row],[adulti (&gt;10)]],Tabella4[[#This Row],[bambini (3-10)]]*0.05)</f>
        <v>2</v>
      </c>
      <c r="H86" s="7">
        <f>IF(Tabella4[[#This Row],[Macro_Cat1]]=0,"",VLOOKUP(Tabella4[[#This Row],[Macro_Cat1]],Tabella3[[#All],[ID]:[BLOCCO]],2,FALSE))</f>
        <v>4</v>
      </c>
      <c r="L8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8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86" s="7" t="str">
        <f>CONCATENATE("cat"," ",Tabella4[[#This Row],[Categoria assegnata]])</f>
        <v>cat 4</v>
      </c>
    </row>
    <row r="87" spans="1:15" ht="19.2" customHeight="1" x14ac:dyDescent="0.3">
      <c r="A87" s="7">
        <f t="shared" si="2"/>
        <v>86</v>
      </c>
      <c r="B87" s="7">
        <v>86</v>
      </c>
      <c r="C87" s="7" t="s">
        <v>330</v>
      </c>
      <c r="F87" s="7">
        <v>4</v>
      </c>
      <c r="G87" s="7">
        <f>SUM(Tabella4[[#This Row],[adulti (&gt;10)]],Tabella4[[#This Row],[bambini (3-10)]]*0.05)</f>
        <v>4</v>
      </c>
      <c r="H87" s="7">
        <f>IF(Tabella4[[#This Row],[Macro_Cat1]]=0,"",VLOOKUP(Tabella4[[#This Row],[Macro_Cat1]],Tabella3[[#All],[ID]:[BLOCCO]],2,FALSE))</f>
        <v>7</v>
      </c>
      <c r="L8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8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87" s="7" t="str">
        <f>CONCATENATE("cat"," ",Tabella4[[#This Row],[Categoria assegnata]])</f>
        <v>cat 7</v>
      </c>
    </row>
    <row r="88" spans="1:15" ht="19.2" customHeight="1" x14ac:dyDescent="0.3">
      <c r="A88" s="7">
        <f t="shared" si="2"/>
        <v>87</v>
      </c>
      <c r="B88" s="7">
        <v>87</v>
      </c>
      <c r="C88" s="7" t="s">
        <v>331</v>
      </c>
      <c r="E88" s="7">
        <v>1</v>
      </c>
      <c r="F88" s="7">
        <v>3</v>
      </c>
      <c r="G88" s="7">
        <f>SUM(Tabella4[[#This Row],[adulti (&gt;10)]],Tabella4[[#This Row],[bambini (3-10)]]*0.05)</f>
        <v>3.05</v>
      </c>
      <c r="H88" s="7">
        <f>IF(Tabella4[[#This Row],[Macro_Cat1]]=0,"",VLOOKUP(Tabella4[[#This Row],[Macro_Cat1]],Tabella3[[#All],[ID]:[BLOCCO]],2,FALSE))</f>
        <v>7</v>
      </c>
      <c r="L8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39.822580137333091</v>
      </c>
      <c r="M8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88" s="7" t="str">
        <f>CONCATENATE("cat"," ",Tabella4[[#This Row],[Categoria assegnata]])</f>
        <v>cat 7</v>
      </c>
    </row>
    <row r="89" spans="1:15" ht="19.2" customHeight="1" x14ac:dyDescent="0.3">
      <c r="A89" s="7">
        <f t="shared" si="2"/>
        <v>88</v>
      </c>
      <c r="B89" s="7">
        <v>88</v>
      </c>
      <c r="C89" s="7" t="s">
        <v>332</v>
      </c>
      <c r="E89" s="7">
        <v>1</v>
      </c>
      <c r="F89" s="7">
        <v>5</v>
      </c>
      <c r="G89" s="7">
        <f>SUM(Tabella4[[#This Row],[adulti (&gt;10)]],Tabella4[[#This Row],[bambini (3-10)]]*0.05)</f>
        <v>5.05</v>
      </c>
      <c r="H89" s="7">
        <f>IF(Tabella4[[#This Row],[Macro_Cat1]]=0,"",VLOOKUP(Tabella4[[#This Row],[Macro_Cat1]],Tabella3[[#All],[ID]:[BLOCCO]],2,FALSE))</f>
        <v>9</v>
      </c>
      <c r="L8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61.127618880190226</v>
      </c>
      <c r="M8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89" s="7" t="str">
        <f>CONCATENATE("cat"," ",Tabella4[[#This Row],[Categoria assegnata]])</f>
        <v>cat 9</v>
      </c>
    </row>
    <row r="90" spans="1:15" ht="19.2" customHeight="1" x14ac:dyDescent="0.3">
      <c r="A90" s="7">
        <f t="shared" si="2"/>
        <v>89</v>
      </c>
      <c r="B90" s="7">
        <v>89</v>
      </c>
      <c r="C90" s="7" t="s">
        <v>333</v>
      </c>
      <c r="E90" s="7">
        <v>1</v>
      </c>
      <c r="F90" s="7">
        <v>4</v>
      </c>
      <c r="G90" s="7">
        <f>SUM(Tabella4[[#This Row],[adulti (&gt;10)]],Tabella4[[#This Row],[bambini (3-10)]]*0.05)</f>
        <v>4.05</v>
      </c>
      <c r="H90" s="7">
        <f>IF(Tabella4[[#This Row],[Macro_Cat1]]=0,"",VLOOKUP(Tabella4[[#This Row],[Macro_Cat1]],Tabella3[[#All],[ID]:[BLOCCO]],2,FALSE))</f>
        <v>8</v>
      </c>
      <c r="L9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50.475099508761659</v>
      </c>
      <c r="M9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90" s="7" t="str">
        <f>CONCATENATE("cat"," ",Tabella4[[#This Row],[Categoria assegnata]])</f>
        <v>cat 8</v>
      </c>
    </row>
    <row r="91" spans="1:15" ht="19.2" customHeight="1" x14ac:dyDescent="0.3">
      <c r="A91" s="7">
        <f t="shared" si="2"/>
        <v>90</v>
      </c>
      <c r="B91" s="7">
        <v>90</v>
      </c>
      <c r="C91" s="7" t="s">
        <v>334</v>
      </c>
      <c r="E91" s="7">
        <v>1</v>
      </c>
      <c r="F91" s="7">
        <v>5</v>
      </c>
      <c r="G91" s="7">
        <f>SUM(Tabella4[[#This Row],[adulti (&gt;10)]],Tabella4[[#This Row],[bambini (3-10)]]*0.05)</f>
        <v>5.05</v>
      </c>
      <c r="H91" s="7">
        <f>IF(Tabella4[[#This Row],[Macro_Cat1]]=0,"",VLOOKUP(Tabella4[[#This Row],[Macro_Cat1]],Tabella3[[#All],[ID]:[BLOCCO]],2,FALSE))</f>
        <v>9</v>
      </c>
      <c r="L9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61.127618880190226</v>
      </c>
      <c r="M9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64</v>
      </c>
      <c r="O91" s="7" t="str">
        <f>CONCATENATE("cat"," ",Tabella4[[#This Row],[Categoria assegnata]])</f>
        <v>cat 9</v>
      </c>
    </row>
    <row r="92" spans="1:15" ht="19.2" customHeight="1" x14ac:dyDescent="0.3">
      <c r="A92" s="7">
        <f t="shared" si="2"/>
        <v>91</v>
      </c>
      <c r="B92" s="7">
        <v>91</v>
      </c>
      <c r="C92" s="7" t="s">
        <v>335</v>
      </c>
      <c r="F92" s="7">
        <v>1</v>
      </c>
      <c r="G92" s="7">
        <f>SUM(Tabella4[[#This Row],[adulti (&gt;10)]],Tabella4[[#This Row],[bambini (3-10)]]*0.05)</f>
        <v>1</v>
      </c>
      <c r="H92" s="7">
        <f>IF(Tabella4[[#This Row],[Macro_Cat1]]=0,"",VLOOKUP(Tabella4[[#This Row],[Macro_Cat1]],Tabella3[[#All],[ID]:[BLOCCO]],2,FALSE))</f>
        <v>1</v>
      </c>
      <c r="L9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9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92" s="7" t="str">
        <f>CONCATENATE("cat"," ",Tabella4[[#This Row],[Categoria assegnata]])</f>
        <v>cat 1</v>
      </c>
    </row>
    <row r="93" spans="1:15" ht="19.2" customHeight="1" x14ac:dyDescent="0.3">
      <c r="A93" s="7">
        <f t="shared" si="2"/>
        <v>92</v>
      </c>
      <c r="B93" s="7">
        <v>92</v>
      </c>
      <c r="C93" s="7" t="s">
        <v>336</v>
      </c>
      <c r="F93" s="7">
        <v>5</v>
      </c>
      <c r="G93" s="7">
        <f>SUM(Tabella4[[#This Row],[adulti (&gt;10)]],Tabella4[[#This Row],[bambini (3-10)]]*0.05)</f>
        <v>5</v>
      </c>
      <c r="H93" s="7">
        <f>IF(Tabella4[[#This Row],[Macro_Cat1]]=0,"",VLOOKUP(Tabella4[[#This Row],[Macro_Cat1]],Tabella3[[#All],[ID]:[BLOCCO]],2,FALSE))</f>
        <v>8</v>
      </c>
      <c r="L9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53.262596857142853</v>
      </c>
      <c r="M9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55</v>
      </c>
      <c r="O93" s="7" t="str">
        <f>CONCATENATE("cat"," ",Tabella4[[#This Row],[Categoria assegnata]])</f>
        <v>cat 8</v>
      </c>
    </row>
    <row r="94" spans="1:15" ht="19.2" customHeight="1" x14ac:dyDescent="0.3">
      <c r="A94" s="7">
        <f t="shared" si="2"/>
        <v>93</v>
      </c>
      <c r="B94" s="7">
        <v>93</v>
      </c>
      <c r="C94" s="7" t="s">
        <v>337</v>
      </c>
      <c r="F94" s="7">
        <v>2</v>
      </c>
      <c r="G94" s="7">
        <f>SUM(Tabella4[[#This Row],[adulti (&gt;10)]],Tabella4[[#This Row],[bambini (3-10)]]*0.05)</f>
        <v>2</v>
      </c>
      <c r="H94" s="7">
        <f>IF(Tabella4[[#This Row],[Macro_Cat1]]=0,"",VLOOKUP(Tabella4[[#This Row],[Macro_Cat1]],Tabella3[[#All],[ID]:[BLOCCO]],2,FALSE))</f>
        <v>4</v>
      </c>
      <c r="L9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9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94" s="7" t="str">
        <f>CONCATENATE("cat"," ",Tabella4[[#This Row],[Categoria assegnata]])</f>
        <v>cat 4</v>
      </c>
    </row>
    <row r="95" spans="1:15" ht="19.2" customHeight="1" x14ac:dyDescent="0.3">
      <c r="A95" s="7">
        <f t="shared" si="2"/>
        <v>94</v>
      </c>
      <c r="B95" s="7">
        <v>94</v>
      </c>
      <c r="C95" s="7" t="s">
        <v>338</v>
      </c>
      <c r="F95" s="7">
        <v>3</v>
      </c>
      <c r="G95" s="7">
        <f>SUM(Tabella4[[#This Row],[adulti (&gt;10)]],Tabella4[[#This Row],[bambini (3-10)]]*0.05)</f>
        <v>3</v>
      </c>
      <c r="H95" s="7">
        <f>IF(Tabella4[[#This Row],[Macro_Cat1]]=0,"",VLOOKUP(Tabella4[[#This Row],[Macro_Cat1]],Tabella3[[#All],[ID]:[BLOCCO]],2,FALSE))</f>
        <v>6</v>
      </c>
      <c r="L9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31.957558114285714</v>
      </c>
      <c r="M9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95" s="7" t="str">
        <f>CONCATENATE("cat"," ",Tabella4[[#This Row],[Categoria assegnata]])</f>
        <v>cat 6</v>
      </c>
    </row>
    <row r="96" spans="1:15" ht="19.2" customHeight="1" x14ac:dyDescent="0.3">
      <c r="A96" s="7">
        <f t="shared" si="2"/>
        <v>95</v>
      </c>
      <c r="B96" s="7">
        <v>95</v>
      </c>
      <c r="C96" s="7" t="s">
        <v>339</v>
      </c>
      <c r="E96" s="7">
        <v>2</v>
      </c>
      <c r="F96" s="7">
        <v>3</v>
      </c>
      <c r="G96" s="7">
        <f>SUM(Tabella4[[#This Row],[adulti (&gt;10)]],Tabella4[[#This Row],[bambini (3-10)]]*0.05)</f>
        <v>3.1</v>
      </c>
      <c r="H96" s="7">
        <f>IF(Tabella4[[#This Row],[Macro_Cat1]]=0,"",VLOOKUP(Tabella4[[#This Row],[Macro_Cat1]],Tabella3[[#All],[ID]:[BLOCCO]],2,FALSE))</f>
        <v>7</v>
      </c>
      <c r="L9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47.687602160380465</v>
      </c>
      <c r="M9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96" s="7" t="str">
        <f>CONCATENATE("cat"," ",Tabella4[[#This Row],[Categoria assegnata]])</f>
        <v>cat 7</v>
      </c>
    </row>
    <row r="97" spans="1:15" ht="19.2" customHeight="1" x14ac:dyDescent="0.3">
      <c r="A97" s="7">
        <f t="shared" si="2"/>
        <v>96</v>
      </c>
      <c r="B97" s="7">
        <v>96</v>
      </c>
      <c r="C97" s="7" t="s">
        <v>340</v>
      </c>
      <c r="F97" s="7">
        <v>1</v>
      </c>
      <c r="G97" s="7">
        <f>SUM(Tabella4[[#This Row],[adulti (&gt;10)]],Tabella4[[#This Row],[bambini (3-10)]]*0.05)</f>
        <v>1</v>
      </c>
      <c r="H97" s="7">
        <f>IF(Tabella4[[#This Row],[Macro_Cat1]]=0,"",VLOOKUP(Tabella4[[#This Row],[Macro_Cat1]],Tabella3[[#All],[ID]:[BLOCCO]],2,FALSE))</f>
        <v>1</v>
      </c>
      <c r="L97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97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97" s="7" t="str">
        <f>CONCATENATE("cat"," ",Tabella4[[#This Row],[Categoria assegnata]])</f>
        <v>cat 1</v>
      </c>
    </row>
    <row r="98" spans="1:15" ht="19.2" customHeight="1" x14ac:dyDescent="0.3">
      <c r="A98" s="7">
        <f t="shared" si="2"/>
        <v>97</v>
      </c>
      <c r="B98" s="7">
        <v>97</v>
      </c>
      <c r="C98" s="7" t="s">
        <v>341</v>
      </c>
      <c r="F98" s="7">
        <v>2</v>
      </c>
      <c r="G98" s="7">
        <f>SUM(Tabella4[[#This Row],[adulti (&gt;10)]],Tabella4[[#This Row],[bambini (3-10)]]*0.05)</f>
        <v>2</v>
      </c>
      <c r="H98" s="7">
        <f>IF(Tabella4[[#This Row],[Macro_Cat1]]=0,"",VLOOKUP(Tabella4[[#This Row],[Macro_Cat1]],Tabella3[[#All],[ID]:[BLOCCO]],2,FALSE))</f>
        <v>4</v>
      </c>
      <c r="L98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98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98" s="7" t="str">
        <f>CONCATENATE("cat"," ",Tabella4[[#This Row],[Categoria assegnata]])</f>
        <v>cat 4</v>
      </c>
    </row>
    <row r="99" spans="1:15" ht="19.2" customHeight="1" x14ac:dyDescent="0.3">
      <c r="A99" s="7">
        <f t="shared" ref="A99:A106" si="3">ROW(A98)</f>
        <v>98</v>
      </c>
      <c r="B99" s="7">
        <v>98</v>
      </c>
      <c r="C99" s="7" t="s">
        <v>342</v>
      </c>
      <c r="F99" s="7">
        <v>2</v>
      </c>
      <c r="G99" s="7">
        <f>SUM(Tabella4[[#This Row],[adulti (&gt;10)]],Tabella4[[#This Row],[bambini (3-10)]]*0.05)</f>
        <v>2</v>
      </c>
      <c r="H99" s="7">
        <f>IF(Tabella4[[#This Row],[Macro_Cat1]]=0,"",VLOOKUP(Tabella4[[#This Row],[Macro_Cat1]],Tabella3[[#All],[ID]:[BLOCCO]],2,FALSE))</f>
        <v>4</v>
      </c>
      <c r="L99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99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99" s="7" t="str">
        <f>CONCATENATE("cat"," ",Tabella4[[#This Row],[Categoria assegnata]])</f>
        <v>cat 4</v>
      </c>
    </row>
    <row r="100" spans="1:15" ht="19.2" customHeight="1" x14ac:dyDescent="0.3">
      <c r="A100" s="7">
        <f t="shared" si="3"/>
        <v>99</v>
      </c>
      <c r="B100" s="7">
        <v>99</v>
      </c>
      <c r="C100" s="7" t="s">
        <v>343</v>
      </c>
      <c r="F100" s="7">
        <v>3</v>
      </c>
      <c r="G100" s="7">
        <f>SUM(Tabella4[[#This Row],[adulti (&gt;10)]],Tabella4[[#This Row],[bambini (3-10)]]*0.05)</f>
        <v>3</v>
      </c>
      <c r="H100" s="7">
        <f>IF(Tabella4[[#This Row],[Macro_Cat1]]=0,"",VLOOKUP(Tabella4[[#This Row],[Macro_Cat1]],Tabella3[[#All],[ID]:[BLOCCO]],2,FALSE))</f>
        <v>6</v>
      </c>
      <c r="L100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31.957558114285714</v>
      </c>
      <c r="M100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40</v>
      </c>
      <c r="O100" s="7" t="str">
        <f>CONCATENATE("cat"," ",Tabella4[[#This Row],[Categoria assegnata]])</f>
        <v>cat 6</v>
      </c>
    </row>
    <row r="101" spans="1:15" ht="19.2" customHeight="1" x14ac:dyDescent="0.3">
      <c r="A101" s="7">
        <f t="shared" si="3"/>
        <v>100</v>
      </c>
      <c r="B101" s="7">
        <v>100</v>
      </c>
      <c r="C101" s="7" t="s">
        <v>344</v>
      </c>
      <c r="F101" s="7">
        <v>2</v>
      </c>
      <c r="G101" s="7">
        <f>SUM(Tabella4[[#This Row],[adulti (&gt;10)]],Tabella4[[#This Row],[bambini (3-10)]]*0.05)</f>
        <v>2</v>
      </c>
      <c r="H101" s="7">
        <f>IF(Tabella4[[#This Row],[Macro_Cat1]]=0,"",VLOOKUP(Tabella4[[#This Row],[Macro_Cat1]],Tabella3[[#All],[ID]:[BLOCCO]],2,FALSE))</f>
        <v>4</v>
      </c>
      <c r="L101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101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101" s="7" t="str">
        <f>CONCATENATE("cat"," ",Tabella4[[#This Row],[Categoria assegnata]])</f>
        <v>cat 4</v>
      </c>
    </row>
    <row r="102" spans="1:15" ht="19.2" customHeight="1" x14ac:dyDescent="0.3">
      <c r="A102" s="7">
        <f t="shared" si="3"/>
        <v>101</v>
      </c>
      <c r="B102" s="7">
        <v>101</v>
      </c>
      <c r="C102" s="7" t="s">
        <v>345</v>
      </c>
      <c r="D102" s="7">
        <v>1</v>
      </c>
      <c r="F102" s="7">
        <v>2</v>
      </c>
      <c r="G102" s="7">
        <f>SUM(Tabella4[[#This Row],[adulti (&gt;10)]],Tabella4[[#This Row],[bambini (3-10)]]*0.05)</f>
        <v>2</v>
      </c>
      <c r="H102" s="7">
        <f>IF(Tabella4[[#This Row],[Macro_Cat1]]=0,"",VLOOKUP(Tabella4[[#This Row],[Macro_Cat1]],Tabella3[[#All],[ID]:[BLOCCO]],2,FALSE))</f>
        <v>4</v>
      </c>
      <c r="L102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102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54</v>
      </c>
      <c r="O102" s="7" t="str">
        <f>CONCATENATE("cat"," ",Tabella4[[#This Row],[Categoria assegnata]])</f>
        <v>cat 4</v>
      </c>
    </row>
    <row r="103" spans="1:15" ht="19.2" customHeight="1" x14ac:dyDescent="0.3">
      <c r="A103" s="7">
        <f t="shared" si="3"/>
        <v>102</v>
      </c>
      <c r="B103" s="7">
        <v>102</v>
      </c>
      <c r="C103" s="7" t="s">
        <v>346</v>
      </c>
      <c r="E103" s="7">
        <v>1</v>
      </c>
      <c r="F103" s="7">
        <v>3</v>
      </c>
      <c r="G103" s="7">
        <f>SUM(Tabella4[[#This Row],[adulti (&gt;10)]],Tabella4[[#This Row],[bambini (3-10)]]*0.05)</f>
        <v>3.05</v>
      </c>
      <c r="H103" s="7">
        <f>IF(Tabella4[[#This Row],[Macro_Cat1]]=0,"",VLOOKUP(Tabella4[[#This Row],[Macro_Cat1]],Tabella3[[#All],[ID]:[BLOCCO]],2,FALSE))</f>
        <v>7</v>
      </c>
      <c r="L103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39.822580137333091</v>
      </c>
      <c r="M103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47</v>
      </c>
      <c r="O103" s="7" t="str">
        <f>CONCATENATE("cat"," ",Tabella4[[#This Row],[Categoria assegnata]])</f>
        <v>cat 7</v>
      </c>
    </row>
    <row r="104" spans="1:15" ht="19.2" customHeight="1" x14ac:dyDescent="0.3">
      <c r="A104" s="7">
        <f t="shared" si="3"/>
        <v>103</v>
      </c>
      <c r="B104" s="7">
        <v>103</v>
      </c>
      <c r="C104" s="7" t="s">
        <v>347</v>
      </c>
      <c r="F104" s="7">
        <v>2</v>
      </c>
      <c r="G104" s="7">
        <f>SUM(Tabella4[[#This Row],[adulti (&gt;10)]],Tabella4[[#This Row],[bambini (3-10)]]*0.05)</f>
        <v>2</v>
      </c>
      <c r="H104" s="7">
        <f>IF(Tabella4[[#This Row],[Macro_Cat1]]=0,"",VLOOKUP(Tabella4[[#This Row],[Macro_Cat1]],Tabella3[[#All],[ID]:[BLOCCO]],2,FALSE))</f>
        <v>4</v>
      </c>
      <c r="L104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35.470862600422834</v>
      </c>
      <c r="M104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36</v>
      </c>
      <c r="O104" s="7" t="str">
        <f>CONCATENATE("cat"," ",Tabella4[[#This Row],[Categoria assegnata]])</f>
        <v>cat 4</v>
      </c>
    </row>
    <row r="105" spans="1:15" ht="19.2" customHeight="1" x14ac:dyDescent="0.3">
      <c r="A105" s="7">
        <f t="shared" si="3"/>
        <v>104</v>
      </c>
      <c r="B105" s="7">
        <v>104</v>
      </c>
      <c r="C105" s="7" t="s">
        <v>348</v>
      </c>
      <c r="D105" s="7">
        <v>1</v>
      </c>
      <c r="F105" s="7">
        <v>4</v>
      </c>
      <c r="G105" s="7">
        <f>SUM(Tabella4[[#This Row],[adulti (&gt;10)]],Tabella4[[#This Row],[bambini (3-10)]]*0.05)</f>
        <v>4</v>
      </c>
      <c r="H105" s="7">
        <f>IF(Tabella4[[#This Row],[Macro_Cat1]]=0,"",VLOOKUP(Tabella4[[#This Row],[Macro_Cat1]],Tabella3[[#All],[ID]:[BLOCCO]],2,FALSE))</f>
        <v>7</v>
      </c>
      <c r="L105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42.610077485714285</v>
      </c>
      <c r="M105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65</v>
      </c>
      <c r="O105" s="7" t="str">
        <f>CONCATENATE("cat"," ",Tabella4[[#This Row],[Categoria assegnata]])</f>
        <v>cat 7</v>
      </c>
    </row>
    <row r="106" spans="1:15" ht="19.2" customHeight="1" x14ac:dyDescent="0.3">
      <c r="A106" s="7">
        <f t="shared" si="3"/>
        <v>105</v>
      </c>
      <c r="B106" s="7">
        <v>105</v>
      </c>
      <c r="C106" s="7" t="s">
        <v>349</v>
      </c>
      <c r="F106" s="7">
        <v>1</v>
      </c>
      <c r="G106" s="7">
        <f>SUM(Tabella4[[#This Row],[adulti (&gt;10)]],Tabella4[[#This Row],[bambini (3-10)]]*0.05)</f>
        <v>1</v>
      </c>
      <c r="H106" s="7">
        <f>IF(Tabella4[[#This Row],[Macro_Cat1]]=0,"",VLOOKUP(Tabella4[[#This Row],[Macro_Cat1]],Tabella3[[#All],[ID]:[BLOCCO]],2,FALSE))</f>
        <v>1</v>
      </c>
      <c r="L106" s="3">
        <f>IF(Tabella4[[#This Row],[adulti (&gt;10)]]&gt;2,Tabella4[[#This Row],[neonati (0-2)]]*u_riparto!A$2+Tabella4[[#This Row],[bambini (3-10)]]*u_riparto!B$2+Tabella4[[#This Row],[adulti (&gt;10)]]*u_riparto!D$2,Tabella4[[#This Row],[neonati (0-2)]]*u_riparto!A$2+Tabella4[[#This Row],[bambini (3-10)]]*u_riparto!B$2+Tabella4[[#This Row],[adulti (&gt;10)]]*u_riparto!C$2)</f>
        <v>17.735431300211417</v>
      </c>
      <c r="M106" s="48">
        <f>IF(Tabella4[[#This Row],[Categoria assegnata]]="","",IF(Tabella4[[#This Row],[neonati (0-2)]]&gt;0,SUM(VLOOKUP(Tabella4[[#This Row],[Categoria assegnata]],'punti assegnati'!A$2:F$11,6,FALSE),Tabella4[[#This Row],[neonati (0-2)]]*'punti assegnati'!F$14),VLOOKUP(Tabella4[[#This Row],[Categoria assegnata]],'punti assegnati'!A$2:F$11,6,FALSE)))</f>
        <v>18</v>
      </c>
      <c r="O106" s="7" t="str">
        <f>CONCATENATE("cat"," ",Tabella4[[#This Row],[Categoria assegnata]])</f>
        <v>cat 1</v>
      </c>
    </row>
    <row r="107" spans="1:15" ht="19.2" customHeight="1" x14ac:dyDescent="0.3">
      <c r="A107" s="7" t="s">
        <v>154</v>
      </c>
      <c r="L107" s="3">
        <f>SUBTOTAL(109,Tabella4[PPM
(Punti per Mese)])</f>
        <v>3947.8545454545474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"/>
    </sheetView>
  </sheetViews>
  <sheetFormatPr defaultRowHeight="14.4" x14ac:dyDescent="0.3"/>
  <cols>
    <col min="1" max="1" width="8.88671875" style="3"/>
    <col min="2" max="2" width="9.77734375" style="7" customWidth="1"/>
    <col min="3" max="3" width="9" style="7" customWidth="1"/>
    <col min="4" max="4" width="10.33203125" style="7" customWidth="1"/>
    <col min="5" max="16384" width="8.88671875" style="7"/>
  </cols>
  <sheetData>
    <row r="1" spans="1:4" x14ac:dyDescent="0.3">
      <c r="A1" s="3" t="s">
        <v>118</v>
      </c>
      <c r="B1" s="7" t="s">
        <v>161</v>
      </c>
      <c r="C1" s="7" t="s">
        <v>162</v>
      </c>
      <c r="D1" s="7" t="s">
        <v>163</v>
      </c>
    </row>
    <row r="2" spans="1:4" x14ac:dyDescent="0.3">
      <c r="A2" s="3">
        <f t="shared" ref="A2:A30" si="0">SUM(C2,D2*0.05)</f>
        <v>5.15</v>
      </c>
      <c r="B2" s="7">
        <v>10</v>
      </c>
      <c r="C2" s="7">
        <v>5</v>
      </c>
      <c r="D2" s="7">
        <v>3</v>
      </c>
    </row>
    <row r="3" spans="1:4" x14ac:dyDescent="0.3">
      <c r="A3" s="3">
        <f t="shared" si="0"/>
        <v>5.2</v>
      </c>
      <c r="B3" s="7">
        <v>10</v>
      </c>
      <c r="C3" s="7">
        <v>5</v>
      </c>
      <c r="D3" s="7">
        <v>4</v>
      </c>
    </row>
    <row r="4" spans="1:4" x14ac:dyDescent="0.3">
      <c r="A4" s="3">
        <f t="shared" si="0"/>
        <v>6.05</v>
      </c>
      <c r="B4" s="7">
        <v>10</v>
      </c>
      <c r="C4" s="7">
        <v>6</v>
      </c>
      <c r="D4" s="7">
        <v>1</v>
      </c>
    </row>
    <row r="5" spans="1:4" x14ac:dyDescent="0.3">
      <c r="A5" s="3">
        <f t="shared" si="0"/>
        <v>6.1</v>
      </c>
      <c r="B5" s="7">
        <v>10</v>
      </c>
      <c r="C5" s="7">
        <v>6</v>
      </c>
      <c r="D5" s="7">
        <v>2</v>
      </c>
    </row>
    <row r="6" spans="1:4" x14ac:dyDescent="0.3">
      <c r="A6" s="3">
        <f t="shared" si="0"/>
        <v>7</v>
      </c>
      <c r="B6" s="7">
        <v>10</v>
      </c>
      <c r="C6" s="7">
        <v>7</v>
      </c>
      <c r="D6" s="7">
        <v>0</v>
      </c>
    </row>
    <row r="7" spans="1:4" x14ac:dyDescent="0.3">
      <c r="A7" s="3">
        <f t="shared" si="0"/>
        <v>4.1500000000000004</v>
      </c>
      <c r="B7" s="7">
        <v>9</v>
      </c>
      <c r="C7" s="7">
        <v>4</v>
      </c>
      <c r="D7" s="7">
        <v>3</v>
      </c>
    </row>
    <row r="8" spans="1:4" x14ac:dyDescent="0.3">
      <c r="A8" s="3">
        <f t="shared" si="0"/>
        <v>4.2</v>
      </c>
      <c r="B8" s="7">
        <v>9</v>
      </c>
      <c r="C8" s="7">
        <v>4</v>
      </c>
      <c r="D8" s="7">
        <v>4</v>
      </c>
    </row>
    <row r="9" spans="1:4" x14ac:dyDescent="0.3">
      <c r="A9" s="3">
        <f t="shared" si="0"/>
        <v>5.05</v>
      </c>
      <c r="B9" s="7">
        <v>9</v>
      </c>
      <c r="C9" s="7">
        <v>5</v>
      </c>
      <c r="D9" s="7">
        <v>1</v>
      </c>
    </row>
    <row r="10" spans="1:4" x14ac:dyDescent="0.3">
      <c r="A10" s="3">
        <f t="shared" si="0"/>
        <v>5.0999999999999996</v>
      </c>
      <c r="B10" s="7">
        <v>9</v>
      </c>
      <c r="C10" s="7">
        <v>5</v>
      </c>
      <c r="D10" s="7">
        <v>2</v>
      </c>
    </row>
    <row r="11" spans="1:4" x14ac:dyDescent="0.3">
      <c r="A11" s="3">
        <f t="shared" si="0"/>
        <v>6</v>
      </c>
      <c r="B11" s="7">
        <v>9</v>
      </c>
      <c r="C11" s="7">
        <v>6</v>
      </c>
      <c r="D11" s="7">
        <v>0</v>
      </c>
    </row>
    <row r="12" spans="1:4" x14ac:dyDescent="0.3">
      <c r="A12" s="3">
        <f t="shared" si="0"/>
        <v>3.15</v>
      </c>
      <c r="B12" s="7">
        <v>8</v>
      </c>
      <c r="C12" s="7">
        <v>3</v>
      </c>
      <c r="D12" s="7">
        <v>3</v>
      </c>
    </row>
    <row r="13" spans="1:4" x14ac:dyDescent="0.3">
      <c r="A13" s="3">
        <f t="shared" si="0"/>
        <v>3.2</v>
      </c>
      <c r="B13" s="7">
        <v>8</v>
      </c>
      <c r="C13" s="7">
        <v>3</v>
      </c>
      <c r="D13" s="7">
        <v>4</v>
      </c>
    </row>
    <row r="14" spans="1:4" x14ac:dyDescent="0.3">
      <c r="A14" s="3">
        <f t="shared" si="0"/>
        <v>4.05</v>
      </c>
      <c r="B14" s="7">
        <v>8</v>
      </c>
      <c r="C14" s="7">
        <v>4</v>
      </c>
      <c r="D14" s="7">
        <v>1</v>
      </c>
    </row>
    <row r="15" spans="1:4" x14ac:dyDescent="0.3">
      <c r="A15" s="3">
        <f t="shared" si="0"/>
        <v>4.0999999999999996</v>
      </c>
      <c r="B15" s="7">
        <v>8</v>
      </c>
      <c r="C15" s="7">
        <v>4</v>
      </c>
      <c r="D15" s="7">
        <v>2</v>
      </c>
    </row>
    <row r="16" spans="1:4" x14ac:dyDescent="0.3">
      <c r="A16" s="3">
        <f t="shared" si="0"/>
        <v>5</v>
      </c>
      <c r="B16" s="7">
        <v>8</v>
      </c>
      <c r="C16" s="7">
        <v>5</v>
      </c>
      <c r="D16" s="7">
        <v>0</v>
      </c>
    </row>
    <row r="17" spans="1:4" x14ac:dyDescent="0.3">
      <c r="A17" s="3">
        <f t="shared" si="0"/>
        <v>2.15</v>
      </c>
      <c r="B17" s="7">
        <v>7</v>
      </c>
      <c r="C17" s="7">
        <v>2</v>
      </c>
      <c r="D17" s="7">
        <v>3</v>
      </c>
    </row>
    <row r="18" spans="1:4" x14ac:dyDescent="0.3">
      <c r="A18" s="3">
        <f t="shared" si="0"/>
        <v>2.2000000000000002</v>
      </c>
      <c r="B18" s="7">
        <v>7</v>
      </c>
      <c r="C18" s="7">
        <v>2</v>
      </c>
      <c r="D18" s="7">
        <v>4</v>
      </c>
    </row>
    <row r="19" spans="1:4" x14ac:dyDescent="0.3">
      <c r="A19" s="3">
        <f t="shared" si="0"/>
        <v>3.05</v>
      </c>
      <c r="B19" s="7">
        <v>7</v>
      </c>
      <c r="C19" s="7">
        <v>3</v>
      </c>
      <c r="D19" s="7">
        <v>1</v>
      </c>
    </row>
    <row r="20" spans="1:4" x14ac:dyDescent="0.3">
      <c r="A20" s="3">
        <f t="shared" si="0"/>
        <v>3.1</v>
      </c>
      <c r="B20" s="7">
        <v>7</v>
      </c>
      <c r="C20" s="7">
        <v>3</v>
      </c>
      <c r="D20" s="7">
        <v>2</v>
      </c>
    </row>
    <row r="21" spans="1:4" x14ac:dyDescent="0.3">
      <c r="A21" s="3">
        <f t="shared" si="0"/>
        <v>4</v>
      </c>
      <c r="B21" s="7">
        <v>7</v>
      </c>
      <c r="C21" s="7">
        <v>4</v>
      </c>
      <c r="D21" s="7">
        <v>0</v>
      </c>
    </row>
    <row r="22" spans="1:4" x14ac:dyDescent="0.3">
      <c r="A22" s="3">
        <f t="shared" si="0"/>
        <v>1.2</v>
      </c>
      <c r="B22" s="7">
        <v>6</v>
      </c>
      <c r="C22" s="7">
        <v>1</v>
      </c>
      <c r="D22" s="7">
        <v>4</v>
      </c>
    </row>
    <row r="23" spans="1:4" x14ac:dyDescent="0.3">
      <c r="A23" s="3">
        <f t="shared" si="0"/>
        <v>2.1</v>
      </c>
      <c r="B23" s="7">
        <v>6</v>
      </c>
      <c r="C23" s="7">
        <v>2</v>
      </c>
      <c r="D23" s="7">
        <v>2</v>
      </c>
    </row>
    <row r="24" spans="1:4" x14ac:dyDescent="0.3">
      <c r="A24" s="3">
        <f t="shared" si="0"/>
        <v>3</v>
      </c>
      <c r="B24" s="7">
        <v>6</v>
      </c>
      <c r="C24" s="7">
        <v>3</v>
      </c>
      <c r="D24" s="7">
        <v>0</v>
      </c>
    </row>
    <row r="25" spans="1:4" x14ac:dyDescent="0.3">
      <c r="A25" s="3">
        <f t="shared" si="0"/>
        <v>1.1499999999999999</v>
      </c>
      <c r="B25" s="7">
        <v>5</v>
      </c>
      <c r="C25" s="7">
        <v>1</v>
      </c>
      <c r="D25" s="7">
        <v>3</v>
      </c>
    </row>
    <row r="26" spans="1:4" x14ac:dyDescent="0.3">
      <c r="A26" s="3">
        <f t="shared" si="0"/>
        <v>2.0499999999999998</v>
      </c>
      <c r="B26" s="7">
        <v>5</v>
      </c>
      <c r="C26" s="7">
        <v>2</v>
      </c>
      <c r="D26" s="7">
        <v>1</v>
      </c>
    </row>
    <row r="27" spans="1:4" x14ac:dyDescent="0.3">
      <c r="A27" s="3">
        <f t="shared" si="0"/>
        <v>2</v>
      </c>
      <c r="B27" s="7">
        <v>4</v>
      </c>
      <c r="C27" s="7">
        <v>2</v>
      </c>
      <c r="D27" s="7">
        <v>0</v>
      </c>
    </row>
    <row r="28" spans="1:4" x14ac:dyDescent="0.3">
      <c r="A28" s="3">
        <f t="shared" si="0"/>
        <v>1.1000000000000001</v>
      </c>
      <c r="B28" s="7">
        <v>3</v>
      </c>
      <c r="C28" s="7">
        <v>1</v>
      </c>
      <c r="D28" s="7">
        <v>2</v>
      </c>
    </row>
    <row r="29" spans="1:4" x14ac:dyDescent="0.3">
      <c r="A29" s="3">
        <f t="shared" si="0"/>
        <v>1.05</v>
      </c>
      <c r="B29" s="7">
        <v>2</v>
      </c>
      <c r="C29" s="7">
        <v>1</v>
      </c>
      <c r="D29" s="7">
        <v>1</v>
      </c>
    </row>
    <row r="30" spans="1:4" x14ac:dyDescent="0.3">
      <c r="A30" s="3">
        <f t="shared" si="0"/>
        <v>1</v>
      </c>
      <c r="B30" s="7">
        <v>1</v>
      </c>
      <c r="C30" s="7">
        <v>1</v>
      </c>
      <c r="D30" s="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D17" sqref="D17"/>
    </sheetView>
  </sheetViews>
  <sheetFormatPr defaultRowHeight="14.4" outlineLevelRow="1" x14ac:dyDescent="0.3"/>
  <cols>
    <col min="1" max="1" width="8.88671875" style="7"/>
    <col min="2" max="2" width="32.6640625" style="2" bestFit="1" customWidth="1"/>
    <col min="3" max="3" width="11.6640625" style="7" customWidth="1"/>
    <col min="4" max="4" width="9.77734375" style="7" customWidth="1"/>
    <col min="5" max="16384" width="8.88671875" style="7"/>
  </cols>
  <sheetData>
    <row r="1" spans="1:15" outlineLevel="1" x14ac:dyDescent="0.3">
      <c r="B1" s="7"/>
      <c r="D1" s="8"/>
      <c r="E1" s="7" t="e">
        <f>COUNTIF(#REF!,E5)</f>
        <v>#REF!</v>
      </c>
      <c r="F1" s="7" t="e">
        <f>COUNTIF(#REF!,F5)</f>
        <v>#REF!</v>
      </c>
      <c r="G1" s="7" t="e">
        <f>COUNTIF(#REF!,G5)</f>
        <v>#REF!</v>
      </c>
      <c r="H1" s="7" t="e">
        <f>COUNTIF(#REF!,H5)</f>
        <v>#REF!</v>
      </c>
      <c r="I1" s="7" t="e">
        <f>COUNTIF(#REF!,I5)</f>
        <v>#REF!</v>
      </c>
      <c r="J1" s="7" t="e">
        <f>COUNTIF(#REF!,J5)</f>
        <v>#REF!</v>
      </c>
      <c r="K1" s="7" t="e">
        <f>COUNTIF(#REF!,K5)</f>
        <v>#REF!</v>
      </c>
      <c r="L1" s="7" t="e">
        <f>COUNTIF(#REF!,L5)</f>
        <v>#REF!</v>
      </c>
      <c r="M1" s="7" t="e">
        <f>COUNTIF(#REF!,M5)</f>
        <v>#REF!</v>
      </c>
      <c r="N1" s="7" t="e">
        <f>COUNTIF(#REF!,N5)</f>
        <v>#REF!</v>
      </c>
      <c r="O1" s="7" t="e">
        <f>SUM(E1:N1)</f>
        <v>#REF!</v>
      </c>
    </row>
    <row r="2" spans="1:15" outlineLevel="1" x14ac:dyDescent="0.3">
      <c r="B2" s="7"/>
      <c r="D2" s="8"/>
      <c r="E2" s="15" t="e">
        <f>E1/$O1</f>
        <v>#REF!</v>
      </c>
      <c r="F2" s="15" t="e">
        <f t="shared" ref="F2:N2" si="0">F1/$O1</f>
        <v>#REF!</v>
      </c>
      <c r="G2" s="15" t="e">
        <f t="shared" si="0"/>
        <v>#REF!</v>
      </c>
      <c r="H2" s="15" t="e">
        <f t="shared" si="0"/>
        <v>#REF!</v>
      </c>
      <c r="I2" s="15" t="e">
        <f t="shared" si="0"/>
        <v>#REF!</v>
      </c>
      <c r="J2" s="15" t="e">
        <f t="shared" si="0"/>
        <v>#REF!</v>
      </c>
      <c r="K2" s="15" t="e">
        <f t="shared" si="0"/>
        <v>#REF!</v>
      </c>
      <c r="L2" s="15" t="e">
        <f t="shared" si="0"/>
        <v>#REF!</v>
      </c>
      <c r="M2" s="15" t="e">
        <f t="shared" si="0"/>
        <v>#REF!</v>
      </c>
      <c r="N2" s="15" t="e">
        <f t="shared" si="0"/>
        <v>#REF!</v>
      </c>
    </row>
    <row r="3" spans="1:15" outlineLevel="1" x14ac:dyDescent="0.3">
      <c r="B3" s="7"/>
      <c r="D3" s="8"/>
      <c r="E3" s="15">
        <v>0.05</v>
      </c>
      <c r="F3" s="15">
        <v>0.06</v>
      </c>
      <c r="G3" s="15">
        <v>7.0000000000000007E-2</v>
      </c>
      <c r="H3" s="15">
        <v>0.08</v>
      </c>
      <c r="I3" s="15">
        <v>0.09</v>
      </c>
      <c r="J3" s="15">
        <v>0.11</v>
      </c>
      <c r="K3" s="15">
        <v>0.12</v>
      </c>
      <c r="L3" s="15">
        <v>0.13</v>
      </c>
      <c r="M3" s="15">
        <v>0.14000000000000001</v>
      </c>
      <c r="N3" s="15">
        <v>0.15</v>
      </c>
    </row>
    <row r="4" spans="1:15" outlineLevel="1" x14ac:dyDescent="0.3">
      <c r="B4" s="7"/>
      <c r="D4" s="8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5" x14ac:dyDescent="0.3">
      <c r="A5" s="7" t="s">
        <v>96</v>
      </c>
      <c r="B5" s="7" t="s">
        <v>215</v>
      </c>
      <c r="C5" s="7" t="s">
        <v>216</v>
      </c>
      <c r="D5" s="7" t="s">
        <v>217</v>
      </c>
      <c r="E5" s="7" t="s">
        <v>218</v>
      </c>
      <c r="F5" s="7" t="s">
        <v>219</v>
      </c>
      <c r="G5" s="7" t="s">
        <v>220</v>
      </c>
      <c r="H5" s="7" t="s">
        <v>221</v>
      </c>
      <c r="I5" s="7" t="s">
        <v>222</v>
      </c>
      <c r="J5" s="7" t="s">
        <v>223</v>
      </c>
      <c r="K5" s="7" t="s">
        <v>224</v>
      </c>
      <c r="L5" s="7" t="s">
        <v>225</v>
      </c>
      <c r="M5" s="7" t="s">
        <v>226</v>
      </c>
      <c r="N5" s="7" t="s">
        <v>227</v>
      </c>
    </row>
    <row r="6" spans="1:15" x14ac:dyDescent="0.3">
      <c r="A6" s="7" t="s">
        <v>164</v>
      </c>
      <c r="B6" s="2" t="s">
        <v>14</v>
      </c>
      <c r="C6" s="7">
        <f>VLOOKUP(A6,Tabella2[[#All],[IDP]:[€/p.c. a &gt;2]],11,FALSE)</f>
        <v>1149.5</v>
      </c>
      <c r="D6" s="48">
        <f>IF(C6="","",C6/12)</f>
        <v>95.791666666666671</v>
      </c>
      <c r="E6" s="48">
        <f t="shared" ref="E6:N15" si="1">IF($D6="","",$D6*E$3)</f>
        <v>4.7895833333333337</v>
      </c>
      <c r="F6" s="48">
        <f t="shared" si="1"/>
        <v>5.7475000000000005</v>
      </c>
      <c r="G6" s="48">
        <f t="shared" si="1"/>
        <v>6.7054166666666672</v>
      </c>
      <c r="H6" s="48">
        <f t="shared" si="1"/>
        <v>7.663333333333334</v>
      </c>
      <c r="I6" s="48">
        <f t="shared" si="1"/>
        <v>8.6212499999999999</v>
      </c>
      <c r="J6" s="48">
        <f t="shared" si="1"/>
        <v>10.537083333333333</v>
      </c>
      <c r="K6" s="48">
        <f t="shared" si="1"/>
        <v>11.495000000000001</v>
      </c>
      <c r="L6" s="48">
        <f t="shared" si="1"/>
        <v>12.452916666666667</v>
      </c>
      <c r="M6" s="48">
        <f t="shared" si="1"/>
        <v>13.410833333333334</v>
      </c>
      <c r="N6" s="48">
        <f t="shared" si="1"/>
        <v>14.36875</v>
      </c>
    </row>
    <row r="7" spans="1:15" x14ac:dyDescent="0.3">
      <c r="A7" s="7" t="s">
        <v>165</v>
      </c>
      <c r="B7" s="2" t="s">
        <v>15</v>
      </c>
      <c r="C7" s="7">
        <f>VLOOKUP(A7,Tabella2[[#All],[IDP]:[€/p.c. a &gt;2]],11,FALSE)</f>
        <v>2185</v>
      </c>
      <c r="D7" s="48">
        <f t="shared" ref="D7:D56" si="2">IF(C7="","",C7/12)</f>
        <v>182.08333333333334</v>
      </c>
      <c r="E7" s="48">
        <f t="shared" si="1"/>
        <v>9.1041666666666679</v>
      </c>
      <c r="F7" s="48">
        <f t="shared" si="1"/>
        <v>10.925000000000001</v>
      </c>
      <c r="G7" s="48">
        <f t="shared" si="1"/>
        <v>12.745833333333335</v>
      </c>
      <c r="H7" s="48">
        <f t="shared" si="1"/>
        <v>14.566666666666668</v>
      </c>
      <c r="I7" s="48">
        <f t="shared" si="1"/>
        <v>16.387499999999999</v>
      </c>
      <c r="J7" s="48">
        <f t="shared" si="1"/>
        <v>20.029166666666669</v>
      </c>
      <c r="K7" s="48">
        <f t="shared" si="1"/>
        <v>21.85</v>
      </c>
      <c r="L7" s="48">
        <f t="shared" si="1"/>
        <v>23.670833333333334</v>
      </c>
      <c r="M7" s="48">
        <f t="shared" si="1"/>
        <v>25.491666666666671</v>
      </c>
      <c r="N7" s="48">
        <f t="shared" si="1"/>
        <v>27.3125</v>
      </c>
    </row>
    <row r="8" spans="1:15" x14ac:dyDescent="0.3">
      <c r="A8" s="7" t="s">
        <v>166</v>
      </c>
      <c r="B8" s="2" t="s">
        <v>16</v>
      </c>
      <c r="C8" s="7">
        <f>VLOOKUP(A8,Tabella2[[#All],[IDP]:[€/p.c. a &gt;2]],11,FALSE)</f>
        <v>3654.65</v>
      </c>
      <c r="D8" s="48">
        <f t="shared" si="2"/>
        <v>304.55416666666667</v>
      </c>
      <c r="E8" s="48">
        <f t="shared" si="1"/>
        <v>15.227708333333334</v>
      </c>
      <c r="F8" s="48">
        <f t="shared" si="1"/>
        <v>18.273250000000001</v>
      </c>
      <c r="G8" s="48">
        <f t="shared" si="1"/>
        <v>21.318791666666669</v>
      </c>
      <c r="H8" s="48">
        <f t="shared" si="1"/>
        <v>24.364333333333335</v>
      </c>
      <c r="I8" s="48">
        <f t="shared" si="1"/>
        <v>27.409875</v>
      </c>
      <c r="J8" s="48">
        <f t="shared" si="1"/>
        <v>33.500958333333337</v>
      </c>
      <c r="K8" s="48">
        <f t="shared" si="1"/>
        <v>36.546500000000002</v>
      </c>
      <c r="L8" s="48">
        <f t="shared" si="1"/>
        <v>39.592041666666667</v>
      </c>
      <c r="M8" s="48">
        <f t="shared" si="1"/>
        <v>42.637583333333339</v>
      </c>
      <c r="N8" s="48">
        <f t="shared" si="1"/>
        <v>45.683124999999997</v>
      </c>
    </row>
    <row r="9" spans="1:15" x14ac:dyDescent="0.3">
      <c r="A9" s="7" t="s">
        <v>167</v>
      </c>
      <c r="B9" s="2" t="s">
        <v>17</v>
      </c>
      <c r="C9" s="7">
        <f>VLOOKUP(A9,Tabella2[[#All],[IDP]:[€/p.c. a &gt;2]],11,FALSE)</f>
        <v>891.1</v>
      </c>
      <c r="D9" s="48">
        <f t="shared" si="2"/>
        <v>74.25833333333334</v>
      </c>
      <c r="E9" s="48">
        <f t="shared" si="1"/>
        <v>3.7129166666666671</v>
      </c>
      <c r="F9" s="48">
        <f t="shared" si="1"/>
        <v>4.4554999999999998</v>
      </c>
      <c r="G9" s="48">
        <f t="shared" si="1"/>
        <v>5.1980833333333347</v>
      </c>
      <c r="H9" s="48">
        <f t="shared" si="1"/>
        <v>5.940666666666667</v>
      </c>
      <c r="I9" s="48">
        <f t="shared" si="1"/>
        <v>6.6832500000000001</v>
      </c>
      <c r="J9" s="48">
        <f t="shared" si="1"/>
        <v>8.1684166666666673</v>
      </c>
      <c r="K9" s="48">
        <f t="shared" si="1"/>
        <v>8.9109999999999996</v>
      </c>
      <c r="L9" s="48">
        <f t="shared" si="1"/>
        <v>9.6535833333333354</v>
      </c>
      <c r="M9" s="48">
        <f t="shared" si="1"/>
        <v>10.396166666666669</v>
      </c>
      <c r="N9" s="48">
        <f t="shared" si="1"/>
        <v>11.13875</v>
      </c>
    </row>
    <row r="10" spans="1:15" x14ac:dyDescent="0.3">
      <c r="A10" s="7" t="s">
        <v>168</v>
      </c>
      <c r="B10" s="2" t="s">
        <v>18</v>
      </c>
      <c r="C10" s="7">
        <f>VLOOKUP(A10,Tabella2[[#All],[IDP]:[€/p.c. a &gt;2]],11,FALSE)</f>
        <v>213.75</v>
      </c>
      <c r="D10" s="48">
        <f t="shared" si="2"/>
        <v>17.8125</v>
      </c>
      <c r="E10" s="48">
        <f t="shared" si="1"/>
        <v>0.890625</v>
      </c>
      <c r="F10" s="48">
        <f t="shared" si="1"/>
        <v>1.0687499999999999</v>
      </c>
      <c r="G10" s="48">
        <f t="shared" si="1"/>
        <v>1.2468750000000002</v>
      </c>
      <c r="H10" s="48">
        <f t="shared" si="1"/>
        <v>1.425</v>
      </c>
      <c r="I10" s="48">
        <f t="shared" si="1"/>
        <v>1.6031249999999999</v>
      </c>
      <c r="J10" s="48">
        <f t="shared" si="1"/>
        <v>1.9593750000000001</v>
      </c>
      <c r="K10" s="48">
        <f t="shared" si="1"/>
        <v>2.1374999999999997</v>
      </c>
      <c r="L10" s="48">
        <f t="shared" si="1"/>
        <v>2.3156250000000003</v>
      </c>
      <c r="M10" s="48">
        <f t="shared" si="1"/>
        <v>2.4937500000000004</v>
      </c>
      <c r="N10" s="48">
        <f t="shared" si="1"/>
        <v>2.671875</v>
      </c>
    </row>
    <row r="11" spans="1:15" x14ac:dyDescent="0.3">
      <c r="A11" s="7" t="s">
        <v>169</v>
      </c>
      <c r="B11" s="2" t="s">
        <v>19</v>
      </c>
      <c r="C11" s="7">
        <f>VLOOKUP(A11,Tabella2[[#All],[IDP]:[€/p.c. a &gt;2]],11,FALSE)</f>
        <v>4210.3999999999996</v>
      </c>
      <c r="D11" s="48">
        <f t="shared" si="2"/>
        <v>350.86666666666662</v>
      </c>
      <c r="E11" s="48">
        <f t="shared" si="1"/>
        <v>17.543333333333333</v>
      </c>
      <c r="F11" s="48">
        <f t="shared" si="1"/>
        <v>21.051999999999996</v>
      </c>
      <c r="G11" s="48">
        <f t="shared" si="1"/>
        <v>24.560666666666666</v>
      </c>
      <c r="H11" s="48">
        <f t="shared" si="1"/>
        <v>28.069333333333329</v>
      </c>
      <c r="I11" s="48">
        <f t="shared" si="1"/>
        <v>31.577999999999996</v>
      </c>
      <c r="J11" s="48">
        <f t="shared" si="1"/>
        <v>38.595333333333329</v>
      </c>
      <c r="K11" s="48">
        <f t="shared" si="1"/>
        <v>42.103999999999992</v>
      </c>
      <c r="L11" s="48">
        <f t="shared" si="1"/>
        <v>45.612666666666662</v>
      </c>
      <c r="M11" s="48">
        <f t="shared" si="1"/>
        <v>49.121333333333332</v>
      </c>
      <c r="N11" s="48">
        <f t="shared" si="1"/>
        <v>52.629999999999988</v>
      </c>
    </row>
    <row r="12" spans="1:15" x14ac:dyDescent="0.3">
      <c r="A12" s="49" t="s">
        <v>170</v>
      </c>
      <c r="B12" s="50" t="s">
        <v>20</v>
      </c>
      <c r="C12" s="49">
        <f>VLOOKUP(A12,Tabella2[[#All],[IDP]:[€/p.c. a &gt;2]],11,FALSE)</f>
        <v>437.95</v>
      </c>
      <c r="D12" s="51">
        <f t="shared" si="2"/>
        <v>36.49583333333333</v>
      </c>
      <c r="E12" s="51">
        <f t="shared" si="1"/>
        <v>1.8247916666666666</v>
      </c>
      <c r="F12" s="51">
        <f t="shared" si="1"/>
        <v>2.1897499999999996</v>
      </c>
      <c r="G12" s="51">
        <f t="shared" si="1"/>
        <v>2.5547083333333331</v>
      </c>
      <c r="H12" s="51">
        <f t="shared" si="1"/>
        <v>2.9196666666666666</v>
      </c>
      <c r="I12" s="51">
        <f t="shared" si="1"/>
        <v>3.2846249999999997</v>
      </c>
      <c r="J12" s="51">
        <f t="shared" si="1"/>
        <v>4.0145416666666662</v>
      </c>
      <c r="K12" s="51">
        <f t="shared" si="1"/>
        <v>4.3794999999999993</v>
      </c>
      <c r="L12" s="51">
        <f t="shared" si="1"/>
        <v>4.7444583333333332</v>
      </c>
      <c r="M12" s="51">
        <f t="shared" si="1"/>
        <v>5.1094166666666663</v>
      </c>
      <c r="N12" s="51">
        <f t="shared" si="1"/>
        <v>5.4743749999999993</v>
      </c>
    </row>
    <row r="13" spans="1:15" x14ac:dyDescent="0.3">
      <c r="A13" s="7" t="s">
        <v>171</v>
      </c>
      <c r="B13" s="2" t="s">
        <v>21</v>
      </c>
      <c r="C13" s="7">
        <f>VLOOKUP(A13,Tabella2[[#All],[IDP]:[€/p.c. a &gt;2]],11,FALSE)</f>
        <v>1566.55</v>
      </c>
      <c r="D13" s="48">
        <f t="shared" si="2"/>
        <v>130.54583333333332</v>
      </c>
      <c r="E13" s="48">
        <f t="shared" si="1"/>
        <v>6.5272916666666667</v>
      </c>
      <c r="F13" s="48">
        <f t="shared" si="1"/>
        <v>7.832749999999999</v>
      </c>
      <c r="G13" s="48">
        <f t="shared" si="1"/>
        <v>9.138208333333333</v>
      </c>
      <c r="H13" s="48">
        <f t="shared" si="1"/>
        <v>10.443666666666665</v>
      </c>
      <c r="I13" s="48">
        <f t="shared" si="1"/>
        <v>11.749124999999998</v>
      </c>
      <c r="J13" s="48">
        <f t="shared" si="1"/>
        <v>14.360041666666666</v>
      </c>
      <c r="K13" s="48">
        <f t="shared" si="1"/>
        <v>15.665499999999998</v>
      </c>
      <c r="L13" s="48">
        <f t="shared" si="1"/>
        <v>16.970958333333332</v>
      </c>
      <c r="M13" s="48">
        <f t="shared" si="1"/>
        <v>18.276416666666666</v>
      </c>
      <c r="N13" s="48">
        <f t="shared" si="1"/>
        <v>19.581874999999997</v>
      </c>
    </row>
    <row r="14" spans="1:15" x14ac:dyDescent="0.3">
      <c r="A14" s="7" t="s">
        <v>172</v>
      </c>
      <c r="B14" s="2" t="s">
        <v>22</v>
      </c>
      <c r="C14" s="7">
        <f>VLOOKUP(A14,Tabella2[[#All],[IDP]:[€/p.c. a &gt;2]],11,FALSE)</f>
        <v>1832.55</v>
      </c>
      <c r="D14" s="48">
        <f t="shared" si="2"/>
        <v>152.71250000000001</v>
      </c>
      <c r="E14" s="48">
        <f t="shared" si="1"/>
        <v>7.635625000000001</v>
      </c>
      <c r="F14" s="48">
        <f t="shared" si="1"/>
        <v>9.1627500000000008</v>
      </c>
      <c r="G14" s="48">
        <f t="shared" si="1"/>
        <v>10.689875000000001</v>
      </c>
      <c r="H14" s="48">
        <f t="shared" si="1"/>
        <v>12.217000000000001</v>
      </c>
      <c r="I14" s="48">
        <f t="shared" si="1"/>
        <v>13.744125</v>
      </c>
      <c r="J14" s="48">
        <f t="shared" si="1"/>
        <v>16.798375</v>
      </c>
      <c r="K14" s="48">
        <f t="shared" si="1"/>
        <v>18.325500000000002</v>
      </c>
      <c r="L14" s="48">
        <f t="shared" si="1"/>
        <v>19.852625</v>
      </c>
      <c r="M14" s="48">
        <f t="shared" si="1"/>
        <v>21.379750000000001</v>
      </c>
      <c r="N14" s="48">
        <f t="shared" si="1"/>
        <v>22.906874999999999</v>
      </c>
    </row>
    <row r="15" spans="1:15" x14ac:dyDescent="0.3">
      <c r="A15" s="7" t="s">
        <v>173</v>
      </c>
      <c r="B15" s="2" t="s">
        <v>23</v>
      </c>
      <c r="C15" s="7">
        <f>VLOOKUP(A15,Tabella2[[#All],[IDP]:[€/p.c. a &gt;2]],11,FALSE)</f>
        <v>499.7</v>
      </c>
      <c r="D15" s="48">
        <f t="shared" si="2"/>
        <v>41.641666666666666</v>
      </c>
      <c r="E15" s="48">
        <f t="shared" si="1"/>
        <v>2.0820833333333333</v>
      </c>
      <c r="F15" s="48">
        <f t="shared" si="1"/>
        <v>2.4984999999999999</v>
      </c>
      <c r="G15" s="48">
        <f t="shared" si="1"/>
        <v>2.914916666666667</v>
      </c>
      <c r="H15" s="48">
        <f t="shared" si="1"/>
        <v>3.3313333333333333</v>
      </c>
      <c r="I15" s="48">
        <f t="shared" si="1"/>
        <v>3.7477499999999999</v>
      </c>
      <c r="J15" s="48">
        <f t="shared" si="1"/>
        <v>4.5805833333333332</v>
      </c>
      <c r="K15" s="48">
        <f t="shared" si="1"/>
        <v>4.9969999999999999</v>
      </c>
      <c r="L15" s="48">
        <f t="shared" si="1"/>
        <v>5.4134166666666665</v>
      </c>
      <c r="M15" s="48">
        <f t="shared" si="1"/>
        <v>5.8298333333333341</v>
      </c>
      <c r="N15" s="48">
        <f t="shared" si="1"/>
        <v>6.2462499999999999</v>
      </c>
    </row>
    <row r="16" spans="1:15" x14ac:dyDescent="0.3">
      <c r="A16" s="7" t="s">
        <v>174</v>
      </c>
      <c r="B16" s="2" t="s">
        <v>24</v>
      </c>
      <c r="C16" s="7" t="str">
        <f>VLOOKUP(A16,Tabella2[[#All],[IDP]:[€/p.c. a &gt;2]],11,FALSE)</f>
        <v/>
      </c>
      <c r="D16" s="48" t="str">
        <f t="shared" si="2"/>
        <v/>
      </c>
      <c r="E16" s="48" t="str">
        <f t="shared" ref="E16:N25" si="3">IF($D16="","",$D16*E$3)</f>
        <v/>
      </c>
      <c r="F16" s="48" t="str">
        <f t="shared" si="3"/>
        <v/>
      </c>
      <c r="G16" s="48" t="str">
        <f t="shared" si="3"/>
        <v/>
      </c>
      <c r="H16" s="48" t="str">
        <f t="shared" si="3"/>
        <v/>
      </c>
      <c r="I16" s="48" t="str">
        <f t="shared" si="3"/>
        <v/>
      </c>
      <c r="J16" s="48" t="str">
        <f t="shared" si="3"/>
        <v/>
      </c>
      <c r="K16" s="48" t="str">
        <f t="shared" si="3"/>
        <v/>
      </c>
      <c r="L16" s="48" t="str">
        <f t="shared" si="3"/>
        <v/>
      </c>
      <c r="M16" s="48" t="str">
        <f t="shared" si="3"/>
        <v/>
      </c>
      <c r="N16" s="48" t="str">
        <f t="shared" si="3"/>
        <v/>
      </c>
    </row>
    <row r="17" spans="1:14" x14ac:dyDescent="0.3">
      <c r="A17" s="7" t="s">
        <v>175</v>
      </c>
      <c r="B17" s="2" t="s">
        <v>25</v>
      </c>
      <c r="C17" s="7">
        <f>VLOOKUP(A17,Tabella2[[#All],[IDP]:[€/p.c. a &gt;2]],11,FALSE)</f>
        <v>63.65</v>
      </c>
      <c r="D17" s="48">
        <f t="shared" si="2"/>
        <v>5.3041666666666663</v>
      </c>
      <c r="E17" s="48">
        <f t="shared" si="3"/>
        <v>0.26520833333333332</v>
      </c>
      <c r="F17" s="48">
        <f t="shared" si="3"/>
        <v>0.31824999999999998</v>
      </c>
      <c r="G17" s="48">
        <f t="shared" si="3"/>
        <v>0.37129166666666669</v>
      </c>
      <c r="H17" s="48">
        <f t="shared" si="3"/>
        <v>0.42433333333333328</v>
      </c>
      <c r="I17" s="48">
        <f t="shared" si="3"/>
        <v>0.47737499999999994</v>
      </c>
      <c r="J17" s="48">
        <f t="shared" si="3"/>
        <v>0.5834583333333333</v>
      </c>
      <c r="K17" s="48">
        <f t="shared" si="3"/>
        <v>0.63649999999999995</v>
      </c>
      <c r="L17" s="48">
        <f t="shared" si="3"/>
        <v>0.68954166666666661</v>
      </c>
      <c r="M17" s="48">
        <f t="shared" si="3"/>
        <v>0.74258333333333337</v>
      </c>
      <c r="N17" s="48">
        <f t="shared" si="3"/>
        <v>0.79562499999999992</v>
      </c>
    </row>
    <row r="18" spans="1:14" x14ac:dyDescent="0.3">
      <c r="A18" s="7" t="s">
        <v>176</v>
      </c>
      <c r="B18" s="2" t="s">
        <v>26</v>
      </c>
      <c r="C18" s="7">
        <f>VLOOKUP(A18,Tabella2[[#All],[IDP]:[€/p.c. a &gt;2]],11,FALSE)</f>
        <v>902.5</v>
      </c>
      <c r="D18" s="48">
        <f t="shared" si="2"/>
        <v>75.208333333333329</v>
      </c>
      <c r="E18" s="48">
        <f t="shared" si="3"/>
        <v>3.7604166666666665</v>
      </c>
      <c r="F18" s="48">
        <f t="shared" si="3"/>
        <v>4.5124999999999993</v>
      </c>
      <c r="G18" s="48">
        <f t="shared" si="3"/>
        <v>5.2645833333333334</v>
      </c>
      <c r="H18" s="48">
        <f t="shared" si="3"/>
        <v>6.0166666666666666</v>
      </c>
      <c r="I18" s="48">
        <f t="shared" si="3"/>
        <v>6.7687499999999989</v>
      </c>
      <c r="J18" s="48">
        <f t="shared" si="3"/>
        <v>8.2729166666666654</v>
      </c>
      <c r="K18" s="48">
        <f t="shared" si="3"/>
        <v>9.0249999999999986</v>
      </c>
      <c r="L18" s="48">
        <f t="shared" si="3"/>
        <v>9.7770833333333336</v>
      </c>
      <c r="M18" s="48">
        <f t="shared" si="3"/>
        <v>10.529166666666667</v>
      </c>
      <c r="N18" s="48">
        <f t="shared" si="3"/>
        <v>11.281249999999998</v>
      </c>
    </row>
    <row r="19" spans="1:14" x14ac:dyDescent="0.3">
      <c r="A19" s="7" t="s">
        <v>177</v>
      </c>
      <c r="B19" s="2" t="s">
        <v>27</v>
      </c>
      <c r="C19" s="7">
        <f>VLOOKUP(A19,Tabella2[[#All],[IDP]:[€/p.c. a &gt;2]],11,FALSE)</f>
        <v>2129.9</v>
      </c>
      <c r="D19" s="48">
        <f t="shared" si="2"/>
        <v>177.49166666666667</v>
      </c>
      <c r="E19" s="48">
        <f t="shared" si="3"/>
        <v>8.8745833333333337</v>
      </c>
      <c r="F19" s="48">
        <f t="shared" si="3"/>
        <v>10.6495</v>
      </c>
      <c r="G19" s="48">
        <f t="shared" si="3"/>
        <v>12.424416666666668</v>
      </c>
      <c r="H19" s="48">
        <f t="shared" si="3"/>
        <v>14.199333333333334</v>
      </c>
      <c r="I19" s="48">
        <f t="shared" si="3"/>
        <v>15.97425</v>
      </c>
      <c r="J19" s="48">
        <f t="shared" si="3"/>
        <v>19.524083333333333</v>
      </c>
      <c r="K19" s="48">
        <f t="shared" si="3"/>
        <v>21.298999999999999</v>
      </c>
      <c r="L19" s="48">
        <f t="shared" si="3"/>
        <v>23.073916666666669</v>
      </c>
      <c r="M19" s="48">
        <f t="shared" si="3"/>
        <v>24.848833333333335</v>
      </c>
      <c r="N19" s="48">
        <f t="shared" si="3"/>
        <v>26.623750000000001</v>
      </c>
    </row>
    <row r="20" spans="1:14" x14ac:dyDescent="0.3">
      <c r="A20" s="7" t="s">
        <v>178</v>
      </c>
      <c r="B20" s="2" t="s">
        <v>28</v>
      </c>
      <c r="C20" s="7">
        <f>VLOOKUP(A20,Tabella2[[#All],[IDP]:[€/p.c. a &gt;2]],11,FALSE)</f>
        <v>239.4</v>
      </c>
      <c r="D20" s="48">
        <f t="shared" si="2"/>
        <v>19.95</v>
      </c>
      <c r="E20" s="48">
        <f t="shared" si="3"/>
        <v>0.99750000000000005</v>
      </c>
      <c r="F20" s="48">
        <f t="shared" si="3"/>
        <v>1.1969999999999998</v>
      </c>
      <c r="G20" s="48">
        <f t="shared" si="3"/>
        <v>1.3965000000000001</v>
      </c>
      <c r="H20" s="48">
        <f t="shared" si="3"/>
        <v>1.5960000000000001</v>
      </c>
      <c r="I20" s="48">
        <f t="shared" si="3"/>
        <v>1.7954999999999999</v>
      </c>
      <c r="J20" s="48">
        <f t="shared" si="3"/>
        <v>2.1945000000000001</v>
      </c>
      <c r="K20" s="48">
        <f t="shared" si="3"/>
        <v>2.3939999999999997</v>
      </c>
      <c r="L20" s="48">
        <f t="shared" si="3"/>
        <v>2.5935000000000001</v>
      </c>
      <c r="M20" s="48">
        <f t="shared" si="3"/>
        <v>2.7930000000000001</v>
      </c>
      <c r="N20" s="48">
        <f t="shared" si="3"/>
        <v>2.9924999999999997</v>
      </c>
    </row>
    <row r="21" spans="1:14" x14ac:dyDescent="0.3">
      <c r="A21" s="7" t="s">
        <v>179</v>
      </c>
      <c r="B21" s="2" t="s">
        <v>29</v>
      </c>
      <c r="C21" s="7">
        <f>VLOOKUP(A21,Tabella2[[#All],[IDP]:[€/p.c. a &gt;2]],11,FALSE)</f>
        <v>22.8</v>
      </c>
      <c r="D21" s="48">
        <f t="shared" si="2"/>
        <v>1.9000000000000001</v>
      </c>
      <c r="E21" s="48">
        <f t="shared" si="3"/>
        <v>9.5000000000000015E-2</v>
      </c>
      <c r="F21" s="48">
        <f t="shared" si="3"/>
        <v>0.114</v>
      </c>
      <c r="G21" s="48">
        <f t="shared" si="3"/>
        <v>0.13300000000000003</v>
      </c>
      <c r="H21" s="48">
        <f t="shared" si="3"/>
        <v>0.15200000000000002</v>
      </c>
      <c r="I21" s="48">
        <f t="shared" si="3"/>
        <v>0.17100000000000001</v>
      </c>
      <c r="J21" s="48">
        <f t="shared" si="3"/>
        <v>0.20900000000000002</v>
      </c>
      <c r="K21" s="48">
        <f t="shared" si="3"/>
        <v>0.22800000000000001</v>
      </c>
      <c r="L21" s="48">
        <f t="shared" si="3"/>
        <v>0.24700000000000003</v>
      </c>
      <c r="M21" s="48">
        <f t="shared" si="3"/>
        <v>0.26600000000000007</v>
      </c>
      <c r="N21" s="48">
        <f t="shared" si="3"/>
        <v>0.28500000000000003</v>
      </c>
    </row>
    <row r="22" spans="1:14" x14ac:dyDescent="0.3">
      <c r="A22" s="7" t="s">
        <v>180</v>
      </c>
      <c r="B22" s="2" t="s">
        <v>30</v>
      </c>
      <c r="C22" s="7">
        <f>VLOOKUP(A22,Tabella2[[#All],[IDP]:[€/p.c. a &gt;2]],11,FALSE)</f>
        <v>190</v>
      </c>
      <c r="D22" s="48">
        <f t="shared" si="2"/>
        <v>15.833333333333334</v>
      </c>
      <c r="E22" s="48">
        <f t="shared" si="3"/>
        <v>0.79166666666666674</v>
      </c>
      <c r="F22" s="48">
        <f t="shared" si="3"/>
        <v>0.95</v>
      </c>
      <c r="G22" s="48">
        <f t="shared" si="3"/>
        <v>1.1083333333333334</v>
      </c>
      <c r="H22" s="48">
        <f t="shared" si="3"/>
        <v>1.2666666666666668</v>
      </c>
      <c r="I22" s="48">
        <f t="shared" si="3"/>
        <v>1.425</v>
      </c>
      <c r="J22" s="48">
        <f t="shared" si="3"/>
        <v>1.7416666666666667</v>
      </c>
      <c r="K22" s="48">
        <f t="shared" si="3"/>
        <v>1.9</v>
      </c>
      <c r="L22" s="48">
        <f t="shared" si="3"/>
        <v>2.0583333333333336</v>
      </c>
      <c r="M22" s="48">
        <f t="shared" si="3"/>
        <v>2.2166666666666668</v>
      </c>
      <c r="N22" s="48">
        <f t="shared" si="3"/>
        <v>2.375</v>
      </c>
    </row>
    <row r="23" spans="1:14" x14ac:dyDescent="0.3">
      <c r="A23" s="7" t="s">
        <v>181</v>
      </c>
      <c r="B23" s="2" t="s">
        <v>35</v>
      </c>
      <c r="C23" s="7" t="str">
        <f>VLOOKUP(A23,Tabella2[[#All],[IDP]:[€/p.c. a &gt;2]],11,FALSE)</f>
        <v/>
      </c>
      <c r="D23" s="48" t="str">
        <f t="shared" si="2"/>
        <v/>
      </c>
      <c r="E23" s="48" t="str">
        <f t="shared" si="3"/>
        <v/>
      </c>
      <c r="F23" s="48" t="str">
        <f t="shared" si="3"/>
        <v/>
      </c>
      <c r="G23" s="48" t="str">
        <f t="shared" si="3"/>
        <v/>
      </c>
      <c r="H23" s="48" t="str">
        <f t="shared" si="3"/>
        <v/>
      </c>
      <c r="I23" s="48" t="str">
        <f t="shared" si="3"/>
        <v/>
      </c>
      <c r="J23" s="48" t="str">
        <f t="shared" si="3"/>
        <v/>
      </c>
      <c r="K23" s="48" t="str">
        <f t="shared" si="3"/>
        <v/>
      </c>
      <c r="L23" s="48" t="str">
        <f t="shared" si="3"/>
        <v/>
      </c>
      <c r="M23" s="48" t="str">
        <f t="shared" si="3"/>
        <v/>
      </c>
      <c r="N23" s="48" t="str">
        <f t="shared" si="3"/>
        <v/>
      </c>
    </row>
    <row r="24" spans="1:14" x14ac:dyDescent="0.3">
      <c r="A24" s="7" t="s">
        <v>182</v>
      </c>
      <c r="B24" s="2" t="s">
        <v>39</v>
      </c>
      <c r="C24" s="7" t="str">
        <f>VLOOKUP(A24,Tabella2[[#All],[IDP]:[€/p.c. a &gt;2]],11,FALSE)</f>
        <v/>
      </c>
      <c r="D24" s="48" t="str">
        <f t="shared" si="2"/>
        <v/>
      </c>
      <c r="E24" s="48" t="str">
        <f t="shared" si="3"/>
        <v/>
      </c>
      <c r="F24" s="48" t="str">
        <f t="shared" si="3"/>
        <v/>
      </c>
      <c r="G24" s="48" t="str">
        <f t="shared" si="3"/>
        <v/>
      </c>
      <c r="H24" s="48" t="str">
        <f t="shared" si="3"/>
        <v/>
      </c>
      <c r="I24" s="48" t="str">
        <f t="shared" si="3"/>
        <v/>
      </c>
      <c r="J24" s="48" t="str">
        <f t="shared" si="3"/>
        <v/>
      </c>
      <c r="K24" s="48" t="str">
        <f t="shared" si="3"/>
        <v/>
      </c>
      <c r="L24" s="48" t="str">
        <f t="shared" si="3"/>
        <v/>
      </c>
      <c r="M24" s="48" t="str">
        <f t="shared" si="3"/>
        <v/>
      </c>
      <c r="N24" s="48" t="str">
        <f t="shared" si="3"/>
        <v/>
      </c>
    </row>
    <row r="25" spans="1:14" x14ac:dyDescent="0.3">
      <c r="A25" s="7" t="s">
        <v>183</v>
      </c>
      <c r="B25" s="2" t="s">
        <v>46</v>
      </c>
      <c r="C25" s="7" t="str">
        <f>VLOOKUP(A25,Tabella2[[#All],[IDP]:[€/p.c. a &gt;2]],11,FALSE)</f>
        <v/>
      </c>
      <c r="D25" s="48" t="str">
        <f t="shared" si="2"/>
        <v/>
      </c>
      <c r="E25" s="48" t="str">
        <f t="shared" si="3"/>
        <v/>
      </c>
      <c r="F25" s="48" t="str">
        <f t="shared" si="3"/>
        <v/>
      </c>
      <c r="G25" s="48" t="str">
        <f t="shared" si="3"/>
        <v/>
      </c>
      <c r="H25" s="48" t="str">
        <f t="shared" si="3"/>
        <v/>
      </c>
      <c r="I25" s="48" t="str">
        <f t="shared" si="3"/>
        <v/>
      </c>
      <c r="J25" s="48" t="str">
        <f t="shared" si="3"/>
        <v/>
      </c>
      <c r="K25" s="48" t="str">
        <f t="shared" si="3"/>
        <v/>
      </c>
      <c r="L25" s="48" t="str">
        <f t="shared" si="3"/>
        <v/>
      </c>
      <c r="M25" s="48" t="str">
        <f t="shared" si="3"/>
        <v/>
      </c>
      <c r="N25" s="48" t="str">
        <f t="shared" si="3"/>
        <v/>
      </c>
    </row>
    <row r="26" spans="1:14" x14ac:dyDescent="0.3">
      <c r="A26" s="7" t="s">
        <v>184</v>
      </c>
      <c r="B26" s="2" t="s">
        <v>50</v>
      </c>
      <c r="C26" s="7">
        <f>VLOOKUP(A26,Tabella2[[#All],[IDP]:[€/p.c. a &gt;2]],11,FALSE)</f>
        <v>1900</v>
      </c>
      <c r="D26" s="48">
        <f t="shared" si="2"/>
        <v>158.33333333333334</v>
      </c>
      <c r="E26" s="48">
        <f t="shared" ref="E26:N35" si="4">IF($D26="","",$D26*E$3)</f>
        <v>7.9166666666666679</v>
      </c>
      <c r="F26" s="48">
        <f t="shared" si="4"/>
        <v>9.5</v>
      </c>
      <c r="G26" s="48">
        <f t="shared" si="4"/>
        <v>11.083333333333336</v>
      </c>
      <c r="H26" s="48">
        <f t="shared" si="4"/>
        <v>12.666666666666668</v>
      </c>
      <c r="I26" s="48">
        <f t="shared" si="4"/>
        <v>14.25</v>
      </c>
      <c r="J26" s="48">
        <f t="shared" si="4"/>
        <v>17.416666666666668</v>
      </c>
      <c r="K26" s="48">
        <f t="shared" si="4"/>
        <v>19</v>
      </c>
      <c r="L26" s="48">
        <f t="shared" si="4"/>
        <v>20.583333333333336</v>
      </c>
      <c r="M26" s="48">
        <f t="shared" si="4"/>
        <v>22.166666666666671</v>
      </c>
      <c r="N26" s="48">
        <f t="shared" si="4"/>
        <v>23.75</v>
      </c>
    </row>
    <row r="27" spans="1:14" x14ac:dyDescent="0.3">
      <c r="A27" s="7" t="s">
        <v>185</v>
      </c>
      <c r="B27" s="2" t="s">
        <v>51</v>
      </c>
      <c r="C27" s="7">
        <f>VLOOKUP(A27,Tabella2[[#All],[IDP]:[€/p.c. a &gt;2]],11,FALSE)</f>
        <v>175.75</v>
      </c>
      <c r="D27" s="48">
        <f t="shared" si="2"/>
        <v>14.645833333333334</v>
      </c>
      <c r="E27" s="48">
        <f t="shared" si="4"/>
        <v>0.73229166666666679</v>
      </c>
      <c r="F27" s="48">
        <f t="shared" si="4"/>
        <v>0.87875000000000003</v>
      </c>
      <c r="G27" s="48">
        <f t="shared" si="4"/>
        <v>1.0252083333333335</v>
      </c>
      <c r="H27" s="48">
        <f t="shared" si="4"/>
        <v>1.1716666666666666</v>
      </c>
      <c r="I27" s="48">
        <f t="shared" si="4"/>
        <v>1.318125</v>
      </c>
      <c r="J27" s="48">
        <f t="shared" si="4"/>
        <v>1.6110416666666667</v>
      </c>
      <c r="K27" s="48">
        <f t="shared" si="4"/>
        <v>1.7575000000000001</v>
      </c>
      <c r="L27" s="48">
        <f t="shared" si="4"/>
        <v>1.9039583333333334</v>
      </c>
      <c r="M27" s="48">
        <f t="shared" si="4"/>
        <v>2.050416666666667</v>
      </c>
      <c r="N27" s="48">
        <f t="shared" si="4"/>
        <v>2.1968749999999999</v>
      </c>
    </row>
    <row r="28" spans="1:14" x14ac:dyDescent="0.3">
      <c r="A28" s="7" t="s">
        <v>186</v>
      </c>
      <c r="B28" s="2" t="s">
        <v>52</v>
      </c>
      <c r="C28" s="7" t="str">
        <f>VLOOKUP(A28,Tabella2[[#All],[IDP]:[€/p.c. a &gt;2]],11,FALSE)</f>
        <v/>
      </c>
      <c r="D28" s="48" t="str">
        <f t="shared" si="2"/>
        <v/>
      </c>
      <c r="E28" s="48" t="str">
        <f t="shared" si="4"/>
        <v/>
      </c>
      <c r="F28" s="48" t="str">
        <f t="shared" si="4"/>
        <v/>
      </c>
      <c r="G28" s="48" t="str">
        <f t="shared" si="4"/>
        <v/>
      </c>
      <c r="H28" s="48" t="str">
        <f t="shared" si="4"/>
        <v/>
      </c>
      <c r="I28" s="48" t="str">
        <f t="shared" si="4"/>
        <v/>
      </c>
      <c r="J28" s="48" t="str">
        <f t="shared" si="4"/>
        <v/>
      </c>
      <c r="K28" s="48" t="str">
        <f t="shared" si="4"/>
        <v/>
      </c>
      <c r="L28" s="48" t="str">
        <f t="shared" si="4"/>
        <v/>
      </c>
      <c r="M28" s="48" t="str">
        <f t="shared" si="4"/>
        <v/>
      </c>
      <c r="N28" s="48" t="str">
        <f t="shared" si="4"/>
        <v/>
      </c>
    </row>
    <row r="29" spans="1:14" x14ac:dyDescent="0.3">
      <c r="A29" s="7" t="s">
        <v>187</v>
      </c>
      <c r="B29" s="2" t="s">
        <v>55</v>
      </c>
      <c r="C29" s="7" t="str">
        <f>VLOOKUP(A29,Tabella2[[#All],[IDP]:[€/p.c. a &gt;2]],11,FALSE)</f>
        <v/>
      </c>
      <c r="D29" s="48" t="str">
        <f t="shared" si="2"/>
        <v/>
      </c>
      <c r="E29" s="48" t="str">
        <f t="shared" si="4"/>
        <v/>
      </c>
      <c r="F29" s="48" t="str">
        <f t="shared" si="4"/>
        <v/>
      </c>
      <c r="G29" s="48" t="str">
        <f t="shared" si="4"/>
        <v/>
      </c>
      <c r="H29" s="48" t="str">
        <f t="shared" si="4"/>
        <v/>
      </c>
      <c r="I29" s="48" t="str">
        <f t="shared" si="4"/>
        <v/>
      </c>
      <c r="J29" s="48" t="str">
        <f t="shared" si="4"/>
        <v/>
      </c>
      <c r="K29" s="48" t="str">
        <f t="shared" si="4"/>
        <v/>
      </c>
      <c r="L29" s="48" t="str">
        <f t="shared" si="4"/>
        <v/>
      </c>
      <c r="M29" s="48" t="str">
        <f t="shared" si="4"/>
        <v/>
      </c>
      <c r="N29" s="48" t="str">
        <f t="shared" si="4"/>
        <v/>
      </c>
    </row>
    <row r="30" spans="1:14" x14ac:dyDescent="0.3">
      <c r="A30" s="7" t="s">
        <v>188</v>
      </c>
      <c r="B30" s="2" t="s">
        <v>56</v>
      </c>
      <c r="C30" s="7" t="str">
        <f>VLOOKUP(A30,Tabella2[[#All],[IDP]:[€/p.c. a &gt;2]],11,FALSE)</f>
        <v/>
      </c>
      <c r="D30" s="48" t="str">
        <f t="shared" si="2"/>
        <v/>
      </c>
      <c r="E30" s="48" t="str">
        <f t="shared" si="4"/>
        <v/>
      </c>
      <c r="F30" s="48" t="str">
        <f t="shared" si="4"/>
        <v/>
      </c>
      <c r="G30" s="48" t="str">
        <f t="shared" si="4"/>
        <v/>
      </c>
      <c r="H30" s="48" t="str">
        <f t="shared" si="4"/>
        <v/>
      </c>
      <c r="I30" s="48" t="str">
        <f t="shared" si="4"/>
        <v/>
      </c>
      <c r="J30" s="48" t="str">
        <f t="shared" si="4"/>
        <v/>
      </c>
      <c r="K30" s="48" t="str">
        <f t="shared" si="4"/>
        <v/>
      </c>
      <c r="L30" s="48" t="str">
        <f t="shared" si="4"/>
        <v/>
      </c>
      <c r="M30" s="48" t="str">
        <f t="shared" si="4"/>
        <v/>
      </c>
      <c r="N30" s="48" t="str">
        <f t="shared" si="4"/>
        <v/>
      </c>
    </row>
    <row r="31" spans="1:14" x14ac:dyDescent="0.3">
      <c r="A31" s="7" t="s">
        <v>189</v>
      </c>
      <c r="B31" s="2" t="s">
        <v>60</v>
      </c>
      <c r="C31" s="7" t="str">
        <f>VLOOKUP(A31,Tabella2[[#All],[IDP]:[€/p.c. a &gt;2]],11,FALSE)</f>
        <v/>
      </c>
      <c r="D31" s="48" t="str">
        <f t="shared" si="2"/>
        <v/>
      </c>
      <c r="E31" s="48" t="str">
        <f t="shared" si="4"/>
        <v/>
      </c>
      <c r="F31" s="48" t="str">
        <f t="shared" si="4"/>
        <v/>
      </c>
      <c r="G31" s="48" t="str">
        <f t="shared" si="4"/>
        <v/>
      </c>
      <c r="H31" s="48" t="str">
        <f t="shared" si="4"/>
        <v/>
      </c>
      <c r="I31" s="48" t="str">
        <f t="shared" si="4"/>
        <v/>
      </c>
      <c r="J31" s="48" t="str">
        <f t="shared" si="4"/>
        <v/>
      </c>
      <c r="K31" s="48" t="str">
        <f t="shared" si="4"/>
        <v/>
      </c>
      <c r="L31" s="48" t="str">
        <f t="shared" si="4"/>
        <v/>
      </c>
      <c r="M31" s="48" t="str">
        <f t="shared" si="4"/>
        <v/>
      </c>
      <c r="N31" s="48" t="str">
        <f t="shared" si="4"/>
        <v/>
      </c>
    </row>
    <row r="32" spans="1:14" x14ac:dyDescent="0.3">
      <c r="A32" s="7" t="s">
        <v>190</v>
      </c>
      <c r="B32" s="2" t="s">
        <v>63</v>
      </c>
      <c r="C32" s="7">
        <f>VLOOKUP(A32,Tabella2[[#All],[IDP]:[€/p.c. a &gt;2]],11,FALSE)</f>
        <v>323</v>
      </c>
      <c r="D32" s="48">
        <f t="shared" si="2"/>
        <v>26.916666666666668</v>
      </c>
      <c r="E32" s="48">
        <f t="shared" si="4"/>
        <v>1.3458333333333334</v>
      </c>
      <c r="F32" s="48">
        <f t="shared" si="4"/>
        <v>1.615</v>
      </c>
      <c r="G32" s="48">
        <f t="shared" si="4"/>
        <v>1.884166666666667</v>
      </c>
      <c r="H32" s="48">
        <f t="shared" si="4"/>
        <v>2.1533333333333333</v>
      </c>
      <c r="I32" s="48">
        <f t="shared" si="4"/>
        <v>2.4224999999999999</v>
      </c>
      <c r="J32" s="48">
        <f t="shared" si="4"/>
        <v>2.9608333333333334</v>
      </c>
      <c r="K32" s="48">
        <f t="shared" si="4"/>
        <v>3.23</v>
      </c>
      <c r="L32" s="48">
        <f t="shared" si="4"/>
        <v>3.499166666666667</v>
      </c>
      <c r="M32" s="48">
        <f t="shared" si="4"/>
        <v>3.768333333333334</v>
      </c>
      <c r="N32" s="48">
        <f t="shared" si="4"/>
        <v>4.0374999999999996</v>
      </c>
    </row>
    <row r="33" spans="1:14" x14ac:dyDescent="0.3">
      <c r="A33" s="7" t="s">
        <v>191</v>
      </c>
      <c r="B33" s="2" t="s">
        <v>68</v>
      </c>
      <c r="C33" s="7" t="str">
        <f>VLOOKUP(A33,Tabella2[[#All],[IDP]:[€/p.c. a &gt;2]],11,FALSE)</f>
        <v/>
      </c>
      <c r="D33" s="48" t="str">
        <f t="shared" si="2"/>
        <v/>
      </c>
      <c r="E33" s="48" t="str">
        <f t="shared" si="4"/>
        <v/>
      </c>
      <c r="F33" s="48" t="str">
        <f t="shared" si="4"/>
        <v/>
      </c>
      <c r="G33" s="48" t="str">
        <f t="shared" si="4"/>
        <v/>
      </c>
      <c r="H33" s="48" t="str">
        <f t="shared" si="4"/>
        <v/>
      </c>
      <c r="I33" s="48" t="str">
        <f t="shared" si="4"/>
        <v/>
      </c>
      <c r="J33" s="48" t="str">
        <f t="shared" si="4"/>
        <v/>
      </c>
      <c r="K33" s="48" t="str">
        <f t="shared" si="4"/>
        <v/>
      </c>
      <c r="L33" s="48" t="str">
        <f t="shared" si="4"/>
        <v/>
      </c>
      <c r="M33" s="48" t="str">
        <f t="shared" si="4"/>
        <v/>
      </c>
      <c r="N33" s="48" t="str">
        <f t="shared" si="4"/>
        <v/>
      </c>
    </row>
    <row r="34" spans="1:14" x14ac:dyDescent="0.3">
      <c r="A34" s="7" t="s">
        <v>192</v>
      </c>
      <c r="B34" s="2" t="s">
        <v>78</v>
      </c>
      <c r="C34" s="7" t="str">
        <f>VLOOKUP(A34,Tabella2[[#All],[IDP]:[€/p.c. a &gt;2]],11,FALSE)</f>
        <v/>
      </c>
      <c r="D34" s="48" t="str">
        <f t="shared" si="2"/>
        <v/>
      </c>
      <c r="E34" s="48" t="str">
        <f t="shared" si="4"/>
        <v/>
      </c>
      <c r="F34" s="48" t="str">
        <f t="shared" si="4"/>
        <v/>
      </c>
      <c r="G34" s="48" t="str">
        <f t="shared" si="4"/>
        <v/>
      </c>
      <c r="H34" s="48" t="str">
        <f t="shared" si="4"/>
        <v/>
      </c>
      <c r="I34" s="48" t="str">
        <f t="shared" si="4"/>
        <v/>
      </c>
      <c r="J34" s="48" t="str">
        <f t="shared" si="4"/>
        <v/>
      </c>
      <c r="K34" s="48" t="str">
        <f t="shared" si="4"/>
        <v/>
      </c>
      <c r="L34" s="48" t="str">
        <f t="shared" si="4"/>
        <v/>
      </c>
      <c r="M34" s="48" t="str">
        <f t="shared" si="4"/>
        <v/>
      </c>
      <c r="N34" s="48" t="str">
        <f t="shared" si="4"/>
        <v/>
      </c>
    </row>
    <row r="35" spans="1:14" x14ac:dyDescent="0.3">
      <c r="A35" s="7" t="s">
        <v>193</v>
      </c>
      <c r="B35" s="2" t="s">
        <v>79</v>
      </c>
      <c r="C35" s="7" t="str">
        <f>VLOOKUP(A35,Tabella2[[#All],[IDP]:[€/p.c. a &gt;2]],11,FALSE)</f>
        <v/>
      </c>
      <c r="D35" s="48" t="str">
        <f t="shared" si="2"/>
        <v/>
      </c>
      <c r="E35" s="48" t="str">
        <f t="shared" si="4"/>
        <v/>
      </c>
      <c r="F35" s="48" t="str">
        <f t="shared" si="4"/>
        <v/>
      </c>
      <c r="G35" s="48" t="str">
        <f t="shared" si="4"/>
        <v/>
      </c>
      <c r="H35" s="48" t="str">
        <f t="shared" si="4"/>
        <v/>
      </c>
      <c r="I35" s="48" t="str">
        <f t="shared" si="4"/>
        <v/>
      </c>
      <c r="J35" s="48" t="str">
        <f t="shared" si="4"/>
        <v/>
      </c>
      <c r="K35" s="48" t="str">
        <f t="shared" si="4"/>
        <v/>
      </c>
      <c r="L35" s="48" t="str">
        <f t="shared" si="4"/>
        <v/>
      </c>
      <c r="M35" s="48" t="str">
        <f t="shared" si="4"/>
        <v/>
      </c>
      <c r="N35" s="48" t="str">
        <f t="shared" si="4"/>
        <v/>
      </c>
    </row>
    <row r="36" spans="1:14" x14ac:dyDescent="0.3">
      <c r="A36" s="7" t="s">
        <v>194</v>
      </c>
      <c r="B36" s="2" t="s">
        <v>80</v>
      </c>
      <c r="C36" s="7" t="str">
        <f>VLOOKUP(A36,Tabella2[[#All],[IDP]:[€/p.c. a &gt;2]],11,FALSE)</f>
        <v/>
      </c>
      <c r="D36" s="48" t="str">
        <f t="shared" si="2"/>
        <v/>
      </c>
      <c r="E36" s="48" t="str">
        <f t="shared" ref="E36:N45" si="5">IF($D36="","",$D36*E$3)</f>
        <v/>
      </c>
      <c r="F36" s="48" t="str">
        <f t="shared" si="5"/>
        <v/>
      </c>
      <c r="G36" s="48" t="str">
        <f t="shared" si="5"/>
        <v/>
      </c>
      <c r="H36" s="48" t="str">
        <f t="shared" si="5"/>
        <v/>
      </c>
      <c r="I36" s="48" t="str">
        <f t="shared" si="5"/>
        <v/>
      </c>
      <c r="J36" s="48" t="str">
        <f t="shared" si="5"/>
        <v/>
      </c>
      <c r="K36" s="48" t="str">
        <f t="shared" si="5"/>
        <v/>
      </c>
      <c r="L36" s="48" t="str">
        <f t="shared" si="5"/>
        <v/>
      </c>
      <c r="M36" s="48" t="str">
        <f t="shared" si="5"/>
        <v/>
      </c>
      <c r="N36" s="48" t="str">
        <f t="shared" si="5"/>
        <v/>
      </c>
    </row>
    <row r="37" spans="1:14" x14ac:dyDescent="0.3">
      <c r="A37" s="7" t="s">
        <v>195</v>
      </c>
      <c r="B37" s="2" t="s">
        <v>81</v>
      </c>
      <c r="C37" s="7" t="str">
        <f>VLOOKUP(A37,Tabella2[[#All],[IDP]:[€/p.c. a &gt;2]],11,FALSE)</f>
        <v/>
      </c>
      <c r="D37" s="48" t="str">
        <f t="shared" si="2"/>
        <v/>
      </c>
      <c r="E37" s="48" t="str">
        <f t="shared" si="5"/>
        <v/>
      </c>
      <c r="F37" s="48" t="str">
        <f t="shared" si="5"/>
        <v/>
      </c>
      <c r="G37" s="48" t="str">
        <f t="shared" si="5"/>
        <v/>
      </c>
      <c r="H37" s="48" t="str">
        <f t="shared" si="5"/>
        <v/>
      </c>
      <c r="I37" s="48" t="str">
        <f t="shared" si="5"/>
        <v/>
      </c>
      <c r="J37" s="48" t="str">
        <f t="shared" si="5"/>
        <v/>
      </c>
      <c r="K37" s="48" t="str">
        <f t="shared" si="5"/>
        <v/>
      </c>
      <c r="L37" s="48" t="str">
        <f t="shared" si="5"/>
        <v/>
      </c>
      <c r="M37" s="48" t="str">
        <f t="shared" si="5"/>
        <v/>
      </c>
      <c r="N37" s="48" t="str">
        <f t="shared" si="5"/>
        <v/>
      </c>
    </row>
    <row r="38" spans="1:14" x14ac:dyDescent="0.3">
      <c r="A38" s="7" t="s">
        <v>196</v>
      </c>
      <c r="B38" s="2" t="s">
        <v>82</v>
      </c>
      <c r="C38" s="7" t="str">
        <f>VLOOKUP(A38,Tabella2[[#All],[IDP]:[€/p.c. a &gt;2]],11,FALSE)</f>
        <v/>
      </c>
      <c r="D38" s="48" t="str">
        <f t="shared" si="2"/>
        <v/>
      </c>
      <c r="E38" s="48" t="str">
        <f t="shared" si="5"/>
        <v/>
      </c>
      <c r="F38" s="48" t="str">
        <f t="shared" si="5"/>
        <v/>
      </c>
      <c r="G38" s="48" t="str">
        <f t="shared" si="5"/>
        <v/>
      </c>
      <c r="H38" s="48" t="str">
        <f t="shared" si="5"/>
        <v/>
      </c>
      <c r="I38" s="48" t="str">
        <f t="shared" si="5"/>
        <v/>
      </c>
      <c r="J38" s="48" t="str">
        <f t="shared" si="5"/>
        <v/>
      </c>
      <c r="K38" s="48" t="str">
        <f t="shared" si="5"/>
        <v/>
      </c>
      <c r="L38" s="48" t="str">
        <f t="shared" si="5"/>
        <v/>
      </c>
      <c r="M38" s="48" t="str">
        <f t="shared" si="5"/>
        <v/>
      </c>
      <c r="N38" s="48" t="str">
        <f t="shared" si="5"/>
        <v/>
      </c>
    </row>
    <row r="39" spans="1:14" x14ac:dyDescent="0.3">
      <c r="A39" s="7" t="s">
        <v>197</v>
      </c>
      <c r="B39" s="2" t="s">
        <v>83</v>
      </c>
      <c r="C39" s="7" t="str">
        <f>VLOOKUP(A39,Tabella2[[#All],[IDP]:[€/p.c. a &gt;2]],11,FALSE)</f>
        <v/>
      </c>
      <c r="D39" s="48" t="str">
        <f t="shared" si="2"/>
        <v/>
      </c>
      <c r="E39" s="48" t="str">
        <f t="shared" si="5"/>
        <v/>
      </c>
      <c r="F39" s="48" t="str">
        <f t="shared" si="5"/>
        <v/>
      </c>
      <c r="G39" s="48" t="str">
        <f t="shared" si="5"/>
        <v/>
      </c>
      <c r="H39" s="48" t="str">
        <f t="shared" si="5"/>
        <v/>
      </c>
      <c r="I39" s="48" t="str">
        <f t="shared" si="5"/>
        <v/>
      </c>
      <c r="J39" s="48" t="str">
        <f t="shared" si="5"/>
        <v/>
      </c>
      <c r="K39" s="48" t="str">
        <f t="shared" si="5"/>
        <v/>
      </c>
      <c r="L39" s="48" t="str">
        <f t="shared" si="5"/>
        <v/>
      </c>
      <c r="M39" s="48" t="str">
        <f t="shared" si="5"/>
        <v/>
      </c>
      <c r="N39" s="48" t="str">
        <f t="shared" si="5"/>
        <v/>
      </c>
    </row>
    <row r="40" spans="1:14" x14ac:dyDescent="0.3">
      <c r="A40" s="7" t="s">
        <v>198</v>
      </c>
      <c r="B40" s="2" t="s">
        <v>84</v>
      </c>
      <c r="C40" s="7" t="str">
        <f>VLOOKUP(A40,Tabella2[[#All],[IDP]:[€/p.c. a &gt;2]],11,FALSE)</f>
        <v/>
      </c>
      <c r="D40" s="48" t="str">
        <f t="shared" si="2"/>
        <v/>
      </c>
      <c r="E40" s="48" t="str">
        <f t="shared" si="5"/>
        <v/>
      </c>
      <c r="F40" s="48" t="str">
        <f t="shared" si="5"/>
        <v/>
      </c>
      <c r="G40" s="48" t="str">
        <f t="shared" si="5"/>
        <v/>
      </c>
      <c r="H40" s="48" t="str">
        <f t="shared" si="5"/>
        <v/>
      </c>
      <c r="I40" s="48" t="str">
        <f t="shared" si="5"/>
        <v/>
      </c>
      <c r="J40" s="48" t="str">
        <f t="shared" si="5"/>
        <v/>
      </c>
      <c r="K40" s="48" t="str">
        <f t="shared" si="5"/>
        <v/>
      </c>
      <c r="L40" s="48" t="str">
        <f t="shared" si="5"/>
        <v/>
      </c>
      <c r="M40" s="48" t="str">
        <f t="shared" si="5"/>
        <v/>
      </c>
      <c r="N40" s="48" t="str">
        <f t="shared" si="5"/>
        <v/>
      </c>
    </row>
    <row r="41" spans="1:14" x14ac:dyDescent="0.3">
      <c r="A41" s="7" t="s">
        <v>199</v>
      </c>
      <c r="B41" s="2" t="s">
        <v>85</v>
      </c>
      <c r="C41" s="7" t="str">
        <f>VLOOKUP(A41,Tabella2[[#All],[IDP]:[€/p.c. a &gt;2]],11,FALSE)</f>
        <v/>
      </c>
      <c r="D41" s="48" t="str">
        <f t="shared" si="2"/>
        <v/>
      </c>
      <c r="E41" s="48" t="str">
        <f t="shared" si="5"/>
        <v/>
      </c>
      <c r="F41" s="48" t="str">
        <f t="shared" si="5"/>
        <v/>
      </c>
      <c r="G41" s="48" t="str">
        <f t="shared" si="5"/>
        <v/>
      </c>
      <c r="H41" s="48" t="str">
        <f t="shared" si="5"/>
        <v/>
      </c>
      <c r="I41" s="48" t="str">
        <f t="shared" si="5"/>
        <v/>
      </c>
      <c r="J41" s="48" t="str">
        <f t="shared" si="5"/>
        <v/>
      </c>
      <c r="K41" s="48" t="str">
        <f t="shared" si="5"/>
        <v/>
      </c>
      <c r="L41" s="48" t="str">
        <f t="shared" si="5"/>
        <v/>
      </c>
      <c r="M41" s="48" t="str">
        <f t="shared" si="5"/>
        <v/>
      </c>
      <c r="N41" s="48" t="str">
        <f t="shared" si="5"/>
        <v/>
      </c>
    </row>
    <row r="42" spans="1:14" x14ac:dyDescent="0.3">
      <c r="A42" s="7" t="s">
        <v>200</v>
      </c>
      <c r="B42" s="2" t="s">
        <v>86</v>
      </c>
      <c r="C42" s="7" t="str">
        <f>VLOOKUP(A42,Tabella2[[#All],[IDP]:[€/p.c. a &gt;2]],11,FALSE)</f>
        <v/>
      </c>
      <c r="D42" s="48" t="str">
        <f t="shared" si="2"/>
        <v/>
      </c>
      <c r="E42" s="48" t="str">
        <f t="shared" si="5"/>
        <v/>
      </c>
      <c r="F42" s="48" t="str">
        <f t="shared" si="5"/>
        <v/>
      </c>
      <c r="G42" s="48" t="str">
        <f t="shared" si="5"/>
        <v/>
      </c>
      <c r="H42" s="48" t="str">
        <f t="shared" si="5"/>
        <v/>
      </c>
      <c r="I42" s="48" t="str">
        <f t="shared" si="5"/>
        <v/>
      </c>
      <c r="J42" s="48" t="str">
        <f t="shared" si="5"/>
        <v/>
      </c>
      <c r="K42" s="48" t="str">
        <f t="shared" si="5"/>
        <v/>
      </c>
      <c r="L42" s="48" t="str">
        <f t="shared" si="5"/>
        <v/>
      </c>
      <c r="M42" s="48" t="str">
        <f t="shared" si="5"/>
        <v/>
      </c>
      <c r="N42" s="48" t="str">
        <f t="shared" si="5"/>
        <v/>
      </c>
    </row>
    <row r="43" spans="1:14" x14ac:dyDescent="0.3">
      <c r="A43" s="7" t="s">
        <v>201</v>
      </c>
      <c r="B43" s="2" t="s">
        <v>87</v>
      </c>
      <c r="C43" s="7" t="str">
        <f>VLOOKUP(A43,Tabella2[[#All],[IDP]:[€/p.c. a &gt;2]],11,FALSE)</f>
        <v/>
      </c>
      <c r="D43" s="48" t="str">
        <f t="shared" si="2"/>
        <v/>
      </c>
      <c r="E43" s="48" t="str">
        <f t="shared" si="5"/>
        <v/>
      </c>
      <c r="F43" s="48" t="str">
        <f t="shared" si="5"/>
        <v/>
      </c>
      <c r="G43" s="48" t="str">
        <f t="shared" si="5"/>
        <v/>
      </c>
      <c r="H43" s="48" t="str">
        <f t="shared" si="5"/>
        <v/>
      </c>
      <c r="I43" s="48" t="str">
        <f t="shared" si="5"/>
        <v/>
      </c>
      <c r="J43" s="48" t="str">
        <f t="shared" si="5"/>
        <v/>
      </c>
      <c r="K43" s="48" t="str">
        <f t="shared" si="5"/>
        <v/>
      </c>
      <c r="L43" s="48" t="str">
        <f t="shared" si="5"/>
        <v/>
      </c>
      <c r="M43" s="48" t="str">
        <f t="shared" si="5"/>
        <v/>
      </c>
      <c r="N43" s="48" t="str">
        <f t="shared" si="5"/>
        <v/>
      </c>
    </row>
    <row r="44" spans="1:14" x14ac:dyDescent="0.3">
      <c r="A44" s="7" t="s">
        <v>202</v>
      </c>
      <c r="B44" s="2" t="s">
        <v>88</v>
      </c>
      <c r="C44" s="7" t="str">
        <f>VLOOKUP(A44,Tabella2[[#All],[IDP]:[€/p.c. a &gt;2]],11,FALSE)</f>
        <v/>
      </c>
      <c r="D44" s="48" t="str">
        <f t="shared" si="2"/>
        <v/>
      </c>
      <c r="E44" s="48" t="str">
        <f t="shared" si="5"/>
        <v/>
      </c>
      <c r="F44" s="48" t="str">
        <f t="shared" si="5"/>
        <v/>
      </c>
      <c r="G44" s="48" t="str">
        <f t="shared" si="5"/>
        <v/>
      </c>
      <c r="H44" s="48" t="str">
        <f t="shared" si="5"/>
        <v/>
      </c>
      <c r="I44" s="48" t="str">
        <f t="shared" si="5"/>
        <v/>
      </c>
      <c r="J44" s="48" t="str">
        <f t="shared" si="5"/>
        <v/>
      </c>
      <c r="K44" s="48" t="str">
        <f t="shared" si="5"/>
        <v/>
      </c>
      <c r="L44" s="48" t="str">
        <f t="shared" si="5"/>
        <v/>
      </c>
      <c r="M44" s="48" t="str">
        <f t="shared" si="5"/>
        <v/>
      </c>
      <c r="N44" s="48" t="str">
        <f t="shared" si="5"/>
        <v/>
      </c>
    </row>
    <row r="45" spans="1:14" x14ac:dyDescent="0.3">
      <c r="A45" s="7" t="s">
        <v>203</v>
      </c>
      <c r="B45" s="2" t="s">
        <v>89</v>
      </c>
      <c r="C45" s="7" t="str">
        <f>VLOOKUP(A45,Tabella2[[#All],[IDP]:[€/p.c. a &gt;2]],11,FALSE)</f>
        <v/>
      </c>
      <c r="D45" s="48" t="str">
        <f t="shared" si="2"/>
        <v/>
      </c>
      <c r="E45" s="48" t="str">
        <f t="shared" si="5"/>
        <v/>
      </c>
      <c r="F45" s="48" t="str">
        <f t="shared" si="5"/>
        <v/>
      </c>
      <c r="G45" s="48" t="str">
        <f t="shared" si="5"/>
        <v/>
      </c>
      <c r="H45" s="48" t="str">
        <f t="shared" si="5"/>
        <v/>
      </c>
      <c r="I45" s="48" t="str">
        <f t="shared" si="5"/>
        <v/>
      </c>
      <c r="J45" s="48" t="str">
        <f t="shared" si="5"/>
        <v/>
      </c>
      <c r="K45" s="48" t="str">
        <f t="shared" si="5"/>
        <v/>
      </c>
      <c r="L45" s="48" t="str">
        <f t="shared" si="5"/>
        <v/>
      </c>
      <c r="M45" s="48" t="str">
        <f t="shared" si="5"/>
        <v/>
      </c>
      <c r="N45" s="48" t="str">
        <f t="shared" si="5"/>
        <v/>
      </c>
    </row>
    <row r="46" spans="1:14" x14ac:dyDescent="0.3">
      <c r="A46" s="7" t="s">
        <v>204</v>
      </c>
      <c r="B46" s="2" t="s">
        <v>43</v>
      </c>
      <c r="C46" s="7" t="str">
        <f>VLOOKUP(A46,Tabella2[[#All],[IDP]:[€/p.c. a &gt;2]],11,FALSE)</f>
        <v/>
      </c>
      <c r="D46" s="48" t="str">
        <f t="shared" si="2"/>
        <v/>
      </c>
      <c r="E46" s="48" t="str">
        <f t="shared" ref="E46:N56" si="6">IF($D46="","",$D46*E$3)</f>
        <v/>
      </c>
      <c r="F46" s="48" t="str">
        <f t="shared" si="6"/>
        <v/>
      </c>
      <c r="G46" s="48" t="str">
        <f t="shared" si="6"/>
        <v/>
      </c>
      <c r="H46" s="48" t="str">
        <f t="shared" si="6"/>
        <v/>
      </c>
      <c r="I46" s="48" t="str">
        <f t="shared" si="6"/>
        <v/>
      </c>
      <c r="J46" s="48" t="str">
        <f t="shared" si="6"/>
        <v/>
      </c>
      <c r="K46" s="48" t="str">
        <f t="shared" si="6"/>
        <v/>
      </c>
      <c r="L46" s="48" t="str">
        <f t="shared" si="6"/>
        <v/>
      </c>
      <c r="M46" s="48" t="str">
        <f t="shared" si="6"/>
        <v/>
      </c>
      <c r="N46" s="48" t="str">
        <f t="shared" si="6"/>
        <v/>
      </c>
    </row>
    <row r="47" spans="1:14" x14ac:dyDescent="0.3">
      <c r="A47" s="7" t="s">
        <v>205</v>
      </c>
      <c r="B47" s="2" t="s">
        <v>90</v>
      </c>
      <c r="C47" s="7" t="str">
        <f>VLOOKUP(A47,Tabella2[[#All],[IDP]:[€/p.c. a &gt;2]],11,FALSE)</f>
        <v/>
      </c>
      <c r="D47" s="48" t="str">
        <f t="shared" si="2"/>
        <v/>
      </c>
      <c r="E47" s="48" t="str">
        <f t="shared" si="6"/>
        <v/>
      </c>
      <c r="F47" s="48" t="str">
        <f t="shared" si="6"/>
        <v/>
      </c>
      <c r="G47" s="48" t="str">
        <f t="shared" si="6"/>
        <v/>
      </c>
      <c r="H47" s="48" t="str">
        <f t="shared" si="6"/>
        <v/>
      </c>
      <c r="I47" s="48" t="str">
        <f t="shared" si="6"/>
        <v/>
      </c>
      <c r="J47" s="48" t="str">
        <f t="shared" si="6"/>
        <v/>
      </c>
      <c r="K47" s="48" t="str">
        <f t="shared" si="6"/>
        <v/>
      </c>
      <c r="L47" s="48" t="str">
        <f t="shared" si="6"/>
        <v/>
      </c>
      <c r="M47" s="48" t="str">
        <f t="shared" si="6"/>
        <v/>
      </c>
      <c r="N47" s="48" t="str">
        <f t="shared" si="6"/>
        <v/>
      </c>
    </row>
    <row r="48" spans="1:14" x14ac:dyDescent="0.3">
      <c r="A48" s="7" t="s">
        <v>206</v>
      </c>
      <c r="B48" s="2" t="s">
        <v>91</v>
      </c>
      <c r="C48" s="7">
        <f>VLOOKUP(A48,Tabella2[[#All],[IDP]:[€/p.c. a &gt;2]],11,FALSE)</f>
        <v>1220.75</v>
      </c>
      <c r="D48" s="48">
        <f t="shared" si="2"/>
        <v>101.72916666666667</v>
      </c>
      <c r="E48" s="48">
        <f t="shared" si="6"/>
        <v>5.0864583333333337</v>
      </c>
      <c r="F48" s="48">
        <f t="shared" si="6"/>
        <v>6.1037499999999998</v>
      </c>
      <c r="G48" s="48">
        <f t="shared" si="6"/>
        <v>7.1210416666666676</v>
      </c>
      <c r="H48" s="48">
        <f t="shared" si="6"/>
        <v>8.1383333333333336</v>
      </c>
      <c r="I48" s="48">
        <f t="shared" si="6"/>
        <v>9.1556250000000006</v>
      </c>
      <c r="J48" s="48">
        <f t="shared" si="6"/>
        <v>11.190208333333334</v>
      </c>
      <c r="K48" s="48">
        <f t="shared" si="6"/>
        <v>12.2075</v>
      </c>
      <c r="L48" s="48">
        <f t="shared" si="6"/>
        <v>13.224791666666668</v>
      </c>
      <c r="M48" s="48">
        <f t="shared" si="6"/>
        <v>14.242083333333335</v>
      </c>
      <c r="N48" s="48">
        <f t="shared" si="6"/>
        <v>15.259375</v>
      </c>
    </row>
    <row r="49" spans="1:14" x14ac:dyDescent="0.3">
      <c r="A49" s="7" t="s">
        <v>207</v>
      </c>
      <c r="B49" s="2" t="s">
        <v>92</v>
      </c>
      <c r="C49" s="7" t="str">
        <f>VLOOKUP(A49,Tabella2[[#All],[IDP]:[€/p.c. a &gt;2]],11,FALSE)</f>
        <v/>
      </c>
      <c r="D49" s="48" t="str">
        <f t="shared" si="2"/>
        <v/>
      </c>
      <c r="E49" s="48" t="str">
        <f t="shared" si="6"/>
        <v/>
      </c>
      <c r="F49" s="48" t="str">
        <f t="shared" si="6"/>
        <v/>
      </c>
      <c r="G49" s="48" t="str">
        <f t="shared" si="6"/>
        <v/>
      </c>
      <c r="H49" s="48" t="str">
        <f t="shared" si="6"/>
        <v/>
      </c>
      <c r="I49" s="48" t="str">
        <f t="shared" si="6"/>
        <v/>
      </c>
      <c r="J49" s="48" t="str">
        <f t="shared" si="6"/>
        <v/>
      </c>
      <c r="K49" s="48" t="str">
        <f t="shared" si="6"/>
        <v/>
      </c>
      <c r="L49" s="48" t="str">
        <f t="shared" si="6"/>
        <v/>
      </c>
      <c r="M49" s="48" t="str">
        <f t="shared" si="6"/>
        <v/>
      </c>
      <c r="N49" s="48" t="str">
        <f t="shared" si="6"/>
        <v/>
      </c>
    </row>
    <row r="50" spans="1:14" x14ac:dyDescent="0.3">
      <c r="A50" s="7" t="s">
        <v>208</v>
      </c>
      <c r="B50" s="2" t="s">
        <v>93</v>
      </c>
      <c r="C50" s="7" t="str">
        <f>VLOOKUP(A50,Tabella2[[#All],[IDP]:[€/p.c. a &gt;2]],11,FALSE)</f>
        <v/>
      </c>
      <c r="D50" s="48" t="str">
        <f t="shared" si="2"/>
        <v/>
      </c>
      <c r="E50" s="48" t="str">
        <f t="shared" si="6"/>
        <v/>
      </c>
      <c r="F50" s="48" t="str">
        <f t="shared" si="6"/>
        <v/>
      </c>
      <c r="G50" s="48" t="str">
        <f t="shared" si="6"/>
        <v/>
      </c>
      <c r="H50" s="48" t="str">
        <f t="shared" si="6"/>
        <v/>
      </c>
      <c r="I50" s="48" t="str">
        <f t="shared" si="6"/>
        <v/>
      </c>
      <c r="J50" s="48" t="str">
        <f t="shared" si="6"/>
        <v/>
      </c>
      <c r="K50" s="48" t="str">
        <f t="shared" si="6"/>
        <v/>
      </c>
      <c r="L50" s="48" t="str">
        <f t="shared" si="6"/>
        <v/>
      </c>
      <c r="M50" s="48" t="str">
        <f t="shared" si="6"/>
        <v/>
      </c>
      <c r="N50" s="48" t="str">
        <f t="shared" si="6"/>
        <v/>
      </c>
    </row>
    <row r="51" spans="1:14" x14ac:dyDescent="0.3">
      <c r="A51" s="7" t="s">
        <v>209</v>
      </c>
      <c r="B51" s="2" t="s">
        <v>120</v>
      </c>
      <c r="C51" s="7">
        <f>VLOOKUP(A51,Tabella2[[#All],[IDP]:[€/p.c. a &gt;2]],11,FALSE)</f>
        <v>501.6</v>
      </c>
      <c r="D51" s="48">
        <f t="shared" si="2"/>
        <v>41.800000000000004</v>
      </c>
      <c r="E51" s="48">
        <f t="shared" si="6"/>
        <v>2.0900000000000003</v>
      </c>
      <c r="F51" s="48">
        <f t="shared" si="6"/>
        <v>2.508</v>
      </c>
      <c r="G51" s="48">
        <f t="shared" si="6"/>
        <v>2.9260000000000006</v>
      </c>
      <c r="H51" s="48">
        <f t="shared" si="6"/>
        <v>3.3440000000000003</v>
      </c>
      <c r="I51" s="48">
        <f t="shared" si="6"/>
        <v>3.7620000000000005</v>
      </c>
      <c r="J51" s="48">
        <f t="shared" si="6"/>
        <v>4.5980000000000008</v>
      </c>
      <c r="K51" s="48">
        <f t="shared" si="6"/>
        <v>5.016</v>
      </c>
      <c r="L51" s="48">
        <f t="shared" si="6"/>
        <v>5.4340000000000011</v>
      </c>
      <c r="M51" s="48">
        <f t="shared" si="6"/>
        <v>5.8520000000000012</v>
      </c>
      <c r="N51" s="48">
        <f t="shared" si="6"/>
        <v>6.2700000000000005</v>
      </c>
    </row>
    <row r="52" spans="1:14" x14ac:dyDescent="0.3">
      <c r="A52" s="7" t="s">
        <v>210</v>
      </c>
      <c r="B52" s="2" t="s">
        <v>121</v>
      </c>
      <c r="C52" s="7">
        <f>VLOOKUP(A52,Tabella2[[#All],[IDP]:[€/p.c. a &gt;2]],11,FALSE)</f>
        <v>706.8</v>
      </c>
      <c r="D52" s="48">
        <f t="shared" si="2"/>
        <v>58.9</v>
      </c>
      <c r="E52" s="48">
        <f t="shared" si="6"/>
        <v>2.9450000000000003</v>
      </c>
      <c r="F52" s="48">
        <f t="shared" si="6"/>
        <v>3.5339999999999998</v>
      </c>
      <c r="G52" s="48">
        <f t="shared" si="6"/>
        <v>4.1230000000000002</v>
      </c>
      <c r="H52" s="48">
        <f t="shared" si="6"/>
        <v>4.7119999999999997</v>
      </c>
      <c r="I52" s="48">
        <f t="shared" si="6"/>
        <v>5.3009999999999993</v>
      </c>
      <c r="J52" s="48">
        <f t="shared" si="6"/>
        <v>6.4790000000000001</v>
      </c>
      <c r="K52" s="48">
        <f t="shared" si="6"/>
        <v>7.0679999999999996</v>
      </c>
      <c r="L52" s="48">
        <f t="shared" si="6"/>
        <v>7.657</v>
      </c>
      <c r="M52" s="48">
        <f t="shared" si="6"/>
        <v>8.2460000000000004</v>
      </c>
      <c r="N52" s="48">
        <f t="shared" si="6"/>
        <v>8.8349999999999991</v>
      </c>
    </row>
    <row r="53" spans="1:14" x14ac:dyDescent="0.3">
      <c r="A53" s="7" t="s">
        <v>211</v>
      </c>
      <c r="B53" s="2" t="s">
        <v>122</v>
      </c>
      <c r="C53" s="7">
        <f>VLOOKUP(A53,Tabella2[[#All],[IDP]:[€/p.c. a &gt;2]],11,FALSE)</f>
        <v>296.39999999999998</v>
      </c>
      <c r="D53" s="48">
        <f t="shared" si="2"/>
        <v>24.7</v>
      </c>
      <c r="E53" s="48">
        <f t="shared" si="6"/>
        <v>1.2350000000000001</v>
      </c>
      <c r="F53" s="48">
        <f t="shared" si="6"/>
        <v>1.482</v>
      </c>
      <c r="G53" s="48">
        <f t="shared" si="6"/>
        <v>1.7290000000000001</v>
      </c>
      <c r="H53" s="48">
        <f t="shared" si="6"/>
        <v>1.976</v>
      </c>
      <c r="I53" s="48">
        <f t="shared" si="6"/>
        <v>2.2229999999999999</v>
      </c>
      <c r="J53" s="48">
        <f t="shared" si="6"/>
        <v>2.7170000000000001</v>
      </c>
      <c r="K53" s="48">
        <f t="shared" si="6"/>
        <v>2.964</v>
      </c>
      <c r="L53" s="48">
        <f t="shared" si="6"/>
        <v>3.2109999999999999</v>
      </c>
      <c r="M53" s="48">
        <f t="shared" si="6"/>
        <v>3.4580000000000002</v>
      </c>
      <c r="N53" s="48">
        <f t="shared" si="6"/>
        <v>3.7049999999999996</v>
      </c>
    </row>
    <row r="54" spans="1:14" x14ac:dyDescent="0.3">
      <c r="A54" s="7" t="s">
        <v>212</v>
      </c>
      <c r="B54" s="2" t="s">
        <v>123</v>
      </c>
      <c r="C54" s="7">
        <f>VLOOKUP(A54,Tabella2[[#All],[IDP]:[€/p.c. a &gt;2]],11,FALSE)</f>
        <v>1356.6</v>
      </c>
      <c r="D54" s="48">
        <f t="shared" si="2"/>
        <v>113.05</v>
      </c>
      <c r="E54" s="48">
        <f t="shared" si="6"/>
        <v>5.6524999999999999</v>
      </c>
      <c r="F54" s="48">
        <f t="shared" si="6"/>
        <v>6.7829999999999995</v>
      </c>
      <c r="G54" s="48">
        <f t="shared" si="6"/>
        <v>7.9135000000000009</v>
      </c>
      <c r="H54" s="48">
        <f t="shared" si="6"/>
        <v>9.0440000000000005</v>
      </c>
      <c r="I54" s="48">
        <f t="shared" si="6"/>
        <v>10.1745</v>
      </c>
      <c r="J54" s="48">
        <f t="shared" si="6"/>
        <v>12.435499999999999</v>
      </c>
      <c r="K54" s="48">
        <f t="shared" si="6"/>
        <v>13.565999999999999</v>
      </c>
      <c r="L54" s="48">
        <f t="shared" si="6"/>
        <v>14.6965</v>
      </c>
      <c r="M54" s="48">
        <f t="shared" si="6"/>
        <v>15.827000000000002</v>
      </c>
      <c r="N54" s="48">
        <f t="shared" si="6"/>
        <v>16.9575</v>
      </c>
    </row>
    <row r="55" spans="1:14" x14ac:dyDescent="0.3">
      <c r="A55" s="7" t="s">
        <v>213</v>
      </c>
      <c r="B55" s="2" t="s">
        <v>139</v>
      </c>
      <c r="C55" s="7">
        <f>VLOOKUP(A55,Tabella2[[#All],[IDP]:[€/p.c. a &gt;2]],11,FALSE)</f>
        <v>698.25</v>
      </c>
      <c r="D55" s="48">
        <f t="shared" si="2"/>
        <v>58.1875</v>
      </c>
      <c r="E55" s="48">
        <f t="shared" si="6"/>
        <v>2.9093750000000003</v>
      </c>
      <c r="F55" s="48">
        <f t="shared" si="6"/>
        <v>3.49125</v>
      </c>
      <c r="G55" s="48">
        <f t="shared" si="6"/>
        <v>4.0731250000000001</v>
      </c>
      <c r="H55" s="48">
        <f t="shared" si="6"/>
        <v>4.6550000000000002</v>
      </c>
      <c r="I55" s="48">
        <f t="shared" si="6"/>
        <v>5.2368749999999995</v>
      </c>
      <c r="J55" s="48">
        <f t="shared" si="6"/>
        <v>6.4006249999999998</v>
      </c>
      <c r="K55" s="48">
        <f t="shared" si="6"/>
        <v>6.9824999999999999</v>
      </c>
      <c r="L55" s="48">
        <f t="shared" si="6"/>
        <v>7.5643750000000001</v>
      </c>
      <c r="M55" s="48">
        <f t="shared" si="6"/>
        <v>8.1462500000000002</v>
      </c>
      <c r="N55" s="48">
        <f t="shared" si="6"/>
        <v>8.7281250000000004</v>
      </c>
    </row>
    <row r="56" spans="1:14" x14ac:dyDescent="0.3">
      <c r="A56" s="7" t="s">
        <v>214</v>
      </c>
      <c r="B56" s="2" t="s">
        <v>160</v>
      </c>
      <c r="C56" s="7">
        <f>VLOOKUP(A56,Tabella2[[#All],[IDP]:[€/p.c. a &gt;2]],11,FALSE)</f>
        <v>131.1</v>
      </c>
      <c r="D56" s="48">
        <f t="shared" si="2"/>
        <v>10.924999999999999</v>
      </c>
      <c r="E56" s="48">
        <f t="shared" si="6"/>
        <v>0.54625000000000001</v>
      </c>
      <c r="F56" s="48">
        <f t="shared" si="6"/>
        <v>0.65549999999999986</v>
      </c>
      <c r="G56" s="48">
        <f t="shared" si="6"/>
        <v>0.76475000000000004</v>
      </c>
      <c r="H56" s="48">
        <f t="shared" si="6"/>
        <v>0.87399999999999989</v>
      </c>
      <c r="I56" s="48">
        <f t="shared" si="6"/>
        <v>0.98324999999999985</v>
      </c>
      <c r="J56" s="48">
        <f t="shared" si="6"/>
        <v>1.2017499999999999</v>
      </c>
      <c r="K56" s="48">
        <f t="shared" si="6"/>
        <v>1.3109999999999997</v>
      </c>
      <c r="L56" s="48">
        <f t="shared" si="6"/>
        <v>1.42025</v>
      </c>
      <c r="M56" s="48">
        <f t="shared" si="6"/>
        <v>1.5295000000000001</v>
      </c>
      <c r="N56" s="48">
        <f t="shared" si="6"/>
        <v>1.6387499999999997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4" sqref="C14"/>
    </sheetView>
  </sheetViews>
  <sheetFormatPr defaultRowHeight="22.2" customHeight="1" x14ac:dyDescent="0.3"/>
  <cols>
    <col min="1" max="1" width="10.5546875" bestFit="1" customWidth="1"/>
    <col min="2" max="2" width="11.109375" bestFit="1" customWidth="1"/>
    <col min="3" max="3" width="22" bestFit="1" customWidth="1"/>
    <col min="4" max="4" width="25.77734375" bestFit="1" customWidth="1"/>
    <col min="5" max="5" width="21" bestFit="1" customWidth="1"/>
    <col min="6" max="6" width="39.5546875" bestFit="1" customWidth="1"/>
  </cols>
  <sheetData>
    <row r="1" spans="1:6" ht="22.2" customHeight="1" x14ac:dyDescent="0.3">
      <c r="A1" s="7" t="s">
        <v>238</v>
      </c>
      <c r="B1" s="7" t="s">
        <v>239</v>
      </c>
      <c r="C1" s="7" t="s">
        <v>240</v>
      </c>
      <c r="D1" s="7" t="s">
        <v>241</v>
      </c>
      <c r="E1" s="7" t="s">
        <v>242</v>
      </c>
      <c r="F1" s="7" t="s">
        <v>243</v>
      </c>
    </row>
    <row r="2" spans="1:6" ht="22.2" customHeight="1" x14ac:dyDescent="0.3">
      <c r="A2" s="7">
        <v>1</v>
      </c>
      <c r="B2" s="52" t="s">
        <v>228</v>
      </c>
      <c r="C2" s="7">
        <f>SUMIF(Tabella4[Categoria assegnata],'punti assegnati'!A2,Tabella4[PPM
(Punti per Mese)])</f>
        <v>443.38578250528542</v>
      </c>
      <c r="D2" s="7">
        <f>COUNTIF(Tabella4[Categoria assegnata],'punti assegnati'!A2)</f>
        <v>25</v>
      </c>
      <c r="E2" s="7">
        <f>C2/D2</f>
        <v>17.735431300211417</v>
      </c>
      <c r="F2" s="53">
        <f>ROUNDUP(E2,0)</f>
        <v>18</v>
      </c>
    </row>
    <row r="3" spans="1:6" ht="22.2" customHeight="1" x14ac:dyDescent="0.3">
      <c r="A3" s="7">
        <v>2</v>
      </c>
      <c r="B3" s="52" t="s">
        <v>229</v>
      </c>
      <c r="C3" s="7">
        <f>SUMIF(Tabella4[Categoria assegnata],'punti assegnati'!A3,Tabella4[PPM
(Punti per Mese)])</f>
        <v>76.801359969776371</v>
      </c>
      <c r="D3" s="7">
        <f>COUNTIF(Tabella4[Categoria assegnata],'punti assegnati'!A3)</f>
        <v>3</v>
      </c>
      <c r="E3" s="7">
        <f t="shared" ref="E3:E11" si="0">C3/D3</f>
        <v>25.60045332325879</v>
      </c>
      <c r="F3" s="53">
        <f t="shared" ref="F3:F14" si="1">ROUNDUP(E3,0)</f>
        <v>26</v>
      </c>
    </row>
    <row r="4" spans="1:6" ht="22.2" customHeight="1" x14ac:dyDescent="0.3">
      <c r="A4" s="7">
        <v>3</v>
      </c>
      <c r="B4" s="52" t="s">
        <v>230</v>
      </c>
      <c r="C4" s="7">
        <f>SUMIF(Tabella4[Categoria assegnata],'punti assegnati'!A4,Tabella4[PPM
(Punti per Mese)])</f>
        <v>33.465475346306164</v>
      </c>
      <c r="D4" s="7">
        <f>COUNTIF(Tabella4[Categoria assegnata],'punti assegnati'!A4)</f>
        <v>1</v>
      </c>
      <c r="E4" s="7">
        <f t="shared" si="0"/>
        <v>33.465475346306164</v>
      </c>
      <c r="F4" s="53">
        <f t="shared" si="1"/>
        <v>34</v>
      </c>
    </row>
    <row r="5" spans="1:6" ht="22.2" customHeight="1" x14ac:dyDescent="0.3">
      <c r="A5" s="7">
        <v>4</v>
      </c>
      <c r="B5" s="52" t="s">
        <v>231</v>
      </c>
      <c r="C5" s="7">
        <f>SUMIF(Tabella4[Categoria assegnata],'punti assegnati'!A5,Tabella4[PPM
(Punti per Mese)])</f>
        <v>496.59207640591967</v>
      </c>
      <c r="D5" s="7">
        <f>COUNTIF(Tabella4[Categoria assegnata],'punti assegnati'!A5)</f>
        <v>14</v>
      </c>
      <c r="E5" s="7">
        <f t="shared" si="0"/>
        <v>35.470862600422834</v>
      </c>
      <c r="F5" s="53">
        <f t="shared" si="1"/>
        <v>36</v>
      </c>
    </row>
    <row r="6" spans="1:6" ht="22.2" customHeight="1" x14ac:dyDescent="0.3">
      <c r="A6" s="7">
        <v>5</v>
      </c>
      <c r="B6" s="52" t="s">
        <v>232</v>
      </c>
      <c r="C6" s="7">
        <f>SUMIF(Tabella4[Categoria assegnata],'punti assegnati'!A6,Tabella4[PPM
(Punti per Mese)])</f>
        <v>388.01757435711522</v>
      </c>
      <c r="D6" s="7">
        <f>COUNTIF(Tabella4[Categoria assegnata],'punti assegnati'!A6)</f>
        <v>9</v>
      </c>
      <c r="E6" s="7">
        <f t="shared" si="0"/>
        <v>43.113063817457245</v>
      </c>
      <c r="F6" s="53">
        <f t="shared" si="1"/>
        <v>44</v>
      </c>
    </row>
    <row r="7" spans="1:6" ht="22.2" customHeight="1" x14ac:dyDescent="0.3">
      <c r="A7" s="7">
        <v>6</v>
      </c>
      <c r="B7" s="52" t="s">
        <v>233</v>
      </c>
      <c r="C7" s="7">
        <f>SUMIF(Tabella4[Categoria assegnata],'punti assegnati'!A7,Tabella4[PPM
(Punti per Mese)])</f>
        <v>313.3905105109813</v>
      </c>
      <c r="D7" s="7">
        <f>COUNTIF(Tabella4[Categoria assegnata],'punti assegnati'!A7)</f>
        <v>8</v>
      </c>
      <c r="E7" s="7">
        <f t="shared" si="0"/>
        <v>39.173813813872663</v>
      </c>
      <c r="F7" s="53">
        <f t="shared" si="1"/>
        <v>40</v>
      </c>
    </row>
    <row r="8" spans="1:6" ht="22.2" customHeight="1" x14ac:dyDescent="0.3">
      <c r="A8" s="7">
        <v>7</v>
      </c>
      <c r="B8" s="52" t="s">
        <v>234</v>
      </c>
      <c r="C8" s="7">
        <f>SUMIF(Tabella4[Categoria assegnata],'punti assegnati'!A8,Tabella4[PPM
(Punti per Mese)])</f>
        <v>790.76400213688225</v>
      </c>
      <c r="D8" s="7">
        <f>COUNTIF(Tabella4[Categoria assegnata],'punti assegnati'!A8)</f>
        <v>17</v>
      </c>
      <c r="E8" s="7">
        <f t="shared" si="0"/>
        <v>46.515529537463664</v>
      </c>
      <c r="F8" s="53">
        <f t="shared" si="1"/>
        <v>47</v>
      </c>
    </row>
    <row r="9" spans="1:6" ht="22.2" customHeight="1" x14ac:dyDescent="0.3">
      <c r="A9" s="7">
        <v>8</v>
      </c>
      <c r="B9" s="52" t="s">
        <v>235</v>
      </c>
      <c r="C9" s="7">
        <f>SUMIF(Tabella4[Categoria assegnata],'punti assegnati'!A9,Tabella4[PPM
(Punti per Mese)])</f>
        <v>757.12649263142487</v>
      </c>
      <c r="D9" s="7">
        <f>COUNTIF(Tabella4[Categoria assegnata],'punti assegnati'!A9)</f>
        <v>14</v>
      </c>
      <c r="E9" s="7">
        <f t="shared" si="0"/>
        <v>54.080463759387492</v>
      </c>
      <c r="F9" s="53">
        <f t="shared" si="1"/>
        <v>55</v>
      </c>
    </row>
    <row r="10" spans="1:6" ht="22.2" customHeight="1" x14ac:dyDescent="0.3">
      <c r="A10" s="7">
        <v>9</v>
      </c>
      <c r="B10" s="52" t="s">
        <v>236</v>
      </c>
      <c r="C10" s="7">
        <f>SUMIF(Tabella4[Categoria assegnata],'punti assegnati'!A10,Tabella4[PPM
(Punti per Mese)])</f>
        <v>504.75099508761662</v>
      </c>
      <c r="D10" s="7">
        <f>COUNTIF(Tabella4[Categoria assegnata],'punti assegnati'!A10)</f>
        <v>8</v>
      </c>
      <c r="E10" s="7">
        <f t="shared" si="0"/>
        <v>63.093874385952077</v>
      </c>
      <c r="F10" s="53">
        <f t="shared" si="1"/>
        <v>64</v>
      </c>
    </row>
    <row r="11" spans="1:6" ht="22.2" customHeight="1" x14ac:dyDescent="0.3">
      <c r="A11" s="7">
        <v>10</v>
      </c>
      <c r="B11" s="52" t="s">
        <v>237</v>
      </c>
      <c r="C11" s="7">
        <f>SUMIF(Tabella4[Categoria assegnata],'punti assegnati'!A11,Tabella4[PPM
(Punti per Mese)])</f>
        <v>143.56027650323762</v>
      </c>
      <c r="D11" s="7">
        <f>COUNTIF(Tabella4[Categoria assegnata],'punti assegnati'!A11)</f>
        <v>2</v>
      </c>
      <c r="E11" s="7">
        <f t="shared" si="0"/>
        <v>71.780138251618808</v>
      </c>
      <c r="F11" s="53">
        <f t="shared" si="1"/>
        <v>72</v>
      </c>
    </row>
    <row r="12" spans="1:6" ht="22.2" customHeight="1" x14ac:dyDescent="0.3">
      <c r="C12">
        <f>SUM(C2:C11)</f>
        <v>3947.8545454545456</v>
      </c>
      <c r="F12" s="54"/>
    </row>
    <row r="13" spans="1:6" ht="22.2" customHeight="1" x14ac:dyDescent="0.3">
      <c r="F13" s="54"/>
    </row>
    <row r="14" spans="1:6" ht="22.2" customHeight="1" x14ac:dyDescent="0.3">
      <c r="B14" s="52" t="s">
        <v>244</v>
      </c>
      <c r="C14" s="61">
        <f>SUM(u_prodotti!R31,u_prodotti!R71,)</f>
        <v>154.90181818181819</v>
      </c>
      <c r="D14" s="7">
        <f>SUM(Tabella4[neonati (0-2)])</f>
        <v>9</v>
      </c>
      <c r="E14" s="7">
        <f>C14/D14</f>
        <v>17.211313131313133</v>
      </c>
      <c r="F14" s="53">
        <f>ROUNDUP(E14,0)</f>
        <v>18</v>
      </c>
    </row>
    <row r="15" spans="1:6" ht="22.2" customHeight="1" x14ac:dyDescent="0.3">
      <c r="C15">
        <f>SUM(C12:C14)</f>
        <v>4102.7563636363639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u_istat</vt:lpstr>
      <vt:lpstr>u_prodotti</vt:lpstr>
      <vt:lpstr>u_riparto</vt:lpstr>
      <vt:lpstr>nuclei</vt:lpstr>
      <vt:lpstr>u_blocchi</vt:lpstr>
      <vt:lpstr>u_lim_blocchi</vt:lpstr>
      <vt:lpstr>punti assegnati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Cosio</dc:creator>
  <cp:lastModifiedBy>Davide Cosio</cp:lastModifiedBy>
  <cp:lastPrinted>2018-03-04T20:29:39Z</cp:lastPrinted>
  <dcterms:created xsi:type="dcterms:W3CDTF">2017-11-12T13:51:53Z</dcterms:created>
  <dcterms:modified xsi:type="dcterms:W3CDTF">2018-03-04T22:58:33Z</dcterms:modified>
</cp:coreProperties>
</file>