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9020" windowHeight="11385"/>
  </bookViews>
  <sheets>
    <sheet name="Foglio1" sheetId="1" r:id="rId1"/>
    <sheet name="Foglio5" sheetId="5" r:id="rId2"/>
    <sheet name="Foglio2" sheetId="2" r:id="rId3"/>
    <sheet name="Foglio3" sheetId="3" r:id="rId4"/>
  </sheets>
  <calcPr calcId="145621"/>
</workbook>
</file>

<file path=xl/calcChain.xml><?xml version="1.0" encoding="utf-8"?>
<calcChain xmlns="http://schemas.openxmlformats.org/spreadsheetml/2006/main">
  <c r="J37" i="1" l="1"/>
  <c r="J29" i="1" l="1"/>
  <c r="S32" i="1"/>
  <c r="S31" i="1"/>
  <c r="S30" i="1"/>
  <c r="S29" i="1"/>
  <c r="S28" i="1"/>
  <c r="J67" i="1" l="1"/>
  <c r="J66" i="1"/>
  <c r="K60" i="1"/>
  <c r="K59" i="1"/>
  <c r="I60" i="1"/>
  <c r="I59" i="1"/>
  <c r="I54" i="1"/>
  <c r="I55" i="1"/>
  <c r="K55" i="1"/>
  <c r="K54" i="1"/>
  <c r="K53" i="1"/>
  <c r="K58" i="1"/>
  <c r="I58" i="1"/>
  <c r="J60" i="1"/>
  <c r="J59" i="1"/>
  <c r="J58" i="1"/>
  <c r="J55" i="1"/>
  <c r="J54" i="1"/>
  <c r="J53" i="1"/>
  <c r="I53" i="1" s="1"/>
  <c r="J50" i="1"/>
  <c r="J47" i="1"/>
  <c r="R47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J41" i="1"/>
  <c r="O5" i="1"/>
  <c r="M37" i="1"/>
  <c r="L37" i="1"/>
  <c r="K37" i="1"/>
  <c r="O28" i="1"/>
  <c r="O29" i="1"/>
  <c r="S24" i="1"/>
  <c r="S25" i="1"/>
  <c r="T21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Q21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N19" i="1"/>
  <c r="N18" i="1"/>
  <c r="O18" i="1" s="1"/>
  <c r="N17" i="1"/>
  <c r="N16" i="1"/>
  <c r="N15" i="1"/>
  <c r="N14" i="1"/>
  <c r="O14" i="1" s="1"/>
  <c r="N13" i="1"/>
  <c r="N12" i="1"/>
  <c r="N11" i="1"/>
  <c r="N10" i="1"/>
  <c r="O10" i="1" s="1"/>
  <c r="N9" i="1"/>
  <c r="N8" i="1"/>
  <c r="N7" i="1"/>
  <c r="N6" i="1"/>
  <c r="O6" i="1" s="1"/>
  <c r="N5" i="1"/>
  <c r="O7" i="1"/>
  <c r="O8" i="1"/>
  <c r="O9" i="1"/>
  <c r="O11" i="1"/>
  <c r="O12" i="1"/>
  <c r="O13" i="1"/>
  <c r="O15" i="1"/>
  <c r="O16" i="1"/>
  <c r="O17" i="1"/>
  <c r="O19" i="1"/>
  <c r="J25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J28" i="1"/>
  <c r="J33" i="1" s="1"/>
  <c r="J26" i="1"/>
  <c r="I21" i="1"/>
  <c r="I20" i="1"/>
  <c r="H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F21" i="1"/>
  <c r="C1" i="1"/>
  <c r="E20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C21" i="1"/>
  <c r="B21" i="1"/>
  <c r="C20" i="1"/>
  <c r="H19" i="1" s="1"/>
  <c r="B20" i="1"/>
  <c r="E18" i="1" s="1"/>
  <c r="L33" i="1" l="1"/>
  <c r="E11" i="1"/>
  <c r="K11" i="1" s="1"/>
  <c r="E15" i="1"/>
  <c r="K15" i="1" s="1"/>
  <c r="H8" i="1"/>
  <c r="H12" i="1"/>
  <c r="H16" i="1"/>
  <c r="E8" i="1"/>
  <c r="K8" i="1" s="1"/>
  <c r="E16" i="1"/>
  <c r="H9" i="1"/>
  <c r="H17" i="1"/>
  <c r="E5" i="1"/>
  <c r="E7" i="1"/>
  <c r="E19" i="1"/>
  <c r="K19" i="1" s="1"/>
  <c r="E12" i="1"/>
  <c r="K12" i="1" s="1"/>
  <c r="H5" i="1"/>
  <c r="H13" i="1"/>
  <c r="E9" i="1"/>
  <c r="K9" i="1" s="1"/>
  <c r="E13" i="1"/>
  <c r="K13" i="1" s="1"/>
  <c r="E17" i="1"/>
  <c r="K17" i="1" s="1"/>
  <c r="H6" i="1"/>
  <c r="H10" i="1"/>
  <c r="H14" i="1"/>
  <c r="H18" i="1"/>
  <c r="K18" i="1" s="1"/>
  <c r="E6" i="1"/>
  <c r="K6" i="1" s="1"/>
  <c r="E10" i="1"/>
  <c r="K10" i="1" s="1"/>
  <c r="E14" i="1"/>
  <c r="K14" i="1" s="1"/>
  <c r="H7" i="1"/>
  <c r="H11" i="1"/>
  <c r="H15" i="1"/>
  <c r="K5" i="1" l="1"/>
  <c r="K7" i="1"/>
  <c r="K16" i="1"/>
</calcChain>
</file>

<file path=xl/sharedStrings.xml><?xml version="1.0" encoding="utf-8"?>
<sst xmlns="http://schemas.openxmlformats.org/spreadsheetml/2006/main" count="121" uniqueCount="106">
  <si>
    <t>[m]</t>
  </si>
  <si>
    <t>[Kg]</t>
  </si>
  <si>
    <t xml:space="preserve"> Weight</t>
  </si>
  <si>
    <t>Height</t>
  </si>
  <si>
    <t>X</t>
  </si>
  <si>
    <t>Y</t>
  </si>
  <si>
    <t>AVERAGE</t>
  </si>
  <si>
    <t>COVAR(X,Y)</t>
  </si>
  <si>
    <t>SAMPLES</t>
  </si>
  <si>
    <t>N</t>
  </si>
  <si>
    <t>VAR(X)</t>
  </si>
  <si>
    <t>BETA_1</t>
  </si>
  <si>
    <t>BETA_0</t>
  </si>
  <si>
    <t>REGRESSION LINE</t>
  </si>
  <si>
    <t xml:space="preserve">Y_HAT = </t>
  </si>
  <si>
    <t>+</t>
  </si>
  <si>
    <t>*X</t>
  </si>
  <si>
    <t>REGRESSION</t>
  </si>
  <si>
    <t>X_i</t>
  </si>
  <si>
    <t>Epsilon_i</t>
  </si>
  <si>
    <t>Y_HAT_i</t>
  </si>
  <si>
    <t>Epsilon_i^2</t>
  </si>
  <si>
    <t>SSE</t>
  </si>
  <si>
    <t>SUM of SQUARED ERRORS</t>
  </si>
  <si>
    <t>COEFFICIENT OF DETERMINATION</t>
  </si>
  <si>
    <t>R^2</t>
  </si>
  <si>
    <t>Y_HAT_i - Y_BAR</t>
  </si>
  <si>
    <t>SSR</t>
  </si>
  <si>
    <t>SSR/SST</t>
  </si>
  <si>
    <t>1 - SSE/SST</t>
  </si>
  <si>
    <t>SUM OF SQUARED REGRESSION</t>
  </si>
  <si>
    <t>SST (TOTAL SUM  OF SQUARES)</t>
  </si>
  <si>
    <t>=COVAR(X, Y)/VAR(X)</t>
  </si>
  <si>
    <t>=MEAN(Y) - BETA_1*MEAN(X)</t>
  </si>
  <si>
    <t>VARIANCE</t>
  </si>
  <si>
    <t>X_i - X_BAR</t>
  </si>
  <si>
    <t>(X_i - X_BAR)^2</t>
  </si>
  <si>
    <t>Y_i - Y_BAR</t>
  </si>
  <si>
    <t>(Y_i - Y_BAR)^2</t>
  </si>
  <si>
    <t>(X_i - X_BAR)*(Y_i - Y_BAR)</t>
  </si>
  <si>
    <t>(Y_HAT_i - Y_BAR)^2</t>
  </si>
  <si>
    <t xml:space="preserve">SST = </t>
  </si>
  <si>
    <t xml:space="preserve">SSR + </t>
  </si>
  <si>
    <t>STANDARD ERROR, I.E. ESTIMATE OF STANDARD DEVIATION OF REGRESSION ERRORS</t>
  </si>
  <si>
    <t>REG. ERRORS</t>
  </si>
  <si>
    <t>S_e</t>
  </si>
  <si>
    <t>SQUARE REG. ERROR</t>
  </si>
  <si>
    <t>N-2 SINCE WE HAVE USED N SAMPLES TO ESTIMATE 2 PARAMETERS, BETA_0 AND BETA_1</t>
  </si>
  <si>
    <t>GIVEN AN  X, GIVEN PREDICTION ERRORS ARE NORMAL, THE ACTUAL Y_i IS WITH IN -/+1*S_e FROM Y_HAT_i WITH 68.3% CHANCE</t>
  </si>
  <si>
    <t>GIVEN AN  X, GIVEN PREDICTION ERRORS ARE NORMAL, THE ACTUAL Y_i IS WITH IN -/+2*S_e FROM Y_HAT_i WITH 95.5% CHANCE</t>
  </si>
  <si>
    <t>GIVEN AN  X, GIVEN PREDICTION ERRORS ARE NORMAL, THE ACTUAL Y_i IS WITH IN -/+3*S_e FROM Y_HAT_i WITH 99.7% CHANCE</t>
  </si>
  <si>
    <t>STANDARD ERROR FOR BETA_0  ESTIMATE</t>
  </si>
  <si>
    <t>S_e_BETA_0</t>
  </si>
  <si>
    <t>SUM (X_i^2)</t>
  </si>
  <si>
    <t>X_i^2</t>
  </si>
  <si>
    <t>STANDARD ERROR FOR BETA_1 ESTIMATE</t>
  </si>
  <si>
    <t>S_e_BETA_1</t>
  </si>
  <si>
    <t>CONFIDENCE INTERVALS FOR BETA_0</t>
  </si>
  <si>
    <t>CHANCE</t>
  </si>
  <si>
    <t>CONFIDENCE INTERVALS FOR BETA_1</t>
  </si>
  <si>
    <t>OUTPUT RIEPILOGO</t>
  </si>
  <si>
    <t>Statistica della regressione</t>
  </si>
  <si>
    <t>R multiplo</t>
  </si>
  <si>
    <t>R al quadrato</t>
  </si>
  <si>
    <t>R al quadrato corretto</t>
  </si>
  <si>
    <t>Errore standard</t>
  </si>
  <si>
    <t>Osservazioni</t>
  </si>
  <si>
    <t>ANALISI VARIANZA</t>
  </si>
  <si>
    <t>Regressione</t>
  </si>
  <si>
    <t>Residuo</t>
  </si>
  <si>
    <t>Totale</t>
  </si>
  <si>
    <t>Intercetta</t>
  </si>
  <si>
    <t>gdl</t>
  </si>
  <si>
    <t>SQ</t>
  </si>
  <si>
    <t>MQ</t>
  </si>
  <si>
    <t>F</t>
  </si>
  <si>
    <t>Significatività F</t>
  </si>
  <si>
    <t>Coefficienti</t>
  </si>
  <si>
    <t>Stat t</t>
  </si>
  <si>
    <t>Valore di significatività</t>
  </si>
  <si>
    <t>Inferiore 95%</t>
  </si>
  <si>
    <t>Superiore 95%</t>
  </si>
  <si>
    <t>Inferiore 95.0%</t>
  </si>
  <si>
    <t>Superiore 95.0%</t>
  </si>
  <si>
    <t>OUTPUT RESIDUI</t>
  </si>
  <si>
    <t>Osservazione</t>
  </si>
  <si>
    <t>Previsto 52.21</t>
  </si>
  <si>
    <t>Residui</t>
  </si>
  <si>
    <t>Residui standard</t>
  </si>
  <si>
    <t>OUTPUT DATI</t>
  </si>
  <si>
    <t>Percentile</t>
  </si>
  <si>
    <t>H_0: BETA_1 = 0</t>
  </si>
  <si>
    <t>H_1: BETA_1 IS NOT ZERO (TWO TAILED)</t>
  </si>
  <si>
    <t>t_STAT (N-2)</t>
  </si>
  <si>
    <t>p-VALUE</t>
  </si>
  <si>
    <t>ALPHA</t>
  </si>
  <si>
    <t>t - TEST TO CHECK IF SLOPE (BETA_1) IS ZERO OR NOT</t>
  </si>
  <si>
    <t>REJECT H_0</t>
  </si>
  <si>
    <t>SD_Y</t>
  </si>
  <si>
    <t>SD_X</t>
  </si>
  <si>
    <t>COV(X, Y)</t>
  </si>
  <si>
    <t>r</t>
  </si>
  <si>
    <t>r^2</t>
  </si>
  <si>
    <t>SO: R^2 = (r)^2</t>
  </si>
  <si>
    <t>CORRELATION COEFFICIENT</t>
  </si>
  <si>
    <t>Y_HAT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</si>
</sst>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0.3999755851924192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45066682943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quotePrefix="1"/>
    <xf numFmtId="0" fontId="1" fillId="0" borderId="0" xfId="0" applyFont="1" applyAlignment="1">
      <alignment horizontal="center"/>
    </xf>
    <xf numFmtId="164" fontId="0" fillId="2" borderId="0" xfId="0" applyNumberFormat="1" applyFill="1"/>
    <xf numFmtId="10" fontId="0" fillId="0" borderId="0" xfId="0" applyNumberFormat="1"/>
    <xf numFmtId="165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Foglio1!$A$1</c:f>
              <c:strCache>
                <c:ptCount val="1"/>
                <c:pt idx="0">
                  <c:v>SAMPLES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3667748053232477"/>
                  <c:y val="5.1046223388743076E-3"/>
                </c:manualLayout>
              </c:layout>
              <c:numFmt formatCode="General" sourceLinked="0"/>
            </c:trendlineLbl>
          </c:trendline>
          <c:xVal>
            <c:numRef>
              <c:f>Foglio1!$B$5:$B$19</c:f>
              <c:numCache>
                <c:formatCode>0.00</c:formatCode>
                <c:ptCount val="15"/>
                <c:pt idx="0">
                  <c:v>1.47</c:v>
                </c:pt>
                <c:pt idx="1">
                  <c:v>1.5</c:v>
                </c:pt>
                <c:pt idx="2">
                  <c:v>1.52</c:v>
                </c:pt>
                <c:pt idx="3">
                  <c:v>1.55</c:v>
                </c:pt>
                <c:pt idx="4">
                  <c:v>1.57</c:v>
                </c:pt>
                <c:pt idx="5">
                  <c:v>1.6</c:v>
                </c:pt>
                <c:pt idx="6">
                  <c:v>1.63</c:v>
                </c:pt>
                <c:pt idx="7">
                  <c:v>1.65</c:v>
                </c:pt>
                <c:pt idx="8">
                  <c:v>1.68</c:v>
                </c:pt>
                <c:pt idx="9">
                  <c:v>1.7</c:v>
                </c:pt>
                <c:pt idx="10">
                  <c:v>1.73</c:v>
                </c:pt>
                <c:pt idx="11">
                  <c:v>1.75</c:v>
                </c:pt>
                <c:pt idx="12">
                  <c:v>1.78</c:v>
                </c:pt>
                <c:pt idx="13">
                  <c:v>1.8</c:v>
                </c:pt>
                <c:pt idx="14">
                  <c:v>1.83</c:v>
                </c:pt>
              </c:numCache>
            </c:numRef>
          </c:xVal>
          <c:yVal>
            <c:numRef>
              <c:f>Foglio1!$C$5:$C$19</c:f>
              <c:numCache>
                <c:formatCode>0.00</c:formatCode>
                <c:ptCount val="15"/>
                <c:pt idx="0">
                  <c:v>52.21</c:v>
                </c:pt>
                <c:pt idx="1">
                  <c:v>53.12</c:v>
                </c:pt>
                <c:pt idx="2">
                  <c:v>54.48</c:v>
                </c:pt>
                <c:pt idx="3">
                  <c:v>55.84</c:v>
                </c:pt>
                <c:pt idx="4">
                  <c:v>57.2</c:v>
                </c:pt>
                <c:pt idx="5">
                  <c:v>58.57</c:v>
                </c:pt>
                <c:pt idx="6">
                  <c:v>59.93</c:v>
                </c:pt>
                <c:pt idx="7">
                  <c:v>61.29</c:v>
                </c:pt>
                <c:pt idx="8">
                  <c:v>63.11</c:v>
                </c:pt>
                <c:pt idx="9">
                  <c:v>64.47</c:v>
                </c:pt>
                <c:pt idx="10">
                  <c:v>66.28</c:v>
                </c:pt>
                <c:pt idx="11">
                  <c:v>68.099999999999994</c:v>
                </c:pt>
                <c:pt idx="12">
                  <c:v>69.92</c:v>
                </c:pt>
                <c:pt idx="13">
                  <c:v>72.19</c:v>
                </c:pt>
                <c:pt idx="14">
                  <c:v>74.459999999999994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Foglio1!$M$2</c:f>
              <c:strCache>
                <c:ptCount val="1"/>
                <c:pt idx="0">
                  <c:v>REGRESSION</c:v>
                </c:pt>
              </c:strCache>
            </c:strRef>
          </c:tx>
          <c:spPr>
            <a:ln w="28575">
              <a:noFill/>
            </a:ln>
          </c:spPr>
          <c:xVal>
            <c:numRef>
              <c:f>Foglio1!$M$5:$M$19</c:f>
              <c:numCache>
                <c:formatCode>0.00</c:formatCode>
                <c:ptCount val="15"/>
                <c:pt idx="0">
                  <c:v>1.47</c:v>
                </c:pt>
                <c:pt idx="1">
                  <c:v>1.5</c:v>
                </c:pt>
                <c:pt idx="2">
                  <c:v>1.52</c:v>
                </c:pt>
                <c:pt idx="3">
                  <c:v>1.55</c:v>
                </c:pt>
                <c:pt idx="4">
                  <c:v>1.57</c:v>
                </c:pt>
                <c:pt idx="5">
                  <c:v>1.6</c:v>
                </c:pt>
                <c:pt idx="6">
                  <c:v>1.63</c:v>
                </c:pt>
                <c:pt idx="7">
                  <c:v>1.65</c:v>
                </c:pt>
                <c:pt idx="8">
                  <c:v>1.68</c:v>
                </c:pt>
                <c:pt idx="9">
                  <c:v>1.7</c:v>
                </c:pt>
                <c:pt idx="10">
                  <c:v>1.73</c:v>
                </c:pt>
                <c:pt idx="11">
                  <c:v>1.75</c:v>
                </c:pt>
                <c:pt idx="12">
                  <c:v>1.78</c:v>
                </c:pt>
                <c:pt idx="13">
                  <c:v>1.8</c:v>
                </c:pt>
                <c:pt idx="14">
                  <c:v>1.83</c:v>
                </c:pt>
              </c:numCache>
            </c:numRef>
          </c:xVal>
          <c:yVal>
            <c:numRef>
              <c:f>Foglio1!$N$5:$N$19</c:f>
              <c:numCache>
                <c:formatCode>0.00</c:formatCode>
                <c:ptCount val="15"/>
                <c:pt idx="0">
                  <c:v>51.008158298058689</c:v>
                </c:pt>
                <c:pt idx="1">
                  <c:v>52.846323894322012</c:v>
                </c:pt>
                <c:pt idx="2">
                  <c:v>54.071767625164227</c:v>
                </c:pt>
                <c:pt idx="3">
                  <c:v>55.909933221427551</c:v>
                </c:pt>
                <c:pt idx="4">
                  <c:v>57.135376952269766</c:v>
                </c:pt>
                <c:pt idx="5">
                  <c:v>58.973542548533075</c:v>
                </c:pt>
                <c:pt idx="6">
                  <c:v>60.811708144796384</c:v>
                </c:pt>
                <c:pt idx="7">
                  <c:v>62.0371518756386</c:v>
                </c:pt>
                <c:pt idx="8">
                  <c:v>63.875317471901923</c:v>
                </c:pt>
                <c:pt idx="9">
                  <c:v>65.100761202744138</c:v>
                </c:pt>
                <c:pt idx="10">
                  <c:v>66.938926799007461</c:v>
                </c:pt>
                <c:pt idx="11">
                  <c:v>68.164370529849677</c:v>
                </c:pt>
                <c:pt idx="12">
                  <c:v>70.002536126112986</c:v>
                </c:pt>
                <c:pt idx="13">
                  <c:v>71.227979856955201</c:v>
                </c:pt>
                <c:pt idx="14">
                  <c:v>73.066145453218525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584832"/>
        <c:axId val="270587008"/>
      </c:scatterChart>
      <c:valAx>
        <c:axId val="270584832"/>
        <c:scaling>
          <c:orientation val="minMax"/>
          <c:max val="1.85"/>
          <c:min val="1.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Height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70587008"/>
        <c:crosses val="autoZero"/>
        <c:crossBetween val="midCat"/>
      </c:valAx>
      <c:valAx>
        <c:axId val="270587008"/>
        <c:scaling>
          <c:orientation val="minMax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Weight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70584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Residuals</a:t>
            </a:r>
            <a:r>
              <a:rPr lang="en-GB" baseline="0"/>
              <a:t> Epsilon_i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Foglio1!$O$3</c:f>
              <c:strCache>
                <c:ptCount val="1"/>
                <c:pt idx="0">
                  <c:v>Epsilon_i</c:v>
                </c:pt>
              </c:strCache>
            </c:strRef>
          </c:tx>
          <c:spPr>
            <a:ln w="28575">
              <a:noFill/>
            </a:ln>
          </c:spPr>
          <c:xVal>
            <c:numRef>
              <c:f>Foglio1!$M$5:$M$19</c:f>
              <c:numCache>
                <c:formatCode>0.00</c:formatCode>
                <c:ptCount val="15"/>
                <c:pt idx="0">
                  <c:v>1.47</c:v>
                </c:pt>
                <c:pt idx="1">
                  <c:v>1.5</c:v>
                </c:pt>
                <c:pt idx="2">
                  <c:v>1.52</c:v>
                </c:pt>
                <c:pt idx="3">
                  <c:v>1.55</c:v>
                </c:pt>
                <c:pt idx="4">
                  <c:v>1.57</c:v>
                </c:pt>
                <c:pt idx="5">
                  <c:v>1.6</c:v>
                </c:pt>
                <c:pt idx="6">
                  <c:v>1.63</c:v>
                </c:pt>
                <c:pt idx="7">
                  <c:v>1.65</c:v>
                </c:pt>
                <c:pt idx="8">
                  <c:v>1.68</c:v>
                </c:pt>
                <c:pt idx="9">
                  <c:v>1.7</c:v>
                </c:pt>
                <c:pt idx="10">
                  <c:v>1.73</c:v>
                </c:pt>
                <c:pt idx="11">
                  <c:v>1.75</c:v>
                </c:pt>
                <c:pt idx="12">
                  <c:v>1.78</c:v>
                </c:pt>
                <c:pt idx="13">
                  <c:v>1.8</c:v>
                </c:pt>
                <c:pt idx="14">
                  <c:v>1.83</c:v>
                </c:pt>
              </c:numCache>
            </c:numRef>
          </c:xVal>
          <c:yVal>
            <c:numRef>
              <c:f>Foglio1!$O$5:$O$19</c:f>
              <c:numCache>
                <c:formatCode>0.00</c:formatCode>
                <c:ptCount val="15"/>
                <c:pt idx="0">
                  <c:v>-1.2018417019413121</c:v>
                </c:pt>
                <c:pt idx="1">
                  <c:v>-0.2736761056779855</c:v>
                </c:pt>
                <c:pt idx="2">
                  <c:v>-0.40823237483576946</c:v>
                </c:pt>
                <c:pt idx="3">
                  <c:v>6.993322142754721E-2</c:v>
                </c:pt>
                <c:pt idx="4">
                  <c:v>-6.4623047730236749E-2</c:v>
                </c:pt>
                <c:pt idx="5">
                  <c:v>0.40354254853307481</c:v>
                </c:pt>
                <c:pt idx="6">
                  <c:v>0.88170814479638437</c:v>
                </c:pt>
                <c:pt idx="7">
                  <c:v>0.74715187563860042</c:v>
                </c:pt>
                <c:pt idx="8">
                  <c:v>0.76531747190192334</c:v>
                </c:pt>
                <c:pt idx="9">
                  <c:v>0.63076120274413938</c:v>
                </c:pt>
                <c:pt idx="10">
                  <c:v>0.65892679900746032</c:v>
                </c:pt>
                <c:pt idx="11">
                  <c:v>6.4370529849682612E-2</c:v>
                </c:pt>
                <c:pt idx="12">
                  <c:v>8.2536126112984221E-2</c:v>
                </c:pt>
                <c:pt idx="13">
                  <c:v>-0.96202014304479633</c:v>
                </c:pt>
                <c:pt idx="14">
                  <c:v>-1.3938545467814691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595200"/>
        <c:axId val="270596736"/>
      </c:scatterChart>
      <c:valAx>
        <c:axId val="270595200"/>
        <c:scaling>
          <c:orientation val="minMax"/>
          <c:min val="1.4"/>
        </c:scaling>
        <c:delete val="0"/>
        <c:axPos val="b"/>
        <c:numFmt formatCode="0.00" sourceLinked="1"/>
        <c:majorTickMark val="out"/>
        <c:minorTickMark val="none"/>
        <c:tickLblPos val="nextTo"/>
        <c:crossAx val="270596736"/>
        <c:crosses val="autoZero"/>
        <c:crossBetween val="midCat"/>
      </c:valAx>
      <c:valAx>
        <c:axId val="2705967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70595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1.47 Tracciato dei residui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Foglio1!$B$6:$B$19</c:f>
              <c:numCache>
                <c:formatCode>0.00</c:formatCode>
                <c:ptCount val="14"/>
                <c:pt idx="0">
                  <c:v>1.5</c:v>
                </c:pt>
                <c:pt idx="1">
                  <c:v>1.52</c:v>
                </c:pt>
                <c:pt idx="2">
                  <c:v>1.55</c:v>
                </c:pt>
                <c:pt idx="3">
                  <c:v>1.57</c:v>
                </c:pt>
                <c:pt idx="4">
                  <c:v>1.6</c:v>
                </c:pt>
                <c:pt idx="5">
                  <c:v>1.63</c:v>
                </c:pt>
                <c:pt idx="6">
                  <c:v>1.65</c:v>
                </c:pt>
                <c:pt idx="7">
                  <c:v>1.68</c:v>
                </c:pt>
                <c:pt idx="8">
                  <c:v>1.7</c:v>
                </c:pt>
                <c:pt idx="9">
                  <c:v>1.73</c:v>
                </c:pt>
                <c:pt idx="10">
                  <c:v>1.75</c:v>
                </c:pt>
                <c:pt idx="11">
                  <c:v>1.78</c:v>
                </c:pt>
                <c:pt idx="12">
                  <c:v>1.8</c:v>
                </c:pt>
                <c:pt idx="13">
                  <c:v>1.83</c:v>
                </c:pt>
              </c:numCache>
            </c:numRef>
          </c:xVal>
          <c:yVal>
            <c:numRef>
              <c:f>Foglio5!$C$25:$C$38</c:f>
              <c:numCache>
                <c:formatCode>General</c:formatCode>
                <c:ptCount val="14"/>
                <c:pt idx="0">
                  <c:v>0.61712586431990246</c:v>
                </c:pt>
                <c:pt idx="1">
                  <c:v>0.72018471060391676</c:v>
                </c:pt>
                <c:pt idx="2">
                  <c:v>0.19477298002997401</c:v>
                </c:pt>
                <c:pt idx="3">
                  <c:v>0.29783182631400251</c:v>
                </c:pt>
                <c:pt idx="4">
                  <c:v>-0.21757990425996354</c:v>
                </c:pt>
                <c:pt idx="5">
                  <c:v>-0.74299163483391339</c:v>
                </c:pt>
                <c:pt idx="6">
                  <c:v>-0.63993278854988489</c:v>
                </c:pt>
                <c:pt idx="7">
                  <c:v>-0.70534451912383389</c:v>
                </c:pt>
                <c:pt idx="8">
                  <c:v>-0.6022856728398267</c:v>
                </c:pt>
                <c:pt idx="9">
                  <c:v>-0.6776974034137595</c:v>
                </c:pt>
                <c:pt idx="10">
                  <c:v>-0.11463855712975146</c:v>
                </c:pt>
                <c:pt idx="11">
                  <c:v>-0.18005028770370757</c:v>
                </c:pt>
                <c:pt idx="12">
                  <c:v>0.83300855858033174</c:v>
                </c:pt>
                <c:pt idx="13">
                  <c:v>1.2175968280063643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427072"/>
        <c:axId val="273429248"/>
      </c:scatterChart>
      <c:valAx>
        <c:axId val="27342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1.47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73429248"/>
        <c:crosses val="autoZero"/>
        <c:crossBetween val="midCat"/>
      </c:valAx>
      <c:valAx>
        <c:axId val="273429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3427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1.47 Tracciato delle approssimazioni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Foglio1!$B$6:$B$19</c:f>
              <c:numCache>
                <c:formatCode>0.00</c:formatCode>
                <c:ptCount val="14"/>
                <c:pt idx="0">
                  <c:v>1.5</c:v>
                </c:pt>
                <c:pt idx="1">
                  <c:v>1.52</c:v>
                </c:pt>
                <c:pt idx="2">
                  <c:v>1.55</c:v>
                </c:pt>
                <c:pt idx="3">
                  <c:v>1.57</c:v>
                </c:pt>
                <c:pt idx="4">
                  <c:v>1.6</c:v>
                </c:pt>
                <c:pt idx="5">
                  <c:v>1.63</c:v>
                </c:pt>
                <c:pt idx="6">
                  <c:v>1.65</c:v>
                </c:pt>
                <c:pt idx="7">
                  <c:v>1.68</c:v>
                </c:pt>
                <c:pt idx="8">
                  <c:v>1.7</c:v>
                </c:pt>
                <c:pt idx="9">
                  <c:v>1.73</c:v>
                </c:pt>
                <c:pt idx="10">
                  <c:v>1.75</c:v>
                </c:pt>
                <c:pt idx="11">
                  <c:v>1.78</c:v>
                </c:pt>
                <c:pt idx="12">
                  <c:v>1.8</c:v>
                </c:pt>
                <c:pt idx="13">
                  <c:v>1.83</c:v>
                </c:pt>
              </c:numCache>
            </c:numRef>
          </c:xVal>
          <c:yVal>
            <c:numRef>
              <c:f>Foglio1!$C$6:$C$19</c:f>
              <c:numCache>
                <c:formatCode>0.00</c:formatCode>
                <c:ptCount val="14"/>
                <c:pt idx="0">
                  <c:v>53.12</c:v>
                </c:pt>
                <c:pt idx="1">
                  <c:v>54.48</c:v>
                </c:pt>
                <c:pt idx="2">
                  <c:v>55.84</c:v>
                </c:pt>
                <c:pt idx="3">
                  <c:v>57.2</c:v>
                </c:pt>
                <c:pt idx="4">
                  <c:v>58.57</c:v>
                </c:pt>
                <c:pt idx="5">
                  <c:v>59.93</c:v>
                </c:pt>
                <c:pt idx="6">
                  <c:v>61.29</c:v>
                </c:pt>
                <c:pt idx="7">
                  <c:v>63.11</c:v>
                </c:pt>
                <c:pt idx="8">
                  <c:v>64.47</c:v>
                </c:pt>
                <c:pt idx="9">
                  <c:v>66.28</c:v>
                </c:pt>
                <c:pt idx="10">
                  <c:v>68.099999999999994</c:v>
                </c:pt>
                <c:pt idx="11">
                  <c:v>69.92</c:v>
                </c:pt>
                <c:pt idx="12">
                  <c:v>72.19</c:v>
                </c:pt>
                <c:pt idx="13">
                  <c:v>74.459999999999994</c:v>
                </c:pt>
              </c:numCache>
            </c:numRef>
          </c:yVal>
          <c:smooth val="0"/>
        </c:ser>
        <c:ser>
          <c:idx val="1"/>
          <c:order val="1"/>
          <c:tx>
            <c:v>Previsto 52.21</c:v>
          </c:tx>
          <c:spPr>
            <a:ln w="28575">
              <a:noFill/>
            </a:ln>
          </c:spPr>
          <c:xVal>
            <c:numRef>
              <c:f>Foglio1!$B$6:$B$19</c:f>
              <c:numCache>
                <c:formatCode>0.00</c:formatCode>
                <c:ptCount val="14"/>
                <c:pt idx="0">
                  <c:v>1.5</c:v>
                </c:pt>
                <c:pt idx="1">
                  <c:v>1.52</c:v>
                </c:pt>
                <c:pt idx="2">
                  <c:v>1.55</c:v>
                </c:pt>
                <c:pt idx="3">
                  <c:v>1.57</c:v>
                </c:pt>
                <c:pt idx="4">
                  <c:v>1.6</c:v>
                </c:pt>
                <c:pt idx="5">
                  <c:v>1.63</c:v>
                </c:pt>
                <c:pt idx="6">
                  <c:v>1.65</c:v>
                </c:pt>
                <c:pt idx="7">
                  <c:v>1.68</c:v>
                </c:pt>
                <c:pt idx="8">
                  <c:v>1.7</c:v>
                </c:pt>
                <c:pt idx="9">
                  <c:v>1.73</c:v>
                </c:pt>
                <c:pt idx="10">
                  <c:v>1.75</c:v>
                </c:pt>
                <c:pt idx="11">
                  <c:v>1.78</c:v>
                </c:pt>
                <c:pt idx="12">
                  <c:v>1.8</c:v>
                </c:pt>
                <c:pt idx="13">
                  <c:v>1.83</c:v>
                </c:pt>
              </c:numCache>
            </c:numRef>
          </c:xVal>
          <c:yVal>
            <c:numRef>
              <c:f>Foglio5!$B$25:$B$38</c:f>
              <c:numCache>
                <c:formatCode>General</c:formatCode>
                <c:ptCount val="14"/>
                <c:pt idx="0">
                  <c:v>52.502874135680095</c:v>
                </c:pt>
                <c:pt idx="1">
                  <c:v>53.75981528939608</c:v>
                </c:pt>
                <c:pt idx="2">
                  <c:v>55.645227019970029</c:v>
                </c:pt>
                <c:pt idx="3">
                  <c:v>56.902168173686</c:v>
                </c:pt>
                <c:pt idx="4">
                  <c:v>58.787579904259964</c:v>
                </c:pt>
                <c:pt idx="5">
                  <c:v>60.672991634833913</c:v>
                </c:pt>
                <c:pt idx="6">
                  <c:v>61.929932788549884</c:v>
                </c:pt>
                <c:pt idx="7">
                  <c:v>63.815344519123833</c:v>
                </c:pt>
                <c:pt idx="8">
                  <c:v>65.072285672839826</c:v>
                </c:pt>
                <c:pt idx="9">
                  <c:v>66.957697403413761</c:v>
                </c:pt>
                <c:pt idx="10">
                  <c:v>68.214638557129746</c:v>
                </c:pt>
                <c:pt idx="11">
                  <c:v>70.100050287703709</c:v>
                </c:pt>
                <c:pt idx="12">
                  <c:v>71.356991441419666</c:v>
                </c:pt>
                <c:pt idx="13">
                  <c:v>73.242403171993629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458304"/>
        <c:axId val="273460224"/>
      </c:scatterChart>
      <c:valAx>
        <c:axId val="27345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1.47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73460224"/>
        <c:crosses val="autoZero"/>
        <c:crossBetween val="midCat"/>
      </c:valAx>
      <c:valAx>
        <c:axId val="273460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52.21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73458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Tracciato della probabilità normale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Foglio5!$F$25:$F$38</c:f>
              <c:numCache>
                <c:formatCode>General</c:formatCode>
                <c:ptCount val="14"/>
                <c:pt idx="0">
                  <c:v>3.5714285714285716</c:v>
                </c:pt>
                <c:pt idx="1">
                  <c:v>10.714285714285715</c:v>
                </c:pt>
                <c:pt idx="2">
                  <c:v>17.857142857142858</c:v>
                </c:pt>
                <c:pt idx="3">
                  <c:v>25.000000000000004</c:v>
                </c:pt>
                <c:pt idx="4">
                  <c:v>32.142857142857146</c:v>
                </c:pt>
                <c:pt idx="5">
                  <c:v>39.285714285714285</c:v>
                </c:pt>
                <c:pt idx="6">
                  <c:v>46.428571428571431</c:v>
                </c:pt>
                <c:pt idx="7">
                  <c:v>53.571428571428569</c:v>
                </c:pt>
                <c:pt idx="8">
                  <c:v>60.714285714285715</c:v>
                </c:pt>
                <c:pt idx="9">
                  <c:v>67.857142857142861</c:v>
                </c:pt>
                <c:pt idx="10">
                  <c:v>75</c:v>
                </c:pt>
                <c:pt idx="11">
                  <c:v>82.142857142857139</c:v>
                </c:pt>
                <c:pt idx="12">
                  <c:v>89.285714285714292</c:v>
                </c:pt>
                <c:pt idx="13">
                  <c:v>96.428571428571431</c:v>
                </c:pt>
              </c:numCache>
            </c:numRef>
          </c:xVal>
          <c:yVal>
            <c:numRef>
              <c:f>Foglio5!$G$25:$G$38</c:f>
              <c:numCache>
                <c:formatCode>General</c:formatCode>
                <c:ptCount val="14"/>
                <c:pt idx="0">
                  <c:v>53.12</c:v>
                </c:pt>
                <c:pt idx="1">
                  <c:v>54.48</c:v>
                </c:pt>
                <c:pt idx="2">
                  <c:v>55.84</c:v>
                </c:pt>
                <c:pt idx="3">
                  <c:v>57.2</c:v>
                </c:pt>
                <c:pt idx="4">
                  <c:v>58.57</c:v>
                </c:pt>
                <c:pt idx="5">
                  <c:v>59.93</c:v>
                </c:pt>
                <c:pt idx="6">
                  <c:v>61.29</c:v>
                </c:pt>
                <c:pt idx="7">
                  <c:v>63.11</c:v>
                </c:pt>
                <c:pt idx="8">
                  <c:v>64.47</c:v>
                </c:pt>
                <c:pt idx="9">
                  <c:v>66.28</c:v>
                </c:pt>
                <c:pt idx="10">
                  <c:v>68.099999999999994</c:v>
                </c:pt>
                <c:pt idx="11">
                  <c:v>69.92</c:v>
                </c:pt>
                <c:pt idx="12">
                  <c:v>72.19</c:v>
                </c:pt>
                <c:pt idx="13">
                  <c:v>74.459999999999994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472896"/>
        <c:axId val="273479168"/>
      </c:scatterChart>
      <c:valAx>
        <c:axId val="27347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Percentile campionaria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3479168"/>
        <c:crosses val="autoZero"/>
        <c:crossBetween val="midCat"/>
      </c:valAx>
      <c:valAx>
        <c:axId val="273479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52.21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3472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26535</xdr:colOff>
      <xdr:row>21</xdr:row>
      <xdr:rowOff>179613</xdr:rowOff>
    </xdr:from>
    <xdr:to>
      <xdr:col>7</xdr:col>
      <xdr:colOff>680358</xdr:colOff>
      <xdr:row>38</xdr:row>
      <xdr:rowOff>176892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14363</xdr:colOff>
      <xdr:row>39</xdr:row>
      <xdr:rowOff>163286</xdr:rowOff>
    </xdr:from>
    <xdr:to>
      <xdr:col>7</xdr:col>
      <xdr:colOff>734785</xdr:colOff>
      <xdr:row>54</xdr:row>
      <xdr:rowOff>97064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26</xdr:row>
      <xdr:rowOff>0</xdr:rowOff>
    </xdr:from>
    <xdr:to>
      <xdr:col>15</xdr:col>
      <xdr:colOff>228600</xdr:colOff>
      <xdr:row>36</xdr:row>
      <xdr:rowOff>19050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514350</xdr:colOff>
      <xdr:row>14</xdr:row>
      <xdr:rowOff>66675</xdr:rowOff>
    </xdr:from>
    <xdr:to>
      <xdr:col>15</xdr:col>
      <xdr:colOff>514350</xdr:colOff>
      <xdr:row>24</xdr:row>
      <xdr:rowOff>66675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7"/>
  <sheetViews>
    <sheetView tabSelected="1" zoomScale="70" zoomScaleNormal="70" workbookViewId="0">
      <selection activeCell="J38" sqref="J38"/>
    </sheetView>
  </sheetViews>
  <sheetFormatPr defaultRowHeight="15" x14ac:dyDescent="0.25"/>
  <cols>
    <col min="1" max="1" width="10.28515625" bestFit="1" customWidth="1"/>
    <col min="2" max="2" width="9" customWidth="1"/>
    <col min="5" max="5" width="11.7109375" bestFit="1" customWidth="1"/>
    <col min="6" max="6" width="15.5703125" bestFit="1" customWidth="1"/>
    <col min="7" max="7" width="13.5703125" customWidth="1"/>
    <col min="8" max="8" width="11.7109375" bestFit="1" customWidth="1"/>
    <col min="9" max="9" width="17.42578125" bestFit="1" customWidth="1"/>
    <col min="10" max="10" width="10.140625" customWidth="1"/>
    <col min="11" max="11" width="10.5703125" customWidth="1"/>
    <col min="12" max="12" width="9.7109375" customWidth="1"/>
    <col min="13" max="14" width="10.5703125" customWidth="1"/>
    <col min="17" max="17" width="10.140625" customWidth="1"/>
    <col min="18" max="18" width="9.7109375" customWidth="1"/>
    <col min="19" max="19" width="23.42578125" customWidth="1"/>
    <col min="20" max="20" width="21.42578125" bestFit="1" customWidth="1"/>
  </cols>
  <sheetData>
    <row r="1" spans="1:20" x14ac:dyDescent="0.25">
      <c r="A1" t="s">
        <v>8</v>
      </c>
      <c r="B1" s="1" t="s">
        <v>9</v>
      </c>
      <c r="C1">
        <f>COUNTA(C5:C19)</f>
        <v>15</v>
      </c>
    </row>
    <row r="2" spans="1:20" x14ac:dyDescent="0.25">
      <c r="B2" s="1" t="s">
        <v>4</v>
      </c>
      <c r="C2" s="1" t="s">
        <v>5</v>
      </c>
      <c r="M2" s="3" t="s">
        <v>17</v>
      </c>
      <c r="O2" t="s">
        <v>44</v>
      </c>
      <c r="Q2" t="s">
        <v>46</v>
      </c>
    </row>
    <row r="3" spans="1:20" x14ac:dyDescent="0.25">
      <c r="B3" s="1" t="s">
        <v>3</v>
      </c>
      <c r="C3" s="1" t="s">
        <v>2</v>
      </c>
      <c r="E3" s="9" t="s">
        <v>35</v>
      </c>
      <c r="F3" s="9" t="s">
        <v>36</v>
      </c>
      <c r="H3" s="9" t="s">
        <v>37</v>
      </c>
      <c r="I3" s="9" t="s">
        <v>38</v>
      </c>
      <c r="K3" s="1" t="s">
        <v>39</v>
      </c>
      <c r="M3" s="1" t="s">
        <v>18</v>
      </c>
      <c r="N3" s="1" t="s">
        <v>20</v>
      </c>
      <c r="O3" s="1" t="s">
        <v>19</v>
      </c>
      <c r="Q3" s="1" t="s">
        <v>21</v>
      </c>
      <c r="S3" s="9" t="s">
        <v>26</v>
      </c>
      <c r="T3" s="9" t="s">
        <v>40</v>
      </c>
    </row>
    <row r="4" spans="1:20" x14ac:dyDescent="0.25">
      <c r="B4" s="1" t="s">
        <v>0</v>
      </c>
      <c r="C4" s="1" t="s">
        <v>1</v>
      </c>
      <c r="M4" s="1" t="s">
        <v>0</v>
      </c>
      <c r="N4" s="1" t="s">
        <v>1</v>
      </c>
      <c r="O4" s="1" t="s">
        <v>1</v>
      </c>
    </row>
    <row r="5" spans="1:20" x14ac:dyDescent="0.25">
      <c r="B5" s="2">
        <v>1.47</v>
      </c>
      <c r="C5" s="2">
        <v>52.21</v>
      </c>
      <c r="E5" s="5">
        <f t="shared" ref="E5:E19" si="0">B5-$B$20</f>
        <v>-0.18066666666666653</v>
      </c>
      <c r="F5" s="5">
        <f>E5^2</f>
        <v>3.2640444444444396E-2</v>
      </c>
      <c r="H5" s="2">
        <f t="shared" ref="H5:H19" si="1">C5-$C$20</f>
        <v>-9.8680000000000021</v>
      </c>
      <c r="I5" s="5">
        <f>H5^2</f>
        <v>97.377424000000047</v>
      </c>
      <c r="K5">
        <f t="shared" ref="K5:K19" si="2">E5*H5</f>
        <v>1.7828186666666657</v>
      </c>
      <c r="M5" s="2">
        <f>B5</f>
        <v>1.47</v>
      </c>
      <c r="N5" s="2">
        <f>$J$29+$J$28*M5</f>
        <v>51.008158298058689</v>
      </c>
      <c r="O5" s="2">
        <f>N5-C5</f>
        <v>-1.2018417019413121</v>
      </c>
      <c r="Q5" s="5">
        <f>O5^2</f>
        <v>1.4444234765251898</v>
      </c>
      <c r="S5" s="2">
        <f>N5-$C$20</f>
        <v>-11.069841701941314</v>
      </c>
      <c r="T5" s="5">
        <f>S5^2</f>
        <v>122.54139530603898</v>
      </c>
    </row>
    <row r="6" spans="1:20" x14ac:dyDescent="0.25">
      <c r="B6" s="2">
        <v>1.5</v>
      </c>
      <c r="C6" s="2">
        <v>53.12</v>
      </c>
      <c r="E6" s="5">
        <f t="shared" si="0"/>
        <v>-0.1506666666666665</v>
      </c>
      <c r="F6" s="5">
        <f t="shared" ref="F6:F19" si="3">E6^2</f>
        <v>2.2700444444444395E-2</v>
      </c>
      <c r="H6" s="2">
        <f t="shared" si="1"/>
        <v>-8.9580000000000055</v>
      </c>
      <c r="I6" s="5">
        <f t="shared" ref="I6:I19" si="4">H6^2</f>
        <v>80.245764000000094</v>
      </c>
      <c r="K6">
        <f t="shared" si="2"/>
        <v>1.3496719999999993</v>
      </c>
      <c r="M6" s="2">
        <f t="shared" ref="M6:M19" si="5">B6</f>
        <v>1.5</v>
      </c>
      <c r="N6" s="2">
        <f t="shared" ref="N6:N19" si="6">$J$29+$J$28*M6</f>
        <v>52.846323894322012</v>
      </c>
      <c r="O6" s="2">
        <f t="shared" ref="O6:O19" si="7">N6-C6</f>
        <v>-0.2736761056779855</v>
      </c>
      <c r="Q6" s="5">
        <f t="shared" ref="Q6:Q19" si="8">O6^2</f>
        <v>7.4898610819067887E-2</v>
      </c>
      <c r="S6" s="2">
        <f t="shared" ref="S6:S19" si="9">N6-$C$20</f>
        <v>-9.231676105677991</v>
      </c>
      <c r="T6" s="5">
        <f t="shared" ref="T6:T19" si="10">S6^2</f>
        <v>85.223843720145965</v>
      </c>
    </row>
    <row r="7" spans="1:20" x14ac:dyDescent="0.25">
      <c r="B7" s="2">
        <v>1.52</v>
      </c>
      <c r="C7" s="2">
        <v>54.48</v>
      </c>
      <c r="E7" s="5">
        <f t="shared" si="0"/>
        <v>-0.13066666666666649</v>
      </c>
      <c r="F7" s="5">
        <f t="shared" si="3"/>
        <v>1.7073777777777729E-2</v>
      </c>
      <c r="H7" s="2">
        <f t="shared" si="1"/>
        <v>-7.5980000000000061</v>
      </c>
      <c r="I7" s="5">
        <f t="shared" si="4"/>
        <v>57.729604000000094</v>
      </c>
      <c r="K7">
        <f t="shared" si="2"/>
        <v>0.99280533333333276</v>
      </c>
      <c r="M7" s="2">
        <f t="shared" si="5"/>
        <v>1.52</v>
      </c>
      <c r="N7" s="2">
        <f t="shared" si="6"/>
        <v>54.071767625164227</v>
      </c>
      <c r="O7" s="2">
        <f t="shared" si="7"/>
        <v>-0.40823237483576946</v>
      </c>
      <c r="Q7" s="5">
        <f t="shared" si="8"/>
        <v>0.16665367186405219</v>
      </c>
      <c r="S7" s="2">
        <f t="shared" si="9"/>
        <v>-8.0062323748357755</v>
      </c>
      <c r="T7" s="5">
        <f t="shared" si="10"/>
        <v>64.099756839868505</v>
      </c>
    </row>
    <row r="8" spans="1:20" x14ac:dyDescent="0.25">
      <c r="B8" s="2">
        <v>1.55</v>
      </c>
      <c r="C8" s="2">
        <v>55.84</v>
      </c>
      <c r="E8" s="5">
        <f t="shared" si="0"/>
        <v>-0.10066666666666646</v>
      </c>
      <c r="F8" s="5">
        <f t="shared" si="3"/>
        <v>1.0133777777777736E-2</v>
      </c>
      <c r="H8" s="2">
        <f t="shared" si="1"/>
        <v>-6.2379999999999995</v>
      </c>
      <c r="I8" s="5">
        <f t="shared" si="4"/>
        <v>38.912643999999993</v>
      </c>
      <c r="K8">
        <f t="shared" si="2"/>
        <v>0.62795866666666533</v>
      </c>
      <c r="M8" s="2">
        <f t="shared" si="5"/>
        <v>1.55</v>
      </c>
      <c r="N8" s="2">
        <f t="shared" si="6"/>
        <v>55.909933221427551</v>
      </c>
      <c r="O8" s="2">
        <f t="shared" si="7"/>
        <v>6.993322142754721E-2</v>
      </c>
      <c r="Q8" s="5">
        <f t="shared" si="8"/>
        <v>4.8906554592343483E-3</v>
      </c>
      <c r="S8" s="2">
        <f t="shared" si="9"/>
        <v>-6.1680667785724523</v>
      </c>
      <c r="T8" s="5">
        <f t="shared" si="10"/>
        <v>38.045047784929153</v>
      </c>
    </row>
    <row r="9" spans="1:20" x14ac:dyDescent="0.25">
      <c r="B9" s="2">
        <v>1.57</v>
      </c>
      <c r="C9" s="2">
        <v>57.2</v>
      </c>
      <c r="E9" s="5">
        <f t="shared" si="0"/>
        <v>-8.0666666666666442E-2</v>
      </c>
      <c r="F9" s="5">
        <f t="shared" si="3"/>
        <v>6.5071111111110747E-3</v>
      </c>
      <c r="H9" s="2">
        <f t="shared" si="1"/>
        <v>-4.8780000000000001</v>
      </c>
      <c r="I9" s="5">
        <f t="shared" si="4"/>
        <v>23.794884</v>
      </c>
      <c r="K9">
        <f t="shared" si="2"/>
        <v>0.3934919999999989</v>
      </c>
      <c r="M9" s="2">
        <f t="shared" si="5"/>
        <v>1.57</v>
      </c>
      <c r="N9" s="2">
        <f t="shared" si="6"/>
        <v>57.135376952269766</v>
      </c>
      <c r="O9" s="2">
        <f t="shared" si="7"/>
        <v>-6.4623047730236749E-2</v>
      </c>
      <c r="Q9" s="5">
        <f t="shared" si="8"/>
        <v>4.1761382979444567E-3</v>
      </c>
      <c r="S9" s="2">
        <f t="shared" si="9"/>
        <v>-4.9426230477302369</v>
      </c>
      <c r="T9" s="5">
        <f t="shared" si="10"/>
        <v>24.429522591954136</v>
      </c>
    </row>
    <row r="10" spans="1:20" x14ac:dyDescent="0.25">
      <c r="B10" s="2">
        <v>1.6</v>
      </c>
      <c r="C10" s="2">
        <v>58.57</v>
      </c>
      <c r="E10" s="5">
        <f t="shared" si="0"/>
        <v>-5.0666666666666416E-2</v>
      </c>
      <c r="F10" s="5">
        <f t="shared" si="3"/>
        <v>2.5671111111110856E-3</v>
      </c>
      <c r="H10" s="2">
        <f t="shared" si="1"/>
        <v>-3.5080000000000027</v>
      </c>
      <c r="I10" s="5">
        <f t="shared" si="4"/>
        <v>12.306064000000019</v>
      </c>
      <c r="K10">
        <f t="shared" si="2"/>
        <v>0.17773866666666593</v>
      </c>
      <c r="M10" s="2">
        <f t="shared" si="5"/>
        <v>1.6</v>
      </c>
      <c r="N10" s="2">
        <f t="shared" si="6"/>
        <v>58.973542548533075</v>
      </c>
      <c r="O10" s="2">
        <f t="shared" si="7"/>
        <v>0.40354254853307481</v>
      </c>
      <c r="Q10" s="5">
        <f t="shared" si="8"/>
        <v>0.16284658847656905</v>
      </c>
      <c r="S10" s="2">
        <f t="shared" si="9"/>
        <v>-3.1044574514669279</v>
      </c>
      <c r="T10" s="5">
        <f t="shared" si="10"/>
        <v>9.6376560679685319</v>
      </c>
    </row>
    <row r="11" spans="1:20" x14ac:dyDescent="0.25">
      <c r="B11" s="2">
        <v>1.63</v>
      </c>
      <c r="C11" s="2">
        <v>59.93</v>
      </c>
      <c r="E11" s="5">
        <f t="shared" si="0"/>
        <v>-2.0666666666666611E-2</v>
      </c>
      <c r="F11" s="5">
        <f t="shared" si="3"/>
        <v>4.271111111111088E-4</v>
      </c>
      <c r="H11" s="2">
        <f t="shared" si="1"/>
        <v>-2.1480000000000032</v>
      </c>
      <c r="I11" s="5">
        <f t="shared" si="4"/>
        <v>4.613904000000014</v>
      </c>
      <c r="K11">
        <f t="shared" si="2"/>
        <v>4.4391999999999945E-2</v>
      </c>
      <c r="M11" s="2">
        <f t="shared" si="5"/>
        <v>1.63</v>
      </c>
      <c r="N11" s="2">
        <f t="shared" si="6"/>
        <v>60.811708144796384</v>
      </c>
      <c r="O11" s="2">
        <f t="shared" si="7"/>
        <v>0.88170814479638437</v>
      </c>
      <c r="Q11" s="5">
        <f t="shared" si="8"/>
        <v>0.77740925260028193</v>
      </c>
      <c r="S11" s="2">
        <f t="shared" si="9"/>
        <v>-1.2662918552036189</v>
      </c>
      <c r="T11" s="5">
        <f t="shared" si="10"/>
        <v>1.6034950625550228</v>
      </c>
    </row>
    <row r="12" spans="1:20" x14ac:dyDescent="0.25">
      <c r="B12" s="2">
        <v>1.65</v>
      </c>
      <c r="C12" s="2">
        <v>61.29</v>
      </c>
      <c r="E12" s="5">
        <f t="shared" si="0"/>
        <v>-6.6666666666659324E-4</v>
      </c>
      <c r="F12" s="5">
        <f t="shared" si="3"/>
        <v>4.4444444444434655E-7</v>
      </c>
      <c r="H12" s="2">
        <f t="shared" si="1"/>
        <v>-0.78800000000000381</v>
      </c>
      <c r="I12" s="5">
        <f t="shared" si="4"/>
        <v>0.62094400000000605</v>
      </c>
      <c r="K12">
        <f t="shared" si="2"/>
        <v>5.2533333333327798E-4</v>
      </c>
      <c r="M12" s="2">
        <f t="shared" si="5"/>
        <v>1.65</v>
      </c>
      <c r="N12" s="2">
        <f t="shared" si="6"/>
        <v>62.0371518756386</v>
      </c>
      <c r="O12" s="2">
        <f t="shared" si="7"/>
        <v>0.74715187563860042</v>
      </c>
      <c r="Q12" s="5">
        <f t="shared" si="8"/>
        <v>0.55823592527027865</v>
      </c>
      <c r="S12" s="2">
        <f t="shared" si="9"/>
        <v>-4.0848124361403393E-2</v>
      </c>
      <c r="T12" s="5">
        <f t="shared" si="10"/>
        <v>1.6685692638446774E-3</v>
      </c>
    </row>
    <row r="13" spans="1:20" x14ac:dyDescent="0.25">
      <c r="B13" s="2">
        <v>1.68</v>
      </c>
      <c r="C13" s="2">
        <v>63.11</v>
      </c>
      <c r="E13" s="5">
        <f t="shared" si="0"/>
        <v>2.9333333333333433E-2</v>
      </c>
      <c r="F13" s="5">
        <f t="shared" si="3"/>
        <v>8.6044444444445035E-4</v>
      </c>
      <c r="H13" s="2">
        <f t="shared" si="1"/>
        <v>1.0319999999999965</v>
      </c>
      <c r="I13" s="5">
        <f t="shared" si="4"/>
        <v>1.0650239999999926</v>
      </c>
      <c r="K13">
        <f t="shared" si="2"/>
        <v>3.0272E-2</v>
      </c>
      <c r="M13" s="2">
        <f t="shared" si="5"/>
        <v>1.68</v>
      </c>
      <c r="N13" s="2">
        <f t="shared" si="6"/>
        <v>63.875317471901923</v>
      </c>
      <c r="O13" s="2">
        <f t="shared" si="7"/>
        <v>0.76531747190192334</v>
      </c>
      <c r="Q13" s="5">
        <f t="shared" si="8"/>
        <v>0.58571083279835123</v>
      </c>
      <c r="S13" s="2">
        <f t="shared" si="9"/>
        <v>1.7973174719019198</v>
      </c>
      <c r="T13" s="5">
        <f t="shared" si="10"/>
        <v>3.2303500948039083</v>
      </c>
    </row>
    <row r="14" spans="1:20" x14ac:dyDescent="0.25">
      <c r="B14" s="2">
        <v>1.7</v>
      </c>
      <c r="C14" s="2">
        <v>64.47</v>
      </c>
      <c r="E14" s="5">
        <f t="shared" si="0"/>
        <v>4.9333333333333451E-2</v>
      </c>
      <c r="F14" s="5">
        <f t="shared" si="3"/>
        <v>2.4337777777777895E-3</v>
      </c>
      <c r="H14" s="2">
        <f t="shared" si="1"/>
        <v>2.3919999999999959</v>
      </c>
      <c r="I14" s="5">
        <f t="shared" si="4"/>
        <v>5.7216639999999801</v>
      </c>
      <c r="K14">
        <f t="shared" si="2"/>
        <v>0.11800533333333341</v>
      </c>
      <c r="M14" s="2">
        <f t="shared" si="5"/>
        <v>1.7</v>
      </c>
      <c r="N14" s="2">
        <f t="shared" si="6"/>
        <v>65.100761202744138</v>
      </c>
      <c r="O14" s="2">
        <f t="shared" si="7"/>
        <v>0.63076120274413938</v>
      </c>
      <c r="Q14" s="5">
        <f t="shared" si="8"/>
        <v>0.39785969488723333</v>
      </c>
      <c r="S14" s="2">
        <f t="shared" si="9"/>
        <v>3.0227612027441353</v>
      </c>
      <c r="T14" s="5">
        <f t="shared" si="10"/>
        <v>9.1370852888151717</v>
      </c>
    </row>
    <row r="15" spans="1:20" x14ac:dyDescent="0.25">
      <c r="B15" s="2">
        <v>1.73</v>
      </c>
      <c r="C15" s="2">
        <v>66.28</v>
      </c>
      <c r="E15" s="5">
        <f t="shared" si="0"/>
        <v>7.9333333333333478E-2</v>
      </c>
      <c r="F15" s="5">
        <f t="shared" si="3"/>
        <v>6.2937777777778009E-3</v>
      </c>
      <c r="H15" s="2">
        <f t="shared" si="1"/>
        <v>4.2019999999999982</v>
      </c>
      <c r="I15" s="5">
        <f t="shared" si="4"/>
        <v>17.656803999999983</v>
      </c>
      <c r="K15">
        <f t="shared" si="2"/>
        <v>0.33335866666666714</v>
      </c>
      <c r="M15" s="2">
        <f t="shared" si="5"/>
        <v>1.73</v>
      </c>
      <c r="N15" s="2">
        <f t="shared" si="6"/>
        <v>66.938926799007461</v>
      </c>
      <c r="O15" s="2">
        <f t="shared" si="7"/>
        <v>0.65892679900746032</v>
      </c>
      <c r="Q15" s="5">
        <f t="shared" si="8"/>
        <v>0.43418452645021799</v>
      </c>
      <c r="S15" s="2">
        <f t="shared" si="9"/>
        <v>4.8609267990074585</v>
      </c>
      <c r="T15" s="5">
        <f t="shared" si="10"/>
        <v>23.628609345308895</v>
      </c>
    </row>
    <row r="16" spans="1:20" x14ac:dyDescent="0.25">
      <c r="B16" s="2">
        <v>1.75</v>
      </c>
      <c r="C16" s="2">
        <v>68.099999999999994</v>
      </c>
      <c r="E16" s="5">
        <f t="shared" si="0"/>
        <v>9.9333333333333496E-2</v>
      </c>
      <c r="F16" s="5">
        <f t="shared" si="3"/>
        <v>9.8671111111111442E-3</v>
      </c>
      <c r="H16" s="2">
        <f t="shared" si="1"/>
        <v>6.0219999999999914</v>
      </c>
      <c r="I16" s="5">
        <f t="shared" si="4"/>
        <v>36.264483999999896</v>
      </c>
      <c r="K16">
        <f t="shared" si="2"/>
        <v>0.59818533333333346</v>
      </c>
      <c r="M16" s="2">
        <f t="shared" si="5"/>
        <v>1.75</v>
      </c>
      <c r="N16" s="2">
        <f t="shared" si="6"/>
        <v>68.164370529849677</v>
      </c>
      <c r="O16" s="2">
        <f t="shared" si="7"/>
        <v>6.4370529849682612E-2</v>
      </c>
      <c r="Q16" s="5">
        <f t="shared" si="8"/>
        <v>4.1435651131288805E-3</v>
      </c>
      <c r="S16" s="2">
        <f t="shared" si="9"/>
        <v>6.086370529849674</v>
      </c>
      <c r="T16" s="5">
        <f t="shared" si="10"/>
        <v>37.043906226622603</v>
      </c>
    </row>
    <row r="17" spans="1:20" x14ac:dyDescent="0.25">
      <c r="B17" s="2">
        <v>1.78</v>
      </c>
      <c r="C17" s="2">
        <v>69.92</v>
      </c>
      <c r="E17" s="5">
        <f t="shared" si="0"/>
        <v>0.12933333333333352</v>
      </c>
      <c r="F17" s="5">
        <f t="shared" si="3"/>
        <v>1.6727111111111161E-2</v>
      </c>
      <c r="H17" s="2">
        <f t="shared" si="1"/>
        <v>7.8419999999999987</v>
      </c>
      <c r="I17" s="5">
        <f t="shared" si="4"/>
        <v>61.496963999999977</v>
      </c>
      <c r="K17">
        <f t="shared" si="2"/>
        <v>1.0142320000000014</v>
      </c>
      <c r="M17" s="2">
        <f t="shared" si="5"/>
        <v>1.78</v>
      </c>
      <c r="N17" s="2">
        <f t="shared" si="6"/>
        <v>70.002536126112986</v>
      </c>
      <c r="O17" s="2">
        <f t="shared" si="7"/>
        <v>8.2536126112984221E-2</v>
      </c>
      <c r="Q17" s="5">
        <f t="shared" si="8"/>
        <v>6.812212113738436E-3</v>
      </c>
      <c r="S17" s="2">
        <f t="shared" si="9"/>
        <v>7.924536126112983</v>
      </c>
      <c r="T17" s="5">
        <f t="shared" si="10"/>
        <v>62.798272814069762</v>
      </c>
    </row>
    <row r="18" spans="1:20" x14ac:dyDescent="0.25">
      <c r="B18" s="2">
        <v>1.8</v>
      </c>
      <c r="C18" s="2">
        <v>72.19</v>
      </c>
      <c r="E18" s="5">
        <f t="shared" si="0"/>
        <v>0.14933333333333354</v>
      </c>
      <c r="F18" s="5">
        <f t="shared" si="3"/>
        <v>2.2300444444444505E-2</v>
      </c>
      <c r="H18" s="2">
        <f t="shared" si="1"/>
        <v>10.111999999999995</v>
      </c>
      <c r="I18" s="5">
        <f t="shared" si="4"/>
        <v>102.2525439999999</v>
      </c>
      <c r="K18">
        <f t="shared" si="2"/>
        <v>1.510058666666668</v>
      </c>
      <c r="M18" s="2">
        <f t="shared" si="5"/>
        <v>1.8</v>
      </c>
      <c r="N18" s="2">
        <f t="shared" si="6"/>
        <v>71.227979856955201</v>
      </c>
      <c r="O18" s="2">
        <f t="shared" si="7"/>
        <v>-0.96202014304479633</v>
      </c>
      <c r="Q18" s="5">
        <f t="shared" si="8"/>
        <v>0.92548275562393034</v>
      </c>
      <c r="S18" s="2">
        <f t="shared" si="9"/>
        <v>9.1499798569551984</v>
      </c>
      <c r="T18" s="5">
        <f t="shared" si="10"/>
        <v>83.722131382685873</v>
      </c>
    </row>
    <row r="19" spans="1:20" x14ac:dyDescent="0.25">
      <c r="B19" s="2">
        <v>1.83</v>
      </c>
      <c r="C19" s="2">
        <v>74.459999999999994</v>
      </c>
      <c r="E19" s="5">
        <f t="shared" si="0"/>
        <v>0.17933333333333357</v>
      </c>
      <c r="F19" s="5">
        <f t="shared" si="3"/>
        <v>3.2160444444444526E-2</v>
      </c>
      <c r="H19" s="2">
        <f t="shared" si="1"/>
        <v>12.381999999999991</v>
      </c>
      <c r="I19" s="5">
        <f t="shared" si="4"/>
        <v>153.31392399999976</v>
      </c>
      <c r="K19">
        <f t="shared" si="2"/>
        <v>2.2205053333333344</v>
      </c>
      <c r="M19" s="2">
        <f t="shared" si="5"/>
        <v>1.83</v>
      </c>
      <c r="N19" s="2">
        <f t="shared" si="6"/>
        <v>73.066145453218525</v>
      </c>
      <c r="O19" s="2">
        <f t="shared" si="7"/>
        <v>-1.3938545467814691</v>
      </c>
      <c r="Q19" s="5">
        <f t="shared" si="8"/>
        <v>1.9428304975833748</v>
      </c>
      <c r="S19" s="2">
        <f t="shared" si="9"/>
        <v>10.988145453218522</v>
      </c>
      <c r="T19" s="5">
        <f t="shared" si="10"/>
        <v>120.73934050108687</v>
      </c>
    </row>
    <row r="20" spans="1:20" x14ac:dyDescent="0.25">
      <c r="A20" s="3" t="s">
        <v>6</v>
      </c>
      <c r="B20" s="4">
        <f>AVERAGE(B5:B19)</f>
        <v>1.6506666666666665</v>
      </c>
      <c r="C20" s="4">
        <f>AVERAGE(C5:C19)</f>
        <v>62.078000000000003</v>
      </c>
      <c r="E20" s="6">
        <f>SUM(E5:E19)</f>
        <v>2.4424906541753444E-15</v>
      </c>
      <c r="F20" s="6">
        <f>SUM(F5:F19)</f>
        <v>0.18269333333333335</v>
      </c>
      <c r="H20" s="6">
        <f>SUM(H5:H19)</f>
        <v>-5.6843418860808015E-14</v>
      </c>
      <c r="I20" s="6">
        <f>SUM(I5:I19)</f>
        <v>693.37263999999982</v>
      </c>
      <c r="J20" s="3" t="s">
        <v>31</v>
      </c>
      <c r="P20" s="10" t="s">
        <v>23</v>
      </c>
      <c r="S20" s="10" t="s">
        <v>30</v>
      </c>
    </row>
    <row r="21" spans="1:20" x14ac:dyDescent="0.25">
      <c r="A21" s="3" t="s">
        <v>34</v>
      </c>
      <c r="B21" s="7">
        <f>_xlfn.VAR.P(B5:B19)</f>
        <v>1.2179555555555556E-2</v>
      </c>
      <c r="C21" s="7">
        <f>_xlfn.VAR.P(C5:C19)</f>
        <v>46.224842666665403</v>
      </c>
      <c r="E21" s="5"/>
      <c r="F21" s="8">
        <f>F20/C1</f>
        <v>1.2179555555555556E-2</v>
      </c>
      <c r="I21" s="8">
        <f>I20/C1</f>
        <v>46.224842666666653</v>
      </c>
      <c r="P21" s="10" t="s">
        <v>22</v>
      </c>
      <c r="Q21" s="6">
        <f>SUM(Q5:Q19)</f>
        <v>7.4905584038825914</v>
      </c>
      <c r="S21" s="3" t="s">
        <v>27</v>
      </c>
      <c r="T21" s="6">
        <f>SUM(T5:T19)</f>
        <v>685.88208159611725</v>
      </c>
    </row>
    <row r="22" spans="1:20" x14ac:dyDescent="0.25">
      <c r="C22" s="7"/>
    </row>
    <row r="23" spans="1:20" x14ac:dyDescent="0.25">
      <c r="R23" s="20" t="s">
        <v>24</v>
      </c>
    </row>
    <row r="24" spans="1:20" x14ac:dyDescent="0.25">
      <c r="R24" s="21" t="s">
        <v>25</v>
      </c>
      <c r="S24">
        <f>T21/I20</f>
        <v>0.98919692244579682</v>
      </c>
      <c r="T24" s="9" t="s">
        <v>28</v>
      </c>
    </row>
    <row r="25" spans="1:20" x14ac:dyDescent="0.25">
      <c r="I25" t="s">
        <v>7</v>
      </c>
      <c r="J25">
        <f>SUM(K5:K19)/C1</f>
        <v>0.74626799999999993</v>
      </c>
      <c r="R25" s="21" t="s">
        <v>25</v>
      </c>
      <c r="S25">
        <f>1-Q21/I20</f>
        <v>0.98919692244579682</v>
      </c>
      <c r="T25" s="9" t="s">
        <v>29</v>
      </c>
    </row>
    <row r="26" spans="1:20" x14ac:dyDescent="0.25">
      <c r="I26" t="s">
        <v>10</v>
      </c>
      <c r="J26">
        <f>B21</f>
        <v>1.2179555555555556E-2</v>
      </c>
    </row>
    <row r="27" spans="1:20" x14ac:dyDescent="0.25">
      <c r="R27" s="3" t="s">
        <v>104</v>
      </c>
    </row>
    <row r="28" spans="1:20" x14ac:dyDescent="0.25">
      <c r="I28" t="s">
        <v>11</v>
      </c>
      <c r="J28">
        <f>J25/J26</f>
        <v>61.272186542110632</v>
      </c>
      <c r="K28" s="11" t="s">
        <v>32</v>
      </c>
      <c r="O28">
        <f>SLOPE(C5:C19,B5:B19)</f>
        <v>61.272186542110624</v>
      </c>
      <c r="R28" t="s">
        <v>99</v>
      </c>
      <c r="S28">
        <f>_xlfn.STDEV.S(B5:B19)</f>
        <v>0.11423451233985206</v>
      </c>
    </row>
    <row r="29" spans="1:20" x14ac:dyDescent="0.25">
      <c r="I29" t="s">
        <v>12</v>
      </c>
      <c r="J29">
        <f>C20-J28*B20</f>
        <v>-39.061955918843935</v>
      </c>
      <c r="K29" s="11" t="s">
        <v>33</v>
      </c>
      <c r="O29">
        <f>INTERCEPT(C5:C19,B5:B19)</f>
        <v>-39.061955918843921</v>
      </c>
      <c r="R29" t="s">
        <v>98</v>
      </c>
      <c r="S29">
        <f>_xlfn.STDEV.S(C5:C19)</f>
        <v>7.0375149834907065</v>
      </c>
    </row>
    <row r="30" spans="1:20" x14ac:dyDescent="0.25">
      <c r="R30" t="s">
        <v>100</v>
      </c>
      <c r="S30">
        <f>_xlfn.COVARIANCE.S(B5:B19,C5:C19)</f>
        <v>0.79957285714285697</v>
      </c>
    </row>
    <row r="31" spans="1:20" x14ac:dyDescent="0.25">
      <c r="I31" s="3" t="s">
        <v>13</v>
      </c>
      <c r="R31" t="s">
        <v>101</v>
      </c>
      <c r="S31">
        <f>S30/S28/S29</f>
        <v>0.99458379357689863</v>
      </c>
    </row>
    <row r="32" spans="1:20" x14ac:dyDescent="0.25">
      <c r="I32" s="9" t="s">
        <v>14</v>
      </c>
      <c r="J32" s="9" t="s">
        <v>12</v>
      </c>
      <c r="K32" s="1" t="s">
        <v>15</v>
      </c>
      <c r="L32" s="9" t="s">
        <v>11</v>
      </c>
      <c r="M32" t="s">
        <v>16</v>
      </c>
      <c r="R32" t="s">
        <v>102</v>
      </c>
      <c r="S32">
        <f>S31^2</f>
        <v>0.98919692244581492</v>
      </c>
    </row>
    <row r="33" spans="9:20" x14ac:dyDescent="0.25">
      <c r="I33" s="10" t="s">
        <v>105</v>
      </c>
      <c r="J33" s="3">
        <f>J29</f>
        <v>-39.061955918843935</v>
      </c>
      <c r="K33" s="12" t="s">
        <v>15</v>
      </c>
      <c r="L33" s="3">
        <f>J28</f>
        <v>61.272186542110632</v>
      </c>
      <c r="M33" s="3" t="s">
        <v>16</v>
      </c>
    </row>
    <row r="34" spans="9:20" x14ac:dyDescent="0.25">
      <c r="R34" s="3" t="s">
        <v>103</v>
      </c>
    </row>
    <row r="36" spans="9:20" x14ac:dyDescent="0.25">
      <c r="J36" s="9" t="s">
        <v>41</v>
      </c>
      <c r="K36" s="9" t="s">
        <v>42</v>
      </c>
      <c r="L36" t="s">
        <v>22</v>
      </c>
    </row>
    <row r="37" spans="9:20" x14ac:dyDescent="0.25">
      <c r="J37" s="13">
        <f>I20</f>
        <v>693.37263999999982</v>
      </c>
      <c r="K37" s="5">
        <f>T21</f>
        <v>685.88208159611725</v>
      </c>
      <c r="L37" s="5">
        <f>Q21</f>
        <v>7.4905584038825914</v>
      </c>
      <c r="M37" s="13">
        <f>K37+L37</f>
        <v>693.37263999999982</v>
      </c>
    </row>
    <row r="40" spans="9:20" x14ac:dyDescent="0.25">
      <c r="I40" s="3" t="s">
        <v>43</v>
      </c>
    </row>
    <row r="41" spans="9:20" x14ac:dyDescent="0.25">
      <c r="I41" s="3" t="s">
        <v>45</v>
      </c>
      <c r="J41" s="3">
        <f>SQRT(Q21/(C1-2))</f>
        <v>0.75907628094853608</v>
      </c>
      <c r="L41" t="s">
        <v>47</v>
      </c>
    </row>
    <row r="42" spans="9:20" x14ac:dyDescent="0.25">
      <c r="I42" t="s">
        <v>48</v>
      </c>
    </row>
    <row r="43" spans="9:20" x14ac:dyDescent="0.25">
      <c r="I43" t="s">
        <v>49</v>
      </c>
    </row>
    <row r="44" spans="9:20" x14ac:dyDescent="0.25">
      <c r="I44" t="s">
        <v>50</v>
      </c>
      <c r="T44" t="s">
        <v>54</v>
      </c>
    </row>
    <row r="45" spans="9:20" x14ac:dyDescent="0.25">
      <c r="T45" s="5">
        <f>B5^2</f>
        <v>2.1608999999999998</v>
      </c>
    </row>
    <row r="46" spans="9:20" x14ac:dyDescent="0.25">
      <c r="I46" s="3" t="s">
        <v>51</v>
      </c>
      <c r="T46" s="5">
        <f t="shared" ref="T46:T59" si="11">B6^2</f>
        <v>2.25</v>
      </c>
    </row>
    <row r="47" spans="9:20" x14ac:dyDescent="0.25">
      <c r="I47" t="s">
        <v>52</v>
      </c>
      <c r="J47">
        <f>J41*SQRT(R47)/SQRT(C1*F20)</f>
        <v>2.9380010671834427</v>
      </c>
      <c r="Q47" t="s">
        <v>53</v>
      </c>
      <c r="R47" s="5">
        <f>SUM(T45:T59)</f>
        <v>41.053199999999997</v>
      </c>
      <c r="T47" s="5">
        <f t="shared" si="11"/>
        <v>2.3104</v>
      </c>
    </row>
    <row r="48" spans="9:20" x14ac:dyDescent="0.25">
      <c r="T48" s="5">
        <f t="shared" si="11"/>
        <v>2.4025000000000003</v>
      </c>
    </row>
    <row r="49" spans="9:20" x14ac:dyDescent="0.25">
      <c r="I49" s="3" t="s">
        <v>55</v>
      </c>
      <c r="T49" s="5">
        <f t="shared" si="11"/>
        <v>2.4649000000000001</v>
      </c>
    </row>
    <row r="50" spans="9:20" x14ac:dyDescent="0.25">
      <c r="I50" t="s">
        <v>56</v>
      </c>
      <c r="J50">
        <f>J41/SQRT(F20)</f>
        <v>1.7759227522153649</v>
      </c>
      <c r="T50" s="5">
        <f t="shared" si="11"/>
        <v>2.5600000000000005</v>
      </c>
    </row>
    <row r="51" spans="9:20" x14ac:dyDescent="0.25">
      <c r="T51" s="5">
        <f t="shared" si="11"/>
        <v>2.6568999999999998</v>
      </c>
    </row>
    <row r="52" spans="9:20" x14ac:dyDescent="0.25">
      <c r="I52" s="3" t="s">
        <v>57</v>
      </c>
      <c r="T52" s="5">
        <f t="shared" si="11"/>
        <v>2.7224999999999997</v>
      </c>
    </row>
    <row r="53" spans="9:20" x14ac:dyDescent="0.25">
      <c r="I53" s="15">
        <f>J53-J47</f>
        <v>-41.999956986027378</v>
      </c>
      <c r="J53" s="15">
        <f>$J$29</f>
        <v>-39.061955918843935</v>
      </c>
      <c r="K53" s="15">
        <f>J53+J47</f>
        <v>-36.123954851660493</v>
      </c>
      <c r="M53" s="14">
        <v>0.68300000000000005</v>
      </c>
      <c r="N53" t="s">
        <v>58</v>
      </c>
      <c r="T53" s="5">
        <f t="shared" si="11"/>
        <v>2.8223999999999996</v>
      </c>
    </row>
    <row r="54" spans="9:20" x14ac:dyDescent="0.25">
      <c r="I54" s="15">
        <f>J54-2*J47</f>
        <v>-44.937958053210821</v>
      </c>
      <c r="J54" s="15">
        <f t="shared" ref="J54:J55" si="12">$J$29</f>
        <v>-39.061955918843935</v>
      </c>
      <c r="K54" s="15">
        <f>J54+2*J47</f>
        <v>-33.18595378447705</v>
      </c>
      <c r="M54" s="14">
        <v>0.95499999999999996</v>
      </c>
      <c r="N54" t="s">
        <v>58</v>
      </c>
      <c r="T54" s="5">
        <f t="shared" si="11"/>
        <v>2.8899999999999997</v>
      </c>
    </row>
    <row r="55" spans="9:20" x14ac:dyDescent="0.25">
      <c r="I55" s="15">
        <f>J55-3*J47</f>
        <v>-47.875959120394263</v>
      </c>
      <c r="J55" s="15">
        <f t="shared" si="12"/>
        <v>-39.061955918843935</v>
      </c>
      <c r="K55" s="15">
        <f>J55+3*J47</f>
        <v>-30.247952717293607</v>
      </c>
      <c r="M55" s="14">
        <v>0.997</v>
      </c>
      <c r="N55" t="s">
        <v>58</v>
      </c>
      <c r="T55" s="5">
        <f t="shared" si="11"/>
        <v>2.9929000000000001</v>
      </c>
    </row>
    <row r="56" spans="9:20" x14ac:dyDescent="0.25">
      <c r="T56" s="5">
        <f t="shared" si="11"/>
        <v>3.0625</v>
      </c>
    </row>
    <row r="57" spans="9:20" x14ac:dyDescent="0.25">
      <c r="I57" s="3" t="s">
        <v>59</v>
      </c>
      <c r="T57" s="5">
        <f t="shared" si="11"/>
        <v>3.1684000000000001</v>
      </c>
    </row>
    <row r="58" spans="9:20" x14ac:dyDescent="0.25">
      <c r="I58" s="15">
        <f>J58-J50</f>
        <v>59.496263789895266</v>
      </c>
      <c r="J58" s="15">
        <f>$J$28</f>
        <v>61.272186542110632</v>
      </c>
      <c r="K58" s="15">
        <f>J58+J50</f>
        <v>63.048109294325997</v>
      </c>
      <c r="M58" s="14">
        <v>0.68300000000000005</v>
      </c>
      <c r="N58" t="s">
        <v>58</v>
      </c>
      <c r="T58" s="5">
        <f t="shared" si="11"/>
        <v>3.24</v>
      </c>
    </row>
    <row r="59" spans="9:20" x14ac:dyDescent="0.25">
      <c r="I59" s="15">
        <f>J59-2*J50</f>
        <v>57.720341037679901</v>
      </c>
      <c r="J59" s="15">
        <f t="shared" ref="J59:J60" si="13">$J$28</f>
        <v>61.272186542110632</v>
      </c>
      <c r="K59" s="15">
        <f>J59+2*J50</f>
        <v>64.824032046541362</v>
      </c>
      <c r="M59" s="14">
        <v>0.95499999999999996</v>
      </c>
      <c r="N59" t="s">
        <v>58</v>
      </c>
      <c r="T59" s="5">
        <f t="shared" si="11"/>
        <v>3.3489000000000004</v>
      </c>
    </row>
    <row r="60" spans="9:20" x14ac:dyDescent="0.25">
      <c r="I60" s="15">
        <f>J60-3*J50</f>
        <v>55.944418285464536</v>
      </c>
      <c r="J60" s="15">
        <f t="shared" si="13"/>
        <v>61.272186542110632</v>
      </c>
      <c r="K60" s="15">
        <f>J60+3*J50</f>
        <v>66.599954798756727</v>
      </c>
      <c r="M60" s="14">
        <v>0.997</v>
      </c>
      <c r="N60" t="s">
        <v>58</v>
      </c>
    </row>
    <row r="62" spans="9:20" x14ac:dyDescent="0.25">
      <c r="I62" s="3" t="s">
        <v>96</v>
      </c>
    </row>
    <row r="63" spans="9:20" x14ac:dyDescent="0.25">
      <c r="I63" t="s">
        <v>91</v>
      </c>
    </row>
    <row r="64" spans="9:20" x14ac:dyDescent="0.25">
      <c r="I64" t="s">
        <v>92</v>
      </c>
    </row>
    <row r="66" spans="9:15" x14ac:dyDescent="0.25">
      <c r="I66" t="s">
        <v>93</v>
      </c>
      <c r="J66">
        <f>J28*SQRT(F20)/J41</f>
        <v>34.501605695223503</v>
      </c>
    </row>
    <row r="67" spans="9:15" x14ac:dyDescent="0.25">
      <c r="I67" t="s">
        <v>94</v>
      </c>
      <c r="J67">
        <f>_xlfn.T.DIST.2T(J66,C1-2)</f>
        <v>3.6035153395485979E-14</v>
      </c>
      <c r="L67" t="s">
        <v>95</v>
      </c>
      <c r="M67">
        <v>0.05</v>
      </c>
      <c r="O67" s="3" t="s">
        <v>97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sqref="A1:I38"/>
    </sheetView>
  </sheetViews>
  <sheetFormatPr defaultRowHeight="15" x14ac:dyDescent="0.25"/>
  <cols>
    <col min="1" max="1" width="14" customWidth="1"/>
    <col min="2" max="2" width="11.140625" customWidth="1"/>
  </cols>
  <sheetData>
    <row r="1" spans="1:9" x14ac:dyDescent="0.25">
      <c r="A1" t="s">
        <v>60</v>
      </c>
    </row>
    <row r="2" spans="1:9" ht="15.75" thickBot="1" x14ac:dyDescent="0.3"/>
    <row r="3" spans="1:9" x14ac:dyDescent="0.25">
      <c r="A3" s="19" t="s">
        <v>61</v>
      </c>
      <c r="B3" s="19"/>
    </row>
    <row r="4" spans="1:9" x14ac:dyDescent="0.25">
      <c r="A4" s="16" t="s">
        <v>62</v>
      </c>
      <c r="B4" s="16">
        <v>0.99525512286997386</v>
      </c>
    </row>
    <row r="5" spans="1:9" x14ac:dyDescent="0.25">
      <c r="A5" s="16" t="s">
        <v>63</v>
      </c>
      <c r="B5" s="16">
        <v>0.99053275959892673</v>
      </c>
    </row>
    <row r="6" spans="1:9" x14ac:dyDescent="0.25">
      <c r="A6" s="16" t="s">
        <v>64</v>
      </c>
      <c r="B6" s="16">
        <v>0.98974382289883733</v>
      </c>
    </row>
    <row r="7" spans="1:9" x14ac:dyDescent="0.25">
      <c r="A7" s="16" t="s">
        <v>65</v>
      </c>
      <c r="B7" s="16">
        <v>0.68170009965464229</v>
      </c>
    </row>
    <row r="8" spans="1:9" ht="15.75" thickBot="1" x14ac:dyDescent="0.3">
      <c r="A8" s="17" t="s">
        <v>66</v>
      </c>
      <c r="B8" s="17">
        <v>14</v>
      </c>
    </row>
    <row r="10" spans="1:9" ht="15.75" thickBot="1" x14ac:dyDescent="0.3">
      <c r="A10" t="s">
        <v>67</v>
      </c>
    </row>
    <row r="11" spans="1:9" x14ac:dyDescent="0.25">
      <c r="A11" s="18"/>
      <c r="B11" s="18" t="s">
        <v>72</v>
      </c>
      <c r="C11" s="18" t="s">
        <v>73</v>
      </c>
      <c r="D11" s="18" t="s">
        <v>74</v>
      </c>
      <c r="E11" s="18" t="s">
        <v>75</v>
      </c>
      <c r="F11" s="18" t="s">
        <v>76</v>
      </c>
    </row>
    <row r="12" spans="1:9" x14ac:dyDescent="0.25">
      <c r="A12" s="16" t="s">
        <v>68</v>
      </c>
      <c r="B12" s="16">
        <v>1</v>
      </c>
      <c r="C12" s="16">
        <v>583.46310540385571</v>
      </c>
      <c r="D12" s="16">
        <v>583.46310540385571</v>
      </c>
      <c r="E12" s="16">
        <v>1255.5288142719592</v>
      </c>
      <c r="F12" s="16">
        <v>1.6308798678473983E-13</v>
      </c>
    </row>
    <row r="13" spans="1:9" x14ac:dyDescent="0.25">
      <c r="A13" s="16" t="s">
        <v>69</v>
      </c>
      <c r="B13" s="16">
        <v>12</v>
      </c>
      <c r="C13" s="16">
        <v>5.5765803104297902</v>
      </c>
      <c r="D13" s="16">
        <v>0.4647150258691492</v>
      </c>
      <c r="E13" s="16"/>
      <c r="F13" s="16"/>
    </row>
    <row r="14" spans="1:9" ht="15.75" thickBot="1" x14ac:dyDescent="0.3">
      <c r="A14" s="17" t="s">
        <v>70</v>
      </c>
      <c r="B14" s="17">
        <v>13</v>
      </c>
      <c r="C14" s="17">
        <v>589.0396857142855</v>
      </c>
      <c r="D14" s="17"/>
      <c r="E14" s="17"/>
      <c r="F14" s="17"/>
    </row>
    <row r="15" spans="1:9" ht="15.75" thickBot="1" x14ac:dyDescent="0.3"/>
    <row r="16" spans="1:9" x14ac:dyDescent="0.25">
      <c r="A16" s="18"/>
      <c r="B16" s="18" t="s">
        <v>77</v>
      </c>
      <c r="C16" s="18" t="s">
        <v>65</v>
      </c>
      <c r="D16" s="18" t="s">
        <v>78</v>
      </c>
      <c r="E16" s="18" t="s">
        <v>79</v>
      </c>
      <c r="F16" s="18" t="s">
        <v>80</v>
      </c>
      <c r="G16" s="18" t="s">
        <v>81</v>
      </c>
      <c r="H16" s="18" t="s">
        <v>82</v>
      </c>
      <c r="I16" s="18" t="s">
        <v>83</v>
      </c>
    </row>
    <row r="17" spans="1:9" x14ac:dyDescent="0.25">
      <c r="A17" s="16" t="s">
        <v>71</v>
      </c>
      <c r="B17" s="16">
        <v>-41.767712393017739</v>
      </c>
      <c r="C17" s="16">
        <v>2.9562380580123766</v>
      </c>
      <c r="D17" s="16">
        <v>-14.128670145428076</v>
      </c>
      <c r="E17" s="16">
        <v>7.6894613805607296E-9</v>
      </c>
      <c r="F17" s="16">
        <v>-48.208801801365638</v>
      </c>
      <c r="G17" s="16">
        <v>-35.326622984669839</v>
      </c>
      <c r="H17" s="16">
        <v>-48.208801801365638</v>
      </c>
      <c r="I17" s="16">
        <v>-35.326622984669839</v>
      </c>
    </row>
    <row r="18" spans="1:9" ht="15.75" thickBot="1" x14ac:dyDescent="0.3">
      <c r="A18" s="17">
        <v>1.47</v>
      </c>
      <c r="B18" s="17">
        <v>62.847057685798561</v>
      </c>
      <c r="C18" s="17">
        <v>1.7736650486317098</v>
      </c>
      <c r="D18" s="17">
        <v>35.433442032520055</v>
      </c>
      <c r="E18" s="17">
        <v>1.6308798678473983E-13</v>
      </c>
      <c r="F18" s="17">
        <v>58.98257352230744</v>
      </c>
      <c r="G18" s="17">
        <v>66.711541849289674</v>
      </c>
      <c r="H18" s="17">
        <v>58.98257352230744</v>
      </c>
      <c r="I18" s="17">
        <v>66.711541849289674</v>
      </c>
    </row>
    <row r="22" spans="1:9" x14ac:dyDescent="0.25">
      <c r="A22" t="s">
        <v>84</v>
      </c>
      <c r="F22" t="s">
        <v>89</v>
      </c>
    </row>
    <row r="23" spans="1:9" ht="15.75" thickBot="1" x14ac:dyDescent="0.3"/>
    <row r="24" spans="1:9" x14ac:dyDescent="0.25">
      <c r="A24" s="18" t="s">
        <v>85</v>
      </c>
      <c r="B24" s="18" t="s">
        <v>86</v>
      </c>
      <c r="C24" s="18" t="s">
        <v>87</v>
      </c>
      <c r="D24" s="18" t="s">
        <v>88</v>
      </c>
      <c r="F24" s="18" t="s">
        <v>90</v>
      </c>
      <c r="G24" s="18">
        <v>52.21</v>
      </c>
    </row>
    <row r="25" spans="1:9" x14ac:dyDescent="0.25">
      <c r="A25" s="16">
        <v>1</v>
      </c>
      <c r="B25" s="16">
        <v>52.502874135680095</v>
      </c>
      <c r="C25" s="16">
        <v>0.61712586431990246</v>
      </c>
      <c r="D25" s="16">
        <v>0.94223979855416318</v>
      </c>
      <c r="F25" s="16">
        <v>3.5714285714285716</v>
      </c>
      <c r="G25" s="16">
        <v>53.12</v>
      </c>
    </row>
    <row r="26" spans="1:9" x14ac:dyDescent="0.25">
      <c r="A26" s="16">
        <v>2</v>
      </c>
      <c r="B26" s="16">
        <v>53.75981528939608</v>
      </c>
      <c r="C26" s="16">
        <v>0.72018471060391676</v>
      </c>
      <c r="D26" s="16">
        <v>1.0995920538657908</v>
      </c>
      <c r="F26" s="16">
        <v>10.714285714285715</v>
      </c>
      <c r="G26" s="16">
        <v>54.48</v>
      </c>
    </row>
    <row r="27" spans="1:9" x14ac:dyDescent="0.25">
      <c r="A27" s="16">
        <v>3</v>
      </c>
      <c r="B27" s="16">
        <v>55.645227019970029</v>
      </c>
      <c r="C27" s="16">
        <v>0.19477298002997401</v>
      </c>
      <c r="D27" s="16">
        <v>0.29738318239098005</v>
      </c>
      <c r="F27" s="16">
        <v>17.857142857142858</v>
      </c>
      <c r="G27" s="16">
        <v>55.84</v>
      </c>
    </row>
    <row r="28" spans="1:9" x14ac:dyDescent="0.25">
      <c r="A28" s="16">
        <v>4</v>
      </c>
      <c r="B28" s="16">
        <v>56.902168173686</v>
      </c>
      <c r="C28" s="16">
        <v>0.29783182631400251</v>
      </c>
      <c r="D28" s="16">
        <v>0.45473543770262931</v>
      </c>
      <c r="F28" s="16">
        <v>25.000000000000004</v>
      </c>
      <c r="G28" s="16">
        <v>57.2</v>
      </c>
    </row>
    <row r="29" spans="1:9" x14ac:dyDescent="0.25">
      <c r="A29" s="16">
        <v>5</v>
      </c>
      <c r="B29" s="16">
        <v>58.787579904259964</v>
      </c>
      <c r="C29" s="16">
        <v>-0.21757990425996354</v>
      </c>
      <c r="D29" s="16">
        <v>-0.33220523885394776</v>
      </c>
      <c r="F29" s="16">
        <v>32.142857142857146</v>
      </c>
      <c r="G29" s="16">
        <v>58.57</v>
      </c>
    </row>
    <row r="30" spans="1:9" x14ac:dyDescent="0.25">
      <c r="A30" s="16">
        <v>6</v>
      </c>
      <c r="B30" s="16">
        <v>60.672991634833913</v>
      </c>
      <c r="C30" s="16">
        <v>-0.74299163483391339</v>
      </c>
      <c r="D30" s="16">
        <v>-1.1344141103287693</v>
      </c>
      <c r="F30" s="16">
        <v>39.285714285714285</v>
      </c>
      <c r="G30" s="16">
        <v>59.93</v>
      </c>
    </row>
    <row r="31" spans="1:9" x14ac:dyDescent="0.25">
      <c r="A31" s="16">
        <v>7</v>
      </c>
      <c r="B31" s="16">
        <v>61.929932788549884</v>
      </c>
      <c r="C31" s="16">
        <v>-0.63993278854988489</v>
      </c>
      <c r="D31" s="16">
        <v>-0.97706185501712006</v>
      </c>
      <c r="F31" s="16">
        <v>46.428571428571431</v>
      </c>
      <c r="G31" s="16">
        <v>61.29</v>
      </c>
    </row>
    <row r="32" spans="1:9" x14ac:dyDescent="0.25">
      <c r="A32" s="16">
        <v>8</v>
      </c>
      <c r="B32" s="16">
        <v>63.815344519123833</v>
      </c>
      <c r="C32" s="16">
        <v>-0.70534451912383389</v>
      </c>
      <c r="D32" s="16">
        <v>-1.0769337602515565</v>
      </c>
      <c r="F32" s="16">
        <v>53.571428571428569</v>
      </c>
      <c r="G32" s="16">
        <v>63.11</v>
      </c>
    </row>
    <row r="33" spans="1:7" x14ac:dyDescent="0.25">
      <c r="A33" s="16">
        <v>9</v>
      </c>
      <c r="B33" s="16">
        <v>65.072285672839826</v>
      </c>
      <c r="C33" s="16">
        <v>-0.6022856728398267</v>
      </c>
      <c r="D33" s="16">
        <v>-0.91958150493993973</v>
      </c>
      <c r="F33" s="16">
        <v>60.714285714285715</v>
      </c>
      <c r="G33" s="16">
        <v>64.47</v>
      </c>
    </row>
    <row r="34" spans="1:7" x14ac:dyDescent="0.25">
      <c r="A34" s="16">
        <v>10</v>
      </c>
      <c r="B34" s="16">
        <v>66.957697403413761</v>
      </c>
      <c r="C34" s="16">
        <v>-0.6776974034137595</v>
      </c>
      <c r="D34" s="16">
        <v>-1.0347216050926205</v>
      </c>
      <c r="F34" s="16">
        <v>67.857142857142861</v>
      </c>
      <c r="G34" s="16">
        <v>66.28</v>
      </c>
    </row>
    <row r="35" spans="1:7" x14ac:dyDescent="0.25">
      <c r="A35" s="16">
        <v>11</v>
      </c>
      <c r="B35" s="16">
        <v>68.214638557129746</v>
      </c>
      <c r="C35" s="16">
        <v>-0.11463855712975146</v>
      </c>
      <c r="D35" s="16">
        <v>-0.17503238354061865</v>
      </c>
      <c r="F35" s="16">
        <v>75</v>
      </c>
      <c r="G35" s="16">
        <v>68.099999999999994</v>
      </c>
    </row>
    <row r="36" spans="1:7" x14ac:dyDescent="0.25">
      <c r="A36" s="16">
        <v>12</v>
      </c>
      <c r="B36" s="16">
        <v>70.100050287703709</v>
      </c>
      <c r="C36" s="16">
        <v>-0.18005028770370757</v>
      </c>
      <c r="D36" s="16">
        <v>-0.27490428877506579</v>
      </c>
      <c r="F36" s="16">
        <v>82.142857142857139</v>
      </c>
      <c r="G36" s="16">
        <v>69.92</v>
      </c>
    </row>
    <row r="37" spans="1:7" x14ac:dyDescent="0.25">
      <c r="A37" s="16">
        <v>13</v>
      </c>
      <c r="B37" s="16">
        <v>71.356991441419666</v>
      </c>
      <c r="C37" s="16">
        <v>0.83300855858033174</v>
      </c>
      <c r="D37" s="16">
        <v>1.2718537040990985</v>
      </c>
      <c r="F37" s="16">
        <v>89.285714285714292</v>
      </c>
      <c r="G37" s="16">
        <v>72.19</v>
      </c>
    </row>
    <row r="38" spans="1:7" ht="15.75" thickBot="1" x14ac:dyDescent="0.3">
      <c r="A38" s="17">
        <v>14</v>
      </c>
      <c r="B38" s="17">
        <v>73.242403171993629</v>
      </c>
      <c r="C38" s="17">
        <v>1.2175968280063643</v>
      </c>
      <c r="D38" s="17">
        <v>1.8590505701867488</v>
      </c>
      <c r="F38" s="17">
        <v>96.428571428571431</v>
      </c>
      <c r="G38" s="17">
        <v>74.459999999999994</v>
      </c>
    </row>
  </sheetData>
  <sortState ref="G25:G38">
    <sortCondition ref="G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Foglio5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</dc:creator>
  <cp:lastModifiedBy>davide</cp:lastModifiedBy>
  <dcterms:created xsi:type="dcterms:W3CDTF">2015-12-13T13:20:05Z</dcterms:created>
  <dcterms:modified xsi:type="dcterms:W3CDTF">2015-12-21T09:07:53Z</dcterms:modified>
</cp:coreProperties>
</file>