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avid\Desktop\DEN_Project_DavideMelozzi_102230\"/>
    </mc:Choice>
  </mc:AlternateContent>
  <xr:revisionPtr revIDLastSave="0" documentId="13_ncr:1_{5D4F86CB-E37F-4065-B52F-80CE72C3084B}" xr6:coauthVersionLast="47" xr6:coauthVersionMax="47" xr10:uidLastSave="{00000000-0000-0000-0000-000000000000}"/>
  <bookViews>
    <workbookView xWindow="4956" yWindow="900" windowWidth="15672" windowHeight="11844" firstSheet="6" activeTab="8" xr2:uid="{00000000-000D-0000-FFFF-FFFF00000000}"/>
  </bookViews>
  <sheets>
    <sheet name="Ship Characteristics" sheetId="1" r:id="rId1"/>
    <sheet name="Midship Section" sheetId="2" r:id="rId2"/>
    <sheet name="Material Proprieties" sheetId="3" r:id="rId3"/>
    <sheet name=" Design Load and Acceleration" sheetId="4" r:id="rId4"/>
    <sheet name="Longitudinal design strenght" sheetId="5" r:id="rId5"/>
    <sheet name="Bottom structures" sheetId="6" r:id="rId6"/>
    <sheet name="Side structures" sheetId="7" r:id="rId7"/>
    <sheet name="Deck structures" sheetId="8" r:id="rId8"/>
    <sheet name="Longitudinal components" sheetId="9" r:id="rId9"/>
    <sheet name="Neutral Axis Correction" sheetId="10" r:id="rId10"/>
    <sheet name="Buckling " sheetId="11" r:id="rId11"/>
    <sheet name="Neutral Axis Correction partII" sheetId="12" r:id="rId12"/>
    <sheet name="Transversal Bulkhead" sheetId="13" r:id="rId13"/>
    <sheet name="Fatigue" sheetId="14" r:id="rId14"/>
  </sheets>
  <definedNames>
    <definedName name="B">'Ship Characteristics'!$C$4</definedName>
    <definedName name="Cb">'Ship Characteristics'!$C$8</definedName>
    <definedName name="Cw">' Design Load and Acceleration'!$C$3</definedName>
    <definedName name="D">'Ship Characteristics'!$C$5</definedName>
    <definedName name="g">'Ship Characteristics'!$H$15</definedName>
    <definedName name="Lbp">'Ship Characteristics'!$C$3</definedName>
    <definedName name="ro">'Ship Characteristics'!$H$16</definedName>
    <definedName name="T">'Ship Characteristics'!$C$6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8" roundtripDataSignature="AMtx7mglUEb4GXYVEsByvsiDKMSb84ucnw=="/>
    </ext>
  </extLst>
</workbook>
</file>

<file path=xl/calcChain.xml><?xml version="1.0" encoding="utf-8"?>
<calcChain xmlns="http://schemas.openxmlformats.org/spreadsheetml/2006/main">
  <c r="D19" i="10" l="1"/>
  <c r="D30" i="8"/>
  <c r="D29" i="8" s="1"/>
  <c r="D28" i="8" s="1"/>
  <c r="D31" i="8"/>
  <c r="D32" i="8"/>
  <c r="D33" i="8"/>
  <c r="E33" i="8"/>
  <c r="F33" i="8"/>
  <c r="D34" i="8"/>
  <c r="E34" i="8"/>
  <c r="F34" i="8"/>
  <c r="C35" i="8"/>
  <c r="D35" i="8"/>
  <c r="E35" i="8"/>
  <c r="F35" i="8"/>
  <c r="Q112" i="6"/>
  <c r="R112" i="6"/>
  <c r="O112" i="6" s="1"/>
  <c r="M112" i="6" s="1"/>
  <c r="S112" i="6"/>
  <c r="T112" i="6"/>
  <c r="U112" i="6"/>
  <c r="W112" i="6"/>
  <c r="Y112" i="6"/>
  <c r="Z112" i="6"/>
  <c r="X112" i="6" s="1"/>
  <c r="V112" i="6" s="1"/>
  <c r="AA112" i="6"/>
  <c r="AC112" i="6"/>
  <c r="L112" i="6" l="1"/>
  <c r="P112" i="6" s="1"/>
  <c r="H13" i="1"/>
  <c r="C13" i="2"/>
  <c r="C15" i="14"/>
  <c r="P4" i="14"/>
  <c r="M4" i="14"/>
  <c r="D7" i="14"/>
  <c r="D25" i="14"/>
  <c r="D6" i="14"/>
  <c r="M31" i="14"/>
  <c r="D24" i="14"/>
  <c r="D22" i="14" s="1"/>
  <c r="D5" i="14"/>
  <c r="D4" i="14"/>
  <c r="C35" i="14"/>
  <c r="D3" i="14"/>
  <c r="C36" i="14" s="1"/>
  <c r="C37" i="14" s="1"/>
  <c r="T19" i="13"/>
  <c r="G19" i="13" s="1"/>
  <c r="S19" i="13"/>
  <c r="N19" i="13" s="1"/>
  <c r="L19" i="13"/>
  <c r="T18" i="13"/>
  <c r="I18" i="13" s="1"/>
  <c r="R18" i="13"/>
  <c r="S18" i="13" s="1"/>
  <c r="N18" i="13" s="1"/>
  <c r="L18" i="13"/>
  <c r="T17" i="13"/>
  <c r="I17" i="13" s="1"/>
  <c r="S17" i="13"/>
  <c r="N17" i="13" s="1"/>
  <c r="L17" i="13"/>
  <c r="T16" i="13"/>
  <c r="I16" i="13" s="1"/>
  <c r="S16" i="13"/>
  <c r="N16" i="13" s="1"/>
  <c r="L16" i="13"/>
  <c r="C7" i="13"/>
  <c r="P18" i="13" s="1"/>
  <c r="T15" i="13"/>
  <c r="G15" i="13" s="1"/>
  <c r="R15" i="13"/>
  <c r="S15" i="13" s="1"/>
  <c r="N15" i="13" s="1"/>
  <c r="L15" i="13"/>
  <c r="N4" i="13"/>
  <c r="K4" i="13"/>
  <c r="I4" i="13"/>
  <c r="G4" i="13" s="1"/>
  <c r="S14" i="13"/>
  <c r="P14" i="13"/>
  <c r="N14" i="13"/>
  <c r="L14" i="13"/>
  <c r="I14" i="13"/>
  <c r="G14" i="13"/>
  <c r="C3" i="13"/>
  <c r="C4" i="13" s="1"/>
  <c r="C5" i="13" s="1"/>
  <c r="G116" i="12"/>
  <c r="F116" i="12"/>
  <c r="E116" i="12"/>
  <c r="D116" i="12"/>
  <c r="G115" i="12"/>
  <c r="F115" i="12"/>
  <c r="E115" i="12"/>
  <c r="D115" i="12"/>
  <c r="G114" i="12"/>
  <c r="F114" i="12"/>
  <c r="E114" i="12"/>
  <c r="D114" i="12"/>
  <c r="G113" i="12"/>
  <c r="F113" i="12"/>
  <c r="E113" i="12"/>
  <c r="D113" i="12"/>
  <c r="G112" i="12"/>
  <c r="F112" i="12"/>
  <c r="E112" i="12"/>
  <c r="D112" i="12"/>
  <c r="G111" i="12"/>
  <c r="F111" i="12"/>
  <c r="E111" i="12"/>
  <c r="D111" i="12"/>
  <c r="G110" i="12"/>
  <c r="F110" i="12"/>
  <c r="E110" i="12"/>
  <c r="D110" i="12"/>
  <c r="G109" i="12"/>
  <c r="F109" i="12"/>
  <c r="E109" i="12"/>
  <c r="D109" i="12"/>
  <c r="G108" i="12"/>
  <c r="F108" i="12"/>
  <c r="E108" i="12"/>
  <c r="D108" i="12"/>
  <c r="G107" i="12"/>
  <c r="F107" i="12"/>
  <c r="E107" i="12"/>
  <c r="D107" i="12"/>
  <c r="F106" i="12"/>
  <c r="E106" i="12"/>
  <c r="D106" i="12"/>
  <c r="F105" i="12"/>
  <c r="E105" i="12"/>
  <c r="D105" i="12"/>
  <c r="F104" i="12"/>
  <c r="E104" i="12"/>
  <c r="D104" i="12"/>
  <c r="F103" i="12"/>
  <c r="E103" i="12"/>
  <c r="D103" i="12"/>
  <c r="F102" i="12"/>
  <c r="E102" i="12"/>
  <c r="D102" i="12"/>
  <c r="F101" i="12"/>
  <c r="E101" i="12"/>
  <c r="D101" i="12"/>
  <c r="L46" i="12"/>
  <c r="E46" i="12"/>
  <c r="L45" i="12"/>
  <c r="E45" i="12"/>
  <c r="L44" i="12"/>
  <c r="E44" i="12"/>
  <c r="L43" i="12"/>
  <c r="E43" i="12"/>
  <c r="L42" i="12"/>
  <c r="H42" i="12"/>
  <c r="L41" i="12"/>
  <c r="H41" i="12"/>
  <c r="D41" i="12"/>
  <c r="L40" i="12"/>
  <c r="E40" i="12"/>
  <c r="L39" i="12"/>
  <c r="E39" i="12"/>
  <c r="L38" i="12"/>
  <c r="E38" i="12"/>
  <c r="L37" i="12"/>
  <c r="E37" i="12"/>
  <c r="L36" i="12"/>
  <c r="E36" i="12"/>
  <c r="L35" i="12"/>
  <c r="D35" i="12"/>
  <c r="L34" i="12"/>
  <c r="D34" i="12"/>
  <c r="L33" i="12"/>
  <c r="D33" i="12"/>
  <c r="D32" i="12"/>
  <c r="D31" i="12"/>
  <c r="H30" i="12"/>
  <c r="D30" i="12"/>
  <c r="D29" i="12"/>
  <c r="D28" i="12"/>
  <c r="D27" i="12"/>
  <c r="D26" i="12"/>
  <c r="D25" i="12"/>
  <c r="E24" i="12"/>
  <c r="E23" i="12"/>
  <c r="E22" i="12"/>
  <c r="E21" i="12"/>
  <c r="E20" i="12"/>
  <c r="E19" i="12"/>
  <c r="E18" i="12"/>
  <c r="D17" i="12"/>
  <c r="D16" i="12"/>
  <c r="G15" i="12"/>
  <c r="F15" i="12" s="1"/>
  <c r="E14" i="12"/>
  <c r="E13" i="12"/>
  <c r="E12" i="12"/>
  <c r="E11" i="12"/>
  <c r="E10" i="12"/>
  <c r="E9" i="12"/>
  <c r="I51" i="12"/>
  <c r="P42" i="12" s="1"/>
  <c r="E8" i="12"/>
  <c r="T43" i="12"/>
  <c r="O42" i="12"/>
  <c r="U50" i="12"/>
  <c r="U49" i="12"/>
  <c r="Q47" i="11"/>
  <c r="N47" i="11"/>
  <c r="K47" i="11"/>
  <c r="I47" i="11"/>
  <c r="G47" i="11"/>
  <c r="Q46" i="11"/>
  <c r="N46" i="11"/>
  <c r="K46" i="11"/>
  <c r="I46" i="11"/>
  <c r="G46" i="11"/>
  <c r="Q45" i="11"/>
  <c r="N45" i="11"/>
  <c r="K45" i="11"/>
  <c r="I45" i="11"/>
  <c r="G45" i="11"/>
  <c r="Q44" i="11"/>
  <c r="N44" i="11"/>
  <c r="K44" i="11"/>
  <c r="I44" i="11"/>
  <c r="G44" i="11"/>
  <c r="N43" i="11"/>
  <c r="K43" i="11"/>
  <c r="I43" i="11"/>
  <c r="G43" i="11"/>
  <c r="G92" i="11"/>
  <c r="E92" i="11"/>
  <c r="C92" i="11"/>
  <c r="N42" i="11"/>
  <c r="K42" i="11"/>
  <c r="I42" i="11"/>
  <c r="G42" i="11"/>
  <c r="G91" i="11"/>
  <c r="E91" i="11"/>
  <c r="C91" i="11"/>
  <c r="Q41" i="11"/>
  <c r="N41" i="11"/>
  <c r="K41" i="11"/>
  <c r="I41" i="11"/>
  <c r="G41" i="11"/>
  <c r="G90" i="11"/>
  <c r="E90" i="11"/>
  <c r="C90" i="11"/>
  <c r="Q40" i="11"/>
  <c r="N40" i="11"/>
  <c r="K40" i="11"/>
  <c r="I40" i="11"/>
  <c r="G40" i="11"/>
  <c r="G89" i="11"/>
  <c r="E89" i="11"/>
  <c r="C89" i="11"/>
  <c r="Q39" i="11"/>
  <c r="N39" i="11"/>
  <c r="K39" i="11"/>
  <c r="I39" i="11"/>
  <c r="G39" i="11"/>
  <c r="G88" i="11"/>
  <c r="E88" i="11"/>
  <c r="C88" i="11"/>
  <c r="Q38" i="11"/>
  <c r="N38" i="11"/>
  <c r="K38" i="11"/>
  <c r="I38" i="11"/>
  <c r="G38" i="11"/>
  <c r="G87" i="11"/>
  <c r="E87" i="11"/>
  <c r="C87" i="11"/>
  <c r="Q37" i="11"/>
  <c r="N37" i="11"/>
  <c r="K37" i="11"/>
  <c r="D29" i="14" s="1"/>
  <c r="D28" i="14" s="1"/>
  <c r="D26" i="14" s="1"/>
  <c r="I37" i="11"/>
  <c r="G37" i="11"/>
  <c r="G86" i="11"/>
  <c r="E86" i="11"/>
  <c r="C86" i="11"/>
  <c r="Q36" i="11"/>
  <c r="N36" i="11"/>
  <c r="I36" i="11"/>
  <c r="G36" i="11"/>
  <c r="G85" i="11"/>
  <c r="E85" i="11"/>
  <c r="C85" i="11"/>
  <c r="Q35" i="11"/>
  <c r="N35" i="11"/>
  <c r="K35" i="11"/>
  <c r="K36" i="11" s="1"/>
  <c r="I35" i="11"/>
  <c r="G35" i="11"/>
  <c r="G84" i="11"/>
  <c r="E84" i="11"/>
  <c r="C84" i="11"/>
  <c r="Q34" i="11"/>
  <c r="N34" i="11"/>
  <c r="K34" i="11"/>
  <c r="I34" i="11"/>
  <c r="G34" i="11"/>
  <c r="G83" i="11"/>
  <c r="E83" i="11"/>
  <c r="C83" i="11"/>
  <c r="Q33" i="11"/>
  <c r="K33" i="11"/>
  <c r="I33" i="11"/>
  <c r="G33" i="11"/>
  <c r="G82" i="11"/>
  <c r="E82" i="11"/>
  <c r="C82" i="11"/>
  <c r="Q32" i="11"/>
  <c r="K32" i="11"/>
  <c r="I32" i="11"/>
  <c r="G32" i="11"/>
  <c r="G81" i="11"/>
  <c r="E81" i="11"/>
  <c r="C81" i="11"/>
  <c r="K31" i="11"/>
  <c r="I31" i="11"/>
  <c r="G31" i="11"/>
  <c r="G80" i="11"/>
  <c r="E80" i="11"/>
  <c r="C80" i="11"/>
  <c r="Q30" i="11"/>
  <c r="I30" i="11"/>
  <c r="G30" i="11"/>
  <c r="G79" i="11"/>
  <c r="E79" i="11"/>
  <c r="C79" i="11"/>
  <c r="Q29" i="11"/>
  <c r="I29" i="11"/>
  <c r="G29" i="11"/>
  <c r="E78" i="11"/>
  <c r="C78" i="11"/>
  <c r="Q28" i="11"/>
  <c r="I28" i="11"/>
  <c r="G28" i="11"/>
  <c r="E77" i="11"/>
  <c r="C77" i="11"/>
  <c r="Q27" i="11"/>
  <c r="I27" i="11"/>
  <c r="G27" i="11"/>
  <c r="E76" i="11"/>
  <c r="C76" i="11"/>
  <c r="Q26" i="11"/>
  <c r="I26" i="11"/>
  <c r="G26" i="11"/>
  <c r="E75" i="11"/>
  <c r="C75" i="11"/>
  <c r="Q25" i="11"/>
  <c r="K25" i="11"/>
  <c r="I25" i="11"/>
  <c r="G25" i="11"/>
  <c r="E74" i="11"/>
  <c r="C74" i="11"/>
  <c r="Q24" i="11"/>
  <c r="K24" i="11"/>
  <c r="I24" i="11"/>
  <c r="G24" i="11"/>
  <c r="E73" i="11"/>
  <c r="C73" i="11"/>
  <c r="Q23" i="11"/>
  <c r="K23" i="11"/>
  <c r="I23" i="11"/>
  <c r="G23" i="11"/>
  <c r="E72" i="11"/>
  <c r="C72" i="11"/>
  <c r="Q22" i="11"/>
  <c r="K22" i="11"/>
  <c r="I22" i="11"/>
  <c r="G22" i="11"/>
  <c r="E71" i="11"/>
  <c r="C71" i="11"/>
  <c r="Q21" i="11"/>
  <c r="K21" i="11"/>
  <c r="I21" i="11"/>
  <c r="G21" i="11"/>
  <c r="E70" i="11"/>
  <c r="C70" i="11"/>
  <c r="Q20" i="11"/>
  <c r="K20" i="11"/>
  <c r="I20" i="11"/>
  <c r="G20" i="11"/>
  <c r="E69" i="11"/>
  <c r="C69" i="11"/>
  <c r="Q19" i="11"/>
  <c r="K19" i="11"/>
  <c r="I19" i="11"/>
  <c r="G19" i="11"/>
  <c r="E68" i="11"/>
  <c r="C68" i="11"/>
  <c r="Q18" i="11"/>
  <c r="K18" i="11"/>
  <c r="I18" i="11"/>
  <c r="G18" i="11"/>
  <c r="E67" i="11"/>
  <c r="C67" i="11"/>
  <c r="Q17" i="11"/>
  <c r="K17" i="11"/>
  <c r="I17" i="11"/>
  <c r="G17" i="11"/>
  <c r="E66" i="11"/>
  <c r="C66" i="11"/>
  <c r="Q16" i="11"/>
  <c r="K16" i="11"/>
  <c r="I16" i="11"/>
  <c r="G16" i="11"/>
  <c r="E65" i="11"/>
  <c r="C65" i="11"/>
  <c r="K15" i="11"/>
  <c r="I15" i="11"/>
  <c r="G15" i="11"/>
  <c r="E64" i="11"/>
  <c r="C64" i="11"/>
  <c r="K14" i="11"/>
  <c r="I14" i="11"/>
  <c r="G14" i="11"/>
  <c r="E63" i="11"/>
  <c r="C63" i="11"/>
  <c r="K13" i="11"/>
  <c r="I13" i="11"/>
  <c r="G13" i="11"/>
  <c r="E62" i="11"/>
  <c r="C62" i="11"/>
  <c r="K12" i="11"/>
  <c r="I12" i="11"/>
  <c r="G12" i="11"/>
  <c r="E61" i="11"/>
  <c r="C61" i="11"/>
  <c r="K11" i="11"/>
  <c r="I11" i="11"/>
  <c r="G11" i="11"/>
  <c r="E60" i="11"/>
  <c r="C60" i="11"/>
  <c r="K10" i="11"/>
  <c r="I10" i="11"/>
  <c r="G10" i="11"/>
  <c r="E59" i="11"/>
  <c r="C59" i="11"/>
  <c r="K9" i="11"/>
  <c r="I9" i="11"/>
  <c r="G9" i="11"/>
  <c r="E58" i="11"/>
  <c r="C58" i="11"/>
  <c r="E57" i="11"/>
  <c r="C57" i="11"/>
  <c r="E56" i="11"/>
  <c r="C56" i="11"/>
  <c r="E55" i="11"/>
  <c r="C55" i="11"/>
  <c r="E54" i="11"/>
  <c r="C54" i="11"/>
  <c r="L50" i="11"/>
  <c r="H130" i="10"/>
  <c r="I130" i="10" s="1"/>
  <c r="G130" i="10"/>
  <c r="F130" i="10"/>
  <c r="E130" i="10"/>
  <c r="D130" i="10"/>
  <c r="L129" i="10"/>
  <c r="H129" i="10"/>
  <c r="G129" i="10"/>
  <c r="F129" i="10"/>
  <c r="E129" i="10"/>
  <c r="D129" i="10"/>
  <c r="G128" i="10"/>
  <c r="F128" i="10"/>
  <c r="E128" i="10"/>
  <c r="D128" i="10"/>
  <c r="G127" i="10"/>
  <c r="F127" i="10"/>
  <c r="E127" i="10"/>
  <c r="D127" i="10"/>
  <c r="G126" i="10"/>
  <c r="F126" i="10"/>
  <c r="E126" i="10"/>
  <c r="D126" i="10"/>
  <c r="G125" i="10"/>
  <c r="F125" i="10"/>
  <c r="E125" i="10"/>
  <c r="D125" i="10"/>
  <c r="G124" i="10"/>
  <c r="F124" i="10"/>
  <c r="E124" i="10"/>
  <c r="D124" i="10"/>
  <c r="G123" i="10"/>
  <c r="F123" i="10"/>
  <c r="E123" i="10"/>
  <c r="D123" i="10"/>
  <c r="G122" i="10"/>
  <c r="F122" i="10"/>
  <c r="E122" i="10"/>
  <c r="D122" i="10"/>
  <c r="H121" i="10"/>
  <c r="H122" i="10" s="1"/>
  <c r="G121" i="10"/>
  <c r="F121" i="10"/>
  <c r="E121" i="10"/>
  <c r="D121" i="10"/>
  <c r="G120" i="10"/>
  <c r="I120" i="10" s="1"/>
  <c r="F120" i="10"/>
  <c r="E120" i="10"/>
  <c r="D120" i="10"/>
  <c r="I119" i="10"/>
  <c r="G119" i="10"/>
  <c r="F119" i="10"/>
  <c r="E119" i="10"/>
  <c r="D119" i="10"/>
  <c r="L118" i="10"/>
  <c r="H118" i="10"/>
  <c r="G118" i="10"/>
  <c r="F118" i="10"/>
  <c r="E118" i="10"/>
  <c r="D118" i="10"/>
  <c r="G117" i="10"/>
  <c r="F117" i="10"/>
  <c r="E117" i="10"/>
  <c r="D117" i="10"/>
  <c r="H117" i="10" s="1"/>
  <c r="I117" i="10" s="1"/>
  <c r="H116" i="10"/>
  <c r="G116" i="10"/>
  <c r="F116" i="10"/>
  <c r="E116" i="10"/>
  <c r="D116" i="10"/>
  <c r="G115" i="10"/>
  <c r="F115" i="10"/>
  <c r="E115" i="10"/>
  <c r="D115" i="10"/>
  <c r="H115" i="10" s="1"/>
  <c r="G114" i="10"/>
  <c r="F114" i="10"/>
  <c r="E114" i="10"/>
  <c r="D114" i="10"/>
  <c r="H114" i="10" s="1"/>
  <c r="I114" i="10" s="1"/>
  <c r="H113" i="10"/>
  <c r="G113" i="10"/>
  <c r="F113" i="10"/>
  <c r="E113" i="10"/>
  <c r="D113" i="10"/>
  <c r="G112" i="10"/>
  <c r="F112" i="10"/>
  <c r="E112" i="10"/>
  <c r="D112" i="10"/>
  <c r="H112" i="10" s="1"/>
  <c r="G111" i="10"/>
  <c r="F111" i="10"/>
  <c r="E111" i="10"/>
  <c r="D111" i="10"/>
  <c r="H111" i="10" s="1"/>
  <c r="G110" i="10"/>
  <c r="F110" i="10"/>
  <c r="E110" i="10"/>
  <c r="D110" i="10"/>
  <c r="H110" i="10" s="1"/>
  <c r="L109" i="10"/>
  <c r="G109" i="10"/>
  <c r="F109" i="10"/>
  <c r="E109" i="10"/>
  <c r="D109" i="10"/>
  <c r="H109" i="10" s="1"/>
  <c r="G108" i="10"/>
  <c r="F108" i="10"/>
  <c r="E108" i="10"/>
  <c r="D108" i="10"/>
  <c r="G107" i="10"/>
  <c r="F107" i="10"/>
  <c r="E107" i="10"/>
  <c r="D107" i="10"/>
  <c r="G106" i="10"/>
  <c r="F106" i="10"/>
  <c r="E106" i="10"/>
  <c r="D106" i="10"/>
  <c r="G105" i="10"/>
  <c r="F105" i="10"/>
  <c r="E105" i="10"/>
  <c r="D105" i="10"/>
  <c r="G104" i="10"/>
  <c r="F104" i="10"/>
  <c r="E104" i="10"/>
  <c r="D104" i="10"/>
  <c r="H103" i="10"/>
  <c r="H104" i="10" s="1"/>
  <c r="G103" i="10"/>
  <c r="I103" i="10" s="1"/>
  <c r="F103" i="10"/>
  <c r="E103" i="10"/>
  <c r="D103" i="10"/>
  <c r="L102" i="10"/>
  <c r="I102" i="10"/>
  <c r="G102" i="10"/>
  <c r="F102" i="10"/>
  <c r="E102" i="10"/>
  <c r="D102" i="10"/>
  <c r="G101" i="10"/>
  <c r="F101" i="10"/>
  <c r="E101" i="10"/>
  <c r="D101" i="10"/>
  <c r="G100" i="10"/>
  <c r="F100" i="10"/>
  <c r="E100" i="10"/>
  <c r="D100" i="10"/>
  <c r="G99" i="10"/>
  <c r="F99" i="10"/>
  <c r="E99" i="10"/>
  <c r="D99" i="10"/>
  <c r="G98" i="10"/>
  <c r="F98" i="10"/>
  <c r="E98" i="10"/>
  <c r="D98" i="10"/>
  <c r="G97" i="10"/>
  <c r="F97" i="10"/>
  <c r="E97" i="10"/>
  <c r="D97" i="10"/>
  <c r="G96" i="10"/>
  <c r="F96" i="10"/>
  <c r="E96" i="10"/>
  <c r="D96" i="10"/>
  <c r="H95" i="10"/>
  <c r="H97" i="10" s="1"/>
  <c r="G95" i="10"/>
  <c r="F95" i="10"/>
  <c r="E95" i="10"/>
  <c r="D95" i="10"/>
  <c r="H94" i="10"/>
  <c r="H96" i="10" s="1"/>
  <c r="G94" i="10"/>
  <c r="I94" i="10" s="1"/>
  <c r="F94" i="10"/>
  <c r="E94" i="10"/>
  <c r="D94" i="10"/>
  <c r="G93" i="10"/>
  <c r="I93" i="10" s="1"/>
  <c r="F93" i="10"/>
  <c r="E93" i="10"/>
  <c r="D93" i="10"/>
  <c r="L92" i="10"/>
  <c r="G92" i="10"/>
  <c r="I92" i="10" s="1"/>
  <c r="F92" i="10"/>
  <c r="E92" i="10"/>
  <c r="D92" i="10"/>
  <c r="G91" i="10"/>
  <c r="F91" i="10"/>
  <c r="E91" i="10"/>
  <c r="D91" i="10"/>
  <c r="G90" i="10"/>
  <c r="F90" i="10"/>
  <c r="E90" i="10"/>
  <c r="D90" i="10"/>
  <c r="E46" i="10"/>
  <c r="G89" i="10"/>
  <c r="F89" i="10"/>
  <c r="E89" i="10"/>
  <c r="D89" i="10"/>
  <c r="E45" i="10"/>
  <c r="G88" i="10"/>
  <c r="F88" i="10"/>
  <c r="E88" i="10"/>
  <c r="D88" i="10"/>
  <c r="E44" i="10"/>
  <c r="G87" i="10"/>
  <c r="F87" i="10"/>
  <c r="E87" i="10"/>
  <c r="D87" i="10"/>
  <c r="E43" i="10"/>
  <c r="G86" i="10"/>
  <c r="F86" i="10"/>
  <c r="E86" i="10"/>
  <c r="D86" i="10"/>
  <c r="H42" i="10"/>
  <c r="Q43" i="11" s="1"/>
  <c r="G85" i="10"/>
  <c r="F85" i="10"/>
  <c r="E85" i="10"/>
  <c r="D85" i="10"/>
  <c r="H41" i="10"/>
  <c r="Q42" i="11" s="1"/>
  <c r="D41" i="10"/>
  <c r="G84" i="10"/>
  <c r="F84" i="10"/>
  <c r="E84" i="10"/>
  <c r="D84" i="10"/>
  <c r="E40" i="10"/>
  <c r="G83" i="10"/>
  <c r="F83" i="10"/>
  <c r="E83" i="10"/>
  <c r="D83" i="10"/>
  <c r="E39" i="10"/>
  <c r="G82" i="10"/>
  <c r="F82" i="10"/>
  <c r="E82" i="10"/>
  <c r="D82" i="10"/>
  <c r="E38" i="10"/>
  <c r="G81" i="10"/>
  <c r="F81" i="10"/>
  <c r="E81" i="10"/>
  <c r="D81" i="10"/>
  <c r="E37" i="10"/>
  <c r="G80" i="10"/>
  <c r="F80" i="10"/>
  <c r="E80" i="10"/>
  <c r="D80" i="10"/>
  <c r="E36" i="10"/>
  <c r="G79" i="10"/>
  <c r="F79" i="10"/>
  <c r="E79" i="10"/>
  <c r="D79" i="10"/>
  <c r="D35" i="10"/>
  <c r="G78" i="10"/>
  <c r="F78" i="10"/>
  <c r="E78" i="10"/>
  <c r="D78" i="10"/>
  <c r="D34" i="10"/>
  <c r="G77" i="10"/>
  <c r="F77" i="10"/>
  <c r="E77" i="10"/>
  <c r="D77" i="10"/>
  <c r="D33" i="10"/>
  <c r="G76" i="10"/>
  <c r="F76" i="10"/>
  <c r="E76" i="10"/>
  <c r="D76" i="10"/>
  <c r="D32" i="10"/>
  <c r="G75" i="10"/>
  <c r="F75" i="10"/>
  <c r="E75" i="10"/>
  <c r="D75" i="10"/>
  <c r="D31" i="10"/>
  <c r="G74" i="10"/>
  <c r="F74" i="10"/>
  <c r="E74" i="10"/>
  <c r="D74" i="10"/>
  <c r="H30" i="10"/>
  <c r="Q31" i="11" s="1"/>
  <c r="D30" i="10"/>
  <c r="G73" i="10"/>
  <c r="I73" i="10" s="1"/>
  <c r="F73" i="10"/>
  <c r="E73" i="10"/>
  <c r="D73" i="10"/>
  <c r="D29" i="10"/>
  <c r="L72" i="10"/>
  <c r="H72" i="10"/>
  <c r="H74" i="10" s="1"/>
  <c r="H75" i="10" s="1"/>
  <c r="H76" i="10" s="1"/>
  <c r="H77" i="10" s="1"/>
  <c r="G72" i="10"/>
  <c r="F72" i="10"/>
  <c r="E72" i="10"/>
  <c r="D72" i="10"/>
  <c r="D28" i="10"/>
  <c r="G71" i="10"/>
  <c r="F71" i="10"/>
  <c r="E71" i="10"/>
  <c r="D71" i="10"/>
  <c r="D27" i="10"/>
  <c r="G70" i="10"/>
  <c r="F70" i="10"/>
  <c r="E70" i="10"/>
  <c r="D70" i="10"/>
  <c r="D26" i="10"/>
  <c r="G69" i="10"/>
  <c r="F69" i="10"/>
  <c r="E69" i="10"/>
  <c r="D69" i="10"/>
  <c r="D25" i="10"/>
  <c r="H68" i="10"/>
  <c r="H69" i="10" s="1"/>
  <c r="H70" i="10" s="1"/>
  <c r="G68" i="10"/>
  <c r="F68" i="10"/>
  <c r="E68" i="10"/>
  <c r="D68" i="10"/>
  <c r="E24" i="10"/>
  <c r="G67" i="10"/>
  <c r="F67" i="10"/>
  <c r="E67" i="10"/>
  <c r="D67" i="10"/>
  <c r="E23" i="10"/>
  <c r="G66" i="10"/>
  <c r="F66" i="10"/>
  <c r="E66" i="10"/>
  <c r="D66" i="10"/>
  <c r="H66" i="10" s="1"/>
  <c r="E22" i="10"/>
  <c r="H65" i="10"/>
  <c r="G65" i="10"/>
  <c r="F65" i="10"/>
  <c r="E65" i="10"/>
  <c r="D65" i="10"/>
  <c r="E21" i="10"/>
  <c r="G64" i="10"/>
  <c r="F64" i="10"/>
  <c r="E64" i="10"/>
  <c r="D64" i="10"/>
  <c r="H64" i="10" s="1"/>
  <c r="E20" i="10"/>
  <c r="G63" i="10"/>
  <c r="F63" i="10"/>
  <c r="E63" i="10"/>
  <c r="D63" i="10"/>
  <c r="H63" i="10" s="1"/>
  <c r="E19" i="10"/>
  <c r="G62" i="10"/>
  <c r="F62" i="10"/>
  <c r="E62" i="10"/>
  <c r="D62" i="10"/>
  <c r="H62" i="10" s="1"/>
  <c r="E18" i="10"/>
  <c r="G61" i="10"/>
  <c r="F61" i="10"/>
  <c r="E61" i="10"/>
  <c r="D61" i="10"/>
  <c r="H61" i="10" s="1"/>
  <c r="D17" i="10"/>
  <c r="G60" i="10"/>
  <c r="F60" i="10"/>
  <c r="E60" i="10"/>
  <c r="D60" i="10"/>
  <c r="H60" i="10" s="1"/>
  <c r="D16" i="10"/>
  <c r="G59" i="10"/>
  <c r="F59" i="10"/>
  <c r="E59" i="10"/>
  <c r="D59" i="10"/>
  <c r="H59" i="10" s="1"/>
  <c r="G15" i="10"/>
  <c r="I15" i="10" s="1"/>
  <c r="G58" i="10"/>
  <c r="F58" i="10"/>
  <c r="E58" i="10"/>
  <c r="D58" i="10"/>
  <c r="H58" i="10" s="1"/>
  <c r="E14" i="10"/>
  <c r="G57" i="10"/>
  <c r="F57" i="10"/>
  <c r="E57" i="10"/>
  <c r="D57" i="10"/>
  <c r="H57" i="10" s="1"/>
  <c r="E13" i="10"/>
  <c r="G56" i="10"/>
  <c r="F56" i="10"/>
  <c r="E56" i="10"/>
  <c r="D56" i="10"/>
  <c r="H56" i="10" s="1"/>
  <c r="E12" i="10"/>
  <c r="G55" i="10"/>
  <c r="F55" i="10"/>
  <c r="E55" i="10"/>
  <c r="D55" i="10"/>
  <c r="H55" i="10" s="1"/>
  <c r="E11" i="10"/>
  <c r="G54" i="10"/>
  <c r="F54" i="10"/>
  <c r="E54" i="10"/>
  <c r="D54" i="10"/>
  <c r="H54" i="10" s="1"/>
  <c r="E10" i="10"/>
  <c r="G53" i="10"/>
  <c r="F53" i="10"/>
  <c r="E53" i="10"/>
  <c r="D53" i="10"/>
  <c r="H53" i="10" s="1"/>
  <c r="E9" i="10"/>
  <c r="L52" i="10"/>
  <c r="G52" i="10"/>
  <c r="F52" i="10"/>
  <c r="E52" i="10"/>
  <c r="D52" i="10"/>
  <c r="H52" i="10" s="1"/>
  <c r="E8" i="10"/>
  <c r="T45" i="10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G44" i="9"/>
  <c r="C44" i="9"/>
  <c r="G43" i="9"/>
  <c r="C43" i="9"/>
  <c r="G42" i="9"/>
  <c r="C42" i="9"/>
  <c r="G41" i="9"/>
  <c r="C41" i="9"/>
  <c r="G40" i="9"/>
  <c r="C40" i="9"/>
  <c r="G39" i="9"/>
  <c r="C39" i="9"/>
  <c r="G38" i="9"/>
  <c r="C38" i="9"/>
  <c r="G37" i="9"/>
  <c r="C37" i="9"/>
  <c r="G36" i="9"/>
  <c r="C36" i="9"/>
  <c r="G35" i="9"/>
  <c r="C35" i="9"/>
  <c r="G34" i="9"/>
  <c r="C34" i="9"/>
  <c r="G33" i="9"/>
  <c r="C33" i="9"/>
  <c r="G32" i="9"/>
  <c r="C32" i="9"/>
  <c r="G31" i="9"/>
  <c r="C31" i="9"/>
  <c r="G30" i="9"/>
  <c r="C30" i="9"/>
  <c r="G29" i="9"/>
  <c r="C29" i="9"/>
  <c r="G28" i="9"/>
  <c r="C28" i="9"/>
  <c r="G27" i="9"/>
  <c r="C27" i="9"/>
  <c r="G26" i="9"/>
  <c r="C26" i="9"/>
  <c r="G25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AB60" i="8"/>
  <c r="AA60" i="8"/>
  <c r="Y60" i="8"/>
  <c r="S60" i="8"/>
  <c r="Q60" i="8"/>
  <c r="O60" i="8"/>
  <c r="AB59" i="8"/>
  <c r="G82" i="9" s="1"/>
  <c r="AA59" i="8"/>
  <c r="Y59" i="8"/>
  <c r="S59" i="8"/>
  <c r="Q59" i="8"/>
  <c r="O59" i="8"/>
  <c r="AD54" i="8"/>
  <c r="G81" i="9" s="1"/>
  <c r="S54" i="8"/>
  <c r="Q54" i="8"/>
  <c r="O54" i="8"/>
  <c r="AD53" i="8"/>
  <c r="G80" i="9" s="1"/>
  <c r="S53" i="8"/>
  <c r="Q53" i="8"/>
  <c r="O53" i="8"/>
  <c r="AD52" i="8"/>
  <c r="G79" i="9" s="1"/>
  <c r="S52" i="8"/>
  <c r="Q52" i="8"/>
  <c r="O52" i="8"/>
  <c r="AD51" i="8"/>
  <c r="G78" i="9" s="1"/>
  <c r="S51" i="8"/>
  <c r="Q51" i="8"/>
  <c r="O51" i="8"/>
  <c r="AD50" i="8"/>
  <c r="G77" i="9" s="1"/>
  <c r="S50" i="8"/>
  <c r="Q50" i="8"/>
  <c r="O50" i="8"/>
  <c r="AD49" i="8"/>
  <c r="G76" i="9" s="1"/>
  <c r="S49" i="8"/>
  <c r="Q49" i="8"/>
  <c r="O49" i="8"/>
  <c r="AD48" i="8"/>
  <c r="G75" i="9" s="1"/>
  <c r="S48" i="8"/>
  <c r="Q48" i="8"/>
  <c r="O48" i="8"/>
  <c r="AD47" i="8"/>
  <c r="G74" i="9" s="1"/>
  <c r="S47" i="8"/>
  <c r="Q47" i="8"/>
  <c r="O47" i="8"/>
  <c r="AD46" i="8"/>
  <c r="G73" i="9" s="1"/>
  <c r="AC46" i="8"/>
  <c r="AC47" i="8" s="1"/>
  <c r="AC48" i="8" s="1"/>
  <c r="AC49" i="8" s="1"/>
  <c r="AC50" i="8" s="1"/>
  <c r="AC51" i="8" s="1"/>
  <c r="AC52" i="8" s="1"/>
  <c r="AC53" i="8" s="1"/>
  <c r="AC54" i="8" s="1"/>
  <c r="Y46" i="8"/>
  <c r="Z46" i="8" s="1"/>
  <c r="W46" i="8" s="1"/>
  <c r="S46" i="8"/>
  <c r="Q46" i="8"/>
  <c r="O46" i="8"/>
  <c r="AD45" i="8"/>
  <c r="G72" i="9" s="1"/>
  <c r="Z45" i="8"/>
  <c r="W45" i="8" s="1"/>
  <c r="S45" i="8"/>
  <c r="Q45" i="8"/>
  <c r="O45" i="8"/>
  <c r="AD44" i="8"/>
  <c r="G71" i="9" s="1"/>
  <c r="Z44" i="8"/>
  <c r="W44" i="8" s="1"/>
  <c r="S44" i="8"/>
  <c r="R44" i="8"/>
  <c r="Q44" i="8" s="1"/>
  <c r="O44" i="8"/>
  <c r="AH38" i="8"/>
  <c r="AD38" i="8"/>
  <c r="AB38" i="8"/>
  <c r="W38" i="8"/>
  <c r="R38" i="8"/>
  <c r="P38" i="8"/>
  <c r="N38" i="8"/>
  <c r="AH37" i="8"/>
  <c r="G69" i="9" s="1"/>
  <c r="AD37" i="8"/>
  <c r="AB37" i="8"/>
  <c r="W37" i="8"/>
  <c r="R37" i="8"/>
  <c r="P37" i="8"/>
  <c r="N37" i="8"/>
  <c r="AH36" i="8"/>
  <c r="AD36" i="8"/>
  <c r="AB36" i="8"/>
  <c r="W36" i="8"/>
  <c r="R36" i="8"/>
  <c r="P36" i="8"/>
  <c r="N36" i="8"/>
  <c r="AH35" i="8"/>
  <c r="G67" i="9" s="1"/>
  <c r="AD35" i="8"/>
  <c r="AB35" i="8"/>
  <c r="W35" i="8"/>
  <c r="R35" i="8"/>
  <c r="P35" i="8"/>
  <c r="N35" i="8"/>
  <c r="AH34" i="8"/>
  <c r="AD34" i="8"/>
  <c r="AB34" i="8"/>
  <c r="W34" i="8"/>
  <c r="R34" i="8"/>
  <c r="P34" i="8"/>
  <c r="N34" i="8"/>
  <c r="AH33" i="8"/>
  <c r="G65" i="9" s="1"/>
  <c r="AD33" i="8"/>
  <c r="AB33" i="8"/>
  <c r="W33" i="8"/>
  <c r="R33" i="8"/>
  <c r="P33" i="8"/>
  <c r="N33" i="8"/>
  <c r="AH32" i="8"/>
  <c r="AD32" i="8"/>
  <c r="AB32" i="8"/>
  <c r="W32" i="8"/>
  <c r="R32" i="8"/>
  <c r="P32" i="8"/>
  <c r="N32" i="8"/>
  <c r="AH31" i="8"/>
  <c r="G63" i="9" s="1"/>
  <c r="AD31" i="8"/>
  <c r="AB31" i="8"/>
  <c r="W31" i="8"/>
  <c r="R31" i="8"/>
  <c r="P31" i="8"/>
  <c r="N31" i="8"/>
  <c r="AH30" i="8"/>
  <c r="AD30" i="8"/>
  <c r="AB30" i="8"/>
  <c r="AA30" i="8"/>
  <c r="AA31" i="8" s="1"/>
  <c r="AA32" i="8" s="1"/>
  <c r="AA33" i="8" s="1"/>
  <c r="AA34" i="8" s="1"/>
  <c r="AA35" i="8" s="1"/>
  <c r="AA36" i="8" s="1"/>
  <c r="AA37" i="8" s="1"/>
  <c r="AA38" i="8" s="1"/>
  <c r="W30" i="8"/>
  <c r="R30" i="8"/>
  <c r="M4" i="13" s="1"/>
  <c r="P30" i="8"/>
  <c r="N30" i="8"/>
  <c r="AD22" i="8"/>
  <c r="M22" i="8" s="1"/>
  <c r="AA22" i="8"/>
  <c r="T22" i="8" s="1"/>
  <c r="Y22" i="8"/>
  <c r="AD21" i="8"/>
  <c r="AA21" i="8"/>
  <c r="AC21" i="8" s="1"/>
  <c r="Y21" i="8"/>
  <c r="AD20" i="8"/>
  <c r="M20" i="8" s="1"/>
  <c r="AA20" i="8"/>
  <c r="AC20" i="8" s="1"/>
  <c r="Y20" i="8"/>
  <c r="AD19" i="8"/>
  <c r="M19" i="8" s="1"/>
  <c r="AA19" i="8"/>
  <c r="Y19" i="8"/>
  <c r="X19" i="8"/>
  <c r="AD18" i="8"/>
  <c r="R18" i="8" s="1"/>
  <c r="AA18" i="8"/>
  <c r="T18" i="8" s="1"/>
  <c r="Y18" i="8"/>
  <c r="AD17" i="8"/>
  <c r="R17" i="8" s="1"/>
  <c r="Y17" i="8"/>
  <c r="X17" i="8"/>
  <c r="S17" i="8"/>
  <c r="AF11" i="8"/>
  <c r="M11" i="8" s="1"/>
  <c r="AE11" i="8"/>
  <c r="AB11" i="8"/>
  <c r="U11" i="8" s="1"/>
  <c r="Z11" i="8"/>
  <c r="AF10" i="8"/>
  <c r="M10" i="8" s="1"/>
  <c r="AE10" i="8"/>
  <c r="AB10" i="8"/>
  <c r="U10" i="8" s="1"/>
  <c r="Z10" i="8"/>
  <c r="AF9" i="8"/>
  <c r="R9" i="8" s="1"/>
  <c r="AE9" i="8"/>
  <c r="AB9" i="8"/>
  <c r="U9" i="8" s="1"/>
  <c r="Z9" i="8"/>
  <c r="AF8" i="8"/>
  <c r="M8" i="8" s="1"/>
  <c r="AE8" i="8"/>
  <c r="AB8" i="8"/>
  <c r="U8" i="8" s="1"/>
  <c r="Z8" i="8"/>
  <c r="V7" i="8"/>
  <c r="AF7" i="8"/>
  <c r="R7" i="8" s="1"/>
  <c r="AE7" i="8"/>
  <c r="AB7" i="8"/>
  <c r="U7" i="8" s="1"/>
  <c r="Z7" i="8"/>
  <c r="AD36" i="7"/>
  <c r="V36" i="7"/>
  <c r="M36" i="7"/>
  <c r="L36" i="7" s="1"/>
  <c r="AF30" i="7"/>
  <c r="AC30" i="7"/>
  <c r="AB30" i="7"/>
  <c r="Y30" i="7"/>
  <c r="X30" i="7"/>
  <c r="P30" i="7"/>
  <c r="N30" i="7"/>
  <c r="L30" i="7"/>
  <c r="J30" i="7" s="1"/>
  <c r="E61" i="9" s="1"/>
  <c r="L9" i="9" s="1"/>
  <c r="AF29" i="7"/>
  <c r="G60" i="9" s="1"/>
  <c r="AC29" i="7"/>
  <c r="AB29" i="7"/>
  <c r="Y29" i="7"/>
  <c r="X29" i="7"/>
  <c r="P29" i="7"/>
  <c r="N29" i="7"/>
  <c r="L29" i="7"/>
  <c r="AF28" i="7"/>
  <c r="G59" i="9" s="1"/>
  <c r="AC28" i="7"/>
  <c r="AB28" i="7"/>
  <c r="Y28" i="7"/>
  <c r="X28" i="7"/>
  <c r="P28" i="7"/>
  <c r="N28" i="7"/>
  <c r="L28" i="7"/>
  <c r="AF27" i="7"/>
  <c r="G58" i="9" s="1"/>
  <c r="AC27" i="7"/>
  <c r="AB27" i="7"/>
  <c r="Y27" i="7"/>
  <c r="X27" i="7"/>
  <c r="P27" i="7"/>
  <c r="N27" i="7"/>
  <c r="L27" i="7"/>
  <c r="AF26" i="7"/>
  <c r="AC26" i="7"/>
  <c r="AB26" i="7"/>
  <c r="Y26" i="7"/>
  <c r="X26" i="7"/>
  <c r="P26" i="7"/>
  <c r="N26" i="7"/>
  <c r="L26" i="7"/>
  <c r="AF25" i="7"/>
  <c r="G56" i="9" s="1"/>
  <c r="AC25" i="7"/>
  <c r="AB25" i="7"/>
  <c r="AA25" i="7"/>
  <c r="AA26" i="7" s="1"/>
  <c r="AA27" i="7" s="1"/>
  <c r="AA28" i="7" s="1"/>
  <c r="Y25" i="7"/>
  <c r="X25" i="7"/>
  <c r="P25" i="7"/>
  <c r="N25" i="7"/>
  <c r="L25" i="7"/>
  <c r="AF24" i="7"/>
  <c r="G55" i="9" s="1"/>
  <c r="AE24" i="7"/>
  <c r="AE25" i="7" s="1"/>
  <c r="AE26" i="7" s="1"/>
  <c r="AE27" i="7" s="1"/>
  <c r="AE28" i="7" s="1"/>
  <c r="AE29" i="7" s="1"/>
  <c r="AE30" i="7" s="1"/>
  <c r="AC24" i="7"/>
  <c r="AB24" i="7"/>
  <c r="AA24" i="7"/>
  <c r="Y24" i="7"/>
  <c r="X24" i="7"/>
  <c r="P24" i="7"/>
  <c r="N36" i="7" s="1"/>
  <c r="N24" i="7"/>
  <c r="L24" i="7"/>
  <c r="AA17" i="7"/>
  <c r="N17" i="7" s="1"/>
  <c r="Z17" i="7"/>
  <c r="V17" i="7"/>
  <c r="U17" i="7"/>
  <c r="O17" i="7"/>
  <c r="AC11" i="7"/>
  <c r="AB11" i="7"/>
  <c r="X11" i="7"/>
  <c r="W11" i="7"/>
  <c r="AC10" i="7"/>
  <c r="K10" i="7" s="1"/>
  <c r="AB10" i="7"/>
  <c r="X10" i="7"/>
  <c r="W10" i="7"/>
  <c r="E42" i="7"/>
  <c r="D42" i="7"/>
  <c r="AC9" i="7"/>
  <c r="M33" i="11" s="1"/>
  <c r="AB9" i="7"/>
  <c r="T9" i="7" s="1"/>
  <c r="W9" i="7"/>
  <c r="D41" i="7"/>
  <c r="B41" i="7"/>
  <c r="AC8" i="7"/>
  <c r="M32" i="11" s="1"/>
  <c r="AB8" i="7"/>
  <c r="T8" i="7" s="1"/>
  <c r="AA8" i="7"/>
  <c r="AA9" i="7" s="1"/>
  <c r="W8" i="7"/>
  <c r="C40" i="7"/>
  <c r="AC7" i="7"/>
  <c r="M31" i="11" s="1"/>
  <c r="AB7" i="7"/>
  <c r="T7" i="7" s="1"/>
  <c r="X7" i="7"/>
  <c r="X8" i="7" s="1"/>
  <c r="X9" i="7" s="1"/>
  <c r="W7" i="7"/>
  <c r="D39" i="7"/>
  <c r="B39" i="7"/>
  <c r="C35" i="7"/>
  <c r="R36" i="7" s="1"/>
  <c r="C34" i="7"/>
  <c r="G54" i="9"/>
  <c r="E54" i="9"/>
  <c r="AC111" i="6"/>
  <c r="G53" i="9" s="1"/>
  <c r="AA111" i="6"/>
  <c r="W111" i="6" s="1"/>
  <c r="Z111" i="6"/>
  <c r="X111" i="6" s="1"/>
  <c r="Y111" i="6"/>
  <c r="T111" i="6"/>
  <c r="S111" i="6"/>
  <c r="R111" i="6"/>
  <c r="O111" i="6" s="1"/>
  <c r="M111" i="6" s="1"/>
  <c r="E53" i="9" s="1"/>
  <c r="AC110" i="6"/>
  <c r="G52" i="9" s="1"/>
  <c r="AA110" i="6"/>
  <c r="W110" i="6" s="1"/>
  <c r="Z110" i="6"/>
  <c r="X110" i="6" s="1"/>
  <c r="Y110" i="6"/>
  <c r="T110" i="6"/>
  <c r="S110" i="6"/>
  <c r="R110" i="6"/>
  <c r="O110" i="6" s="1"/>
  <c r="M110" i="6" s="1"/>
  <c r="E52" i="9" s="1"/>
  <c r="AC109" i="6"/>
  <c r="G51" i="9" s="1"/>
  <c r="AA109" i="6"/>
  <c r="W109" i="6" s="1"/>
  <c r="Z109" i="6"/>
  <c r="X109" i="6" s="1"/>
  <c r="Y109" i="6"/>
  <c r="T109" i="6"/>
  <c r="S109" i="6"/>
  <c r="R109" i="6"/>
  <c r="O109" i="6" s="1"/>
  <c r="M109" i="6" s="1"/>
  <c r="E51" i="9" s="1"/>
  <c r="AC108" i="6"/>
  <c r="G50" i="9" s="1"/>
  <c r="AA108" i="6"/>
  <c r="W108" i="6" s="1"/>
  <c r="Z108" i="6"/>
  <c r="X108" i="6" s="1"/>
  <c r="Y108" i="6"/>
  <c r="T108" i="6"/>
  <c r="S108" i="6"/>
  <c r="R108" i="6"/>
  <c r="O108" i="6" s="1"/>
  <c r="M108" i="6" s="1"/>
  <c r="E50" i="9" s="1"/>
  <c r="AC107" i="6"/>
  <c r="G49" i="9" s="1"/>
  <c r="AA107" i="6"/>
  <c r="W107" i="6" s="1"/>
  <c r="Z107" i="6"/>
  <c r="X107" i="6" s="1"/>
  <c r="Y107" i="6"/>
  <c r="T107" i="6"/>
  <c r="S107" i="6"/>
  <c r="R107" i="6"/>
  <c r="O107" i="6" s="1"/>
  <c r="M107" i="6" s="1"/>
  <c r="E49" i="9" s="1"/>
  <c r="AC106" i="6"/>
  <c r="G48" i="9" s="1"/>
  <c r="AA106" i="6"/>
  <c r="W106" i="6" s="1"/>
  <c r="Z106" i="6"/>
  <c r="X106" i="6" s="1"/>
  <c r="Y106" i="6"/>
  <c r="T106" i="6"/>
  <c r="S106" i="6"/>
  <c r="R106" i="6"/>
  <c r="O106" i="6" s="1"/>
  <c r="M106" i="6" s="1"/>
  <c r="E48" i="9" s="1"/>
  <c r="AC105" i="6"/>
  <c r="AA105" i="6"/>
  <c r="W105" i="6" s="1"/>
  <c r="Z105" i="6"/>
  <c r="X105" i="6" s="1"/>
  <c r="Y105" i="6"/>
  <c r="T105" i="6"/>
  <c r="S105" i="6"/>
  <c r="R105" i="6"/>
  <c r="O105" i="6" s="1"/>
  <c r="M105" i="6" s="1"/>
  <c r="E47" i="9" s="1"/>
  <c r="AC104" i="6"/>
  <c r="G46" i="9" s="1"/>
  <c r="Y104" i="6"/>
  <c r="X104" i="6"/>
  <c r="W104" i="6"/>
  <c r="T104" i="6"/>
  <c r="S104" i="6"/>
  <c r="R104" i="6"/>
  <c r="O104" i="6" s="1"/>
  <c r="M104" i="6" s="1"/>
  <c r="E46" i="9" s="1"/>
  <c r="AC103" i="6"/>
  <c r="Y103" i="6"/>
  <c r="X103" i="6"/>
  <c r="W103" i="6"/>
  <c r="T103" i="6"/>
  <c r="S103" i="6"/>
  <c r="R103" i="6"/>
  <c r="O103" i="6" s="1"/>
  <c r="M103" i="6" s="1"/>
  <c r="E45" i="9" s="1"/>
  <c r="AA97" i="6"/>
  <c r="Y97" i="6"/>
  <c r="X97" i="6"/>
  <c r="W97" i="6"/>
  <c r="T97" i="6"/>
  <c r="R97" i="6"/>
  <c r="O97" i="6" s="1"/>
  <c r="M97" i="6" s="1"/>
  <c r="E44" i="9" s="1"/>
  <c r="AA96" i="6"/>
  <c r="Y96" i="6"/>
  <c r="X96" i="6"/>
  <c r="W96" i="6"/>
  <c r="T96" i="6"/>
  <c r="R96" i="6"/>
  <c r="O96" i="6" s="1"/>
  <c r="M96" i="6" s="1"/>
  <c r="E43" i="9" s="1"/>
  <c r="AA95" i="6"/>
  <c r="Y95" i="6"/>
  <c r="X95" i="6"/>
  <c r="W95" i="6"/>
  <c r="T95" i="6"/>
  <c r="R95" i="6"/>
  <c r="O95" i="6" s="1"/>
  <c r="M95" i="6" s="1"/>
  <c r="E42" i="9" s="1"/>
  <c r="AA94" i="6"/>
  <c r="Y94" i="6"/>
  <c r="X94" i="6"/>
  <c r="W94" i="6"/>
  <c r="T94" i="6"/>
  <c r="R94" i="6"/>
  <c r="O94" i="6" s="1"/>
  <c r="M94" i="6" s="1"/>
  <c r="E41" i="9" s="1"/>
  <c r="AA93" i="6"/>
  <c r="Y93" i="6"/>
  <c r="X93" i="6"/>
  <c r="W93" i="6"/>
  <c r="T93" i="6"/>
  <c r="R93" i="6"/>
  <c r="O93" i="6" s="1"/>
  <c r="M93" i="6" s="1"/>
  <c r="E40" i="9" s="1"/>
  <c r="AA92" i="6"/>
  <c r="Y92" i="6"/>
  <c r="X92" i="6"/>
  <c r="W92" i="6"/>
  <c r="T92" i="6"/>
  <c r="R92" i="6"/>
  <c r="O92" i="6" s="1"/>
  <c r="M92" i="6" s="1"/>
  <c r="E39" i="9" s="1"/>
  <c r="AA91" i="6"/>
  <c r="Y91" i="6"/>
  <c r="X91" i="6"/>
  <c r="W91" i="6"/>
  <c r="T91" i="6"/>
  <c r="R91" i="6"/>
  <c r="O91" i="6" s="1"/>
  <c r="M91" i="6" s="1"/>
  <c r="E38" i="9" s="1"/>
  <c r="AA90" i="6"/>
  <c r="Y90" i="6"/>
  <c r="X90" i="6"/>
  <c r="W90" i="6"/>
  <c r="T90" i="6"/>
  <c r="R90" i="6"/>
  <c r="O90" i="6" s="1"/>
  <c r="M90" i="6" s="1"/>
  <c r="E37" i="9" s="1"/>
  <c r="AA89" i="6"/>
  <c r="Y89" i="6"/>
  <c r="X89" i="6"/>
  <c r="W89" i="6"/>
  <c r="T89" i="6"/>
  <c r="R89" i="6"/>
  <c r="O89" i="6" s="1"/>
  <c r="M89" i="6" s="1"/>
  <c r="E36" i="9" s="1"/>
  <c r="AA88" i="6"/>
  <c r="Y88" i="6"/>
  <c r="X88" i="6"/>
  <c r="W88" i="6"/>
  <c r="T88" i="6"/>
  <c r="R88" i="6"/>
  <c r="O88" i="6" s="1"/>
  <c r="M88" i="6" s="1"/>
  <c r="E35" i="9" s="1"/>
  <c r="AA87" i="6"/>
  <c r="Y87" i="6"/>
  <c r="X87" i="6"/>
  <c r="W87" i="6"/>
  <c r="T87" i="6"/>
  <c r="R87" i="6"/>
  <c r="O87" i="6" s="1"/>
  <c r="M87" i="6" s="1"/>
  <c r="E34" i="9" s="1"/>
  <c r="AA86" i="6"/>
  <c r="Y86" i="6"/>
  <c r="X86" i="6"/>
  <c r="W86" i="6"/>
  <c r="T86" i="6"/>
  <c r="R86" i="6"/>
  <c r="O86" i="6" s="1"/>
  <c r="M86" i="6" s="1"/>
  <c r="E33" i="9" s="1"/>
  <c r="AA85" i="6"/>
  <c r="Y85" i="6"/>
  <c r="X85" i="6"/>
  <c r="W85" i="6"/>
  <c r="T85" i="6"/>
  <c r="R85" i="6"/>
  <c r="O85" i="6" s="1"/>
  <c r="M85" i="6" s="1"/>
  <c r="E32" i="9" s="1"/>
  <c r="AA84" i="6"/>
  <c r="Y84" i="6"/>
  <c r="X84" i="6"/>
  <c r="W84" i="6"/>
  <c r="T84" i="6"/>
  <c r="R84" i="6"/>
  <c r="O84" i="6" s="1"/>
  <c r="M84" i="6" s="1"/>
  <c r="E31" i="9" s="1"/>
  <c r="AA83" i="6"/>
  <c r="Y83" i="6"/>
  <c r="X83" i="6"/>
  <c r="W83" i="6"/>
  <c r="T83" i="6"/>
  <c r="R83" i="6"/>
  <c r="O83" i="6" s="1"/>
  <c r="M83" i="6" s="1"/>
  <c r="E30" i="9" s="1"/>
  <c r="AA82" i="6"/>
  <c r="Y82" i="6"/>
  <c r="X82" i="6"/>
  <c r="W82" i="6"/>
  <c r="T82" i="6"/>
  <c r="R82" i="6"/>
  <c r="O82" i="6" s="1"/>
  <c r="M82" i="6" s="1"/>
  <c r="E29" i="9" s="1"/>
  <c r="AA81" i="6"/>
  <c r="Y81" i="6"/>
  <c r="X81" i="6"/>
  <c r="W81" i="6"/>
  <c r="T81" i="6"/>
  <c r="R81" i="6"/>
  <c r="O81" i="6" s="1"/>
  <c r="M81" i="6" s="1"/>
  <c r="E28" i="9" s="1"/>
  <c r="AA80" i="6"/>
  <c r="Y80" i="6"/>
  <c r="X80" i="6"/>
  <c r="W80" i="6"/>
  <c r="T80" i="6"/>
  <c r="R80" i="6"/>
  <c r="O80" i="6" s="1"/>
  <c r="M80" i="6" s="1"/>
  <c r="E27" i="9" s="1"/>
  <c r="AA79" i="6"/>
  <c r="Y79" i="6"/>
  <c r="X79" i="6"/>
  <c r="W79" i="6"/>
  <c r="T79" i="6"/>
  <c r="R79" i="6"/>
  <c r="O79" i="6" s="1"/>
  <c r="M79" i="6" s="1"/>
  <c r="E26" i="9" s="1"/>
  <c r="AA78" i="6"/>
  <c r="Y78" i="6"/>
  <c r="X78" i="6"/>
  <c r="W78" i="6"/>
  <c r="T78" i="6"/>
  <c r="R78" i="6"/>
  <c r="O78" i="6" s="1"/>
  <c r="M78" i="6" s="1"/>
  <c r="E25" i="9" s="1"/>
  <c r="AG72" i="6"/>
  <c r="G24" i="9" s="1"/>
  <c r="AC72" i="6"/>
  <c r="T72" i="6"/>
  <c r="R72" i="6"/>
  <c r="O72" i="6" s="1"/>
  <c r="M72" i="6" s="1"/>
  <c r="E24" i="9" s="1"/>
  <c r="AG71" i="6"/>
  <c r="AC71" i="6"/>
  <c r="T71" i="6"/>
  <c r="R71" i="6"/>
  <c r="O71" i="6" s="1"/>
  <c r="M71" i="6" s="1"/>
  <c r="E23" i="9" s="1"/>
  <c r="AG70" i="6"/>
  <c r="G22" i="9" s="1"/>
  <c r="AD70" i="6"/>
  <c r="AD71" i="6" s="1"/>
  <c r="AD72" i="6" s="1"/>
  <c r="AC70" i="6"/>
  <c r="T70" i="6"/>
  <c r="R70" i="6"/>
  <c r="O70" i="6" s="1"/>
  <c r="M70" i="6" s="1"/>
  <c r="E22" i="9" s="1"/>
  <c r="AG69" i="6"/>
  <c r="AC69" i="6"/>
  <c r="T69" i="6"/>
  <c r="R69" i="6"/>
  <c r="O69" i="6" s="1"/>
  <c r="M69" i="6" s="1"/>
  <c r="E21" i="9" s="1"/>
  <c r="AG68" i="6"/>
  <c r="AC68" i="6"/>
  <c r="T68" i="6"/>
  <c r="R68" i="6"/>
  <c r="O68" i="6" s="1"/>
  <c r="M68" i="6" s="1"/>
  <c r="E20" i="9" s="1"/>
  <c r="AG67" i="6"/>
  <c r="G19" i="9" s="1"/>
  <c r="T67" i="6"/>
  <c r="R67" i="6"/>
  <c r="O67" i="6" s="1"/>
  <c r="M67" i="6" s="1"/>
  <c r="E19" i="9" s="1"/>
  <c r="AG66" i="6"/>
  <c r="AC66" i="6"/>
  <c r="AC67" i="6" s="1"/>
  <c r="T66" i="6"/>
  <c r="R66" i="6"/>
  <c r="O66" i="6" s="1"/>
  <c r="M66" i="6" s="1"/>
  <c r="E18" i="9" s="1"/>
  <c r="AG65" i="6"/>
  <c r="G17" i="9" s="1"/>
  <c r="T65" i="6"/>
  <c r="R65" i="6"/>
  <c r="O65" i="6" s="1"/>
  <c r="M65" i="6" s="1"/>
  <c r="E17" i="9" s="1"/>
  <c r="AG64" i="6"/>
  <c r="T64" i="6"/>
  <c r="R64" i="6"/>
  <c r="O64" i="6" s="1"/>
  <c r="M64" i="6" s="1"/>
  <c r="E16" i="9" s="1"/>
  <c r="AG63" i="6"/>
  <c r="G15" i="9" s="1"/>
  <c r="AC63" i="6"/>
  <c r="AC64" i="6" s="1"/>
  <c r="T63" i="6"/>
  <c r="R63" i="6"/>
  <c r="O63" i="6" s="1"/>
  <c r="M63" i="6" s="1"/>
  <c r="E15" i="9" s="1"/>
  <c r="AG62" i="6"/>
  <c r="G14" i="9" s="1"/>
  <c r="T62" i="6"/>
  <c r="R62" i="6"/>
  <c r="O62" i="6" s="1"/>
  <c r="M62" i="6" s="1"/>
  <c r="E14" i="9" s="1"/>
  <c r="AG61" i="6"/>
  <c r="AC61" i="6"/>
  <c r="T61" i="6"/>
  <c r="R61" i="6"/>
  <c r="O61" i="6" s="1"/>
  <c r="M61" i="6" s="1"/>
  <c r="E13" i="9" s="1"/>
  <c r="AG60" i="6"/>
  <c r="G12" i="9" s="1"/>
  <c r="AC60" i="6"/>
  <c r="T60" i="6"/>
  <c r="R60" i="6"/>
  <c r="O60" i="6" s="1"/>
  <c r="M60" i="6" s="1"/>
  <c r="E12" i="9" s="1"/>
  <c r="AG59" i="6"/>
  <c r="G11" i="9" s="1"/>
  <c r="AC59" i="6"/>
  <c r="T59" i="6"/>
  <c r="R59" i="6"/>
  <c r="O59" i="6" s="1"/>
  <c r="M59" i="6" s="1"/>
  <c r="E11" i="9" s="1"/>
  <c r="AG58" i="6"/>
  <c r="G10" i="9" s="1"/>
  <c r="AC58" i="6"/>
  <c r="T58" i="6"/>
  <c r="R58" i="6"/>
  <c r="O58" i="6" s="1"/>
  <c r="M58" i="6" s="1"/>
  <c r="E10" i="9" s="1"/>
  <c r="AG57" i="6"/>
  <c r="G9" i="9" s="1"/>
  <c r="AC57" i="6"/>
  <c r="T57" i="6"/>
  <c r="R57" i="6"/>
  <c r="O57" i="6" s="1"/>
  <c r="M57" i="6" s="1"/>
  <c r="E9" i="9" s="1"/>
  <c r="AG56" i="6"/>
  <c r="G8" i="9" s="1"/>
  <c r="AC56" i="6"/>
  <c r="T56" i="6"/>
  <c r="R56" i="6"/>
  <c r="O56" i="6" s="1"/>
  <c r="M56" i="6" s="1"/>
  <c r="E8" i="9" s="1"/>
  <c r="AG55" i="6"/>
  <c r="G7" i="9" s="1"/>
  <c r="AC55" i="6"/>
  <c r="T55" i="6"/>
  <c r="R55" i="6"/>
  <c r="O55" i="6" s="1"/>
  <c r="M55" i="6" s="1"/>
  <c r="E7" i="9" s="1"/>
  <c r="AG54" i="6"/>
  <c r="G6" i="9" s="1"/>
  <c r="AC54" i="6"/>
  <c r="T54" i="6"/>
  <c r="R54" i="6"/>
  <c r="O54" i="6" s="1"/>
  <c r="M54" i="6" s="1"/>
  <c r="E6" i="9" s="1"/>
  <c r="AG53" i="6"/>
  <c r="AC53" i="6"/>
  <c r="T53" i="6"/>
  <c r="R53" i="6"/>
  <c r="O53" i="6" s="1"/>
  <c r="M53" i="6" s="1"/>
  <c r="E5" i="9" s="1"/>
  <c r="Z42" i="6"/>
  <c r="M30" i="11" s="1"/>
  <c r="T42" i="6"/>
  <c r="S42" i="6"/>
  <c r="R42" i="6"/>
  <c r="Q42" i="6"/>
  <c r="K30" i="11" s="1"/>
  <c r="P42" i="6"/>
  <c r="Z41" i="6"/>
  <c r="M29" i="11" s="1"/>
  <c r="T41" i="6"/>
  <c r="S41" i="6"/>
  <c r="R41" i="6"/>
  <c r="Q41" i="6"/>
  <c r="K29" i="11" s="1"/>
  <c r="P41" i="6"/>
  <c r="Z40" i="6"/>
  <c r="M28" i="11" s="1"/>
  <c r="T40" i="6"/>
  <c r="S40" i="6"/>
  <c r="R40" i="6"/>
  <c r="Q40" i="6"/>
  <c r="K28" i="11" s="1"/>
  <c r="P40" i="6"/>
  <c r="Z39" i="6"/>
  <c r="M27" i="11" s="1"/>
  <c r="T39" i="6"/>
  <c r="S39" i="6"/>
  <c r="R39" i="6"/>
  <c r="Q39" i="6"/>
  <c r="K27" i="11" s="1"/>
  <c r="P39" i="6"/>
  <c r="Z38" i="6"/>
  <c r="M26" i="11" s="1"/>
  <c r="T38" i="6"/>
  <c r="S38" i="6"/>
  <c r="R38" i="6"/>
  <c r="Q38" i="6"/>
  <c r="K26" i="11" s="1"/>
  <c r="P38" i="6"/>
  <c r="AG32" i="6"/>
  <c r="M25" i="11" s="1"/>
  <c r="AD32" i="6"/>
  <c r="S32" i="6" s="1"/>
  <c r="U32" i="6"/>
  <c r="T32" i="6"/>
  <c r="AG31" i="6"/>
  <c r="M24" i="11" s="1"/>
  <c r="AD31" i="6"/>
  <c r="S31" i="6" s="1"/>
  <c r="U31" i="6"/>
  <c r="AG30" i="6"/>
  <c r="M23" i="11" s="1"/>
  <c r="AF30" i="6"/>
  <c r="AF31" i="6" s="1"/>
  <c r="T31" i="6" s="1"/>
  <c r="AD30" i="6"/>
  <c r="S30" i="6" s="1"/>
  <c r="U30" i="6"/>
  <c r="AG29" i="6"/>
  <c r="M22" i="11" s="1"/>
  <c r="AD29" i="6"/>
  <c r="S29" i="6" s="1"/>
  <c r="Z29" i="6"/>
  <c r="Z32" i="6" s="1"/>
  <c r="U29" i="6"/>
  <c r="T29" i="6"/>
  <c r="AG28" i="6"/>
  <c r="M21" i="11" s="1"/>
  <c r="U28" i="6"/>
  <c r="T28" i="6"/>
  <c r="S28" i="6"/>
  <c r="AG27" i="6"/>
  <c r="M20" i="11" s="1"/>
  <c r="U27" i="6"/>
  <c r="T27" i="6"/>
  <c r="S27" i="6"/>
  <c r="AG26" i="6"/>
  <c r="U26" i="6"/>
  <c r="T26" i="6"/>
  <c r="S26" i="6"/>
  <c r="AC20" i="6"/>
  <c r="Y20" i="6"/>
  <c r="AC19" i="6"/>
  <c r="M17" i="11" s="1"/>
  <c r="Y19" i="6"/>
  <c r="AC18" i="6"/>
  <c r="M16" i="11" s="1"/>
  <c r="AC17" i="6"/>
  <c r="M15" i="11" s="1"/>
  <c r="AC16" i="6"/>
  <c r="M14" i="11" s="1"/>
  <c r="AC15" i="6"/>
  <c r="M13" i="11" s="1"/>
  <c r="AC14" i="6"/>
  <c r="Y14" i="6"/>
  <c r="AC13" i="6"/>
  <c r="M11" i="11" s="1"/>
  <c r="Y13" i="6"/>
  <c r="C35" i="6"/>
  <c r="AC12" i="6"/>
  <c r="M10" i="11" s="1"/>
  <c r="Y12" i="6"/>
  <c r="C34" i="6"/>
  <c r="AC81" i="6" s="1"/>
  <c r="C32" i="6"/>
  <c r="X69" i="6" s="1"/>
  <c r="P6" i="6"/>
  <c r="N6" i="6"/>
  <c r="M9" i="11" s="1"/>
  <c r="L6" i="6"/>
  <c r="N31" i="6" s="1"/>
  <c r="C28" i="6"/>
  <c r="Y25" i="5"/>
  <c r="Z25" i="5" s="1"/>
  <c r="Y24" i="5"/>
  <c r="Z24" i="5" s="1"/>
  <c r="Y23" i="5"/>
  <c r="Z23" i="5" s="1"/>
  <c r="Y22" i="5"/>
  <c r="Z22" i="5" s="1"/>
  <c r="Y21" i="5"/>
  <c r="Z21" i="5" s="1"/>
  <c r="Y20" i="5"/>
  <c r="Z20" i="5" s="1"/>
  <c r="Y19" i="5"/>
  <c r="Z19" i="5" s="1"/>
  <c r="Y18" i="5"/>
  <c r="Z18" i="5" s="1"/>
  <c r="Y17" i="5"/>
  <c r="Z17" i="5" s="1"/>
  <c r="Y16" i="5"/>
  <c r="Z16" i="5" s="1"/>
  <c r="Y15" i="5"/>
  <c r="Z15" i="5" s="1"/>
  <c r="Y14" i="5"/>
  <c r="Z14" i="5" s="1"/>
  <c r="Y13" i="5"/>
  <c r="Z13" i="5" s="1"/>
  <c r="Y12" i="5"/>
  <c r="Z12" i="5" s="1"/>
  <c r="Y11" i="5"/>
  <c r="Z11" i="5" s="1"/>
  <c r="Y10" i="5"/>
  <c r="Z10" i="5" s="1"/>
  <c r="Y9" i="5"/>
  <c r="Z9" i="5" s="1"/>
  <c r="Y8" i="5"/>
  <c r="Z8" i="5" s="1"/>
  <c r="Y7" i="5"/>
  <c r="Z7" i="5" s="1"/>
  <c r="Y6" i="5"/>
  <c r="Z6" i="5" s="1"/>
  <c r="Y5" i="5"/>
  <c r="Z5" i="5" s="1"/>
  <c r="H8" i="4"/>
  <c r="C17" i="14" s="1"/>
  <c r="H7" i="4"/>
  <c r="C16" i="14" s="1"/>
  <c r="H6" i="4"/>
  <c r="H17" i="4" s="1"/>
  <c r="C5" i="4"/>
  <c r="C4" i="4"/>
  <c r="H14" i="4"/>
  <c r="C3" i="4"/>
  <c r="E28" i="5" s="1"/>
  <c r="P28" i="5" s="1"/>
  <c r="C13" i="3"/>
  <c r="K50" i="11" s="1"/>
  <c r="C10" i="2"/>
  <c r="C18" i="2"/>
  <c r="C23" i="2" s="1"/>
  <c r="C3" i="2"/>
  <c r="C4" i="2" s="1"/>
  <c r="H8" i="1"/>
  <c r="D16" i="1"/>
  <c r="I6" i="1"/>
  <c r="C14" i="2" s="1"/>
  <c r="D15" i="1"/>
  <c r="I5" i="1"/>
  <c r="H5" i="1"/>
  <c r="D14" i="1"/>
  <c r="I4" i="1"/>
  <c r="D13" i="1"/>
  <c r="C6" i="13" l="1"/>
  <c r="P16" i="13"/>
  <c r="P15" i="13"/>
  <c r="I112" i="10"/>
  <c r="I113" i="10"/>
  <c r="I52" i="10"/>
  <c r="I111" i="10"/>
  <c r="I116" i="10"/>
  <c r="I68" i="10"/>
  <c r="I66" i="10"/>
  <c r="I110" i="10"/>
  <c r="I115" i="10"/>
  <c r="I118" i="10"/>
  <c r="I129" i="10"/>
  <c r="I95" i="10"/>
  <c r="I121" i="10"/>
  <c r="T20" i="8"/>
  <c r="AC22" i="8"/>
  <c r="U22" i="8" s="1"/>
  <c r="S22" i="8" s="1"/>
  <c r="T21" i="8"/>
  <c r="T30" i="6"/>
  <c r="Z67" i="6"/>
  <c r="U38" i="6"/>
  <c r="F15" i="10"/>
  <c r="U41" i="6"/>
  <c r="I15" i="12"/>
  <c r="U21" i="8"/>
  <c r="U40" i="6"/>
  <c r="V111" i="6"/>
  <c r="V104" i="6"/>
  <c r="R19" i="8"/>
  <c r="R20" i="8"/>
  <c r="P16" i="6"/>
  <c r="P29" i="6"/>
  <c r="R11" i="8"/>
  <c r="P13" i="6"/>
  <c r="Z59" i="6"/>
  <c r="Z63" i="6"/>
  <c r="Z65" i="6"/>
  <c r="K8" i="7"/>
  <c r="R22" i="8"/>
  <c r="N8" i="7"/>
  <c r="G17" i="13"/>
  <c r="G16" i="13"/>
  <c r="P31" i="6"/>
  <c r="N10" i="7"/>
  <c r="R10" i="8"/>
  <c r="M18" i="8"/>
  <c r="I15" i="13"/>
  <c r="Z60" i="6"/>
  <c r="Z70" i="6"/>
  <c r="K9" i="7"/>
  <c r="P30" i="6"/>
  <c r="Z55" i="6"/>
  <c r="K7" i="7"/>
  <c r="N9" i="7"/>
  <c r="M9" i="8"/>
  <c r="M17" i="8"/>
  <c r="G18" i="13"/>
  <c r="P12" i="6"/>
  <c r="P27" i="6"/>
  <c r="Z57" i="6"/>
  <c r="N7" i="7"/>
  <c r="P32" i="6"/>
  <c r="I19" i="13"/>
  <c r="O40" i="6"/>
  <c r="P19" i="6"/>
  <c r="O39" i="6"/>
  <c r="O38" i="6"/>
  <c r="O42" i="6"/>
  <c r="O41" i="6"/>
  <c r="Z72" i="6"/>
  <c r="R8" i="8"/>
  <c r="V103" i="6"/>
  <c r="J28" i="7"/>
  <c r="E59" i="9" s="1"/>
  <c r="V109" i="6"/>
  <c r="J25" i="7"/>
  <c r="E56" i="9" s="1"/>
  <c r="U39" i="6"/>
  <c r="V106" i="6"/>
  <c r="U42" i="6"/>
  <c r="J24" i="7"/>
  <c r="E55" i="9" s="1"/>
  <c r="N28" i="6"/>
  <c r="M60" i="8"/>
  <c r="E83" i="9" s="1"/>
  <c r="C19" i="2"/>
  <c r="C21" i="2" s="1"/>
  <c r="T15" i="6"/>
  <c r="C22" i="2"/>
  <c r="AF67" i="6"/>
  <c r="AB67" i="6" s="1"/>
  <c r="AA67" i="6" s="1"/>
  <c r="V67" i="6" s="1"/>
  <c r="N16" i="6"/>
  <c r="V105" i="6"/>
  <c r="M44" i="8"/>
  <c r="E71" i="9" s="1"/>
  <c r="AF56" i="6"/>
  <c r="AB56" i="6" s="1"/>
  <c r="AA56" i="6" s="1"/>
  <c r="V56" i="6" s="1"/>
  <c r="L30" i="8"/>
  <c r="E62" i="9" s="1"/>
  <c r="H9" i="1"/>
  <c r="I9" i="1"/>
  <c r="N12" i="6"/>
  <c r="X58" i="6"/>
  <c r="X71" i="6"/>
  <c r="M30" i="14"/>
  <c r="AA14" i="6"/>
  <c r="AB28" i="6" s="1"/>
  <c r="Y28" i="6" s="1"/>
  <c r="X28" i="6" s="1"/>
  <c r="N32" i="6"/>
  <c r="V110" i="6"/>
  <c r="Q107" i="6"/>
  <c r="Q103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106" i="6"/>
  <c r="Q104" i="6"/>
  <c r="Q105" i="6"/>
  <c r="Q71" i="6"/>
  <c r="Q66" i="6"/>
  <c r="Q111" i="6"/>
  <c r="Q110" i="6"/>
  <c r="Q109" i="6"/>
  <c r="Q57" i="6"/>
  <c r="Q72" i="6"/>
  <c r="Q68" i="6"/>
  <c r="Q67" i="6"/>
  <c r="Q65" i="6"/>
  <c r="Q62" i="6"/>
  <c r="Q54" i="6"/>
  <c r="Q69" i="6"/>
  <c r="Q59" i="6"/>
  <c r="Q56" i="6"/>
  <c r="Q108" i="6"/>
  <c r="Q70" i="6"/>
  <c r="Q64" i="6"/>
  <c r="Q61" i="6"/>
  <c r="Q53" i="6"/>
  <c r="Q58" i="6"/>
  <c r="Q55" i="6"/>
  <c r="Q60" i="6"/>
  <c r="Q63" i="6"/>
  <c r="R28" i="5"/>
  <c r="Q28" i="5"/>
  <c r="T28" i="5"/>
  <c r="C20" i="2"/>
  <c r="F28" i="5"/>
  <c r="M19" i="11"/>
  <c r="P26" i="6"/>
  <c r="C31" i="6"/>
  <c r="H3" i="4"/>
  <c r="H10" i="4" s="1"/>
  <c r="H4" i="4" s="1"/>
  <c r="S9" i="7" s="1"/>
  <c r="G28" i="5"/>
  <c r="M18" i="11"/>
  <c r="P20" i="6"/>
  <c r="L6" i="9"/>
  <c r="L45" i="11"/>
  <c r="O45" i="11" s="1"/>
  <c r="L39" i="11"/>
  <c r="O39" i="11" s="1"/>
  <c r="L38" i="11"/>
  <c r="O38" i="11" s="1"/>
  <c r="L33" i="11"/>
  <c r="L31" i="11"/>
  <c r="L29" i="11"/>
  <c r="L27" i="11"/>
  <c r="L25" i="11"/>
  <c r="L23" i="11"/>
  <c r="L21" i="11"/>
  <c r="L19" i="11"/>
  <c r="L17" i="11"/>
  <c r="L15" i="11"/>
  <c r="L13" i="11"/>
  <c r="L11" i="11"/>
  <c r="L47" i="11"/>
  <c r="O47" i="11" s="1"/>
  <c r="L43" i="11"/>
  <c r="O43" i="11" s="1"/>
  <c r="L35" i="11"/>
  <c r="O35" i="11" s="1"/>
  <c r="L42" i="11"/>
  <c r="O42" i="11" s="1"/>
  <c r="L10" i="11"/>
  <c r="L9" i="11"/>
  <c r="L36" i="11"/>
  <c r="O36" i="11" s="1"/>
  <c r="C6" i="4"/>
  <c r="M12" i="11"/>
  <c r="P14" i="6"/>
  <c r="G13" i="9"/>
  <c r="Z61" i="6"/>
  <c r="G20" i="9"/>
  <c r="Z68" i="6"/>
  <c r="H91" i="10"/>
  <c r="H90" i="10"/>
  <c r="H82" i="10"/>
  <c r="H83" i="10"/>
  <c r="I83" i="10" s="1"/>
  <c r="H85" i="10"/>
  <c r="I85" i="10" s="1"/>
  <c r="H84" i="10"/>
  <c r="I84" i="10" s="1"/>
  <c r="H86" i="10"/>
  <c r="I86" i="10" s="1"/>
  <c r="H87" i="10"/>
  <c r="I87" i="10" s="1"/>
  <c r="H88" i="10"/>
  <c r="I88" i="10" s="1"/>
  <c r="H89" i="10"/>
  <c r="I89" i="10" s="1"/>
  <c r="H80" i="10"/>
  <c r="H81" i="10"/>
  <c r="G16" i="9"/>
  <c r="Z64" i="6"/>
  <c r="G21" i="9"/>
  <c r="Z69" i="6"/>
  <c r="I109" i="10"/>
  <c r="G5" i="9"/>
  <c r="Z53" i="6"/>
  <c r="AA13" i="6"/>
  <c r="AB27" i="6" s="1"/>
  <c r="Y27" i="6" s="1"/>
  <c r="X27" i="6" s="1"/>
  <c r="T14" i="6"/>
  <c r="AA16" i="6"/>
  <c r="AB30" i="6" s="1"/>
  <c r="Y30" i="6" s="1"/>
  <c r="T17" i="6"/>
  <c r="N18" i="6"/>
  <c r="AA19" i="6"/>
  <c r="X19" i="6" s="1"/>
  <c r="W19" i="6" s="1"/>
  <c r="R19" i="6" s="1"/>
  <c r="T20" i="6"/>
  <c r="Z30" i="6"/>
  <c r="L25" i="12"/>
  <c r="N26" i="11"/>
  <c r="G71" i="11"/>
  <c r="X53" i="6"/>
  <c r="AF59" i="6"/>
  <c r="AB59" i="6" s="1"/>
  <c r="AA59" i="6" s="1"/>
  <c r="V59" i="6" s="1"/>
  <c r="X61" i="6"/>
  <c r="AF62" i="6"/>
  <c r="AB62" i="6" s="1"/>
  <c r="AA62" i="6" s="1"/>
  <c r="V62" i="6" s="1"/>
  <c r="X64" i="6"/>
  <c r="AF65" i="6"/>
  <c r="AB65" i="6" s="1"/>
  <c r="AA65" i="6" s="1"/>
  <c r="V65" i="6" s="1"/>
  <c r="AF66" i="6"/>
  <c r="AB66" i="6" s="1"/>
  <c r="AA66" i="6" s="1"/>
  <c r="V66" i="6" s="1"/>
  <c r="AC80" i="6"/>
  <c r="G45" i="9"/>
  <c r="V107" i="6"/>
  <c r="V108" i="6"/>
  <c r="C42" i="7"/>
  <c r="G68" i="9"/>
  <c r="AA12" i="6"/>
  <c r="AB26" i="6" s="1"/>
  <c r="Y26" i="6" s="1"/>
  <c r="X26" i="6" s="1"/>
  <c r="L10" i="12"/>
  <c r="G56" i="11"/>
  <c r="N11" i="11"/>
  <c r="N15" i="6"/>
  <c r="N14" i="11"/>
  <c r="G59" i="11"/>
  <c r="L13" i="12"/>
  <c r="L16" i="12"/>
  <c r="G62" i="11"/>
  <c r="N17" i="11"/>
  <c r="N27" i="6"/>
  <c r="P28" i="6"/>
  <c r="Z31" i="6"/>
  <c r="L28" i="12"/>
  <c r="G74" i="11"/>
  <c r="N29" i="11"/>
  <c r="AF54" i="6"/>
  <c r="AB54" i="6" s="1"/>
  <c r="AA54" i="6" s="1"/>
  <c r="V54" i="6" s="1"/>
  <c r="X56" i="6"/>
  <c r="Z58" i="6"/>
  <c r="G18" i="9"/>
  <c r="Z66" i="6"/>
  <c r="AC83" i="6"/>
  <c r="C39" i="7"/>
  <c r="L9" i="12"/>
  <c r="N10" i="11"/>
  <c r="G55" i="11"/>
  <c r="T13" i="6"/>
  <c r="P18" i="6"/>
  <c r="AA18" i="6"/>
  <c r="AB32" i="6" s="1"/>
  <c r="Y32" i="6" s="1"/>
  <c r="X32" i="6" s="1"/>
  <c r="T19" i="6"/>
  <c r="AF57" i="6"/>
  <c r="AB57" i="6" s="1"/>
  <c r="AA57" i="6" s="1"/>
  <c r="V57" i="6" s="1"/>
  <c r="X59" i="6"/>
  <c r="X67" i="6"/>
  <c r="X68" i="6"/>
  <c r="AF71" i="6"/>
  <c r="AB71" i="6" s="1"/>
  <c r="AA71" i="6" s="1"/>
  <c r="V71" i="6" s="1"/>
  <c r="AC78" i="6"/>
  <c r="L7" i="9"/>
  <c r="X72" i="6"/>
  <c r="X70" i="6"/>
  <c r="T12" i="6"/>
  <c r="AD27" i="7"/>
  <c r="AD28" i="7"/>
  <c r="AD24" i="7"/>
  <c r="AD30" i="7"/>
  <c r="AD26" i="7"/>
  <c r="AD29" i="7"/>
  <c r="AD25" i="7"/>
  <c r="N14" i="6"/>
  <c r="P15" i="6"/>
  <c r="AA15" i="6"/>
  <c r="AB29" i="6" s="1"/>
  <c r="Y29" i="6" s="1"/>
  <c r="X29" i="6" s="1"/>
  <c r="T16" i="6"/>
  <c r="N17" i="6"/>
  <c r="L15" i="12"/>
  <c r="N16" i="11"/>
  <c r="G61" i="11"/>
  <c r="N20" i="6"/>
  <c r="N26" i="6"/>
  <c r="L20" i="12"/>
  <c r="G66" i="11"/>
  <c r="N21" i="11"/>
  <c r="L21" i="12"/>
  <c r="N22" i="11"/>
  <c r="G67" i="11"/>
  <c r="L26" i="12"/>
  <c r="N27" i="11"/>
  <c r="G72" i="11"/>
  <c r="X54" i="6"/>
  <c r="Z56" i="6"/>
  <c r="AF60" i="6"/>
  <c r="AB60" i="6" s="1"/>
  <c r="AA60" i="6" s="1"/>
  <c r="V60" i="6" s="1"/>
  <c r="X62" i="6"/>
  <c r="AF63" i="6"/>
  <c r="AB63" i="6" s="1"/>
  <c r="AA63" i="6" s="1"/>
  <c r="V63" i="6" s="1"/>
  <c r="X65" i="6"/>
  <c r="G23" i="9"/>
  <c r="Z71" i="6"/>
  <c r="G47" i="9"/>
  <c r="G64" i="9"/>
  <c r="L8" i="12"/>
  <c r="G54" i="11"/>
  <c r="N9" i="11"/>
  <c r="Z29" i="7"/>
  <c r="Z25" i="7"/>
  <c r="Z30" i="7"/>
  <c r="Z26" i="7"/>
  <c r="Z59" i="8"/>
  <c r="W59" i="8" s="1"/>
  <c r="V59" i="8" s="1"/>
  <c r="U59" i="8" s="1"/>
  <c r="AC37" i="8"/>
  <c r="Z37" i="8" s="1"/>
  <c r="Y37" i="8" s="1"/>
  <c r="U37" i="8" s="1"/>
  <c r="AC35" i="8"/>
  <c r="Z35" i="8" s="1"/>
  <c r="Y35" i="8" s="1"/>
  <c r="U35" i="8" s="1"/>
  <c r="AC33" i="8"/>
  <c r="Z33" i="8" s="1"/>
  <c r="Y33" i="8" s="1"/>
  <c r="U33" i="8" s="1"/>
  <c r="AC31" i="8"/>
  <c r="Z31" i="8" s="1"/>
  <c r="Y31" i="8" s="1"/>
  <c r="U31" i="8" s="1"/>
  <c r="Z60" i="8"/>
  <c r="W60" i="8" s="1"/>
  <c r="V60" i="8" s="1"/>
  <c r="U60" i="8" s="1"/>
  <c r="X36" i="7"/>
  <c r="Z28" i="7"/>
  <c r="AF68" i="6"/>
  <c r="AB68" i="6" s="1"/>
  <c r="AA68" i="6" s="1"/>
  <c r="V68" i="6" s="1"/>
  <c r="AC36" i="8"/>
  <c r="Z36" i="8" s="1"/>
  <c r="Y36" i="8" s="1"/>
  <c r="U36" i="8" s="1"/>
  <c r="AC32" i="8"/>
  <c r="Z32" i="8" s="1"/>
  <c r="Y32" i="8" s="1"/>
  <c r="U32" i="8" s="1"/>
  <c r="Y10" i="7"/>
  <c r="AF72" i="6"/>
  <c r="AB72" i="6" s="1"/>
  <c r="AA72" i="6" s="1"/>
  <c r="V72" i="6" s="1"/>
  <c r="W17" i="7"/>
  <c r="Y11" i="7"/>
  <c r="Z24" i="7"/>
  <c r="Y9" i="7"/>
  <c r="AC38" i="8"/>
  <c r="Z38" i="8" s="1"/>
  <c r="Y38" i="8" s="1"/>
  <c r="U38" i="8" s="1"/>
  <c r="AC34" i="8"/>
  <c r="Z34" i="8" s="1"/>
  <c r="Y34" i="8" s="1"/>
  <c r="U34" i="8" s="1"/>
  <c r="AC30" i="8"/>
  <c r="Z30" i="8" s="1"/>
  <c r="Y30" i="8" s="1"/>
  <c r="Z27" i="7"/>
  <c r="Y8" i="7"/>
  <c r="Y7" i="7"/>
  <c r="AC97" i="6"/>
  <c r="AC96" i="6"/>
  <c r="AC95" i="6"/>
  <c r="AC94" i="6"/>
  <c r="AC93" i="6"/>
  <c r="AC92" i="6"/>
  <c r="AC91" i="6"/>
  <c r="AC90" i="6"/>
  <c r="AC89" i="6"/>
  <c r="AC88" i="6"/>
  <c r="AC87" i="6"/>
  <c r="AC86" i="6"/>
  <c r="AC85" i="6"/>
  <c r="AC84" i="6"/>
  <c r="L12" i="12"/>
  <c r="G58" i="11"/>
  <c r="N13" i="11"/>
  <c r="L22" i="12"/>
  <c r="G68" i="11"/>
  <c r="N23" i="11"/>
  <c r="L29" i="12"/>
  <c r="N30" i="11"/>
  <c r="G75" i="11"/>
  <c r="AF55" i="6"/>
  <c r="AB55" i="6" s="1"/>
  <c r="AA55" i="6" s="1"/>
  <c r="V55" i="6" s="1"/>
  <c r="X57" i="6"/>
  <c r="X66" i="6"/>
  <c r="AF70" i="6"/>
  <c r="AB70" i="6" s="1"/>
  <c r="AA70" i="6" s="1"/>
  <c r="V70" i="6" s="1"/>
  <c r="AA10" i="7"/>
  <c r="AA29" i="7"/>
  <c r="N13" i="6"/>
  <c r="P17" i="6"/>
  <c r="AA17" i="6"/>
  <c r="AB31" i="6" s="1"/>
  <c r="Y31" i="6" s="1"/>
  <c r="T18" i="6"/>
  <c r="N19" i="6"/>
  <c r="L19" i="12"/>
  <c r="N20" i="11"/>
  <c r="G65" i="11"/>
  <c r="N29" i="6"/>
  <c r="N30" i="6"/>
  <c r="L23" i="12"/>
  <c r="N24" i="11"/>
  <c r="G69" i="11"/>
  <c r="L24" i="12"/>
  <c r="N25" i="11"/>
  <c r="G70" i="11"/>
  <c r="Z54" i="6"/>
  <c r="AF58" i="6"/>
  <c r="AB58" i="6" s="1"/>
  <c r="AA58" i="6" s="1"/>
  <c r="V58" i="6" s="1"/>
  <c r="X60" i="6"/>
  <c r="Z62" i="6"/>
  <c r="X63" i="6"/>
  <c r="AC79" i="6"/>
  <c r="N11" i="7"/>
  <c r="K11" i="7"/>
  <c r="L14" i="12"/>
  <c r="N15" i="11"/>
  <c r="G60" i="11"/>
  <c r="AA20" i="6"/>
  <c r="X20" i="6" s="1"/>
  <c r="W20" i="6" s="1"/>
  <c r="R20" i="6" s="1"/>
  <c r="N28" i="11"/>
  <c r="G73" i="11"/>
  <c r="L27" i="12"/>
  <c r="L5" i="9"/>
  <c r="AF53" i="6"/>
  <c r="AB53" i="6" s="1"/>
  <c r="AA53" i="6" s="1"/>
  <c r="V53" i="6" s="1"/>
  <c r="X55" i="6"/>
  <c r="AF61" i="6"/>
  <c r="AB61" i="6" s="1"/>
  <c r="AA61" i="6" s="1"/>
  <c r="V61" i="6" s="1"/>
  <c r="AF64" i="6"/>
  <c r="AB64" i="6" s="1"/>
  <c r="AA64" i="6" s="1"/>
  <c r="V64" i="6" s="1"/>
  <c r="AF69" i="6"/>
  <c r="AB69" i="6" s="1"/>
  <c r="AA69" i="6" s="1"/>
  <c r="V69" i="6" s="1"/>
  <c r="AC82" i="6"/>
  <c r="G57" i="9"/>
  <c r="R21" i="8"/>
  <c r="M21" i="8"/>
  <c r="M59" i="8"/>
  <c r="E82" i="9" s="1"/>
  <c r="L30" i="12"/>
  <c r="G76" i="11"/>
  <c r="N31" i="11"/>
  <c r="L37" i="8"/>
  <c r="E69" i="9" s="1"/>
  <c r="L35" i="8"/>
  <c r="E67" i="9" s="1"/>
  <c r="L33" i="8"/>
  <c r="E65" i="9" s="1"/>
  <c r="L31" i="8"/>
  <c r="E63" i="9" s="1"/>
  <c r="L34" i="8"/>
  <c r="E66" i="9" s="1"/>
  <c r="L38" i="8"/>
  <c r="E70" i="9" s="1"/>
  <c r="L31" i="12"/>
  <c r="N32" i="11"/>
  <c r="G77" i="11"/>
  <c r="J26" i="7"/>
  <c r="E57" i="9" s="1"/>
  <c r="Q36" i="7"/>
  <c r="X37" i="8"/>
  <c r="X35" i="8"/>
  <c r="X33" i="8"/>
  <c r="X31" i="8"/>
  <c r="V9" i="8"/>
  <c r="X44" i="8"/>
  <c r="U44" i="8" s="1"/>
  <c r="V10" i="8"/>
  <c r="V11" i="8"/>
  <c r="X45" i="8"/>
  <c r="U45" i="8" s="1"/>
  <c r="V8" i="8"/>
  <c r="X38" i="8"/>
  <c r="X36" i="8"/>
  <c r="X34" i="8"/>
  <c r="X32" i="8"/>
  <c r="X30" i="8"/>
  <c r="U20" i="8"/>
  <c r="G62" i="9"/>
  <c r="G66" i="9"/>
  <c r="G70" i="9"/>
  <c r="X46" i="8"/>
  <c r="U46" i="8" s="1"/>
  <c r="H78" i="10"/>
  <c r="I78" i="10" s="1"/>
  <c r="I77" i="10"/>
  <c r="I60" i="10"/>
  <c r="J27" i="7"/>
  <c r="E58" i="9" s="1"/>
  <c r="J29" i="7"/>
  <c r="E60" i="9" s="1"/>
  <c r="L32" i="12"/>
  <c r="N33" i="11"/>
  <c r="G78" i="11"/>
  <c r="G61" i="9"/>
  <c r="AC19" i="8"/>
  <c r="U19" i="8" s="1"/>
  <c r="T19" i="8"/>
  <c r="L32" i="8"/>
  <c r="E64" i="9" s="1"/>
  <c r="L36" i="8"/>
  <c r="E68" i="9" s="1"/>
  <c r="I59" i="10"/>
  <c r="Y47" i="8"/>
  <c r="M7" i="8"/>
  <c r="AC18" i="8"/>
  <c r="U18" i="8" s="1"/>
  <c r="S18" i="8" s="1"/>
  <c r="G83" i="9"/>
  <c r="O44" i="10"/>
  <c r="I69" i="10"/>
  <c r="I62" i="10"/>
  <c r="I75" i="10"/>
  <c r="I67" i="10"/>
  <c r="I97" i="10"/>
  <c r="H99" i="10"/>
  <c r="L18" i="11"/>
  <c r="I61" i="10"/>
  <c r="I72" i="10"/>
  <c r="I96" i="10"/>
  <c r="H98" i="10"/>
  <c r="I65" i="10"/>
  <c r="I71" i="10"/>
  <c r="I104" i="10"/>
  <c r="H105" i="10"/>
  <c r="I122" i="10"/>
  <c r="H123" i="10"/>
  <c r="I53" i="10"/>
  <c r="I54" i="10"/>
  <c r="I55" i="10"/>
  <c r="I56" i="10"/>
  <c r="I57" i="10"/>
  <c r="I58" i="10"/>
  <c r="I64" i="10"/>
  <c r="I63" i="10"/>
  <c r="I70" i="10"/>
  <c r="I74" i="10"/>
  <c r="L28" i="11"/>
  <c r="L37" i="11"/>
  <c r="O37" i="11" s="1"/>
  <c r="L12" i="11"/>
  <c r="L26" i="11"/>
  <c r="I76" i="10"/>
  <c r="L24" i="11"/>
  <c r="L32" i="11"/>
  <c r="L34" i="11"/>
  <c r="O34" i="11" s="1"/>
  <c r="L14" i="11"/>
  <c r="L16" i="11"/>
  <c r="L22" i="11"/>
  <c r="L20" i="11"/>
  <c r="L30" i="11"/>
  <c r="L41" i="11"/>
  <c r="O41" i="11" s="1"/>
  <c r="L44" i="11"/>
  <c r="O44" i="11" s="1"/>
  <c r="L46" i="11"/>
  <c r="O46" i="11" s="1"/>
  <c r="L40" i="11"/>
  <c r="O40" i="11" s="1"/>
  <c r="J17" i="13"/>
  <c r="J14" i="13"/>
  <c r="J15" i="13"/>
  <c r="J19" i="13"/>
  <c r="J16" i="13"/>
  <c r="J18" i="13"/>
  <c r="H25" i="14"/>
  <c r="H22" i="14"/>
  <c r="P17" i="13"/>
  <c r="P19" i="13"/>
  <c r="O15" i="11" l="1"/>
  <c r="O23" i="11"/>
  <c r="S20" i="8"/>
  <c r="N20" i="8" s="1"/>
  <c r="L20" i="8" s="1"/>
  <c r="S21" i="8"/>
  <c r="N21" i="8" s="1"/>
  <c r="L21" i="8" s="1"/>
  <c r="O33" i="11"/>
  <c r="O31" i="11"/>
  <c r="O9" i="11"/>
  <c r="O27" i="11"/>
  <c r="O11" i="11"/>
  <c r="O21" i="11"/>
  <c r="O29" i="11"/>
  <c r="O13" i="11"/>
  <c r="O25" i="11"/>
  <c r="L12" i="9"/>
  <c r="S19" i="8"/>
  <c r="N19" i="8" s="1"/>
  <c r="L19" i="8" s="1"/>
  <c r="X14" i="6"/>
  <c r="W14" i="6" s="1"/>
  <c r="R14" i="6" s="1"/>
  <c r="T24" i="7"/>
  <c r="T28" i="7"/>
  <c r="T27" i="7"/>
  <c r="S8" i="7"/>
  <c r="X31" i="6"/>
  <c r="L10" i="9"/>
  <c r="L8" i="9"/>
  <c r="I123" i="10"/>
  <c r="H124" i="10"/>
  <c r="O20" i="11"/>
  <c r="Z20" i="8"/>
  <c r="W20" i="8" s="1"/>
  <c r="V20" i="8" s="1"/>
  <c r="Z17" i="8"/>
  <c r="W17" i="8" s="1"/>
  <c r="V17" i="8" s="1"/>
  <c r="AA7" i="8"/>
  <c r="X7" i="8" s="1"/>
  <c r="W7" i="8" s="1"/>
  <c r="T7" i="8" s="1"/>
  <c r="S7" i="8" s="1"/>
  <c r="N7" i="8" s="1"/>
  <c r="L7" i="8" s="1"/>
  <c r="Z21" i="8"/>
  <c r="W21" i="8" s="1"/>
  <c r="V21" i="8" s="1"/>
  <c r="Z22" i="8"/>
  <c r="W22" i="8" s="1"/>
  <c r="V22" i="8" s="1"/>
  <c r="AA9" i="8"/>
  <c r="X9" i="8" s="1"/>
  <c r="W9" i="8" s="1"/>
  <c r="T9" i="8" s="1"/>
  <c r="S9" i="8" s="1"/>
  <c r="N9" i="8" s="1"/>
  <c r="L9" i="8" s="1"/>
  <c r="Z19" i="8"/>
  <c r="W19" i="8" s="1"/>
  <c r="V19" i="8" s="1"/>
  <c r="AA11" i="8"/>
  <c r="X11" i="8" s="1"/>
  <c r="W11" i="8" s="1"/>
  <c r="T11" i="8" s="1"/>
  <c r="S11" i="8" s="1"/>
  <c r="N11" i="8" s="1"/>
  <c r="L11" i="8" s="1"/>
  <c r="Z18" i="8"/>
  <c r="W18" i="8" s="1"/>
  <c r="V18" i="8" s="1"/>
  <c r="AA10" i="8"/>
  <c r="X10" i="8" s="1"/>
  <c r="W10" i="8" s="1"/>
  <c r="T10" i="8" s="1"/>
  <c r="S10" i="8" s="1"/>
  <c r="N10" i="8" s="1"/>
  <c r="L10" i="8" s="1"/>
  <c r="AA8" i="8"/>
  <c r="X8" i="8" s="1"/>
  <c r="W8" i="8" s="1"/>
  <c r="T8" i="8" s="1"/>
  <c r="S8" i="8" s="1"/>
  <c r="N8" i="8" s="1"/>
  <c r="L8" i="8" s="1"/>
  <c r="O22" i="11"/>
  <c r="O16" i="11"/>
  <c r="I90" i="10"/>
  <c r="O28" i="11"/>
  <c r="O24" i="11"/>
  <c r="I91" i="10"/>
  <c r="C13" i="14"/>
  <c r="K53" i="11"/>
  <c r="F23" i="5"/>
  <c r="F19" i="5"/>
  <c r="F15" i="5"/>
  <c r="F11" i="5"/>
  <c r="F7" i="5"/>
  <c r="F22" i="5"/>
  <c r="F18" i="5"/>
  <c r="F14" i="5"/>
  <c r="F25" i="5"/>
  <c r="F21" i="5"/>
  <c r="F17" i="5"/>
  <c r="F13" i="5"/>
  <c r="F9" i="5"/>
  <c r="F16" i="5"/>
  <c r="F5" i="5"/>
  <c r="F6" i="5"/>
  <c r="F24" i="5"/>
  <c r="F8" i="5"/>
  <c r="F10" i="5"/>
  <c r="I28" i="5"/>
  <c r="F20" i="5"/>
  <c r="F12" i="5"/>
  <c r="U24" i="5"/>
  <c r="U20" i="5"/>
  <c r="U16" i="5"/>
  <c r="U12" i="5"/>
  <c r="U8" i="5"/>
  <c r="U23" i="5"/>
  <c r="U19" i="5"/>
  <c r="U15" i="5"/>
  <c r="U11" i="5"/>
  <c r="U22" i="5"/>
  <c r="U18" i="5"/>
  <c r="U14" i="5"/>
  <c r="U10" i="5"/>
  <c r="U6" i="5"/>
  <c r="U5" i="5"/>
  <c r="U21" i="5"/>
  <c r="U17" i="5"/>
  <c r="U9" i="5"/>
  <c r="U25" i="5"/>
  <c r="U13" i="5"/>
  <c r="U7" i="5"/>
  <c r="S28" i="5"/>
  <c r="I80" i="10"/>
  <c r="I98" i="10"/>
  <c r="H100" i="10"/>
  <c r="O32" i="11"/>
  <c r="O14" i="11"/>
  <c r="N12" i="11"/>
  <c r="O12" i="11" s="1"/>
  <c r="L11" i="12"/>
  <c r="G57" i="11"/>
  <c r="S36" i="7"/>
  <c r="S7" i="7"/>
  <c r="T25" i="7"/>
  <c r="T26" i="7"/>
  <c r="H5" i="4"/>
  <c r="X17" i="6"/>
  <c r="W17" i="6" s="1"/>
  <c r="R17" i="6" s="1"/>
  <c r="P25" i="5"/>
  <c r="P21" i="5"/>
  <c r="P24" i="5"/>
  <c r="P20" i="5"/>
  <c r="P16" i="5"/>
  <c r="P12" i="5"/>
  <c r="P23" i="5"/>
  <c r="P19" i="5"/>
  <c r="P22" i="5"/>
  <c r="P13" i="5"/>
  <c r="P7" i="5"/>
  <c r="P6" i="5"/>
  <c r="P9" i="5"/>
  <c r="P8" i="5"/>
  <c r="P11" i="5"/>
  <c r="P10" i="5"/>
  <c r="P14" i="5"/>
  <c r="P5" i="5"/>
  <c r="P17" i="5"/>
  <c r="P15" i="5"/>
  <c r="P18" i="5"/>
  <c r="C30" i="6"/>
  <c r="C29" i="6" s="1"/>
  <c r="X13" i="6"/>
  <c r="W13" i="6" s="1"/>
  <c r="R13" i="6" s="1"/>
  <c r="K54" i="11"/>
  <c r="Q25" i="5"/>
  <c r="Q21" i="5"/>
  <c r="Q17" i="5"/>
  <c r="Q13" i="5"/>
  <c r="Q9" i="5"/>
  <c r="Q24" i="5"/>
  <c r="Q20" i="5"/>
  <c r="Q16" i="5"/>
  <c r="Q12" i="5"/>
  <c r="Q23" i="5"/>
  <c r="Q19" i="5"/>
  <c r="Q15" i="5"/>
  <c r="Q11" i="5"/>
  <c r="Q7" i="5"/>
  <c r="Q8" i="5"/>
  <c r="Q10" i="5"/>
  <c r="Q22" i="5"/>
  <c r="Q14" i="5"/>
  <c r="Q5" i="5"/>
  <c r="Q6" i="5"/>
  <c r="Q18" i="5"/>
  <c r="I99" i="10"/>
  <c r="H101" i="10"/>
  <c r="N17" i="8"/>
  <c r="L17" i="8" s="1"/>
  <c r="N22" i="8"/>
  <c r="L22" i="8" s="1"/>
  <c r="N18" i="8"/>
  <c r="L18" i="8" s="1"/>
  <c r="C14" i="14"/>
  <c r="H28" i="5"/>
  <c r="E23" i="5"/>
  <c r="E22" i="5"/>
  <c r="E18" i="5"/>
  <c r="E14" i="5"/>
  <c r="E25" i="5"/>
  <c r="E21" i="5"/>
  <c r="E17" i="5"/>
  <c r="E20" i="5"/>
  <c r="E13" i="5"/>
  <c r="E5" i="5"/>
  <c r="E12" i="5"/>
  <c r="E15" i="5"/>
  <c r="E24" i="5"/>
  <c r="E16" i="5"/>
  <c r="E7" i="5"/>
  <c r="E6" i="5"/>
  <c r="E19" i="5"/>
  <c r="E9" i="5"/>
  <c r="E8" i="5"/>
  <c r="E11" i="5"/>
  <c r="E10" i="5"/>
  <c r="I105" i="10"/>
  <c r="H106" i="10"/>
  <c r="H79" i="10"/>
  <c r="AA30" i="7"/>
  <c r="T30" i="7" s="1"/>
  <c r="T29" i="7"/>
  <c r="O10" i="11"/>
  <c r="O26" i="11"/>
  <c r="X30" i="6"/>
  <c r="C14" i="4"/>
  <c r="H15" i="4"/>
  <c r="H16" i="4" s="1"/>
  <c r="C11" i="4"/>
  <c r="C17" i="4"/>
  <c r="C22" i="4"/>
  <c r="X15" i="6"/>
  <c r="W15" i="6" s="1"/>
  <c r="R15" i="6" s="1"/>
  <c r="Z47" i="8"/>
  <c r="W47" i="8" s="1"/>
  <c r="Y48" i="8"/>
  <c r="X47" i="8"/>
  <c r="AA11" i="7"/>
  <c r="S10" i="7"/>
  <c r="AB45" i="8"/>
  <c r="AB54" i="8"/>
  <c r="AB53" i="8"/>
  <c r="AB52" i="8"/>
  <c r="AB51" i="8"/>
  <c r="AB50" i="8"/>
  <c r="AB49" i="8"/>
  <c r="AB48" i="8"/>
  <c r="AB47" i="8"/>
  <c r="AB46" i="8"/>
  <c r="AB44" i="8"/>
  <c r="O17" i="11"/>
  <c r="X16" i="6"/>
  <c r="W16" i="6" s="1"/>
  <c r="R16" i="6" s="1"/>
  <c r="X12" i="6"/>
  <c r="W12" i="6" s="1"/>
  <c r="R12" i="6" s="1"/>
  <c r="X18" i="6"/>
  <c r="W18" i="6" s="1"/>
  <c r="R18" i="6" s="1"/>
  <c r="I82" i="10"/>
  <c r="H5" i="14"/>
  <c r="H4" i="14" s="1"/>
  <c r="U30" i="8"/>
  <c r="O30" i="11"/>
  <c r="U36" i="7"/>
  <c r="T36" i="7" s="1"/>
  <c r="W28" i="7"/>
  <c r="V28" i="7" s="1"/>
  <c r="S28" i="7" s="1"/>
  <c r="W29" i="7"/>
  <c r="V29" i="7" s="1"/>
  <c r="S29" i="7" s="1"/>
  <c r="W25" i="7"/>
  <c r="V25" i="7" s="1"/>
  <c r="S25" i="7" s="1"/>
  <c r="W27" i="7"/>
  <c r="V27" i="7" s="1"/>
  <c r="S27" i="7" s="1"/>
  <c r="V8" i="7"/>
  <c r="U8" i="7" s="1"/>
  <c r="Q8" i="7" s="1"/>
  <c r="V7" i="7"/>
  <c r="U7" i="7" s="1"/>
  <c r="Q7" i="7" s="1"/>
  <c r="V10" i="7"/>
  <c r="U10" i="7" s="1"/>
  <c r="R10" i="7" s="1"/>
  <c r="W26" i="7"/>
  <c r="V26" i="7" s="1"/>
  <c r="S26" i="7" s="1"/>
  <c r="T17" i="7"/>
  <c r="S17" i="7" s="1"/>
  <c r="Q17" i="7" s="1"/>
  <c r="V11" i="7"/>
  <c r="U11" i="7" s="1"/>
  <c r="R11" i="7" s="1"/>
  <c r="W30" i="7"/>
  <c r="V30" i="7" s="1"/>
  <c r="W24" i="7"/>
  <c r="V24" i="7" s="1"/>
  <c r="S24" i="7" s="1"/>
  <c r="V9" i="7"/>
  <c r="U9" i="7" s="1"/>
  <c r="Q9" i="7" s="1"/>
  <c r="P9" i="7" s="1"/>
  <c r="L9" i="7" s="1"/>
  <c r="J9" i="7" s="1"/>
  <c r="I81" i="10"/>
  <c r="L17" i="12"/>
  <c r="N18" i="11"/>
  <c r="O18" i="11" s="1"/>
  <c r="G63" i="11"/>
  <c r="L18" i="12"/>
  <c r="N19" i="11"/>
  <c r="O19" i="11" s="1"/>
  <c r="G64" i="11"/>
  <c r="S30" i="7" l="1"/>
  <c r="R30" i="7" s="1"/>
  <c r="R27" i="7"/>
  <c r="C26" i="4"/>
  <c r="P8" i="7"/>
  <c r="L8" i="7" s="1"/>
  <c r="J8" i="7" s="1"/>
  <c r="E31" i="10" s="1"/>
  <c r="R24" i="7"/>
  <c r="R28" i="7"/>
  <c r="C29" i="4"/>
  <c r="R25" i="7"/>
  <c r="R29" i="7"/>
  <c r="P10" i="7"/>
  <c r="L10" i="7" s="1"/>
  <c r="J10" i="7" s="1"/>
  <c r="D34" i="11" s="1"/>
  <c r="P7" i="7"/>
  <c r="L7" i="7" s="1"/>
  <c r="J7" i="7" s="1"/>
  <c r="E30" i="10" s="1"/>
  <c r="U47" i="8"/>
  <c r="D46" i="11"/>
  <c r="D45" i="10"/>
  <c r="D33" i="11"/>
  <c r="E32" i="10"/>
  <c r="I106" i="10"/>
  <c r="H107" i="10"/>
  <c r="T59" i="8"/>
  <c r="L59" i="8" s="1"/>
  <c r="T54" i="8"/>
  <c r="T53" i="8"/>
  <c r="T52" i="8"/>
  <c r="T51" i="8"/>
  <c r="T50" i="8"/>
  <c r="T49" i="8"/>
  <c r="T48" i="8"/>
  <c r="T47" i="8"/>
  <c r="T46" i="8"/>
  <c r="L46" i="8" s="1"/>
  <c r="T44" i="8"/>
  <c r="L44" i="8" s="1"/>
  <c r="T45" i="8"/>
  <c r="L45" i="8" s="1"/>
  <c r="C41" i="7"/>
  <c r="S37" i="8"/>
  <c r="S33" i="8"/>
  <c r="S35" i="8"/>
  <c r="S31" i="8"/>
  <c r="S32" i="8"/>
  <c r="T60" i="8"/>
  <c r="L60" i="8" s="1"/>
  <c r="S30" i="8"/>
  <c r="S38" i="8"/>
  <c r="S36" i="8"/>
  <c r="S34" i="8"/>
  <c r="I124" i="10"/>
  <c r="H125" i="10"/>
  <c r="D47" i="11"/>
  <c r="D46" i="10"/>
  <c r="D39" i="11"/>
  <c r="D38" i="10"/>
  <c r="D40" i="11"/>
  <c r="D39" i="10"/>
  <c r="H22" i="5"/>
  <c r="H25" i="5"/>
  <c r="H21" i="5"/>
  <c r="H17" i="5"/>
  <c r="H13" i="5"/>
  <c r="H24" i="5"/>
  <c r="H20" i="5"/>
  <c r="H18" i="5"/>
  <c r="H16" i="5"/>
  <c r="H5" i="5"/>
  <c r="H6" i="5"/>
  <c r="H7" i="5"/>
  <c r="H8" i="5"/>
  <c r="H19" i="5"/>
  <c r="H10" i="5"/>
  <c r="H9" i="5"/>
  <c r="H14" i="5"/>
  <c r="H11" i="5"/>
  <c r="H23" i="5"/>
  <c r="H12" i="5"/>
  <c r="H15" i="5"/>
  <c r="I101" i="10"/>
  <c r="T24" i="5"/>
  <c r="T23" i="5"/>
  <c r="T19" i="5"/>
  <c r="T15" i="5"/>
  <c r="T5" i="5"/>
  <c r="T22" i="5"/>
  <c r="T18" i="5"/>
  <c r="T10" i="5"/>
  <c r="T9" i="5"/>
  <c r="T14" i="5"/>
  <c r="T11" i="5"/>
  <c r="T21" i="5"/>
  <c r="T17" i="5"/>
  <c r="T16" i="5"/>
  <c r="T12" i="5"/>
  <c r="T13" i="5"/>
  <c r="T7" i="5"/>
  <c r="T25" i="5"/>
  <c r="T20" i="5"/>
  <c r="T6" i="5"/>
  <c r="T8" i="5"/>
  <c r="Y17" i="7"/>
  <c r="R17" i="7" s="1"/>
  <c r="P17" i="7" s="1"/>
  <c r="K17" i="7" s="1"/>
  <c r="S11" i="7"/>
  <c r="P11" i="7" s="1"/>
  <c r="L11" i="7" s="1"/>
  <c r="J11" i="7" s="1"/>
  <c r="I79" i="10"/>
  <c r="D44" i="11"/>
  <c r="D43" i="10"/>
  <c r="D38" i="11"/>
  <c r="D37" i="10"/>
  <c r="I100" i="10"/>
  <c r="D41" i="11"/>
  <c r="D40" i="10"/>
  <c r="D42" i="11"/>
  <c r="E41" i="10"/>
  <c r="I22" i="5"/>
  <c r="I18" i="5"/>
  <c r="I14" i="5"/>
  <c r="I10" i="5"/>
  <c r="I6" i="5"/>
  <c r="I25" i="5"/>
  <c r="I21" i="5"/>
  <c r="I17" i="5"/>
  <c r="I13" i="5"/>
  <c r="I24" i="5"/>
  <c r="I20" i="5"/>
  <c r="I16" i="5"/>
  <c r="I12" i="5"/>
  <c r="I8" i="5"/>
  <c r="I5" i="5"/>
  <c r="I9" i="5"/>
  <c r="I7" i="5"/>
  <c r="I19" i="5"/>
  <c r="I11" i="5"/>
  <c r="I23" i="5"/>
  <c r="I15" i="5"/>
  <c r="U110" i="6"/>
  <c r="L110" i="6" s="1"/>
  <c r="U109" i="6"/>
  <c r="L109" i="6" s="1"/>
  <c r="U72" i="6"/>
  <c r="U70" i="6"/>
  <c r="U106" i="6"/>
  <c r="L106" i="6" s="1"/>
  <c r="U104" i="6"/>
  <c r="L104" i="6" s="1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56" i="6"/>
  <c r="W31" i="6"/>
  <c r="U81" i="6"/>
  <c r="U78" i="6"/>
  <c r="U71" i="6"/>
  <c r="V19" i="6"/>
  <c r="V13" i="6"/>
  <c r="U83" i="6"/>
  <c r="U55" i="6"/>
  <c r="U80" i="6"/>
  <c r="V39" i="6"/>
  <c r="N39" i="6" s="1"/>
  <c r="M39" i="6" s="1"/>
  <c r="U66" i="6"/>
  <c r="W27" i="6"/>
  <c r="U82" i="6"/>
  <c r="U67" i="6"/>
  <c r="U65" i="6"/>
  <c r="U62" i="6"/>
  <c r="U54" i="6"/>
  <c r="V41" i="6"/>
  <c r="N41" i="6" s="1"/>
  <c r="M41" i="6" s="1"/>
  <c r="W32" i="6"/>
  <c r="U79" i="6"/>
  <c r="U59" i="6"/>
  <c r="V18" i="6"/>
  <c r="W28" i="6"/>
  <c r="V38" i="6"/>
  <c r="N38" i="6" s="1"/>
  <c r="M38" i="6" s="1"/>
  <c r="U69" i="6"/>
  <c r="U61" i="6"/>
  <c r="V15" i="6"/>
  <c r="V16" i="6"/>
  <c r="W29" i="6"/>
  <c r="W26" i="6"/>
  <c r="V20" i="6"/>
  <c r="U57" i="6"/>
  <c r="U108" i="6"/>
  <c r="L108" i="6" s="1"/>
  <c r="U64" i="6"/>
  <c r="W30" i="6"/>
  <c r="V40" i="6"/>
  <c r="N40" i="6" s="1"/>
  <c r="M40" i="6" s="1"/>
  <c r="U68" i="6"/>
  <c r="U53" i="6"/>
  <c r="V42" i="6"/>
  <c r="N42" i="6" s="1"/>
  <c r="M42" i="6" s="1"/>
  <c r="U58" i="6"/>
  <c r="U107" i="6"/>
  <c r="L107" i="6" s="1"/>
  <c r="U111" i="6"/>
  <c r="L111" i="6" s="1"/>
  <c r="V14" i="6"/>
  <c r="U103" i="6"/>
  <c r="L103" i="6" s="1"/>
  <c r="V17" i="6"/>
  <c r="U60" i="6"/>
  <c r="U105" i="6"/>
  <c r="L105" i="6" s="1"/>
  <c r="V12" i="6"/>
  <c r="U63" i="6"/>
  <c r="O14" i="13"/>
  <c r="O18" i="13"/>
  <c r="O15" i="13"/>
  <c r="O19" i="13"/>
  <c r="O16" i="13"/>
  <c r="O17" i="13"/>
  <c r="V37" i="8"/>
  <c r="T37" i="8" s="1"/>
  <c r="V35" i="8"/>
  <c r="T35" i="8" s="1"/>
  <c r="V33" i="8"/>
  <c r="T33" i="8" s="1"/>
  <c r="V31" i="8"/>
  <c r="T31" i="8" s="1"/>
  <c r="V38" i="8"/>
  <c r="T38" i="8" s="1"/>
  <c r="V36" i="8"/>
  <c r="T36" i="8" s="1"/>
  <c r="V34" i="8"/>
  <c r="T34" i="8" s="1"/>
  <c r="V32" i="8"/>
  <c r="T32" i="8" s="1"/>
  <c r="V30" i="8"/>
  <c r="T30" i="8" s="1"/>
  <c r="W72" i="6"/>
  <c r="Y72" i="6" s="1"/>
  <c r="W67" i="6"/>
  <c r="Y67" i="6" s="1"/>
  <c r="P36" i="7"/>
  <c r="O36" i="7" s="1"/>
  <c r="I36" i="7" s="1"/>
  <c r="V97" i="6"/>
  <c r="Z97" i="6" s="1"/>
  <c r="V96" i="6"/>
  <c r="Z96" i="6" s="1"/>
  <c r="V95" i="6"/>
  <c r="Z95" i="6" s="1"/>
  <c r="V94" i="6"/>
  <c r="Z94" i="6" s="1"/>
  <c r="V93" i="6"/>
  <c r="Z93" i="6" s="1"/>
  <c r="V92" i="6"/>
  <c r="Z92" i="6" s="1"/>
  <c r="V91" i="6"/>
  <c r="Z91" i="6" s="1"/>
  <c r="V90" i="6"/>
  <c r="Z90" i="6" s="1"/>
  <c r="V89" i="6"/>
  <c r="Z89" i="6" s="1"/>
  <c r="V88" i="6"/>
  <c r="Z88" i="6" s="1"/>
  <c r="V87" i="6"/>
  <c r="Z87" i="6" s="1"/>
  <c r="V86" i="6"/>
  <c r="Z86" i="6" s="1"/>
  <c r="V85" i="6"/>
  <c r="Z85" i="6" s="1"/>
  <c r="V84" i="6"/>
  <c r="Z84" i="6" s="1"/>
  <c r="V81" i="6"/>
  <c r="Z81" i="6" s="1"/>
  <c r="L81" i="6" s="1"/>
  <c r="W71" i="6"/>
  <c r="Y71" i="6" s="1"/>
  <c r="W58" i="6"/>
  <c r="Y58" i="6" s="1"/>
  <c r="R26" i="6"/>
  <c r="V26" i="6" s="1"/>
  <c r="V78" i="6"/>
  <c r="Z78" i="6" s="1"/>
  <c r="W70" i="6"/>
  <c r="Y70" i="6" s="1"/>
  <c r="W55" i="6"/>
  <c r="Y55" i="6" s="1"/>
  <c r="S15" i="6"/>
  <c r="U15" i="6" s="1"/>
  <c r="V83" i="6"/>
  <c r="Z83" i="6" s="1"/>
  <c r="W63" i="6"/>
  <c r="Y63" i="6" s="1"/>
  <c r="W60" i="6"/>
  <c r="Y60" i="6" s="1"/>
  <c r="R27" i="6"/>
  <c r="V27" i="6" s="1"/>
  <c r="S18" i="6"/>
  <c r="U18" i="6" s="1"/>
  <c r="O18" i="6" s="1"/>
  <c r="M18" i="6" s="1"/>
  <c r="D16" i="11" s="1"/>
  <c r="V80" i="6"/>
  <c r="Z80" i="6" s="1"/>
  <c r="W66" i="6"/>
  <c r="Y66" i="6" s="1"/>
  <c r="W57" i="6"/>
  <c r="Y57" i="6" s="1"/>
  <c r="W65" i="6"/>
  <c r="Y65" i="6" s="1"/>
  <c r="W62" i="6"/>
  <c r="Y62" i="6" s="1"/>
  <c r="W54" i="6"/>
  <c r="Y54" i="6" s="1"/>
  <c r="R32" i="6"/>
  <c r="V32" i="6" s="1"/>
  <c r="R28" i="6"/>
  <c r="V28" i="6" s="1"/>
  <c r="S16" i="6"/>
  <c r="U16" i="6" s="1"/>
  <c r="S12" i="6"/>
  <c r="U12" i="6" s="1"/>
  <c r="V82" i="6"/>
  <c r="Z82" i="6" s="1"/>
  <c r="W69" i="6"/>
  <c r="Y69" i="6" s="1"/>
  <c r="W68" i="6"/>
  <c r="Y68" i="6" s="1"/>
  <c r="W59" i="6"/>
  <c r="Y59" i="6" s="1"/>
  <c r="R31" i="6"/>
  <c r="V31" i="6" s="1"/>
  <c r="S19" i="6"/>
  <c r="U19" i="6" s="1"/>
  <c r="S13" i="6"/>
  <c r="U13" i="6" s="1"/>
  <c r="V79" i="6"/>
  <c r="Z79" i="6" s="1"/>
  <c r="W56" i="6"/>
  <c r="Y56" i="6" s="1"/>
  <c r="R30" i="6"/>
  <c r="V30" i="6" s="1"/>
  <c r="R29" i="6"/>
  <c r="V29" i="6" s="1"/>
  <c r="W64" i="6"/>
  <c r="Y64" i="6" s="1"/>
  <c r="W53" i="6"/>
  <c r="Y53" i="6" s="1"/>
  <c r="S14" i="6"/>
  <c r="U14" i="6" s="1"/>
  <c r="W61" i="6"/>
  <c r="Y61" i="6" s="1"/>
  <c r="S20" i="6"/>
  <c r="U20" i="6" s="1"/>
  <c r="S17" i="6"/>
  <c r="U17" i="6" s="1"/>
  <c r="R26" i="7"/>
  <c r="D37" i="11"/>
  <c r="D36" i="10"/>
  <c r="L17" i="7"/>
  <c r="Z48" i="8"/>
  <c r="W48" i="8" s="1"/>
  <c r="Y49" i="8"/>
  <c r="X48" i="8"/>
  <c r="D43" i="11"/>
  <c r="E42" i="10"/>
  <c r="D45" i="11"/>
  <c r="D44" i="10"/>
  <c r="O20" i="6" l="1"/>
  <c r="M20" i="6" s="1"/>
  <c r="D18" i="11" s="1"/>
  <c r="L47" i="8"/>
  <c r="P47" i="8" s="1"/>
  <c r="D32" i="11"/>
  <c r="D77" i="11" s="1"/>
  <c r="F77" i="11" s="1"/>
  <c r="E31" i="12" s="1"/>
  <c r="K33" i="8"/>
  <c r="D65" i="9" s="1"/>
  <c r="L79" i="6"/>
  <c r="D26" i="9" s="1"/>
  <c r="O19" i="6"/>
  <c r="M19" i="6" s="1"/>
  <c r="D17" i="11" s="1"/>
  <c r="O15" i="6"/>
  <c r="M15" i="6" s="1"/>
  <c r="D13" i="11" s="1"/>
  <c r="K37" i="8"/>
  <c r="D69" i="9" s="1"/>
  <c r="K35" i="8"/>
  <c r="D67" i="9" s="1"/>
  <c r="L64" i="6"/>
  <c r="P64" i="6" s="1"/>
  <c r="L61" i="6"/>
  <c r="D13" i="9" s="1"/>
  <c r="O16" i="6"/>
  <c r="M16" i="6" s="1"/>
  <c r="H13" i="12" s="1"/>
  <c r="L86" i="6"/>
  <c r="D33" i="9" s="1"/>
  <c r="L94" i="6"/>
  <c r="D41" i="9" s="1"/>
  <c r="K34" i="8"/>
  <c r="O34" i="8" s="1"/>
  <c r="O27" i="6"/>
  <c r="M27" i="6" s="1"/>
  <c r="D20" i="11" s="1"/>
  <c r="L88" i="6"/>
  <c r="D35" i="9" s="1"/>
  <c r="L96" i="6"/>
  <c r="D43" i="9" s="1"/>
  <c r="L71" i="6"/>
  <c r="D23" i="9" s="1"/>
  <c r="L66" i="6"/>
  <c r="D18" i="9" s="1"/>
  <c r="L78" i="6"/>
  <c r="D25" i="9" s="1"/>
  <c r="L87" i="6"/>
  <c r="P87" i="6" s="1"/>
  <c r="L95" i="6"/>
  <c r="D42" i="9" s="1"/>
  <c r="O32" i="6"/>
  <c r="M32" i="6" s="1"/>
  <c r="D25" i="11" s="1"/>
  <c r="D70" i="11" s="1"/>
  <c r="F70" i="11" s="1"/>
  <c r="D24" i="12" s="1"/>
  <c r="K36" i="8"/>
  <c r="D68" i="9" s="1"/>
  <c r="O14" i="6"/>
  <c r="M14" i="6" s="1"/>
  <c r="D12" i="11" s="1"/>
  <c r="O30" i="6"/>
  <c r="M30" i="6" s="1"/>
  <c r="D23" i="11" s="1"/>
  <c r="D31" i="11"/>
  <c r="D76" i="11" s="1"/>
  <c r="F76" i="11" s="1"/>
  <c r="E30" i="12" s="1"/>
  <c r="L84" i="6"/>
  <c r="P84" i="6" s="1"/>
  <c r="O28" i="6"/>
  <c r="M28" i="6" s="1"/>
  <c r="D22" i="10" s="1"/>
  <c r="K30" i="8"/>
  <c r="D62" i="9" s="1"/>
  <c r="O31" i="6"/>
  <c r="M31" i="6" s="1"/>
  <c r="D24" i="11" s="1"/>
  <c r="D69" i="11" s="1"/>
  <c r="F69" i="11" s="1"/>
  <c r="D23" i="12" s="1"/>
  <c r="L54" i="6"/>
  <c r="D6" i="9" s="1"/>
  <c r="L89" i="6"/>
  <c r="D36" i="9" s="1"/>
  <c r="L97" i="6"/>
  <c r="D44" i="9" s="1"/>
  <c r="L63" i="6"/>
  <c r="P63" i="6" s="1"/>
  <c r="L80" i="6"/>
  <c r="P80" i="6" s="1"/>
  <c r="L69" i="6"/>
  <c r="D21" i="9" s="1"/>
  <c r="L65" i="6"/>
  <c r="D17" i="9" s="1"/>
  <c r="L83" i="6"/>
  <c r="P83" i="6" s="1"/>
  <c r="L91" i="6"/>
  <c r="D38" i="9" s="1"/>
  <c r="E33" i="10"/>
  <c r="F33" i="10" s="1"/>
  <c r="L59" i="6"/>
  <c r="D11" i="9" s="1"/>
  <c r="O29" i="6"/>
  <c r="M29" i="6" s="1"/>
  <c r="D22" i="11" s="1"/>
  <c r="L68" i="6"/>
  <c r="D20" i="9" s="1"/>
  <c r="K31" i="8"/>
  <c r="O31" i="8" s="1"/>
  <c r="O17" i="6"/>
  <c r="M17" i="6" s="1"/>
  <c r="D14" i="10" s="1"/>
  <c r="L82" i="6"/>
  <c r="D29" i="9" s="1"/>
  <c r="L72" i="6"/>
  <c r="D24" i="9" s="1"/>
  <c r="L85" i="6"/>
  <c r="P85" i="6" s="1"/>
  <c r="L93" i="6"/>
  <c r="D40" i="9" s="1"/>
  <c r="K32" i="8"/>
  <c r="D64" i="9" s="1"/>
  <c r="O26" i="6"/>
  <c r="M26" i="6" s="1"/>
  <c r="D18" i="10" s="1"/>
  <c r="L53" i="6"/>
  <c r="P53" i="6" s="1"/>
  <c r="L60" i="6"/>
  <c r="D12" i="9" s="1"/>
  <c r="J17" i="7"/>
  <c r="D36" i="11" s="1"/>
  <c r="L67" i="6"/>
  <c r="P67" i="6" s="1"/>
  <c r="L92" i="6"/>
  <c r="D39" i="9" s="1"/>
  <c r="O13" i="6"/>
  <c r="M13" i="6" s="1"/>
  <c r="H10" i="10" s="1"/>
  <c r="Q11" i="11" s="1"/>
  <c r="L70" i="6"/>
  <c r="D22" i="9" s="1"/>
  <c r="F16" i="11"/>
  <c r="D61" i="11"/>
  <c r="F61" i="11" s="1"/>
  <c r="F37" i="10"/>
  <c r="G37" i="10"/>
  <c r="F30" i="10"/>
  <c r="G30" i="10"/>
  <c r="F43" i="11"/>
  <c r="D88" i="11"/>
  <c r="F88" i="11" s="1"/>
  <c r="F37" i="11"/>
  <c r="D82" i="11"/>
  <c r="F82" i="11" s="1"/>
  <c r="D36" i="12" s="1"/>
  <c r="D47" i="9"/>
  <c r="P105" i="6"/>
  <c r="D30" i="11"/>
  <c r="E29" i="10"/>
  <c r="D48" i="9"/>
  <c r="P106" i="6"/>
  <c r="G40" i="10"/>
  <c r="F40" i="10"/>
  <c r="F38" i="11"/>
  <c r="D83" i="11"/>
  <c r="F83" i="11" s="1"/>
  <c r="D37" i="12" s="1"/>
  <c r="G39" i="10"/>
  <c r="F39" i="10"/>
  <c r="D72" i="9"/>
  <c r="P45" i="8"/>
  <c r="D54" i="9"/>
  <c r="F41" i="11"/>
  <c r="D86" i="11"/>
  <c r="F86" i="11" s="1"/>
  <c r="D40" i="12" s="1"/>
  <c r="G43" i="10"/>
  <c r="F43" i="10"/>
  <c r="D35" i="11"/>
  <c r="E34" i="10"/>
  <c r="D85" i="11"/>
  <c r="F85" i="11" s="1"/>
  <c r="D39" i="12" s="1"/>
  <c r="F40" i="11"/>
  <c r="D83" i="9"/>
  <c r="P60" i="8"/>
  <c r="D71" i="9"/>
  <c r="P44" i="8"/>
  <c r="G36" i="10"/>
  <c r="F36" i="10"/>
  <c r="Q29" i="7"/>
  <c r="I29" i="7" s="1"/>
  <c r="Q25" i="7"/>
  <c r="I25" i="7" s="1"/>
  <c r="Q28" i="7"/>
  <c r="I28" i="7" s="1"/>
  <c r="Q27" i="7"/>
  <c r="I27" i="7" s="1"/>
  <c r="Q24" i="7"/>
  <c r="I24" i="7" s="1"/>
  <c r="Q30" i="7"/>
  <c r="I30" i="7" s="1"/>
  <c r="Q26" i="7"/>
  <c r="I26" i="7" s="1"/>
  <c r="L58" i="6"/>
  <c r="K38" i="8"/>
  <c r="F44" i="11"/>
  <c r="D89" i="11"/>
  <c r="F89" i="11" s="1"/>
  <c r="D44" i="12" s="1"/>
  <c r="I125" i="10"/>
  <c r="H126" i="10"/>
  <c r="D73" i="9"/>
  <c r="P46" i="8"/>
  <c r="F34" i="11"/>
  <c r="D79" i="11"/>
  <c r="F79" i="11" s="1"/>
  <c r="E33" i="12" s="1"/>
  <c r="L62" i="6"/>
  <c r="L90" i="6"/>
  <c r="J36" i="7"/>
  <c r="M13" i="9" s="1"/>
  <c r="K13" i="9"/>
  <c r="D45" i="9"/>
  <c r="P103" i="6"/>
  <c r="D28" i="11"/>
  <c r="E27" i="10"/>
  <c r="D51" i="9"/>
  <c r="P109" i="6"/>
  <c r="F31" i="10"/>
  <c r="G31" i="10"/>
  <c r="G38" i="10"/>
  <c r="F38" i="10"/>
  <c r="P59" i="8"/>
  <c r="D82" i="9"/>
  <c r="F32" i="10"/>
  <c r="G32" i="10"/>
  <c r="D28" i="9"/>
  <c r="P81" i="6"/>
  <c r="H15" i="13"/>
  <c r="F15" i="13" s="1"/>
  <c r="H14" i="13"/>
  <c r="H18" i="13"/>
  <c r="F18" i="13" s="1"/>
  <c r="H19" i="13"/>
  <c r="F19" i="13" s="1"/>
  <c r="H17" i="13"/>
  <c r="F17" i="13" s="1"/>
  <c r="H16" i="13"/>
  <c r="F16" i="13" s="1"/>
  <c r="D52" i="9"/>
  <c r="P110" i="6"/>
  <c r="F39" i="11"/>
  <c r="D84" i="11"/>
  <c r="F84" i="11" s="1"/>
  <c r="D38" i="12" s="1"/>
  <c r="D78" i="11"/>
  <c r="F78" i="11" s="1"/>
  <c r="E32" i="12" s="1"/>
  <c r="F33" i="11"/>
  <c r="D26" i="11"/>
  <c r="E25" i="10"/>
  <c r="F42" i="11"/>
  <c r="D87" i="11"/>
  <c r="F87" i="11" s="1"/>
  <c r="E41" i="12" s="1"/>
  <c r="U48" i="8"/>
  <c r="L48" i="8" s="1"/>
  <c r="G44" i="10"/>
  <c r="F44" i="10"/>
  <c r="O12" i="6"/>
  <c r="M12" i="6" s="1"/>
  <c r="L56" i="6"/>
  <c r="L57" i="6"/>
  <c r="D53" i="9"/>
  <c r="P111" i="6"/>
  <c r="D29" i="11"/>
  <c r="E28" i="10"/>
  <c r="D27" i="11"/>
  <c r="E26" i="10"/>
  <c r="G46" i="10"/>
  <c r="F46" i="10"/>
  <c r="I107" i="10"/>
  <c r="H108" i="10"/>
  <c r="F45" i="10"/>
  <c r="G45" i="10"/>
  <c r="G42" i="10"/>
  <c r="F42" i="10"/>
  <c r="D46" i="9"/>
  <c r="P104" i="6"/>
  <c r="Z49" i="8"/>
  <c r="W49" i="8" s="1"/>
  <c r="Y50" i="8"/>
  <c r="X49" i="8"/>
  <c r="D90" i="11"/>
  <c r="F90" i="11" s="1"/>
  <c r="D45" i="12" s="1"/>
  <c r="F45" i="11"/>
  <c r="L55" i="6"/>
  <c r="D49" i="9"/>
  <c r="P107" i="6"/>
  <c r="P108" i="6"/>
  <c r="D50" i="9"/>
  <c r="F41" i="10"/>
  <c r="G41" i="10"/>
  <c r="F47" i="11"/>
  <c r="D92" i="11"/>
  <c r="F92" i="11" s="1"/>
  <c r="D91" i="11"/>
  <c r="F91" i="11" s="1"/>
  <c r="D46" i="12" s="1"/>
  <c r="F46" i="11"/>
  <c r="D74" i="9" l="1"/>
  <c r="F32" i="11"/>
  <c r="N112" i="6"/>
  <c r="E17" i="10"/>
  <c r="F17" i="10" s="1"/>
  <c r="O37" i="8"/>
  <c r="H12" i="10"/>
  <c r="Q13" i="11" s="1"/>
  <c r="H12" i="12"/>
  <c r="O35" i="8"/>
  <c r="O33" i="8"/>
  <c r="O30" i="8"/>
  <c r="D12" i="10"/>
  <c r="G12" i="10" s="1"/>
  <c r="P94" i="6"/>
  <c r="D34" i="9"/>
  <c r="D15" i="9"/>
  <c r="E16" i="10"/>
  <c r="G16" i="10" s="1"/>
  <c r="D11" i="10"/>
  <c r="G11" i="10" s="1"/>
  <c r="H11" i="10"/>
  <c r="Q12" i="11" s="1"/>
  <c r="P79" i="6"/>
  <c r="D5" i="9"/>
  <c r="D16" i="9"/>
  <c r="H11" i="12"/>
  <c r="D31" i="9"/>
  <c r="P66" i="6"/>
  <c r="D23" i="10"/>
  <c r="G23" i="10" s="1"/>
  <c r="O32" i="8"/>
  <c r="F24" i="11"/>
  <c r="D30" i="9"/>
  <c r="P82" i="6"/>
  <c r="D21" i="10"/>
  <c r="G21" i="10" s="1"/>
  <c r="P86" i="6"/>
  <c r="P68" i="6"/>
  <c r="D13" i="10"/>
  <c r="G13" i="10" s="1"/>
  <c r="P78" i="6"/>
  <c r="D14" i="11"/>
  <c r="F14" i="11" s="1"/>
  <c r="D19" i="11"/>
  <c r="F19" i="11" s="1"/>
  <c r="H13" i="10"/>
  <c r="Q14" i="11" s="1"/>
  <c r="F31" i="11"/>
  <c r="D27" i="9"/>
  <c r="D66" i="9"/>
  <c r="H14" i="12"/>
  <c r="P60" i="6"/>
  <c r="P65" i="6"/>
  <c r="P95" i="6"/>
  <c r="O36" i="8"/>
  <c r="P54" i="6"/>
  <c r="H14" i="10"/>
  <c r="Q15" i="11" s="1"/>
  <c r="D19" i="9"/>
  <c r="P88" i="6"/>
  <c r="D15" i="11"/>
  <c r="F15" i="11" s="1"/>
  <c r="P91" i="6"/>
  <c r="G33" i="10"/>
  <c r="I33" i="10" s="1"/>
  <c r="F19" i="10"/>
  <c r="P61" i="6"/>
  <c r="E35" i="10"/>
  <c r="G35" i="10" s="1"/>
  <c r="P71" i="6"/>
  <c r="P89" i="6"/>
  <c r="P96" i="6"/>
  <c r="F25" i="11"/>
  <c r="D63" i="9"/>
  <c r="D24" i="10"/>
  <c r="G24" i="10" s="1"/>
  <c r="P97" i="6"/>
  <c r="P59" i="6"/>
  <c r="H10" i="12"/>
  <c r="P93" i="6"/>
  <c r="D11" i="11"/>
  <c r="F11" i="11" s="1"/>
  <c r="P69" i="6"/>
  <c r="D21" i="11"/>
  <c r="D66" i="11" s="1"/>
  <c r="F66" i="11" s="1"/>
  <c r="D20" i="12" s="1"/>
  <c r="D20" i="10"/>
  <c r="G20" i="10" s="1"/>
  <c r="U49" i="8"/>
  <c r="L49" i="8" s="1"/>
  <c r="P49" i="8" s="1"/>
  <c r="D32" i="9"/>
  <c r="P72" i="6"/>
  <c r="P92" i="6"/>
  <c r="K12" i="9"/>
  <c r="P70" i="6"/>
  <c r="D10" i="10"/>
  <c r="G10" i="10" s="1"/>
  <c r="D57" i="9"/>
  <c r="M26" i="7"/>
  <c r="H23" i="12"/>
  <c r="G23" i="12"/>
  <c r="F23" i="12"/>
  <c r="I41" i="10"/>
  <c r="D74" i="11"/>
  <c r="F74" i="11" s="1"/>
  <c r="E28" i="12" s="1"/>
  <c r="F29" i="11"/>
  <c r="F30" i="12"/>
  <c r="G30" i="12"/>
  <c r="I108" i="10"/>
  <c r="I44" i="10"/>
  <c r="I126" i="10"/>
  <c r="H127" i="10"/>
  <c r="D56" i="9"/>
  <c r="M25" i="7"/>
  <c r="F34" i="10"/>
  <c r="G34" i="10"/>
  <c r="E42" i="12"/>
  <c r="D43" i="12"/>
  <c r="G14" i="10"/>
  <c r="F14" i="10"/>
  <c r="F25" i="10"/>
  <c r="G25" i="10"/>
  <c r="G36" i="12"/>
  <c r="F36" i="12"/>
  <c r="D59" i="9"/>
  <c r="M28" i="7"/>
  <c r="F18" i="11"/>
  <c r="D63" i="11"/>
  <c r="F63" i="11" s="1"/>
  <c r="E17" i="12" s="1"/>
  <c r="D75" i="9"/>
  <c r="P48" i="8"/>
  <c r="G32" i="12"/>
  <c r="F32" i="12"/>
  <c r="I38" i="10"/>
  <c r="F27" i="10"/>
  <c r="G27" i="10"/>
  <c r="D37" i="9"/>
  <c r="P90" i="6"/>
  <c r="D10" i="9"/>
  <c r="P58" i="6"/>
  <c r="D60" i="9"/>
  <c r="M29" i="7"/>
  <c r="D80" i="11"/>
  <c r="F80" i="11" s="1"/>
  <c r="E34" i="12" s="1"/>
  <c r="F35" i="11"/>
  <c r="F17" i="11"/>
  <c r="D62" i="11"/>
  <c r="F62" i="11" s="1"/>
  <c r="E16" i="12" s="1"/>
  <c r="H9" i="12"/>
  <c r="D10" i="11"/>
  <c r="H9" i="10"/>
  <c r="Q10" i="11" s="1"/>
  <c r="D9" i="10"/>
  <c r="O6" i="6"/>
  <c r="Q6" i="6" s="1"/>
  <c r="D58" i="9"/>
  <c r="M27" i="7"/>
  <c r="G39" i="12"/>
  <c r="F39" i="12"/>
  <c r="D9" i="9"/>
  <c r="P57" i="6"/>
  <c r="G38" i="12"/>
  <c r="F38" i="12"/>
  <c r="F28" i="11"/>
  <c r="D73" i="11"/>
  <c r="F73" i="11" s="1"/>
  <c r="E27" i="12" s="1"/>
  <c r="F44" i="12"/>
  <c r="G44" i="12"/>
  <c r="F13" i="11"/>
  <c r="D58" i="11"/>
  <c r="F58" i="11" s="1"/>
  <c r="D12" i="12" s="1"/>
  <c r="F29" i="10"/>
  <c r="G29" i="10"/>
  <c r="I30" i="10"/>
  <c r="G28" i="10"/>
  <c r="F28" i="10"/>
  <c r="D7" i="9"/>
  <c r="P55" i="6"/>
  <c r="G45" i="12"/>
  <c r="F45" i="12"/>
  <c r="I46" i="10"/>
  <c r="F22" i="11"/>
  <c r="D67" i="11"/>
  <c r="F67" i="11" s="1"/>
  <c r="D21" i="12" s="1"/>
  <c r="N110" i="6"/>
  <c r="F52" i="9" s="1"/>
  <c r="N109" i="6"/>
  <c r="F51" i="9" s="1"/>
  <c r="N108" i="6"/>
  <c r="F50" i="9" s="1"/>
  <c r="N107" i="6"/>
  <c r="F49" i="9" s="1"/>
  <c r="N103" i="6"/>
  <c r="F45" i="9" s="1"/>
  <c r="N106" i="6"/>
  <c r="F48" i="9" s="1"/>
  <c r="N104" i="6"/>
  <c r="F46" i="9" s="1"/>
  <c r="N105" i="6"/>
  <c r="F47" i="9" s="1"/>
  <c r="F54" i="9"/>
  <c r="N111" i="6"/>
  <c r="F53" i="9" s="1"/>
  <c r="F33" i="12"/>
  <c r="G33" i="12"/>
  <c r="I43" i="10"/>
  <c r="F20" i="11"/>
  <c r="D65" i="11"/>
  <c r="F65" i="11" s="1"/>
  <c r="D19" i="12" s="1"/>
  <c r="I39" i="10"/>
  <c r="F30" i="11"/>
  <c r="D75" i="11"/>
  <c r="F75" i="11" s="1"/>
  <c r="E29" i="12" s="1"/>
  <c r="D14" i="9"/>
  <c r="P62" i="6"/>
  <c r="F26" i="11"/>
  <c r="D71" i="11"/>
  <c r="F71" i="11" s="1"/>
  <c r="F36" i="11"/>
  <c r="D81" i="11"/>
  <c r="F81" i="11" s="1"/>
  <c r="E35" i="12" s="1"/>
  <c r="I36" i="10"/>
  <c r="I40" i="10"/>
  <c r="G46" i="12"/>
  <c r="F46" i="12"/>
  <c r="I42" i="10"/>
  <c r="F41" i="12"/>
  <c r="G41" i="12"/>
  <c r="F31" i="12"/>
  <c r="G31" i="12"/>
  <c r="O4" i="13"/>
  <c r="F4" i="13" s="1"/>
  <c r="J4" i="13" s="1"/>
  <c r="H4" i="13" s="1"/>
  <c r="E16" i="13"/>
  <c r="D16" i="13" s="1"/>
  <c r="F14" i="13"/>
  <c r="E18" i="13"/>
  <c r="D18" i="13" s="1"/>
  <c r="E15" i="13"/>
  <c r="D15" i="13" s="1"/>
  <c r="E14" i="13"/>
  <c r="E19" i="13"/>
  <c r="D19" i="13" s="1"/>
  <c r="E17" i="13"/>
  <c r="D17" i="13" s="1"/>
  <c r="I32" i="10"/>
  <c r="K7" i="9"/>
  <c r="D70" i="9"/>
  <c r="O38" i="8"/>
  <c r="D61" i="9"/>
  <c r="K9" i="9" s="1"/>
  <c r="M30" i="7"/>
  <c r="G40" i="12"/>
  <c r="F40" i="12"/>
  <c r="D30" i="14"/>
  <c r="D43" i="14" s="1"/>
  <c r="G37" i="12"/>
  <c r="F37" i="12"/>
  <c r="F12" i="11"/>
  <c r="D57" i="11"/>
  <c r="F57" i="11" s="1"/>
  <c r="D11" i="12" s="1"/>
  <c r="I37" i="10"/>
  <c r="G22" i="10"/>
  <c r="F22" i="10"/>
  <c r="N60" i="8"/>
  <c r="F83" i="9" s="1"/>
  <c r="N59" i="8"/>
  <c r="F82" i="9" s="1"/>
  <c r="G18" i="10"/>
  <c r="F18" i="10"/>
  <c r="G26" i="10"/>
  <c r="F26" i="10"/>
  <c r="Z50" i="8"/>
  <c r="W50" i="8" s="1"/>
  <c r="Y51" i="8"/>
  <c r="X50" i="8"/>
  <c r="I45" i="10"/>
  <c r="D72" i="11"/>
  <c r="F72" i="11" s="1"/>
  <c r="E26" i="12" s="1"/>
  <c r="F27" i="11"/>
  <c r="D8" i="9"/>
  <c r="P56" i="6"/>
  <c r="D68" i="11"/>
  <c r="F68" i="11" s="1"/>
  <c r="D22" i="12" s="1"/>
  <c r="F23" i="11"/>
  <c r="I31" i="10"/>
  <c r="D55" i="9"/>
  <c r="M24" i="7"/>
  <c r="H24" i="12"/>
  <c r="G24" i="12"/>
  <c r="F24" i="12"/>
  <c r="G17" i="10" l="1"/>
  <c r="I17" i="10" s="1"/>
  <c r="D59" i="11"/>
  <c r="F59" i="11" s="1"/>
  <c r="D13" i="12" s="1"/>
  <c r="G13" i="12" s="1"/>
  <c r="G19" i="10"/>
  <c r="I19" i="10" s="1"/>
  <c r="F11" i="10"/>
  <c r="M36" i="8"/>
  <c r="F68" i="9" s="1"/>
  <c r="F13" i="10"/>
  <c r="F23" i="10"/>
  <c r="F12" i="10"/>
  <c r="F24" i="10"/>
  <c r="F16" i="10"/>
  <c r="D64" i="11"/>
  <c r="F64" i="11" s="1"/>
  <c r="D18" i="12" s="1"/>
  <c r="F18" i="12" s="1"/>
  <c r="F21" i="10"/>
  <c r="D76" i="9"/>
  <c r="K6" i="9"/>
  <c r="N90" i="6"/>
  <c r="F37" i="9" s="1"/>
  <c r="N81" i="6"/>
  <c r="F28" i="9" s="1"/>
  <c r="N82" i="6"/>
  <c r="F29" i="9" s="1"/>
  <c r="N89" i="6"/>
  <c r="F36" i="9" s="1"/>
  <c r="N97" i="6"/>
  <c r="F44" i="9" s="1"/>
  <c r="D60" i="11"/>
  <c r="F60" i="11" s="1"/>
  <c r="D14" i="12" s="1"/>
  <c r="G14" i="12" s="1"/>
  <c r="N58" i="6"/>
  <c r="F10" i="9" s="1"/>
  <c r="K10" i="9"/>
  <c r="N96" i="6"/>
  <c r="F43" i="9" s="1"/>
  <c r="F20" i="10"/>
  <c r="F35" i="10"/>
  <c r="F21" i="11"/>
  <c r="F10" i="10"/>
  <c r="N84" i="6"/>
  <c r="F31" i="9" s="1"/>
  <c r="N92" i="6"/>
  <c r="F39" i="9" s="1"/>
  <c r="N83" i="6"/>
  <c r="F30" i="9" s="1"/>
  <c r="K8" i="9"/>
  <c r="N85" i="6"/>
  <c r="F32" i="9" s="1"/>
  <c r="N93" i="6"/>
  <c r="F40" i="9" s="1"/>
  <c r="D56" i="11"/>
  <c r="F56" i="11" s="1"/>
  <c r="D10" i="12" s="1"/>
  <c r="F10" i="12" s="1"/>
  <c r="N86" i="6"/>
  <c r="F33" i="9" s="1"/>
  <c r="N94" i="6"/>
  <c r="F41" i="9" s="1"/>
  <c r="N91" i="6"/>
  <c r="F38" i="9" s="1"/>
  <c r="N78" i="6"/>
  <c r="F25" i="9" s="1"/>
  <c r="N79" i="6"/>
  <c r="F26" i="9" s="1"/>
  <c r="N87" i="6"/>
  <c r="F34" i="9" s="1"/>
  <c r="N95" i="6"/>
  <c r="F42" i="9" s="1"/>
  <c r="N80" i="6"/>
  <c r="F27" i="9" s="1"/>
  <c r="N88" i="6"/>
  <c r="F35" i="9" s="1"/>
  <c r="M30" i="8"/>
  <c r="F62" i="9" s="1"/>
  <c r="M38" i="8"/>
  <c r="F70" i="9" s="1"/>
  <c r="M31" i="8"/>
  <c r="F63" i="9" s="1"/>
  <c r="M37" i="8"/>
  <c r="F69" i="9" s="1"/>
  <c r="N63" i="6"/>
  <c r="F15" i="9" s="1"/>
  <c r="N57" i="6"/>
  <c r="F9" i="9" s="1"/>
  <c r="N71" i="6"/>
  <c r="F23" i="9" s="1"/>
  <c r="K5" i="9"/>
  <c r="N59" i="6"/>
  <c r="F11" i="9" s="1"/>
  <c r="N60" i="6"/>
  <c r="F12" i="9" s="1"/>
  <c r="G11" i="12"/>
  <c r="F11" i="12"/>
  <c r="G21" i="12"/>
  <c r="H21" i="12"/>
  <c r="F21" i="12"/>
  <c r="I28" i="10"/>
  <c r="I24" i="12"/>
  <c r="I29" i="10"/>
  <c r="I39" i="12"/>
  <c r="G9" i="10"/>
  <c r="F9" i="10"/>
  <c r="U50" i="8"/>
  <c r="L50" i="8" s="1"/>
  <c r="I22" i="10"/>
  <c r="I40" i="12"/>
  <c r="E25" i="12"/>
  <c r="S9" i="11"/>
  <c r="F29" i="12"/>
  <c r="G29" i="12"/>
  <c r="M33" i="8"/>
  <c r="F65" i="9" s="1"/>
  <c r="I38" i="12"/>
  <c r="G42" i="12"/>
  <c r="F42" i="12"/>
  <c r="N54" i="6"/>
  <c r="F6" i="9" s="1"/>
  <c r="N66" i="6"/>
  <c r="F18" i="9" s="1"/>
  <c r="F16" i="12"/>
  <c r="G16" i="12"/>
  <c r="F17" i="12"/>
  <c r="G17" i="12"/>
  <c r="I25" i="10"/>
  <c r="G43" i="12"/>
  <c r="F43" i="12"/>
  <c r="I34" i="10"/>
  <c r="K27" i="7"/>
  <c r="F58" i="9" s="1"/>
  <c r="K28" i="7"/>
  <c r="F59" i="9" s="1"/>
  <c r="K24" i="7"/>
  <c r="F55" i="9" s="1"/>
  <c r="K29" i="7"/>
  <c r="F60" i="9" s="1"/>
  <c r="K25" i="7"/>
  <c r="F56" i="9" s="1"/>
  <c r="K30" i="7"/>
  <c r="F61" i="9" s="1"/>
  <c r="M9" i="9" s="1"/>
  <c r="K26" i="7"/>
  <c r="F57" i="9" s="1"/>
  <c r="I24" i="10"/>
  <c r="I46" i="12"/>
  <c r="M7" i="9"/>
  <c r="G20" i="12"/>
  <c r="H20" i="12"/>
  <c r="F20" i="12"/>
  <c r="M35" i="8"/>
  <c r="F67" i="9" s="1"/>
  <c r="D55" i="11"/>
  <c r="F55" i="11" s="1"/>
  <c r="D9" i="12" s="1"/>
  <c r="F10" i="11"/>
  <c r="I16" i="10"/>
  <c r="N53" i="6"/>
  <c r="F5" i="9" s="1"/>
  <c r="N62" i="6"/>
  <c r="F14" i="9" s="1"/>
  <c r="N55" i="6"/>
  <c r="F7" i="9" s="1"/>
  <c r="F35" i="12"/>
  <c r="G35" i="12"/>
  <c r="B43" i="14"/>
  <c r="C43" i="14"/>
  <c r="F34" i="12"/>
  <c r="G34" i="12"/>
  <c r="I14" i="10"/>
  <c r="Z51" i="8"/>
  <c r="W51" i="8" s="1"/>
  <c r="Y52" i="8"/>
  <c r="X51" i="8"/>
  <c r="I26" i="10"/>
  <c r="N65" i="6"/>
  <c r="F17" i="9" s="1"/>
  <c r="F26" i="12"/>
  <c r="G26" i="12"/>
  <c r="I10" i="10"/>
  <c r="M32" i="8"/>
  <c r="F64" i="9" s="1"/>
  <c r="I44" i="12"/>
  <c r="I20" i="10"/>
  <c r="N61" i="6"/>
  <c r="F13" i="9" s="1"/>
  <c r="N68" i="6"/>
  <c r="F20" i="9" s="1"/>
  <c r="N67" i="6"/>
  <c r="F19" i="9" s="1"/>
  <c r="I30" i="12"/>
  <c r="H8" i="12"/>
  <c r="D8" i="10"/>
  <c r="D9" i="11"/>
  <c r="H8" i="10"/>
  <c r="Q9" i="11" s="1"/>
  <c r="I27" i="10"/>
  <c r="I35" i="10"/>
  <c r="I127" i="10"/>
  <c r="H128" i="10"/>
  <c r="G22" i="12"/>
  <c r="H22" i="12"/>
  <c r="F22" i="12"/>
  <c r="I31" i="12"/>
  <c r="I33" i="12"/>
  <c r="G12" i="12"/>
  <c r="F12" i="12"/>
  <c r="I23" i="10"/>
  <c r="N64" i="6"/>
  <c r="F16" i="9" s="1"/>
  <c r="I23" i="12"/>
  <c r="I18" i="10"/>
  <c r="D14" i="13"/>
  <c r="I41" i="12"/>
  <c r="G19" i="12"/>
  <c r="F19" i="12"/>
  <c r="I45" i="12"/>
  <c r="M34" i="8"/>
  <c r="F66" i="9" s="1"/>
  <c r="I21" i="10"/>
  <c r="I32" i="12"/>
  <c r="I36" i="12"/>
  <c r="I13" i="10"/>
  <c r="I12" i="10"/>
  <c r="N56" i="6"/>
  <c r="F8" i="9" s="1"/>
  <c r="N69" i="6"/>
  <c r="F21" i="9" s="1"/>
  <c r="N72" i="6"/>
  <c r="F24" i="9" s="1"/>
  <c r="I11" i="10"/>
  <c r="F28" i="12"/>
  <c r="G28" i="12"/>
  <c r="M12" i="9"/>
  <c r="I37" i="12"/>
  <c r="F27" i="12"/>
  <c r="G27" i="12"/>
  <c r="N70" i="6"/>
  <c r="F22" i="9" s="1"/>
  <c r="F13" i="12" l="1"/>
  <c r="G18" i="12"/>
  <c r="I18" i="12" s="1"/>
  <c r="F14" i="12"/>
  <c r="G10" i="12"/>
  <c r="I10" i="12" s="1"/>
  <c r="M6" i="9"/>
  <c r="M10" i="9"/>
  <c r="M8" i="9"/>
  <c r="I29" i="12"/>
  <c r="F9" i="11"/>
  <c r="D54" i="11"/>
  <c r="F54" i="11" s="1"/>
  <c r="D8" i="12" s="1"/>
  <c r="I26" i="12"/>
  <c r="E43" i="14"/>
  <c r="H3" i="14" s="1"/>
  <c r="H7" i="14" s="1"/>
  <c r="H8" i="14" s="1"/>
  <c r="I17" i="12"/>
  <c r="I22" i="12"/>
  <c r="I128" i="10"/>
  <c r="P44" i="10" s="1"/>
  <c r="G8" i="10"/>
  <c r="F8" i="10"/>
  <c r="Z52" i="8"/>
  <c r="W52" i="8" s="1"/>
  <c r="Y53" i="8"/>
  <c r="X52" i="8"/>
  <c r="I35" i="12"/>
  <c r="M5" i="9"/>
  <c r="I14" i="12"/>
  <c r="U51" i="8"/>
  <c r="L51" i="8" s="1"/>
  <c r="F25" i="12"/>
  <c r="G25" i="12"/>
  <c r="D77" i="9"/>
  <c r="P50" i="8"/>
  <c r="I12" i="12"/>
  <c r="I16" i="12"/>
  <c r="I21" i="12"/>
  <c r="I27" i="12"/>
  <c r="I19" i="12"/>
  <c r="I20" i="12"/>
  <c r="I9" i="10"/>
  <c r="I28" i="12"/>
  <c r="I34" i="12"/>
  <c r="G9" i="12"/>
  <c r="F9" i="12"/>
  <c r="I43" i="12"/>
  <c r="I42" i="12"/>
  <c r="I11" i="12"/>
  <c r="I13" i="12"/>
  <c r="I25" i="12" l="1"/>
  <c r="Z53" i="8"/>
  <c r="W53" i="8" s="1"/>
  <c r="Y54" i="8"/>
  <c r="X53" i="8"/>
  <c r="I9" i="12"/>
  <c r="U52" i="8"/>
  <c r="L52" i="8" s="1"/>
  <c r="I8" i="10"/>
  <c r="P43" i="10" s="1"/>
  <c r="P45" i="10" s="1"/>
  <c r="O43" i="10"/>
  <c r="O45" i="10" s="1"/>
  <c r="G8" i="12"/>
  <c r="F8" i="12"/>
  <c r="D78" i="9"/>
  <c r="P51" i="8"/>
  <c r="T43" i="10" l="1"/>
  <c r="J8" i="10" s="1"/>
  <c r="K8" i="10" s="1"/>
  <c r="U53" i="8"/>
  <c r="L53" i="8" s="1"/>
  <c r="D80" i="9" s="1"/>
  <c r="O41" i="12"/>
  <c r="O43" i="12" s="1"/>
  <c r="T49" i="12" s="1"/>
  <c r="V49" i="12" s="1"/>
  <c r="I8" i="12"/>
  <c r="P41" i="12" s="1"/>
  <c r="P43" i="12" s="1"/>
  <c r="D79" i="9"/>
  <c r="P52" i="8"/>
  <c r="Z54" i="8"/>
  <c r="W54" i="8" s="1"/>
  <c r="X54" i="8"/>
  <c r="J60" i="10" l="1"/>
  <c r="K60" i="10" s="1"/>
  <c r="J118" i="10"/>
  <c r="K118" i="10" s="1"/>
  <c r="J29" i="10"/>
  <c r="K29" i="10" s="1"/>
  <c r="J13" i="10"/>
  <c r="K13" i="10" s="1"/>
  <c r="J25" i="10"/>
  <c r="K25" i="10" s="1"/>
  <c r="J33" i="10"/>
  <c r="K33" i="10" s="1"/>
  <c r="J78" i="10"/>
  <c r="K78" i="10" s="1"/>
  <c r="J117" i="10"/>
  <c r="K117" i="10" s="1"/>
  <c r="J62" i="10"/>
  <c r="K62" i="10" s="1"/>
  <c r="J36" i="10"/>
  <c r="K36" i="10" s="1"/>
  <c r="J100" i="10"/>
  <c r="K100" i="10" s="1"/>
  <c r="J119" i="10"/>
  <c r="K119" i="10" s="1"/>
  <c r="J104" i="10"/>
  <c r="K104" i="10" s="1"/>
  <c r="J35" i="10"/>
  <c r="K35" i="10" s="1"/>
  <c r="J126" i="10"/>
  <c r="K126" i="10" s="1"/>
  <c r="J123" i="10"/>
  <c r="K123" i="10" s="1"/>
  <c r="J76" i="10"/>
  <c r="K76" i="10" s="1"/>
  <c r="J74" i="10"/>
  <c r="K74" i="10" s="1"/>
  <c r="J96" i="10"/>
  <c r="K96" i="10" s="1"/>
  <c r="J109" i="10"/>
  <c r="K109" i="10" s="1"/>
  <c r="J128" i="10"/>
  <c r="K128" i="10" s="1"/>
  <c r="J34" i="10"/>
  <c r="K34" i="10" s="1"/>
  <c r="J14" i="10"/>
  <c r="K14" i="10" s="1"/>
  <c r="J108" i="10"/>
  <c r="K108" i="10" s="1"/>
  <c r="J30" i="10"/>
  <c r="K30" i="10" s="1"/>
  <c r="J125" i="10"/>
  <c r="K125" i="10" s="1"/>
  <c r="J99" i="10"/>
  <c r="K99" i="10" s="1"/>
  <c r="J105" i="10"/>
  <c r="K105" i="10" s="1"/>
  <c r="J110" i="10"/>
  <c r="K110" i="10" s="1"/>
  <c r="J122" i="10"/>
  <c r="K122" i="10" s="1"/>
  <c r="J86" i="10"/>
  <c r="K86" i="10" s="1"/>
  <c r="J89" i="10"/>
  <c r="K89" i="10" s="1"/>
  <c r="J52" i="10"/>
  <c r="K52" i="10" s="1"/>
  <c r="J129" i="10"/>
  <c r="K129" i="10" s="1"/>
  <c r="J9" i="10"/>
  <c r="K9" i="10" s="1"/>
  <c r="J41" i="10"/>
  <c r="K41" i="10" s="1"/>
  <c r="J98" i="10"/>
  <c r="K98" i="10" s="1"/>
  <c r="J130" i="10"/>
  <c r="K130" i="10" s="1"/>
  <c r="J18" i="10"/>
  <c r="K18" i="10" s="1"/>
  <c r="J26" i="10"/>
  <c r="K26" i="10" s="1"/>
  <c r="J43" i="10"/>
  <c r="K43" i="10" s="1"/>
  <c r="J83" i="10"/>
  <c r="K83" i="10" s="1"/>
  <c r="J87" i="10"/>
  <c r="K87" i="10" s="1"/>
  <c r="J111" i="10"/>
  <c r="K111" i="10" s="1"/>
  <c r="J85" i="10"/>
  <c r="K85" i="10" s="1"/>
  <c r="J73" i="10"/>
  <c r="K73" i="10" s="1"/>
  <c r="J127" i="10"/>
  <c r="K127" i="10" s="1"/>
  <c r="J23" i="10"/>
  <c r="K23" i="10" s="1"/>
  <c r="J39" i="10"/>
  <c r="K39" i="10" s="1"/>
  <c r="J124" i="10"/>
  <c r="K124" i="10" s="1"/>
  <c r="J91" i="10"/>
  <c r="K91" i="10" s="1"/>
  <c r="J90" i="10"/>
  <c r="K90" i="10" s="1"/>
  <c r="J75" i="10"/>
  <c r="K75" i="10" s="1"/>
  <c r="J59" i="10"/>
  <c r="K59" i="10" s="1"/>
  <c r="J67" i="10"/>
  <c r="K67" i="10" s="1"/>
  <c r="J66" i="10"/>
  <c r="K66" i="10" s="1"/>
  <c r="J72" i="10"/>
  <c r="K72" i="10" s="1"/>
  <c r="J95" i="10"/>
  <c r="K95" i="10" s="1"/>
  <c r="J102" i="10"/>
  <c r="K102" i="10" s="1"/>
  <c r="J19" i="10"/>
  <c r="K19" i="10" s="1"/>
  <c r="J40" i="10"/>
  <c r="K40" i="10" s="1"/>
  <c r="J112" i="10"/>
  <c r="K112" i="10" s="1"/>
  <c r="J27" i="10"/>
  <c r="K27" i="10" s="1"/>
  <c r="J46" i="10"/>
  <c r="K46" i="10" s="1"/>
  <c r="J107" i="10"/>
  <c r="K107" i="10" s="1"/>
  <c r="J77" i="10"/>
  <c r="K77" i="10" s="1"/>
  <c r="J56" i="10"/>
  <c r="K56" i="10" s="1"/>
  <c r="J84" i="10"/>
  <c r="K84" i="10" s="1"/>
  <c r="J21" i="10"/>
  <c r="K21" i="10" s="1"/>
  <c r="J38" i="10"/>
  <c r="K38" i="10" s="1"/>
  <c r="J28" i="10"/>
  <c r="K28" i="10" s="1"/>
  <c r="J16" i="10"/>
  <c r="K16" i="10" s="1"/>
  <c r="J20" i="10"/>
  <c r="K20" i="10" s="1"/>
  <c r="J44" i="10"/>
  <c r="K44" i="10" s="1"/>
  <c r="J31" i="10"/>
  <c r="K31" i="10" s="1"/>
  <c r="J101" i="10"/>
  <c r="K101" i="10" s="1"/>
  <c r="J80" i="10"/>
  <c r="K80" i="10" s="1"/>
  <c r="J88" i="10"/>
  <c r="K88" i="10" s="1"/>
  <c r="J53" i="10"/>
  <c r="K53" i="10" s="1"/>
  <c r="J116" i="10"/>
  <c r="K116" i="10" s="1"/>
  <c r="J69" i="10"/>
  <c r="K69" i="10" s="1"/>
  <c r="J54" i="10"/>
  <c r="K54" i="10" s="1"/>
  <c r="J97" i="10"/>
  <c r="K97" i="10" s="1"/>
  <c r="J15" i="10"/>
  <c r="K15" i="10" s="1"/>
  <c r="J24" i="10"/>
  <c r="K24" i="10" s="1"/>
  <c r="J12" i="10"/>
  <c r="K12" i="10" s="1"/>
  <c r="J10" i="10"/>
  <c r="K10" i="10" s="1"/>
  <c r="J32" i="10"/>
  <c r="K32" i="10" s="1"/>
  <c r="J45" i="10"/>
  <c r="K45" i="10" s="1"/>
  <c r="J79" i="10"/>
  <c r="K79" i="10" s="1"/>
  <c r="J81" i="10"/>
  <c r="K81" i="10" s="1"/>
  <c r="J114" i="10"/>
  <c r="K114" i="10" s="1"/>
  <c r="J70" i="10"/>
  <c r="K70" i="10" s="1"/>
  <c r="J113" i="10"/>
  <c r="K113" i="10" s="1"/>
  <c r="J58" i="10"/>
  <c r="K58" i="10" s="1"/>
  <c r="J71" i="10"/>
  <c r="K71" i="10" s="1"/>
  <c r="J63" i="10"/>
  <c r="K63" i="10" s="1"/>
  <c r="J103" i="10"/>
  <c r="K103" i="10" s="1"/>
  <c r="J22" i="10"/>
  <c r="K22" i="10" s="1"/>
  <c r="J11" i="10"/>
  <c r="K11" i="10" s="1"/>
  <c r="J17" i="10"/>
  <c r="K17" i="10" s="1"/>
  <c r="J42" i="10"/>
  <c r="K42" i="10" s="1"/>
  <c r="J37" i="10"/>
  <c r="K37" i="10" s="1"/>
  <c r="J106" i="10"/>
  <c r="K106" i="10" s="1"/>
  <c r="J82" i="10"/>
  <c r="K82" i="10" s="1"/>
  <c r="J57" i="10"/>
  <c r="K57" i="10" s="1"/>
  <c r="J115" i="10"/>
  <c r="K115" i="10" s="1"/>
  <c r="J61" i="10"/>
  <c r="K61" i="10" s="1"/>
  <c r="J55" i="10"/>
  <c r="K55" i="10" s="1"/>
  <c r="J64" i="10"/>
  <c r="K64" i="10" s="1"/>
  <c r="J65" i="10"/>
  <c r="K65" i="10" s="1"/>
  <c r="J120" i="10"/>
  <c r="K120" i="10" s="1"/>
  <c r="J94" i="10"/>
  <c r="K94" i="10" s="1"/>
  <c r="J93" i="10"/>
  <c r="K93" i="10" s="1"/>
  <c r="J92" i="10"/>
  <c r="K92" i="10" s="1"/>
  <c r="J68" i="10"/>
  <c r="K68" i="10" s="1"/>
  <c r="J121" i="10"/>
  <c r="K121" i="10" s="1"/>
  <c r="T41" i="12"/>
  <c r="J89" i="12" s="1"/>
  <c r="K89" i="12" s="1"/>
  <c r="U54" i="8"/>
  <c r="L54" i="8" s="1"/>
  <c r="D81" i="9" s="1"/>
  <c r="K11" i="9" s="1"/>
  <c r="P53" i="8"/>
  <c r="Q43" i="10" l="1"/>
  <c r="Q44" i="10"/>
  <c r="J13" i="12"/>
  <c r="K13" i="12" s="1"/>
  <c r="J22" i="12"/>
  <c r="K22" i="12" s="1"/>
  <c r="J19" i="12"/>
  <c r="K19" i="12" s="1"/>
  <c r="J72" i="12"/>
  <c r="K72" i="12" s="1"/>
  <c r="J77" i="12"/>
  <c r="K77" i="12" s="1"/>
  <c r="J64" i="12"/>
  <c r="K64" i="12" s="1"/>
  <c r="J29" i="12"/>
  <c r="K29" i="12" s="1"/>
  <c r="J90" i="12"/>
  <c r="K90" i="12" s="1"/>
  <c r="D9" i="14"/>
  <c r="J36" i="12"/>
  <c r="K36" i="12" s="1"/>
  <c r="T51" i="12"/>
  <c r="V51" i="12" s="1"/>
  <c r="J123" i="12"/>
  <c r="K123" i="12" s="1"/>
  <c r="J46" i="12"/>
  <c r="K46" i="12" s="1"/>
  <c r="J107" i="12"/>
  <c r="K107" i="12" s="1"/>
  <c r="J24" i="12"/>
  <c r="K24" i="12" s="1"/>
  <c r="J74" i="12"/>
  <c r="K74" i="12" s="1"/>
  <c r="J101" i="12"/>
  <c r="K101" i="12" s="1"/>
  <c r="J82" i="12"/>
  <c r="K82" i="12" s="1"/>
  <c r="J84" i="12"/>
  <c r="K84" i="12" s="1"/>
  <c r="J11" i="12"/>
  <c r="K11" i="12" s="1"/>
  <c r="J40" i="12"/>
  <c r="K40" i="12" s="1"/>
  <c r="J66" i="12"/>
  <c r="K66" i="12" s="1"/>
  <c r="J93" i="12"/>
  <c r="K93" i="12" s="1"/>
  <c r="J14" i="12"/>
  <c r="K14" i="12" s="1"/>
  <c r="J108" i="12"/>
  <c r="K108" i="12" s="1"/>
  <c r="J94" i="12"/>
  <c r="K94" i="12" s="1"/>
  <c r="J97" i="12"/>
  <c r="K97" i="12" s="1"/>
  <c r="J43" i="12"/>
  <c r="K43" i="12" s="1"/>
  <c r="J99" i="12"/>
  <c r="K99" i="12" s="1"/>
  <c r="J102" i="12"/>
  <c r="K102" i="12" s="1"/>
  <c r="J26" i="12"/>
  <c r="K26" i="12" s="1"/>
  <c r="J42" i="12"/>
  <c r="K42" i="12" s="1"/>
  <c r="J35" i="12"/>
  <c r="K35" i="12" s="1"/>
  <c r="J41" i="12"/>
  <c r="K41" i="12" s="1"/>
  <c r="J15" i="12"/>
  <c r="K15" i="12" s="1"/>
  <c r="J68" i="12"/>
  <c r="K68" i="12" s="1"/>
  <c r="J53" i="12"/>
  <c r="K53" i="12" s="1"/>
  <c r="J60" i="12"/>
  <c r="K60" i="12" s="1"/>
  <c r="J118" i="12"/>
  <c r="K118" i="12" s="1"/>
  <c r="J104" i="12"/>
  <c r="K104" i="12" s="1"/>
  <c r="J58" i="12"/>
  <c r="K58" i="12" s="1"/>
  <c r="J76" i="12"/>
  <c r="K76" i="12" s="1"/>
  <c r="J96" i="12"/>
  <c r="K96" i="12" s="1"/>
  <c r="J51" i="12"/>
  <c r="K51" i="12" s="1"/>
  <c r="J120" i="12"/>
  <c r="K120" i="12" s="1"/>
  <c r="J127" i="12"/>
  <c r="K127" i="12" s="1"/>
  <c r="J37" i="12"/>
  <c r="K37" i="12" s="1"/>
  <c r="J78" i="12"/>
  <c r="K78" i="12" s="1"/>
  <c r="J105" i="12"/>
  <c r="K105" i="12" s="1"/>
  <c r="J8" i="12"/>
  <c r="K8" i="12" s="1"/>
  <c r="J16" i="12"/>
  <c r="K16" i="12" s="1"/>
  <c r="J34" i="12"/>
  <c r="K34" i="12" s="1"/>
  <c r="J23" i="12"/>
  <c r="K23" i="12" s="1"/>
  <c r="J31" i="12"/>
  <c r="K31" i="12" s="1"/>
  <c r="J111" i="12"/>
  <c r="K111" i="12" s="1"/>
  <c r="J73" i="12"/>
  <c r="K73" i="12" s="1"/>
  <c r="J65" i="12"/>
  <c r="K65" i="12" s="1"/>
  <c r="J114" i="12"/>
  <c r="K114" i="12" s="1"/>
  <c r="J54" i="12"/>
  <c r="K54" i="12" s="1"/>
  <c r="J117" i="12"/>
  <c r="K117" i="12" s="1"/>
  <c r="J62" i="12"/>
  <c r="K62" i="12" s="1"/>
  <c r="J80" i="12"/>
  <c r="K80" i="12" s="1"/>
  <c r="J100" i="12"/>
  <c r="K100" i="12" s="1"/>
  <c r="J56" i="12"/>
  <c r="K56" i="12" s="1"/>
  <c r="J124" i="12"/>
  <c r="K124" i="12" s="1"/>
  <c r="J88" i="12"/>
  <c r="K88" i="12" s="1"/>
  <c r="J17" i="12"/>
  <c r="K17" i="12" s="1"/>
  <c r="J91" i="12"/>
  <c r="K91" i="12" s="1"/>
  <c r="J57" i="12"/>
  <c r="K57" i="12" s="1"/>
  <c r="J10" i="12"/>
  <c r="K10" i="12" s="1"/>
  <c r="J28" i="12"/>
  <c r="K28" i="12" s="1"/>
  <c r="J44" i="12"/>
  <c r="K44" i="12" s="1"/>
  <c r="J30" i="12"/>
  <c r="K30" i="12" s="1"/>
  <c r="J112" i="12"/>
  <c r="K112" i="12" s="1"/>
  <c r="J106" i="12"/>
  <c r="K106" i="12" s="1"/>
  <c r="J110" i="12"/>
  <c r="K110" i="12" s="1"/>
  <c r="J81" i="12"/>
  <c r="K81" i="12" s="1"/>
  <c r="J67" i="12"/>
  <c r="K67" i="12" s="1"/>
  <c r="J121" i="12"/>
  <c r="K121" i="12" s="1"/>
  <c r="J75" i="12"/>
  <c r="K75" i="12" s="1"/>
  <c r="J103" i="12"/>
  <c r="K103" i="12" s="1"/>
  <c r="J109" i="12"/>
  <c r="K109" i="12" s="1"/>
  <c r="J70" i="12"/>
  <c r="K70" i="12" s="1"/>
  <c r="J128" i="12"/>
  <c r="K128" i="12" s="1"/>
  <c r="J39" i="12"/>
  <c r="K39" i="12" s="1"/>
  <c r="J98" i="12"/>
  <c r="K98" i="12" s="1"/>
  <c r="J92" i="12"/>
  <c r="K92" i="12" s="1"/>
  <c r="J25" i="12"/>
  <c r="K25" i="12" s="1"/>
  <c r="J21" i="12"/>
  <c r="K21" i="12" s="1"/>
  <c r="J27" i="12"/>
  <c r="K27" i="12" s="1"/>
  <c r="J33" i="12"/>
  <c r="K33" i="12" s="1"/>
  <c r="J38" i="12"/>
  <c r="K38" i="12" s="1"/>
  <c r="J115" i="12"/>
  <c r="K115" i="12" s="1"/>
  <c r="J122" i="12"/>
  <c r="K122" i="12" s="1"/>
  <c r="J126" i="12"/>
  <c r="K126" i="12" s="1"/>
  <c r="J87" i="12"/>
  <c r="K87" i="12" s="1"/>
  <c r="J71" i="12"/>
  <c r="K71" i="12" s="1"/>
  <c r="J125" i="12"/>
  <c r="K125" i="12" s="1"/>
  <c r="J79" i="12"/>
  <c r="K79" i="12" s="1"/>
  <c r="J63" i="12"/>
  <c r="K63" i="12" s="1"/>
  <c r="J113" i="12"/>
  <c r="K113" i="12" s="1"/>
  <c r="J85" i="12"/>
  <c r="K85" i="12" s="1"/>
  <c r="J55" i="12"/>
  <c r="K55" i="12" s="1"/>
  <c r="J20" i="12"/>
  <c r="K20" i="12" s="1"/>
  <c r="J95" i="12"/>
  <c r="K95" i="12" s="1"/>
  <c r="J59" i="12"/>
  <c r="K59" i="12" s="1"/>
  <c r="J9" i="12"/>
  <c r="K9" i="12" s="1"/>
  <c r="J18" i="12"/>
  <c r="K18" i="12" s="1"/>
  <c r="J12" i="12"/>
  <c r="K12" i="12" s="1"/>
  <c r="J32" i="12"/>
  <c r="K32" i="12" s="1"/>
  <c r="J45" i="12"/>
  <c r="K45" i="12" s="1"/>
  <c r="J116" i="12"/>
  <c r="K116" i="12" s="1"/>
  <c r="J61" i="12"/>
  <c r="K61" i="12" s="1"/>
  <c r="K51" i="11"/>
  <c r="S41" i="11" s="1"/>
  <c r="J52" i="12"/>
  <c r="K52" i="12" s="1"/>
  <c r="J86" i="12"/>
  <c r="K86" i="12" s="1"/>
  <c r="J129" i="12"/>
  <c r="K129" i="12" s="1"/>
  <c r="J83" i="12"/>
  <c r="K83" i="12" s="1"/>
  <c r="J69" i="12"/>
  <c r="K69" i="12" s="1"/>
  <c r="J119" i="12"/>
  <c r="K119" i="12" s="1"/>
  <c r="P54" i="8"/>
  <c r="M49" i="8" s="1"/>
  <c r="E76" i="9" s="1"/>
  <c r="M51" i="8" l="1"/>
  <c r="E78" i="9" s="1"/>
  <c r="M50" i="8"/>
  <c r="E77" i="9" s="1"/>
  <c r="M53" i="8"/>
  <c r="E80" i="9" s="1"/>
  <c r="N45" i="8"/>
  <c r="F72" i="9" s="1"/>
  <c r="M54" i="8"/>
  <c r="E81" i="9" s="1"/>
  <c r="M48" i="8"/>
  <c r="E75" i="9" s="1"/>
  <c r="M47" i="8"/>
  <c r="E74" i="9" s="1"/>
  <c r="M46" i="8"/>
  <c r="E73" i="9" s="1"/>
  <c r="M45" i="8"/>
  <c r="E72" i="9" s="1"/>
  <c r="M52" i="8"/>
  <c r="E79" i="9" s="1"/>
  <c r="Q45" i="10"/>
  <c r="T44" i="10" s="1"/>
  <c r="T47" i="10" s="1"/>
  <c r="N48" i="8"/>
  <c r="F75" i="9" s="1"/>
  <c r="N44" i="8"/>
  <c r="F71" i="9" s="1"/>
  <c r="N52" i="8"/>
  <c r="F79" i="9" s="1"/>
  <c r="S11" i="11"/>
  <c r="N49" i="8"/>
  <c r="F76" i="9" s="1"/>
  <c r="N47" i="8"/>
  <c r="F74" i="9" s="1"/>
  <c r="N46" i="8"/>
  <c r="F73" i="9" s="1"/>
  <c r="N51" i="8"/>
  <c r="F78" i="9" s="1"/>
  <c r="N50" i="8"/>
  <c r="F77" i="9" s="1"/>
  <c r="Q42" i="12"/>
  <c r="N54" i="8"/>
  <c r="F81" i="9" s="1"/>
  <c r="N53" i="8"/>
  <c r="F80" i="9" s="1"/>
  <c r="Q41" i="12"/>
  <c r="T9" i="11"/>
  <c r="T12" i="11"/>
  <c r="T29" i="11"/>
  <c r="R23" i="11"/>
  <c r="S35" i="11"/>
  <c r="S46" i="11"/>
  <c r="T24" i="11"/>
  <c r="T31" i="11"/>
  <c r="R31" i="11" s="1"/>
  <c r="S25" i="11"/>
  <c r="S29" i="11"/>
  <c r="R26" i="11"/>
  <c r="T26" i="11"/>
  <c r="T40" i="11"/>
  <c r="R40" i="11" s="1"/>
  <c r="R21" i="11"/>
  <c r="S24" i="11"/>
  <c r="T28" i="11"/>
  <c r="T43" i="11"/>
  <c r="R43" i="11" s="1"/>
  <c r="R9" i="11"/>
  <c r="S40" i="11"/>
  <c r="R27" i="11"/>
  <c r="S26" i="11"/>
  <c r="T11" i="11"/>
  <c r="T47" i="11"/>
  <c r="S10" i="11"/>
  <c r="R22" i="11"/>
  <c r="S28" i="11"/>
  <c r="T13" i="11"/>
  <c r="S13" i="11"/>
  <c r="S23" i="11"/>
  <c r="R30" i="11"/>
  <c r="R47" i="11"/>
  <c r="T15" i="11"/>
  <c r="R14" i="11"/>
  <c r="S34" i="11"/>
  <c r="T10" i="11"/>
  <c r="T27" i="11"/>
  <c r="R10" i="11"/>
  <c r="R11" i="11"/>
  <c r="S39" i="11"/>
  <c r="S17" i="11"/>
  <c r="R17" i="11"/>
  <c r="R16" i="11"/>
  <c r="T45" i="11"/>
  <c r="R45" i="11" s="1"/>
  <c r="S30" i="11"/>
  <c r="T14" i="11"/>
  <c r="T30" i="11"/>
  <c r="T17" i="11"/>
  <c r="T33" i="11"/>
  <c r="R33" i="11" s="1"/>
  <c r="T46" i="11"/>
  <c r="R46" i="11" s="1"/>
  <c r="S15" i="11"/>
  <c r="S14" i="11"/>
  <c r="S42" i="11"/>
  <c r="S38" i="11"/>
  <c r="S21" i="11"/>
  <c r="R20" i="11"/>
  <c r="S16" i="11"/>
  <c r="S32" i="11"/>
  <c r="T16" i="11"/>
  <c r="T32" i="11"/>
  <c r="R32" i="11" s="1"/>
  <c r="T19" i="11"/>
  <c r="S36" i="11"/>
  <c r="T42" i="11"/>
  <c r="R42" i="11" s="1"/>
  <c r="S12" i="11"/>
  <c r="R15" i="11"/>
  <c r="S43" i="11"/>
  <c r="S27" i="11"/>
  <c r="R29" i="11"/>
  <c r="R24" i="11"/>
  <c r="R18" i="11"/>
  <c r="S18" i="11"/>
  <c r="T34" i="11"/>
  <c r="R34" i="11" s="1"/>
  <c r="T18" i="11"/>
  <c r="T37" i="11"/>
  <c r="R37" i="11" s="1"/>
  <c r="T21" i="11"/>
  <c r="T39" i="11"/>
  <c r="R39" i="11" s="1"/>
  <c r="S44" i="11"/>
  <c r="R13" i="11"/>
  <c r="S45" i="11"/>
  <c r="S47" i="11"/>
  <c r="S31" i="11"/>
  <c r="R28" i="11"/>
  <c r="S20" i="11"/>
  <c r="S37" i="11"/>
  <c r="T20" i="11"/>
  <c r="T35" i="11"/>
  <c r="R35" i="11" s="1"/>
  <c r="T23" i="11"/>
  <c r="T36" i="11"/>
  <c r="R36" i="11" s="1"/>
  <c r="R12" i="11"/>
  <c r="S33" i="11"/>
  <c r="R25" i="11"/>
  <c r="R19" i="11"/>
  <c r="S19" i="11"/>
  <c r="T41" i="11"/>
  <c r="R41" i="11" s="1"/>
  <c r="S22" i="11"/>
  <c r="T44" i="11"/>
  <c r="R44" i="11" s="1"/>
  <c r="T22" i="11"/>
  <c r="T38" i="11"/>
  <c r="R38" i="11" s="1"/>
  <c r="T25" i="11"/>
  <c r="L11" i="9" l="1"/>
  <c r="T46" i="10"/>
  <c r="Q43" i="12"/>
  <c r="T42" i="12" s="1"/>
  <c r="D8" i="14" s="1"/>
  <c r="H11" i="14" s="1"/>
  <c r="H14" i="14" s="1"/>
  <c r="H19" i="14" s="1"/>
  <c r="M32" i="14" s="1"/>
  <c r="H29" i="14" s="1"/>
  <c r="M11" i="9"/>
  <c r="T44" i="12" l="1"/>
  <c r="T52" i="12" s="1"/>
  <c r="V52" i="12" s="1"/>
  <c r="T50" i="12"/>
  <c r="V50" i="12" s="1"/>
  <c r="K52" i="11"/>
  <c r="P21" i="11" s="1"/>
  <c r="U21" i="11" s="1"/>
  <c r="T45" i="12"/>
  <c r="T53" i="12" s="1"/>
  <c r="V53" i="12" s="1"/>
  <c r="H23" i="14"/>
  <c r="H26" i="14" s="1"/>
  <c r="H27" i="14" s="1"/>
  <c r="H28" i="14"/>
  <c r="P29" i="11" l="1"/>
  <c r="U29" i="11" s="1"/>
  <c r="P42" i="11"/>
  <c r="U42" i="11" s="1"/>
  <c r="P14" i="11"/>
  <c r="U14" i="11" s="1"/>
  <c r="H24" i="14"/>
  <c r="M33" i="14" s="1"/>
  <c r="M34" i="14" s="1"/>
  <c r="N39" i="14" s="1"/>
  <c r="P34" i="11"/>
  <c r="U34" i="11" s="1"/>
  <c r="P15" i="11"/>
  <c r="U15" i="11" s="1"/>
  <c r="P23" i="11"/>
  <c r="U23" i="11" s="1"/>
  <c r="P36" i="11"/>
  <c r="U36" i="11" s="1"/>
  <c r="P27" i="11"/>
  <c r="U27" i="11" s="1"/>
  <c r="P37" i="11"/>
  <c r="U37" i="11" s="1"/>
  <c r="P16" i="11"/>
  <c r="U16" i="11" s="1"/>
  <c r="P41" i="11"/>
  <c r="U41" i="11" s="1"/>
  <c r="P11" i="11"/>
  <c r="U11" i="11" s="1"/>
  <c r="P38" i="11"/>
  <c r="U38" i="11" s="1"/>
  <c r="P40" i="11"/>
  <c r="U40" i="11" s="1"/>
  <c r="P39" i="11"/>
  <c r="U39" i="11" s="1"/>
  <c r="P18" i="11"/>
  <c r="U18" i="11" s="1"/>
  <c r="P22" i="11"/>
  <c r="U22" i="11" s="1"/>
  <c r="P43" i="11"/>
  <c r="U43" i="11" s="1"/>
  <c r="P28" i="11"/>
  <c r="U28" i="11" s="1"/>
  <c r="P17" i="11"/>
  <c r="U17" i="11" s="1"/>
  <c r="P26" i="11"/>
  <c r="U26" i="11" s="1"/>
  <c r="P44" i="11"/>
  <c r="U44" i="11" s="1"/>
  <c r="P13" i="11"/>
  <c r="U13" i="11" s="1"/>
  <c r="P10" i="11"/>
  <c r="U10" i="11" s="1"/>
  <c r="P24" i="11"/>
  <c r="U24" i="11" s="1"/>
  <c r="P33" i="11"/>
  <c r="U33" i="11" s="1"/>
  <c r="P35" i="11"/>
  <c r="U35" i="11" s="1"/>
  <c r="P47" i="11"/>
  <c r="U47" i="11" s="1"/>
  <c r="P20" i="11"/>
  <c r="U20" i="11" s="1"/>
  <c r="P9" i="11"/>
  <c r="U9" i="11" s="1"/>
  <c r="P12" i="11"/>
  <c r="U12" i="11" s="1"/>
  <c r="P32" i="11"/>
  <c r="U32" i="11" s="1"/>
  <c r="P45" i="11"/>
  <c r="U45" i="11" s="1"/>
  <c r="P31" i="11"/>
  <c r="U31" i="11" s="1"/>
  <c r="P30" i="11"/>
  <c r="U30" i="11" s="1"/>
  <c r="P19" i="11"/>
  <c r="U19" i="11" s="1"/>
  <c r="P46" i="11"/>
  <c r="U46" i="11" s="1"/>
  <c r="P25" i="11"/>
  <c r="U25" i="11" s="1"/>
  <c r="L39" i="14" l="1"/>
  <c r="M39" i="14" s="1"/>
</calcChain>
</file>

<file path=xl/sharedStrings.xml><?xml version="1.0" encoding="utf-8"?>
<sst xmlns="http://schemas.openxmlformats.org/spreadsheetml/2006/main" count="1777" uniqueCount="552">
  <si>
    <t>Parameters</t>
  </si>
  <si>
    <t>DNV Rules</t>
  </si>
  <si>
    <t>Lbp</t>
  </si>
  <si>
    <t>[m]</t>
  </si>
  <si>
    <t>v</t>
  </si>
  <si>
    <t>[kn]</t>
  </si>
  <si>
    <t>Rule</t>
  </si>
  <si>
    <t>Real</t>
  </si>
  <si>
    <t>Parameter</t>
  </si>
  <si>
    <t>Min</t>
  </si>
  <si>
    <t>Max</t>
  </si>
  <si>
    <t>Unit</t>
  </si>
  <si>
    <t>Description</t>
  </si>
  <si>
    <t>B</t>
  </si>
  <si>
    <t>Cb</t>
  </si>
  <si>
    <t>[-]</t>
  </si>
  <si>
    <t>&lt; 350</t>
  </si>
  <si>
    <t>B1</t>
  </si>
  <si>
    <t>Lenght of Bottom Tank</t>
  </si>
  <si>
    <t>D</t>
  </si>
  <si>
    <t>LCB</t>
  </si>
  <si>
    <t>L/B</t>
  </si>
  <si>
    <t>&gt; 5</t>
  </si>
  <si>
    <t>B2</t>
  </si>
  <si>
    <t>Lenght of bilge tank</t>
  </si>
  <si>
    <t>T</t>
  </si>
  <si>
    <t>A</t>
  </si>
  <si>
    <t>B/D</t>
  </si>
  <si>
    <t>&lt; 2.5</t>
  </si>
  <si>
    <t>S</t>
  </si>
  <si>
    <t>[mm]</t>
  </si>
  <si>
    <t>Space Framing</t>
  </si>
  <si>
    <t>&gt; 0.6</t>
  </si>
  <si>
    <t>h2</t>
  </si>
  <si>
    <t>Longitudinal Hatch</t>
  </si>
  <si>
    <t>ΔL</t>
  </si>
  <si>
    <t>B3</t>
  </si>
  <si>
    <t>-</t>
  </si>
  <si>
    <t>Cargo Hatch</t>
  </si>
  <si>
    <t>R_b</t>
  </si>
  <si>
    <t>l</t>
  </si>
  <si>
    <t>Stiffner Span</t>
  </si>
  <si>
    <t>g</t>
  </si>
  <si>
    <t>[m^2/s]</t>
  </si>
  <si>
    <t>ρ_sw</t>
  </si>
  <si>
    <t>[t/m^3]</t>
  </si>
  <si>
    <t>ρ_cargo</t>
  </si>
  <si>
    <t>Plate Restrictions</t>
  </si>
  <si>
    <t>Min Lenght [mm]</t>
  </si>
  <si>
    <t>Max Lenght [mm]</t>
  </si>
  <si>
    <t>Keel</t>
  </si>
  <si>
    <t>Bottom</t>
  </si>
  <si>
    <t>B4</t>
  </si>
  <si>
    <t>Inner Bottom</t>
  </si>
  <si>
    <t>C1</t>
  </si>
  <si>
    <t>Bilge</t>
  </si>
  <si>
    <t>C2</t>
  </si>
  <si>
    <t>Side</t>
  </si>
  <si>
    <t>C3</t>
  </si>
  <si>
    <t>Deck</t>
  </si>
  <si>
    <t>h</t>
  </si>
  <si>
    <t>h1</t>
  </si>
  <si>
    <t>Yield Stress [N/mm2]</t>
  </si>
  <si>
    <t>Grade</t>
  </si>
  <si>
    <t>f1</t>
  </si>
  <si>
    <t>Young Modulos for Steel</t>
  </si>
  <si>
    <t>Plates</t>
  </si>
  <si>
    <t>NV-NS</t>
  </si>
  <si>
    <t>A,B,D, E</t>
  </si>
  <si>
    <t>E</t>
  </si>
  <si>
    <t>N/mm^2</t>
  </si>
  <si>
    <t>Number</t>
  </si>
  <si>
    <t>tk [mm]</t>
  </si>
  <si>
    <t>NV-27</t>
  </si>
  <si>
    <t>NV-32</t>
  </si>
  <si>
    <t>NV-36</t>
  </si>
  <si>
    <t>NV-40</t>
  </si>
  <si>
    <t>Ref</t>
  </si>
  <si>
    <t>S2-B201</t>
  </si>
  <si>
    <t>S2-B202</t>
  </si>
  <si>
    <t>S2-B203</t>
  </si>
  <si>
    <t>Thickness Requirements</t>
  </si>
  <si>
    <t>S2-B204</t>
  </si>
  <si>
    <t>SOLAS Requirements</t>
  </si>
  <si>
    <t>S2-B302</t>
  </si>
  <si>
    <t>Surge,Sway/Yaw and Heave accelerations</t>
  </si>
  <si>
    <t>Roll motion and acceleration</t>
  </si>
  <si>
    <t>Combined Acceleration</t>
  </si>
  <si>
    <t>Cw</t>
  </si>
  <si>
    <t>S4-B201</t>
  </si>
  <si>
    <t>Surge Acceleration</t>
  </si>
  <si>
    <t>T_roll</t>
  </si>
  <si>
    <t>[s]</t>
  </si>
  <si>
    <t>S4 - B 402</t>
  </si>
  <si>
    <t>T_pitch</t>
  </si>
  <si>
    <t>S4 - B 502</t>
  </si>
  <si>
    <t>Combined Vertical Acceleration</t>
  </si>
  <si>
    <t>Cv</t>
  </si>
  <si>
    <t>S4-B203</t>
  </si>
  <si>
    <t>a_x</t>
  </si>
  <si>
    <t>[m/s^2]</t>
  </si>
  <si>
    <t>S4-B301</t>
  </si>
  <si>
    <t>φ</t>
  </si>
  <si>
    <t>[rad]</t>
  </si>
  <si>
    <t>θ</t>
  </si>
  <si>
    <t>S4 - B 501</t>
  </si>
  <si>
    <t>S4 - B 601</t>
  </si>
  <si>
    <t>Cv1</t>
  </si>
  <si>
    <t>a_roll</t>
  </si>
  <si>
    <t>S4 - B 403</t>
  </si>
  <si>
    <t>a_pitch</t>
  </si>
  <si>
    <t>S4 - B 503</t>
  </si>
  <si>
    <t>a0</t>
  </si>
  <si>
    <t>Combined Sway/Yaw Acceleration</t>
  </si>
  <si>
    <t>R_roll</t>
  </si>
  <si>
    <t>R_pitch</t>
  </si>
  <si>
    <t>a_y</t>
  </si>
  <si>
    <t>S4-B302</t>
  </si>
  <si>
    <t>GM</t>
  </si>
  <si>
    <t>Combined Transverse Acceleration</t>
  </si>
  <si>
    <t>kr</t>
  </si>
  <si>
    <t>S4 - B 701</t>
  </si>
  <si>
    <t>Heave Acceleration</t>
  </si>
  <si>
    <t>k</t>
  </si>
  <si>
    <t>S4 - B 401</t>
  </si>
  <si>
    <t>a_z</t>
  </si>
  <si>
    <t>S4-B303</t>
  </si>
  <si>
    <t>c</t>
  </si>
  <si>
    <t>Combined Longitudinal Acceleration</t>
  </si>
  <si>
    <t>S4 - B 801</t>
  </si>
  <si>
    <t>S5-B106 to B108</t>
  </si>
  <si>
    <t>S5-B201 to B203</t>
  </si>
  <si>
    <t>S5-B205</t>
  </si>
  <si>
    <t>Section</t>
  </si>
  <si>
    <t>x [m]</t>
  </si>
  <si>
    <t>ksm</t>
  </si>
  <si>
    <t>MS (sagging) [kN.m]</t>
  </si>
  <si>
    <t>MS (hogging) [kN.m]</t>
  </si>
  <si>
    <t>ksq</t>
  </si>
  <si>
    <t>QS (sagging) [kN]</t>
  </si>
  <si>
    <t>QS (hogging) [kN]</t>
  </si>
  <si>
    <t>Ms Sag [kN*m]</t>
  </si>
  <si>
    <t>Ms Hog [kN*m]</t>
  </si>
  <si>
    <t>Q Sag [kN*m]</t>
  </si>
  <si>
    <t>Q Hog [kN*m]</t>
  </si>
  <si>
    <t>ksq,neg</t>
  </si>
  <si>
    <t>ksq,pos</t>
  </si>
  <si>
    <t>Q Neg [kN*m]</t>
  </si>
  <si>
    <t>Q Pos [kN*m]</t>
  </si>
  <si>
    <t>x/L</t>
  </si>
  <si>
    <t>M_wh [kN*m]</t>
  </si>
  <si>
    <t>Keel Plate</t>
  </si>
  <si>
    <t>p0</t>
  </si>
  <si>
    <t>kN/m~2</t>
  </si>
  <si>
    <t>S4 - C 302</t>
  </si>
  <si>
    <t>Plate</t>
  </si>
  <si>
    <t>Breadth [m]</t>
  </si>
  <si>
    <t>Material</t>
  </si>
  <si>
    <t>Thickness [mm]</t>
  </si>
  <si>
    <t>ICM [mm]</t>
  </si>
  <si>
    <t>Gross Thickness [mm]</t>
  </si>
  <si>
    <t>t0</t>
  </si>
  <si>
    <t>mm</t>
  </si>
  <si>
    <t>S6 C402</t>
  </si>
  <si>
    <t>nº</t>
  </si>
  <si>
    <t>b_min</t>
  </si>
  <si>
    <t>b</t>
  </si>
  <si>
    <t>t_min</t>
  </si>
  <si>
    <t>tk</t>
  </si>
  <si>
    <t>t</t>
  </si>
  <si>
    <t>ka</t>
  </si>
  <si>
    <t>S6 - A 201</t>
  </si>
  <si>
    <t>f2b</t>
  </si>
  <si>
    <t>S6 - C 201</t>
  </si>
  <si>
    <t>S6 - C 202</t>
  </si>
  <si>
    <t>Zb</t>
  </si>
  <si>
    <t>[cm^3]</t>
  </si>
  <si>
    <t>I</t>
  </si>
  <si>
    <t>[cm^4]</t>
  </si>
  <si>
    <t>S5-C401</t>
  </si>
  <si>
    <t>Tm</t>
  </si>
  <si>
    <t>S6 - C 402</t>
  </si>
  <si>
    <t>s</t>
  </si>
  <si>
    <t>p1</t>
  </si>
  <si>
    <t>p2</t>
  </si>
  <si>
    <t>p3</t>
  </si>
  <si>
    <t>p</t>
  </si>
  <si>
    <t>σ</t>
  </si>
  <si>
    <t>pdp</t>
  </si>
  <si>
    <t>pl</t>
  </si>
  <si>
    <t>y</t>
  </si>
  <si>
    <t>z</t>
  </si>
  <si>
    <t>kf</t>
  </si>
  <si>
    <t>hs</t>
  </si>
  <si>
    <t>ks</t>
  </si>
  <si>
    <t>S4-C201</t>
  </si>
  <si>
    <t>t_req</t>
  </si>
  <si>
    <t>[kN/m^2]</t>
  </si>
  <si>
    <t>f</t>
  </si>
  <si>
    <t>S4 - C 201</t>
  </si>
  <si>
    <t>Z_NA</t>
  </si>
  <si>
    <t>S6 - C 301</t>
  </si>
  <si>
    <t>S6 - C 304</t>
  </si>
  <si>
    <t>S6 - C 302</t>
  </si>
  <si>
    <t>S6 - Table B1</t>
  </si>
  <si>
    <t>Inner bottom plating</t>
  </si>
  <si>
    <t>p4</t>
  </si>
  <si>
    <t>p13</t>
  </si>
  <si>
    <t>p14</t>
  </si>
  <si>
    <t>p15</t>
  </si>
  <si>
    <t>hc</t>
  </si>
  <si>
    <t>hp</t>
  </si>
  <si>
    <t>Δpdyn</t>
  </si>
  <si>
    <t>S6 - C 401</t>
  </si>
  <si>
    <t>Longitudinal Girder</t>
  </si>
  <si>
    <t>S6 - C 502</t>
  </si>
  <si>
    <t>S6 - C 501</t>
  </si>
  <si>
    <t>Stiffner</t>
  </si>
  <si>
    <t>Bottom longitudinals</t>
  </si>
  <si>
    <t>Stiffener</t>
  </si>
  <si>
    <t>Section Modulus [cm^3]</t>
  </si>
  <si>
    <t>Area [cm^2]</t>
  </si>
  <si>
    <t>A_min</t>
  </si>
  <si>
    <t>wk</t>
  </si>
  <si>
    <t>P</t>
  </si>
  <si>
    <t>σdb</t>
  </si>
  <si>
    <t>Pdp</t>
  </si>
  <si>
    <t>Z_req</t>
  </si>
  <si>
    <t>[cm^2]</t>
  </si>
  <si>
    <t>[kN/m2]</t>
  </si>
  <si>
    <t>S6 - C 701</t>
  </si>
  <si>
    <t>S6 - C 703</t>
  </si>
  <si>
    <t>S3 - C 1004</t>
  </si>
  <si>
    <t>S4 - 201</t>
  </si>
  <si>
    <t>Inner Bottom Longitudinals</t>
  </si>
  <si>
    <t>S6 - C 801</t>
  </si>
  <si>
    <t>H</t>
  </si>
  <si>
    <t>S7 - B 101</t>
  </si>
  <si>
    <t>bt</t>
  </si>
  <si>
    <t>hb</t>
  </si>
  <si>
    <t>kN/m^2</t>
  </si>
  <si>
    <t xml:space="preserve">Plate </t>
  </si>
  <si>
    <t>p6</t>
  </si>
  <si>
    <t>p8</t>
  </si>
  <si>
    <t>h0</t>
  </si>
  <si>
    <t>bb</t>
  </si>
  <si>
    <t>[KN/m^2]</t>
  </si>
  <si>
    <t>m</t>
  </si>
  <si>
    <t>T ballast</t>
  </si>
  <si>
    <t>S7-C102</t>
  </si>
  <si>
    <t>S7-C101</t>
  </si>
  <si>
    <t>S7-B100</t>
  </si>
  <si>
    <t>Shear Strake</t>
  </si>
  <si>
    <t>t1</t>
  </si>
  <si>
    <t>t2</t>
  </si>
  <si>
    <t>S7-C201</t>
  </si>
  <si>
    <t>SecMudul. [cm^3]</t>
  </si>
  <si>
    <t>A_req</t>
  </si>
  <si>
    <t>Zn</t>
  </si>
  <si>
    <t>Za</t>
  </si>
  <si>
    <t>Z</t>
  </si>
  <si>
    <t>C301</t>
  </si>
  <si>
    <t>C302</t>
  </si>
  <si>
    <t>Main frame</t>
  </si>
  <si>
    <t>Frame</t>
  </si>
  <si>
    <t>C</t>
  </si>
  <si>
    <t>p5</t>
  </si>
  <si>
    <t>a</t>
  </si>
  <si>
    <t>S8 - B 101</t>
  </si>
  <si>
    <t>f2d</t>
  </si>
  <si>
    <t>S8 - A 201</t>
  </si>
  <si>
    <t>ZD</t>
  </si>
  <si>
    <t>p7</t>
  </si>
  <si>
    <t>S8 - C 104</t>
  </si>
  <si>
    <t>S8 - C 102</t>
  </si>
  <si>
    <t>S8 - Table 1</t>
  </si>
  <si>
    <t>S8 - C 202</t>
  </si>
  <si>
    <t>S8 - C 201</t>
  </si>
  <si>
    <t>Strength Deck</t>
  </si>
  <si>
    <t>S8 - Table C1</t>
  </si>
  <si>
    <t>Below Deck</t>
  </si>
  <si>
    <t>Above Deck</t>
  </si>
  <si>
    <t>Requirements</t>
  </si>
  <si>
    <t>Requirements Maximum</t>
  </si>
  <si>
    <t>Structure</t>
  </si>
  <si>
    <t>Longitudinal</t>
  </si>
  <si>
    <t>Outer Bottom</t>
  </si>
  <si>
    <t>HP400 X 16</t>
  </si>
  <si>
    <t>HP370 X 15</t>
  </si>
  <si>
    <t>Double Bottom</t>
  </si>
  <si>
    <t>HP340 x 12</t>
  </si>
  <si>
    <t>HP220 X 10</t>
  </si>
  <si>
    <t>HP260 x 12</t>
  </si>
  <si>
    <t>HP370 X 13</t>
  </si>
  <si>
    <t>HP140 X 10</t>
  </si>
  <si>
    <t>Trans. Stiff.</t>
  </si>
  <si>
    <t>Strenght Deck</t>
  </si>
  <si>
    <t>Designation</t>
  </si>
  <si>
    <t>tw</t>
  </si>
  <si>
    <t>Plate area</t>
  </si>
  <si>
    <t>Dist. of CG [mm]</t>
  </si>
  <si>
    <t>2nd mom. of area [cm^4]</t>
  </si>
  <si>
    <t>Elastic modulus [cm^3]</t>
  </si>
  <si>
    <t>Midship Characteristics</t>
  </si>
  <si>
    <t>x</t>
  </si>
  <si>
    <t>Ix</t>
  </si>
  <si>
    <t>Iy</t>
  </si>
  <si>
    <t>xx</t>
  </si>
  <si>
    <t>yy</t>
  </si>
  <si>
    <t>A*z</t>
  </si>
  <si>
    <t>Value</t>
  </si>
  <si>
    <t>Stiffners</t>
  </si>
  <si>
    <t>HP140x10</t>
  </si>
  <si>
    <t>Neutral Axis Height</t>
  </si>
  <si>
    <t>HP160x9</t>
  </si>
  <si>
    <t>I_NA</t>
  </si>
  <si>
    <t>m^4</t>
  </si>
  <si>
    <t>Inertion of neutral axis moment</t>
  </si>
  <si>
    <t>I0</t>
  </si>
  <si>
    <t>A.z</t>
  </si>
  <si>
    <t>A.z^2</t>
  </si>
  <si>
    <t>Bulbe</t>
  </si>
  <si>
    <t>hw</t>
  </si>
  <si>
    <t xml:space="preserve">t </t>
  </si>
  <si>
    <t>HP180x10</t>
  </si>
  <si>
    <t>Total</t>
  </si>
  <si>
    <t>W min</t>
  </si>
  <si>
    <t>cm^2*m</t>
  </si>
  <si>
    <t>Minimum midship section modulus</t>
  </si>
  <si>
    <t>[m^4]</t>
  </si>
  <si>
    <t>[m^2]</t>
  </si>
  <si>
    <t>[m^3]</t>
  </si>
  <si>
    <t>HP200x9</t>
  </si>
  <si>
    <t>W bottom</t>
  </si>
  <si>
    <t>Bottom section modulus</t>
  </si>
  <si>
    <t>HP200x10</t>
  </si>
  <si>
    <t>W deck</t>
  </si>
  <si>
    <t>Deck section modulus</t>
  </si>
  <si>
    <t>HP200x12</t>
  </si>
  <si>
    <t>HP220x10</t>
  </si>
  <si>
    <t>HP220x12</t>
  </si>
  <si>
    <t>HP240x10</t>
  </si>
  <si>
    <t>HP240x11</t>
  </si>
  <si>
    <t>HP240x12</t>
  </si>
  <si>
    <t>HP260x10</t>
  </si>
  <si>
    <t>HP260x11</t>
  </si>
  <si>
    <t>HP260x12</t>
  </si>
  <si>
    <t>HP280x11</t>
  </si>
  <si>
    <t>HP280x12</t>
  </si>
  <si>
    <t>HP300x11</t>
  </si>
  <si>
    <t>HP300x12</t>
  </si>
  <si>
    <t>HP300x13</t>
  </si>
  <si>
    <t>HP320x12</t>
  </si>
  <si>
    <t>HP320x13</t>
  </si>
  <si>
    <t>HP340x12</t>
  </si>
  <si>
    <t>HP340x14</t>
  </si>
  <si>
    <t>HP370x13</t>
  </si>
  <si>
    <t>HP370x15</t>
  </si>
  <si>
    <t>HP400x14</t>
  </si>
  <si>
    <t>HP400x16</t>
  </si>
  <si>
    <t>HP430x14</t>
  </si>
  <si>
    <t>HP430x15</t>
  </si>
  <si>
    <t>HP430x17</t>
  </si>
  <si>
    <t>Thicknesses</t>
  </si>
  <si>
    <t>Ms</t>
  </si>
  <si>
    <t>kN*m</t>
  </si>
  <si>
    <t>Hogging</t>
  </si>
  <si>
    <t>t_plate</t>
  </si>
  <si>
    <t>t_buckling</t>
  </si>
  <si>
    <t>t_final</t>
  </si>
  <si>
    <t>Mw</t>
  </si>
  <si>
    <t>Ideal elastic buckling stress</t>
  </si>
  <si>
    <t>Yield stress of material</t>
  </si>
  <si>
    <t>Critical buckling stress</t>
  </si>
  <si>
    <t>Compressive stress in plate</t>
  </si>
  <si>
    <t>t_initial</t>
  </si>
  <si>
    <t>t_addiction</t>
  </si>
  <si>
    <t>η</t>
  </si>
  <si>
    <t>ψ</t>
  </si>
  <si>
    <t>σel</t>
  </si>
  <si>
    <t>σf</t>
  </si>
  <si>
    <t>σc</t>
  </si>
  <si>
    <t>σa</t>
  </si>
  <si>
    <t>Z _bottom</t>
  </si>
  <si>
    <t>zn</t>
  </si>
  <si>
    <t>za</t>
  </si>
  <si>
    <t>ZND</t>
  </si>
  <si>
    <t>[N/mm^2]</t>
  </si>
  <si>
    <t>MARS VS EXCEL</t>
  </si>
  <si>
    <t>EXCEL</t>
  </si>
  <si>
    <t>MARS</t>
  </si>
  <si>
    <t>Difference [%]</t>
  </si>
  <si>
    <t>Longitudinal Selection</t>
  </si>
  <si>
    <t>Effective area of cross-section</t>
  </si>
  <si>
    <t>Moment of inertia/GY axis</t>
  </si>
  <si>
    <t>HP 400x16</t>
  </si>
  <si>
    <t>Neutral axis (above base line)</t>
  </si>
  <si>
    <t>HP 370x15</t>
  </si>
  <si>
    <t>Section modulus at bottom</t>
  </si>
  <si>
    <t>HP 340x12</t>
  </si>
  <si>
    <t>Section modulus at deck</t>
  </si>
  <si>
    <t>HP 320x12</t>
  </si>
  <si>
    <t>HP 370x13</t>
  </si>
  <si>
    <t>HP 260x12</t>
  </si>
  <si>
    <t/>
  </si>
  <si>
    <t>tank breadth</t>
  </si>
  <si>
    <t>Breadth</t>
  </si>
  <si>
    <t>Final thickness</t>
  </si>
  <si>
    <t>corrugated thickness</t>
  </si>
  <si>
    <t>required thickness</t>
  </si>
  <si>
    <t>minimum thickness</t>
  </si>
  <si>
    <t xml:space="preserve">σ </t>
  </si>
  <si>
    <t>t_k</t>
  </si>
  <si>
    <t>tn</t>
  </si>
  <si>
    <t>K</t>
  </si>
  <si>
    <t>δ</t>
  </si>
  <si>
    <t>s1 / sc</t>
  </si>
  <si>
    <t>[kN/m²]</t>
  </si>
  <si>
    <t>[º]</t>
  </si>
  <si>
    <t>s2 / a</t>
  </si>
  <si>
    <t>s3 / c</t>
  </si>
  <si>
    <t>α</t>
  </si>
  <si>
    <t>d</t>
  </si>
  <si>
    <t>Height of lower ends</t>
  </si>
  <si>
    <t>Trans. Bulkhead</t>
  </si>
  <si>
    <t>HP 340x14</t>
  </si>
  <si>
    <t>Height of upper end</t>
  </si>
  <si>
    <t>C-1 The example ship’s main dimensions</t>
  </si>
  <si>
    <t>C-4 Scantlings and properties of stiffener considered</t>
  </si>
  <si>
    <t>K-Factor</t>
  </si>
  <si>
    <t>Local Stress</t>
  </si>
  <si>
    <t>C.6.8 Long term distribution</t>
  </si>
  <si>
    <t>Fatigue part damage</t>
  </si>
  <si>
    <t>Auxiliary Table</t>
  </si>
  <si>
    <t>D full load</t>
  </si>
  <si>
    <t>D total</t>
  </si>
  <si>
    <t>T Fatigue</t>
  </si>
  <si>
    <t>D acceptable</t>
  </si>
  <si>
    <t>Length of ship</t>
  </si>
  <si>
    <t>L</t>
  </si>
  <si>
    <t xml:space="preserve"> Total Stiffener sectional modulus at top of flange</t>
  </si>
  <si>
    <t>Zs</t>
  </si>
  <si>
    <t>mm^3</t>
  </si>
  <si>
    <t>Misalignment</t>
  </si>
  <si>
    <t>Misalignment inherent</t>
  </si>
  <si>
    <t>Plate thickness</t>
  </si>
  <si>
    <t>Factor</t>
  </si>
  <si>
    <t>ha</t>
  </si>
  <si>
    <t>T d</t>
  </si>
  <si>
    <t>years</t>
  </si>
  <si>
    <t>alfa 1</t>
  </si>
  <si>
    <t>Breadth of ship</t>
  </si>
  <si>
    <t>Quantity in plate</t>
  </si>
  <si>
    <t>stiffener</t>
  </si>
  <si>
    <t>e</t>
  </si>
  <si>
    <t>e_0</t>
  </si>
  <si>
    <t>Kte</t>
  </si>
  <si>
    <t>Kg</t>
  </si>
  <si>
    <t>Kaxial</t>
  </si>
  <si>
    <t>Me</t>
  </si>
  <si>
    <t>N*mm</t>
  </si>
  <si>
    <t>v0 Td</t>
  </si>
  <si>
    <t>cycles</t>
  </si>
  <si>
    <t>x1</t>
  </si>
  <si>
    <t>Block coefficient</t>
  </si>
  <si>
    <t>Stiffener sectional modulus at top of flange</t>
  </si>
  <si>
    <t>pe</t>
  </si>
  <si>
    <t>n0</t>
  </si>
  <si>
    <r>
      <rPr>
        <sz val="11"/>
        <color theme="1"/>
        <rFont val="Calibri"/>
        <family val="2"/>
      </rPr>
      <t>Γ</t>
    </r>
    <r>
      <rPr>
        <sz val="11"/>
        <color theme="1"/>
        <rFont val="Calibri"/>
        <family val="2"/>
      </rPr>
      <t>(α1,x1)</t>
    </r>
  </si>
  <si>
    <t>Design speed</t>
  </si>
  <si>
    <t>Vs</t>
  </si>
  <si>
    <t>knots</t>
  </si>
  <si>
    <t>Distance above keel</t>
  </si>
  <si>
    <t>rp</t>
  </si>
  <si>
    <t>q</t>
  </si>
  <si>
    <t>alfa 2</t>
  </si>
  <si>
    <t>Depth of ship</t>
  </si>
  <si>
    <t>Effective span length</t>
  </si>
  <si>
    <t>Sigma 2A</t>
  </si>
  <si>
    <t>S-N parameters for N &lt;/= 10^7 cycles</t>
  </si>
  <si>
    <t>S-N parameters for N &gt;/= 10^7 cycles</t>
  </si>
  <si>
    <t>Stress range</t>
  </si>
  <si>
    <t>D non corrosive</t>
  </si>
  <si>
    <t>x2</t>
  </si>
  <si>
    <t>Moment of inertia of hull cross-section about transverse neutral axis</t>
  </si>
  <si>
    <t>I N</t>
  </si>
  <si>
    <t>Distance from end of stiffener to hot spot</t>
  </si>
  <si>
    <t>Delta Sigma 1</t>
  </si>
  <si>
    <t>log (a)</t>
  </si>
  <si>
    <t>a barra 1</t>
  </si>
  <si>
    <t>m1</t>
  </si>
  <si>
    <t>a barra 2</t>
  </si>
  <si>
    <t>m2</t>
  </si>
  <si>
    <t>S1 [Mpa]</t>
  </si>
  <si>
    <t>D corrosive</t>
  </si>
  <si>
    <r>
      <rPr>
        <sz val="11"/>
        <color theme="1"/>
        <rFont val="Calibri"/>
        <family val="2"/>
      </rPr>
      <t>γ</t>
    </r>
    <r>
      <rPr>
        <sz val="11"/>
        <color theme="1"/>
        <rFont val="Calibri"/>
        <family val="2"/>
      </rPr>
      <t>(α1,x1)</t>
    </r>
  </si>
  <si>
    <t>Neutral axis above keel</t>
  </si>
  <si>
    <t>Z NA</t>
  </si>
  <si>
    <t>Web frame spacing</t>
  </si>
  <si>
    <t>ls</t>
  </si>
  <si>
    <t>T c</t>
  </si>
  <si>
    <t>(q^m1)/a barra 1</t>
  </si>
  <si>
    <t>Stiffener spacing</t>
  </si>
  <si>
    <t>Global hull stresses</t>
  </si>
  <si>
    <t>(q^m2)/a barra 2</t>
  </si>
  <si>
    <t>C-2 Definition of load conditions</t>
  </si>
  <si>
    <t>Thickness of plate (plate 18)</t>
  </si>
  <si>
    <t>tp</t>
  </si>
  <si>
    <t>Δσv</t>
  </si>
  <si>
    <t>Fully loaded</t>
  </si>
  <si>
    <t>Height of stiffener</t>
  </si>
  <si>
    <t xml:space="preserve">Δσhg </t>
  </si>
  <si>
    <t>Stillwater bending moment Hogging</t>
  </si>
  <si>
    <t>Thickness of web</t>
  </si>
  <si>
    <t>ρvh</t>
  </si>
  <si>
    <t>Stillwater bending moment Sagging</t>
  </si>
  <si>
    <t>Δσg</t>
  </si>
  <si>
    <t>Draught</t>
  </si>
  <si>
    <t>Metacentric height</t>
  </si>
  <si>
    <t>Combined hot spot stresses</t>
  </si>
  <si>
    <t>Roll radius of gyration</t>
  </si>
  <si>
    <t>Part of time in load condition</t>
  </si>
  <si>
    <t>Part of time in ballast condition</t>
  </si>
  <si>
    <t>Δσ</t>
  </si>
  <si>
    <t>Data for calculations</t>
  </si>
  <si>
    <t>Main Charateristics</t>
  </si>
  <si>
    <t>Geometrical Basic Dimensions</t>
  </si>
  <si>
    <t>Material Selection- Hull structural steel</t>
  </si>
  <si>
    <t>Corrosion addition tk on number of components</t>
  </si>
  <si>
    <t>Stiffeners</t>
  </si>
  <si>
    <t>Parameters for calculation</t>
  </si>
  <si>
    <t>a(vert)</t>
  </si>
  <si>
    <t>a(trans)</t>
  </si>
  <si>
    <t>a(long)</t>
  </si>
  <si>
    <t>k(vert)</t>
  </si>
  <si>
    <t>Pitch motion and acceleration</t>
  </si>
  <si>
    <t>Still water condition</t>
  </si>
  <si>
    <t>Wave load condition</t>
  </si>
  <si>
    <t>Horizontal bending moment on a wave load</t>
  </si>
  <si>
    <t>Bottom and bilge plates</t>
  </si>
  <si>
    <t xml:space="preserve"> Constant values</t>
  </si>
  <si>
    <t xml:space="preserve"> Stiffeners</t>
  </si>
  <si>
    <t>Stiffeners of  girders</t>
  </si>
  <si>
    <t>Side Plates</t>
  </si>
  <si>
    <t xml:space="preserve">  </t>
  </si>
  <si>
    <t>S8 - table 1</t>
  </si>
  <si>
    <t>Plates of deck below and above strength deck</t>
  </si>
  <si>
    <t>Strength deck plates</t>
  </si>
  <si>
    <t>Data</t>
  </si>
  <si>
    <t>Sagging</t>
  </si>
  <si>
    <t>Before the iteration in MARS</t>
  </si>
  <si>
    <t xml:space="preserve">Restriction of parameters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</si>
</sst>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E+00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rgb="FF7030A0"/>
        <bgColor rgb="FF7030A0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theme="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4"/>
      </patternFill>
    </fill>
    <fill>
      <patternFill patternType="solid">
        <fgColor theme="9"/>
        <bgColor theme="5"/>
      </patternFill>
    </fill>
    <fill>
      <patternFill patternType="solid">
        <fgColor theme="9"/>
        <bgColor theme="7"/>
      </patternFill>
    </fill>
    <fill>
      <patternFill patternType="solid">
        <fgColor theme="9"/>
        <bgColor rgb="FFC00000"/>
      </patternFill>
    </fill>
    <fill>
      <patternFill patternType="solid">
        <fgColor theme="9"/>
        <bgColor rgb="FF7030A0"/>
      </patternFill>
    </fill>
    <fill>
      <patternFill patternType="solid">
        <fgColor theme="9"/>
        <bgColor theme="6"/>
      </patternFill>
    </fill>
    <fill>
      <patternFill patternType="solid">
        <fgColor theme="9"/>
        <bgColor rgb="FFFFFF00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theme="5"/>
      </patternFill>
    </fill>
    <fill>
      <patternFill patternType="solid">
        <fgColor theme="8"/>
        <bgColor indexed="64"/>
      </patternFill>
    </fill>
    <fill>
      <patternFill patternType="solid">
        <fgColor theme="5"/>
        <bgColor rgb="FFA8D08D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2F2F2"/>
      </patternFill>
    </fill>
    <fill>
      <patternFill patternType="solid">
        <fgColor rgb="FF00B0F0"/>
        <bgColor rgb="FFC5E0B3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85623"/>
      </left>
      <right style="thin">
        <color rgb="FF385623"/>
      </right>
      <top/>
      <bottom style="thin">
        <color rgb="FF385623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85623"/>
      </left>
      <right/>
      <top/>
      <bottom style="thin">
        <color rgb="FF385623"/>
      </bottom>
      <diagonal/>
    </border>
    <border>
      <left/>
      <right/>
      <top/>
      <bottom style="thin">
        <color rgb="FF385623"/>
      </bottom>
      <diagonal/>
    </border>
    <border>
      <left/>
      <right style="thin">
        <color rgb="FF385623"/>
      </right>
      <top/>
      <bottom style="thin">
        <color rgb="FF385623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548135"/>
      </left>
      <right/>
      <top/>
      <bottom style="thin">
        <color rgb="FF548135"/>
      </bottom>
      <diagonal/>
    </border>
    <border>
      <left/>
      <right/>
      <top/>
      <bottom style="thin">
        <color rgb="FF548135"/>
      </bottom>
      <diagonal/>
    </border>
    <border>
      <left/>
      <right style="thin">
        <color rgb="FF548135"/>
      </right>
      <top/>
      <bottom style="thin">
        <color rgb="FF54813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320"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64" fontId="0" fillId="0" borderId="0" xfId="0" applyNumberFormat="1" applyFont="1" applyAlignment="1">
      <alignment vertical="center"/>
    </xf>
    <xf numFmtId="164" fontId="0" fillId="0" borderId="4" xfId="0" applyNumberFormat="1" applyFont="1" applyBorder="1" applyAlignment="1">
      <alignment horizontal="center"/>
    </xf>
    <xf numFmtId="164" fontId="4" fillId="0" borderId="0" xfId="0" applyNumberFormat="1" applyFont="1" applyAlignment="1">
      <alignment vertical="center" wrapText="1"/>
    </xf>
    <xf numFmtId="164" fontId="0" fillId="0" borderId="4" xfId="0" applyNumberFormat="1" applyFont="1" applyBorder="1" applyAlignment="1">
      <alignment horizontal="center" vertical="center"/>
    </xf>
    <xf numFmtId="1" fontId="0" fillId="0" borderId="0" xfId="0" applyNumberFormat="1" applyFont="1"/>
    <xf numFmtId="0" fontId="5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2" fontId="0" fillId="0" borderId="0" xfId="0" applyNumberFormat="1" applyFont="1"/>
    <xf numFmtId="164" fontId="0" fillId="0" borderId="0" xfId="0" applyNumberFormat="1" applyFont="1"/>
    <xf numFmtId="164" fontId="0" fillId="0" borderId="0" xfId="0" applyNumberFormat="1" applyFont="1" applyAlignment="1">
      <alignment horizontal="left"/>
    </xf>
    <xf numFmtId="0" fontId="4" fillId="0" borderId="0" xfId="0" applyFont="1"/>
    <xf numFmtId="3" fontId="0" fillId="0" borderId="0" xfId="0" applyNumberFormat="1" applyFont="1"/>
    <xf numFmtId="165" fontId="0" fillId="0" borderId="0" xfId="0" applyNumberFormat="1" applyFont="1"/>
    <xf numFmtId="16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1" fontId="0" fillId="0" borderId="0" xfId="0" applyNumberFormat="1" applyFont="1"/>
    <xf numFmtId="164" fontId="9" fillId="0" borderId="0" xfId="0" applyNumberFormat="1" applyFont="1"/>
    <xf numFmtId="0" fontId="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0" xfId="0" applyFont="1"/>
    <xf numFmtId="165" fontId="0" fillId="0" borderId="4" xfId="0" applyNumberFormat="1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4" xfId="0" applyNumberFormat="1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3" fontId="0" fillId="0" borderId="4" xfId="0" applyNumberFormat="1" applyFont="1" applyBorder="1" applyAlignment="1">
      <alignment horizontal="center"/>
    </xf>
    <xf numFmtId="1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vertical="center"/>
    </xf>
    <xf numFmtId="166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0" fontId="0" fillId="0" borderId="12" xfId="0" applyFont="1" applyBorder="1" applyAlignment="1">
      <alignment horizontal="center"/>
    </xf>
    <xf numFmtId="11" fontId="0" fillId="0" borderId="4" xfId="0" applyNumberFormat="1" applyFont="1" applyBorder="1" applyAlignment="1">
      <alignment horizontal="center"/>
    </xf>
    <xf numFmtId="164" fontId="0" fillId="0" borderId="18" xfId="0" applyNumberFormat="1" applyFont="1" applyBorder="1" applyAlignment="1">
      <alignment vertical="center"/>
    </xf>
    <xf numFmtId="0" fontId="0" fillId="0" borderId="18" xfId="0" applyFont="1" applyBorder="1"/>
    <xf numFmtId="164" fontId="0" fillId="9" borderId="18" xfId="0" applyNumberFormat="1" applyFont="1" applyFill="1" applyBorder="1" applyAlignment="1">
      <alignment vertical="center"/>
    </xf>
    <xf numFmtId="0" fontId="0" fillId="9" borderId="4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0" fontId="0" fillId="0" borderId="18" xfId="0" applyFont="1" applyBorder="1" applyAlignment="1"/>
    <xf numFmtId="0" fontId="5" fillId="0" borderId="18" xfId="0" applyFont="1" applyBorder="1"/>
    <xf numFmtId="0" fontId="5" fillId="9" borderId="18" xfId="0" applyFont="1" applyFill="1" applyBorder="1"/>
    <xf numFmtId="0" fontId="0" fillId="9" borderId="18" xfId="0" applyFont="1" applyFill="1" applyBorder="1" applyAlignment="1"/>
    <xf numFmtId="0" fontId="5" fillId="11" borderId="18" xfId="0" applyFont="1" applyFill="1" applyBorder="1"/>
    <xf numFmtId="0" fontId="0" fillId="11" borderId="18" xfId="0" applyFont="1" applyFill="1" applyBorder="1" applyAlignment="1"/>
    <xf numFmtId="165" fontId="0" fillId="0" borderId="18" xfId="0" applyNumberFormat="1" applyFont="1" applyBorder="1" applyAlignment="1">
      <alignment vertical="center"/>
    </xf>
    <xf numFmtId="0" fontId="0" fillId="11" borderId="4" xfId="0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9" borderId="18" xfId="0" applyFont="1" applyFill="1" applyBorder="1"/>
    <xf numFmtId="0" fontId="5" fillId="12" borderId="18" xfId="0" applyFont="1" applyFill="1" applyBorder="1"/>
    <xf numFmtId="0" fontId="0" fillId="0" borderId="18" xfId="0" applyFont="1" applyBorder="1" applyAlignment="1">
      <alignment horizontal="center"/>
    </xf>
    <xf numFmtId="0" fontId="0" fillId="14" borderId="18" xfId="0" applyFont="1" applyFill="1" applyBorder="1" applyAlignment="1">
      <alignment horizontal="center"/>
    </xf>
    <xf numFmtId="0" fontId="0" fillId="15" borderId="18" xfId="0" applyFont="1" applyFill="1" applyBorder="1" applyAlignment="1">
      <alignment horizontal="center"/>
    </xf>
    <xf numFmtId="0" fontId="0" fillId="12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3" fontId="4" fillId="0" borderId="18" xfId="0" applyNumberFormat="1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2" fontId="0" fillId="0" borderId="18" xfId="0" applyNumberFormat="1" applyFont="1" applyBorder="1" applyAlignment="1">
      <alignment horizontal="center"/>
    </xf>
    <xf numFmtId="165" fontId="0" fillId="0" borderId="18" xfId="0" applyNumberFormat="1" applyFont="1" applyBorder="1" applyAlignment="1">
      <alignment horizontal="center"/>
    </xf>
    <xf numFmtId="0" fontId="5" fillId="9" borderId="18" xfId="0" applyFont="1" applyFill="1" applyBorder="1" applyAlignment="1">
      <alignment horizontal="center"/>
    </xf>
    <xf numFmtId="0" fontId="0" fillId="9" borderId="18" xfId="0" applyFont="1" applyFill="1" applyBorder="1" applyAlignment="1">
      <alignment horizontal="center"/>
    </xf>
    <xf numFmtId="0" fontId="5" fillId="12" borderId="18" xfId="0" applyFont="1" applyFill="1" applyBorder="1" applyAlignment="1">
      <alignment horizontal="center"/>
    </xf>
    <xf numFmtId="0" fontId="0" fillId="25" borderId="18" xfId="0" applyFont="1" applyFill="1" applyBorder="1" applyAlignment="1">
      <alignment horizontal="center"/>
    </xf>
    <xf numFmtId="164" fontId="0" fillId="14" borderId="18" xfId="0" applyNumberFormat="1" applyFont="1" applyFill="1" applyBorder="1" applyAlignment="1">
      <alignment horizontal="center"/>
    </xf>
    <xf numFmtId="0" fontId="6" fillId="25" borderId="18" xfId="0" applyFont="1" applyFill="1" applyBorder="1" applyAlignment="1">
      <alignment horizontal="center"/>
    </xf>
    <xf numFmtId="0" fontId="6" fillId="9" borderId="18" xfId="0" applyFont="1" applyFill="1" applyBorder="1" applyAlignment="1">
      <alignment horizontal="center"/>
    </xf>
    <xf numFmtId="164" fontId="0" fillId="0" borderId="18" xfId="0" applyNumberFormat="1" applyFont="1" applyBorder="1" applyAlignment="1">
      <alignment horizontal="center"/>
    </xf>
    <xf numFmtId="0" fontId="5" fillId="15" borderId="18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left"/>
    </xf>
    <xf numFmtId="0" fontId="0" fillId="9" borderId="18" xfId="0" applyFont="1" applyFill="1" applyBorder="1" applyAlignment="1">
      <alignment horizontal="left"/>
    </xf>
    <xf numFmtId="0" fontId="5" fillId="9" borderId="18" xfId="0" applyFont="1" applyFill="1" applyBorder="1" applyAlignment="1">
      <alignment horizontal="left"/>
    </xf>
    <xf numFmtId="0" fontId="10" fillId="9" borderId="18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16" borderId="18" xfId="0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17" borderId="18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8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1" borderId="18" xfId="0" applyFont="1" applyFill="1" applyBorder="1" applyAlignment="1">
      <alignment horizontal="center"/>
    </xf>
    <xf numFmtId="0" fontId="0" fillId="22" borderId="18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0" fontId="0" fillId="11" borderId="18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11" fillId="26" borderId="18" xfId="0" applyFont="1" applyFill="1" applyBorder="1" applyAlignment="1"/>
    <xf numFmtId="0" fontId="0" fillId="26" borderId="18" xfId="0" applyFont="1" applyFill="1" applyBorder="1" applyAlignment="1"/>
    <xf numFmtId="3" fontId="0" fillId="0" borderId="18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7" fillId="0" borderId="0" xfId="0" applyFont="1" applyAlignment="1"/>
    <xf numFmtId="11" fontId="0" fillId="0" borderId="18" xfId="0" applyNumberFormat="1" applyFont="1" applyBorder="1" applyAlignment="1">
      <alignment horizontal="center"/>
    </xf>
    <xf numFmtId="0" fontId="5" fillId="26" borderId="18" xfId="0" applyFont="1" applyFill="1" applyBorder="1" applyAlignment="1">
      <alignment horizontal="center"/>
    </xf>
    <xf numFmtId="0" fontId="0" fillId="27" borderId="18" xfId="0" applyFont="1" applyFill="1" applyBorder="1" applyAlignment="1">
      <alignment horizontal="center" vertical="center"/>
    </xf>
    <xf numFmtId="0" fontId="0" fillId="27" borderId="18" xfId="0" applyFont="1" applyFill="1" applyBorder="1" applyAlignment="1">
      <alignment horizontal="center"/>
    </xf>
    <xf numFmtId="0" fontId="8" fillId="0" borderId="0" xfId="0" applyFont="1" applyAlignment="1"/>
    <xf numFmtId="0" fontId="2" fillId="26" borderId="18" xfId="0" applyFont="1" applyFill="1" applyBorder="1" applyAlignment="1"/>
    <xf numFmtId="1" fontId="0" fillId="0" borderId="18" xfId="0" applyNumberFormat="1" applyFont="1" applyBorder="1" applyAlignment="1">
      <alignment horizontal="center"/>
    </xf>
    <xf numFmtId="0" fontId="0" fillId="0" borderId="6" xfId="0" applyFont="1" applyBorder="1" applyAlignment="1"/>
    <xf numFmtId="0" fontId="0" fillId="27" borderId="9" xfId="0" applyFont="1" applyFill="1" applyBorder="1" applyAlignment="1">
      <alignment horizontal="center"/>
    </xf>
    <xf numFmtId="0" fontId="0" fillId="11" borderId="6" xfId="0" applyFont="1" applyFill="1" applyBorder="1" applyAlignment="1"/>
    <xf numFmtId="0" fontId="0" fillId="0" borderId="6" xfId="0" applyFont="1" applyBorder="1"/>
    <xf numFmtId="0" fontId="9" fillId="0" borderId="25" xfId="0" applyFont="1" applyBorder="1" applyAlignment="1">
      <alignment horizontal="center"/>
    </xf>
    <xf numFmtId="0" fontId="2" fillId="27" borderId="18" xfId="0" applyFont="1" applyFill="1" applyBorder="1" applyAlignment="1">
      <alignment horizontal="center"/>
    </xf>
    <xf numFmtId="0" fontId="0" fillId="27" borderId="22" xfId="0" applyFont="1" applyFill="1" applyBorder="1" applyAlignment="1">
      <alignment horizontal="center"/>
    </xf>
    <xf numFmtId="0" fontId="5" fillId="28" borderId="18" xfId="0" applyFont="1" applyFill="1" applyBorder="1" applyAlignment="1">
      <alignment horizontal="center"/>
    </xf>
    <xf numFmtId="0" fontId="0" fillId="28" borderId="18" xfId="0" applyFont="1" applyFill="1" applyBorder="1" applyAlignment="1">
      <alignment horizontal="center"/>
    </xf>
    <xf numFmtId="1" fontId="0" fillId="11" borderId="18" xfId="0" applyNumberFormat="1" applyFont="1" applyFill="1" applyBorder="1" applyAlignment="1">
      <alignment horizontal="center"/>
    </xf>
    <xf numFmtId="165" fontId="0" fillId="11" borderId="18" xfId="0" applyNumberFormat="1" applyFont="1" applyFill="1" applyBorder="1" applyAlignment="1">
      <alignment horizontal="center"/>
    </xf>
    <xf numFmtId="1" fontId="0" fillId="9" borderId="18" xfId="0" applyNumberFormat="1" applyFont="1" applyFill="1" applyBorder="1" applyAlignment="1">
      <alignment horizontal="center"/>
    </xf>
    <xf numFmtId="165" fontId="0" fillId="9" borderId="18" xfId="0" applyNumberFormat="1" applyFont="1" applyFill="1" applyBorder="1" applyAlignment="1">
      <alignment horizontal="center"/>
    </xf>
    <xf numFmtId="2" fontId="0" fillId="9" borderId="18" xfId="0" applyNumberFormat="1" applyFont="1" applyFill="1" applyBorder="1" applyAlignment="1">
      <alignment horizontal="center"/>
    </xf>
    <xf numFmtId="1" fontId="0" fillId="28" borderId="18" xfId="0" applyNumberFormat="1" applyFont="1" applyFill="1" applyBorder="1" applyAlignment="1">
      <alignment horizontal="center"/>
    </xf>
    <xf numFmtId="165" fontId="0" fillId="28" borderId="18" xfId="0" applyNumberFormat="1" applyFont="1" applyFill="1" applyBorder="1" applyAlignment="1">
      <alignment horizontal="center"/>
    </xf>
    <xf numFmtId="2" fontId="0" fillId="28" borderId="18" xfId="0" applyNumberFormat="1" applyFont="1" applyFill="1" applyBorder="1" applyAlignment="1">
      <alignment horizontal="center"/>
    </xf>
    <xf numFmtId="0" fontId="3" fillId="0" borderId="18" xfId="0" applyFont="1" applyBorder="1" applyAlignment="1"/>
    <xf numFmtId="0" fontId="0" fillId="27" borderId="18" xfId="0" applyFont="1" applyFill="1" applyBorder="1" applyAlignment="1">
      <alignment vertical="center"/>
    </xf>
    <xf numFmtId="2" fontId="5" fillId="0" borderId="18" xfId="0" applyNumberFormat="1" applyFont="1" applyBorder="1" applyAlignment="1">
      <alignment horizontal="center"/>
    </xf>
    <xf numFmtId="0" fontId="0" fillId="26" borderId="29" xfId="0" applyFont="1" applyFill="1" applyBorder="1" applyAlignment="1"/>
    <xf numFmtId="1" fontId="0" fillId="27" borderId="18" xfId="0" applyNumberFormat="1" applyFont="1" applyFill="1" applyBorder="1" applyAlignment="1">
      <alignment horizontal="center"/>
    </xf>
    <xf numFmtId="165" fontId="0" fillId="0" borderId="18" xfId="0" applyNumberFormat="1" applyFont="1" applyBorder="1" applyAlignment="1">
      <alignment horizontal="center" vertical="center"/>
    </xf>
    <xf numFmtId="1" fontId="0" fillId="0" borderId="18" xfId="0" applyNumberFormat="1" applyFont="1" applyBorder="1" applyAlignment="1">
      <alignment horizontal="center" vertical="center"/>
    </xf>
    <xf numFmtId="0" fontId="0" fillId="9" borderId="18" xfId="0" applyFont="1" applyFill="1" applyBorder="1" applyAlignment="1">
      <alignment horizontal="center" vertical="center" wrapText="1"/>
    </xf>
    <xf numFmtId="0" fontId="0" fillId="9" borderId="18" xfId="0" applyFont="1" applyFill="1" applyBorder="1" applyAlignment="1">
      <alignment horizontal="center" vertical="center"/>
    </xf>
    <xf numFmtId="0" fontId="0" fillId="30" borderId="4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11" fontId="0" fillId="9" borderId="4" xfId="0" applyNumberFormat="1" applyFont="1" applyFill="1" applyBorder="1" applyAlignment="1">
      <alignment horizontal="center" vertical="center"/>
    </xf>
    <xf numFmtId="11" fontId="0" fillId="28" borderId="4" xfId="0" applyNumberFormat="1" applyFont="1" applyFill="1" applyBorder="1" applyAlignment="1">
      <alignment horizontal="center" vertical="center"/>
    </xf>
    <xf numFmtId="1" fontId="0" fillId="5" borderId="18" xfId="0" applyNumberFormat="1" applyFont="1" applyFill="1" applyBorder="1" applyAlignment="1">
      <alignment horizontal="center"/>
    </xf>
    <xf numFmtId="164" fontId="0" fillId="5" borderId="18" xfId="0" applyNumberFormat="1" applyFont="1" applyFill="1" applyBorder="1" applyAlignment="1">
      <alignment horizontal="center"/>
    </xf>
    <xf numFmtId="2" fontId="0" fillId="5" borderId="18" xfId="0" applyNumberFormat="1" applyFont="1" applyFill="1" applyBorder="1" applyAlignment="1">
      <alignment horizontal="center"/>
    </xf>
    <xf numFmtId="1" fontId="0" fillId="6" borderId="18" xfId="0" applyNumberFormat="1" applyFont="1" applyFill="1" applyBorder="1" applyAlignment="1">
      <alignment horizontal="center"/>
    </xf>
    <xf numFmtId="2" fontId="0" fillId="6" borderId="18" xfId="0" applyNumberFormat="1" applyFont="1" applyFill="1" applyBorder="1" applyAlignment="1">
      <alignment horizontal="center"/>
    </xf>
    <xf numFmtId="1" fontId="0" fillId="8" borderId="18" xfId="0" applyNumberFormat="1" applyFont="1" applyFill="1" applyBorder="1" applyAlignment="1">
      <alignment horizontal="center"/>
    </xf>
    <xf numFmtId="164" fontId="0" fillId="8" borderId="18" xfId="0" applyNumberFormat="1" applyFont="1" applyFill="1" applyBorder="1" applyAlignment="1">
      <alignment horizontal="center"/>
    </xf>
    <xf numFmtId="2" fontId="0" fillId="8" borderId="18" xfId="0" applyNumberFormat="1" applyFont="1" applyFill="1" applyBorder="1" applyAlignment="1">
      <alignment horizontal="center"/>
    </xf>
    <xf numFmtId="1" fontId="0" fillId="7" borderId="18" xfId="0" applyNumberFormat="1" applyFont="1" applyFill="1" applyBorder="1" applyAlignment="1">
      <alignment horizontal="center"/>
    </xf>
    <xf numFmtId="164" fontId="0" fillId="7" borderId="18" xfId="0" applyNumberFormat="1" applyFont="1" applyFill="1" applyBorder="1" applyAlignment="1">
      <alignment horizontal="center"/>
    </xf>
    <xf numFmtId="2" fontId="0" fillId="7" borderId="18" xfId="0" applyNumberFormat="1" applyFont="1" applyFill="1" applyBorder="1" applyAlignment="1">
      <alignment horizontal="center"/>
    </xf>
    <xf numFmtId="1" fontId="0" fillId="4" borderId="18" xfId="0" applyNumberFormat="1" applyFont="1" applyFill="1" applyBorder="1" applyAlignment="1">
      <alignment horizontal="center"/>
    </xf>
    <xf numFmtId="164" fontId="0" fillId="4" borderId="18" xfId="0" applyNumberFormat="1" applyFont="1" applyFill="1" applyBorder="1" applyAlignment="1">
      <alignment horizontal="center"/>
    </xf>
    <xf numFmtId="2" fontId="0" fillId="4" borderId="18" xfId="0" applyNumberFormat="1" applyFont="1" applyFill="1" applyBorder="1" applyAlignment="1">
      <alignment horizontal="center"/>
    </xf>
    <xf numFmtId="1" fontId="0" fillId="2" borderId="18" xfId="0" applyNumberFormat="1" applyFont="1" applyFill="1" applyBorder="1" applyAlignment="1">
      <alignment horizontal="center"/>
    </xf>
    <xf numFmtId="164" fontId="0" fillId="2" borderId="18" xfId="0" applyNumberFormat="1" applyFont="1" applyFill="1" applyBorder="1" applyAlignment="1">
      <alignment horizontal="center"/>
    </xf>
    <xf numFmtId="2" fontId="0" fillId="2" borderId="18" xfId="0" applyNumberFormat="1" applyFont="1" applyFill="1" applyBorder="1" applyAlignment="1">
      <alignment horizontal="center"/>
    </xf>
    <xf numFmtId="1" fontId="0" fillId="3" borderId="18" xfId="0" applyNumberFormat="1" applyFont="1" applyFill="1" applyBorder="1" applyAlignment="1">
      <alignment horizontal="center"/>
    </xf>
    <xf numFmtId="164" fontId="0" fillId="3" borderId="18" xfId="0" applyNumberFormat="1" applyFont="1" applyFill="1" applyBorder="1" applyAlignment="1">
      <alignment horizontal="center"/>
    </xf>
    <xf numFmtId="2" fontId="0" fillId="3" borderId="18" xfId="0" applyNumberFormat="1" applyFont="1" applyFill="1" applyBorder="1" applyAlignment="1">
      <alignment horizontal="center"/>
    </xf>
    <xf numFmtId="0" fontId="0" fillId="32" borderId="18" xfId="0" applyFont="1" applyFill="1" applyBorder="1" applyAlignment="1">
      <alignment horizontal="center"/>
    </xf>
    <xf numFmtId="0" fontId="0" fillId="33" borderId="18" xfId="0" applyFont="1" applyFill="1" applyBorder="1" applyAlignment="1">
      <alignment horizontal="center"/>
    </xf>
    <xf numFmtId="0" fontId="0" fillId="34" borderId="4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 vertical="center"/>
    </xf>
    <xf numFmtId="0" fontId="0" fillId="28" borderId="1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 wrapText="1"/>
    </xf>
    <xf numFmtId="0" fontId="0" fillId="9" borderId="8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/>
    </xf>
    <xf numFmtId="0" fontId="3" fillId="9" borderId="11" xfId="0" applyFont="1" applyFill="1" applyBorder="1"/>
    <xf numFmtId="0" fontId="3" fillId="9" borderId="8" xfId="0" applyFont="1" applyFill="1" applyBorder="1"/>
    <xf numFmtId="0" fontId="0" fillId="26" borderId="4" xfId="0" applyFont="1" applyFill="1" applyBorder="1" applyAlignment="1">
      <alignment horizontal="center"/>
    </xf>
    <xf numFmtId="0" fontId="0" fillId="9" borderId="30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16" xfId="0" applyFont="1" applyFill="1" applyBorder="1" applyAlignment="1">
      <alignment vertical="center"/>
    </xf>
    <xf numFmtId="0" fontId="5" fillId="26" borderId="18" xfId="0" applyFont="1" applyFill="1" applyBorder="1"/>
    <xf numFmtId="11" fontId="0" fillId="0" borderId="1" xfId="0" applyNumberFormat="1" applyFont="1" applyBorder="1" applyAlignment="1">
      <alignment horizontal="center" vertical="center"/>
    </xf>
    <xf numFmtId="2" fontId="0" fillId="0" borderId="18" xfId="0" applyNumberFormat="1" applyFont="1" applyBorder="1" applyAlignment="1">
      <alignment vertical="center"/>
    </xf>
    <xf numFmtId="0" fontId="0" fillId="9" borderId="4" xfId="0" applyFont="1" applyFill="1" applyBorder="1" applyAlignment="1">
      <alignment vertical="center"/>
    </xf>
    <xf numFmtId="0" fontId="0" fillId="0" borderId="18" xfId="0" quotePrefix="1" applyFont="1" applyBorder="1" applyAlignment="1">
      <alignment horizontal="center"/>
    </xf>
    <xf numFmtId="0" fontId="0" fillId="35" borderId="4" xfId="0" applyFont="1" applyFill="1" applyBorder="1" applyAlignment="1">
      <alignment horizontal="center"/>
    </xf>
    <xf numFmtId="1" fontId="0" fillId="12" borderId="18" xfId="0" applyNumberFormat="1" applyFont="1" applyFill="1" applyBorder="1" applyAlignment="1">
      <alignment horizontal="center"/>
    </xf>
    <xf numFmtId="1" fontId="0" fillId="35" borderId="18" xfId="0" applyNumberFormat="1" applyFont="1" applyFill="1" applyBorder="1" applyAlignment="1">
      <alignment horizontal="center"/>
    </xf>
    <xf numFmtId="0" fontId="0" fillId="36" borderId="4" xfId="0" applyFont="1" applyFill="1" applyBorder="1" applyAlignment="1">
      <alignment horizontal="center"/>
    </xf>
    <xf numFmtId="1" fontId="0" fillId="36" borderId="18" xfId="0" applyNumberFormat="1" applyFont="1" applyFill="1" applyBorder="1" applyAlignment="1">
      <alignment horizontal="center"/>
    </xf>
    <xf numFmtId="0" fontId="0" fillId="29" borderId="4" xfId="0" applyFont="1" applyFill="1" applyBorder="1" applyAlignment="1">
      <alignment horizontal="center"/>
    </xf>
    <xf numFmtId="0" fontId="0" fillId="37" borderId="4" xfId="0" applyFont="1" applyFill="1" applyBorder="1" applyAlignment="1">
      <alignment horizontal="center"/>
    </xf>
    <xf numFmtId="1" fontId="0" fillId="37" borderId="18" xfId="0" applyNumberFormat="1" applyFont="1" applyFill="1" applyBorder="1" applyAlignment="1">
      <alignment horizontal="center"/>
    </xf>
    <xf numFmtId="164" fontId="0" fillId="38" borderId="4" xfId="0" applyNumberFormat="1" applyFont="1" applyFill="1" applyBorder="1" applyAlignment="1">
      <alignment horizontal="center"/>
    </xf>
    <xf numFmtId="166" fontId="0" fillId="39" borderId="4" xfId="0" applyNumberFormat="1" applyFont="1" applyFill="1" applyBorder="1" applyAlignment="1">
      <alignment horizontal="center"/>
    </xf>
    <xf numFmtId="164" fontId="0" fillId="39" borderId="4" xfId="0" applyNumberFormat="1" applyFont="1" applyFill="1" applyBorder="1" applyAlignment="1">
      <alignment horizontal="center"/>
    </xf>
    <xf numFmtId="0" fontId="0" fillId="28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164" fontId="0" fillId="29" borderId="4" xfId="0" applyNumberFormat="1" applyFont="1" applyFill="1" applyBorder="1" applyAlignment="1">
      <alignment horizontal="center"/>
    </xf>
    <xf numFmtId="165" fontId="0" fillId="29" borderId="4" xfId="0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/>
    </xf>
    <xf numFmtId="0" fontId="3" fillId="9" borderId="2" xfId="0" applyFont="1" applyFill="1" applyBorder="1"/>
    <xf numFmtId="0" fontId="3" fillId="9" borderId="3" xfId="0" applyFont="1" applyFill="1" applyBorder="1"/>
    <xf numFmtId="0" fontId="0" fillId="9" borderId="18" xfId="0" applyFont="1" applyFill="1" applyBorder="1" applyAlignment="1">
      <alignment horizontal="center" vertical="center"/>
    </xf>
    <xf numFmtId="0" fontId="3" fillId="9" borderId="18" xfId="0" applyFont="1" applyFill="1" applyBorder="1"/>
    <xf numFmtId="164" fontId="0" fillId="9" borderId="18" xfId="0" applyNumberFormat="1" applyFont="1" applyFill="1" applyBorder="1" applyAlignment="1">
      <alignment horizontal="center" vertical="center"/>
    </xf>
    <xf numFmtId="164" fontId="0" fillId="13" borderId="18" xfId="0" applyNumberFormat="1" applyFont="1" applyFill="1" applyBorder="1" applyAlignment="1">
      <alignment horizontal="center" vertical="center"/>
    </xf>
    <xf numFmtId="0" fontId="3" fillId="13" borderId="18" xfId="0" applyFont="1" applyFill="1" applyBorder="1"/>
    <xf numFmtId="0" fontId="0" fillId="13" borderId="18" xfId="0" applyFont="1" applyFill="1" applyBorder="1" applyAlignment="1">
      <alignment horizontal="center"/>
    </xf>
    <xf numFmtId="0" fontId="0" fillId="9" borderId="18" xfId="0" applyFont="1" applyFill="1" applyBorder="1" applyAlignment="1">
      <alignment horizontal="center"/>
    </xf>
    <xf numFmtId="0" fontId="0" fillId="9" borderId="18" xfId="0" applyFont="1" applyFill="1" applyBorder="1" applyAlignment="1"/>
    <xf numFmtId="0" fontId="0" fillId="24" borderId="18" xfId="0" applyFont="1" applyFill="1" applyBorder="1" applyAlignment="1">
      <alignment horizontal="center"/>
    </xf>
    <xf numFmtId="0" fontId="10" fillId="9" borderId="18" xfId="0" applyFont="1" applyFill="1" applyBorder="1" applyAlignment="1">
      <alignment horizontal="center"/>
    </xf>
    <xf numFmtId="0" fontId="0" fillId="23" borderId="18" xfId="0" applyFont="1" applyFill="1" applyBorder="1" applyAlignment="1">
      <alignment horizontal="center"/>
    </xf>
    <xf numFmtId="0" fontId="0" fillId="12" borderId="18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/>
    </xf>
    <xf numFmtId="164" fontId="0" fillId="12" borderId="18" xfId="0" applyNumberFormat="1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8" xfId="0" applyFont="1" applyBorder="1" applyAlignment="1"/>
    <xf numFmtId="0" fontId="0" fillId="0" borderId="18" xfId="0" applyFont="1" applyBorder="1" applyAlignment="1">
      <alignment horizontal="center"/>
    </xf>
    <xf numFmtId="0" fontId="5" fillId="9" borderId="19" xfId="0" applyFont="1" applyFill="1" applyBorder="1" applyAlignment="1">
      <alignment horizontal="center"/>
    </xf>
    <xf numFmtId="0" fontId="5" fillId="9" borderId="20" xfId="0" applyFont="1" applyFill="1" applyBorder="1" applyAlignment="1">
      <alignment horizontal="center"/>
    </xf>
    <xf numFmtId="0" fontId="5" fillId="9" borderId="21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0" fillId="27" borderId="18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/>
    </xf>
    <xf numFmtId="0" fontId="0" fillId="9" borderId="19" xfId="0" applyFont="1" applyFill="1" applyBorder="1" applyAlignment="1">
      <alignment horizontal="center"/>
    </xf>
    <xf numFmtId="0" fontId="0" fillId="9" borderId="20" xfId="0" applyFont="1" applyFill="1" applyBorder="1" applyAlignment="1">
      <alignment horizontal="center"/>
    </xf>
    <xf numFmtId="0" fontId="0" fillId="9" borderId="21" xfId="0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2" fillId="9" borderId="21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center"/>
    </xf>
    <xf numFmtId="0" fontId="0" fillId="27" borderId="26" xfId="0" applyFont="1" applyFill="1" applyBorder="1" applyAlignment="1">
      <alignment horizontal="center"/>
    </xf>
    <xf numFmtId="0" fontId="3" fillId="11" borderId="27" xfId="0" applyFont="1" applyFill="1" applyBorder="1"/>
    <xf numFmtId="0" fontId="3" fillId="11" borderId="28" xfId="0" applyFont="1" applyFill="1" applyBorder="1"/>
    <xf numFmtId="0" fontId="0" fillId="27" borderId="22" xfId="0" applyFont="1" applyFill="1" applyBorder="1" applyAlignment="1">
      <alignment horizontal="center"/>
    </xf>
    <xf numFmtId="0" fontId="0" fillId="27" borderId="23" xfId="0" applyFont="1" applyFill="1" applyBorder="1" applyAlignment="1">
      <alignment horizontal="center"/>
    </xf>
    <xf numFmtId="0" fontId="0" fillId="27" borderId="24" xfId="0" applyFont="1" applyFill="1" applyBorder="1" applyAlignment="1">
      <alignment horizontal="center"/>
    </xf>
    <xf numFmtId="0" fontId="3" fillId="11" borderId="23" xfId="0" applyFont="1" applyFill="1" applyBorder="1"/>
    <xf numFmtId="0" fontId="3" fillId="11" borderId="24" xfId="0" applyFont="1" applyFill="1" applyBorder="1"/>
    <xf numFmtId="0" fontId="0" fillId="27" borderId="18" xfId="0" applyFont="1" applyFill="1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165" fontId="0" fillId="11" borderId="18" xfId="0" applyNumberFormat="1" applyFont="1" applyFill="1" applyBorder="1" applyAlignment="1">
      <alignment horizontal="center"/>
    </xf>
    <xf numFmtId="0" fontId="0" fillId="11" borderId="18" xfId="0" applyFont="1" applyFill="1" applyBorder="1" applyAlignment="1">
      <alignment horizontal="center"/>
    </xf>
    <xf numFmtId="1" fontId="0" fillId="27" borderId="18" xfId="0" applyNumberFormat="1" applyFont="1" applyFill="1" applyBorder="1" applyAlignment="1">
      <alignment horizontal="center"/>
    </xf>
    <xf numFmtId="0" fontId="3" fillId="11" borderId="18" xfId="0" applyFont="1" applyFill="1" applyBorder="1"/>
    <xf numFmtId="0" fontId="3" fillId="0" borderId="18" xfId="0" applyFont="1" applyBorder="1" applyAlignment="1">
      <alignment horizontal="center"/>
    </xf>
    <xf numFmtId="0" fontId="0" fillId="9" borderId="18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/>
    </xf>
    <xf numFmtId="0" fontId="0" fillId="29" borderId="18" xfId="0" applyFont="1" applyFill="1" applyBorder="1" applyAlignment="1">
      <alignment horizontal="center" vertical="center"/>
    </xf>
    <xf numFmtId="0" fontId="3" fillId="29" borderId="18" xfId="0" applyFont="1" applyFill="1" applyBorder="1" applyAlignment="1">
      <alignment horizontal="center"/>
    </xf>
    <xf numFmtId="0" fontId="0" fillId="29" borderId="1" xfId="0" applyFont="1" applyFill="1" applyBorder="1" applyAlignment="1">
      <alignment horizontal="center"/>
    </xf>
    <xf numFmtId="0" fontId="3" fillId="29" borderId="2" xfId="0" applyFont="1" applyFill="1" applyBorder="1"/>
    <xf numFmtId="0" fontId="3" fillId="29" borderId="3" xfId="0" applyFont="1" applyFill="1" applyBorder="1"/>
    <xf numFmtId="0" fontId="0" fillId="9" borderId="7" xfId="0" applyFont="1" applyFill="1" applyBorder="1" applyAlignment="1">
      <alignment horizontal="center" vertical="center"/>
    </xf>
    <xf numFmtId="0" fontId="3" fillId="9" borderId="8" xfId="0" applyFont="1" applyFill="1" applyBorder="1"/>
    <xf numFmtId="0" fontId="0" fillId="32" borderId="18" xfId="0" applyFont="1" applyFill="1" applyBorder="1" applyAlignment="1">
      <alignment horizontal="center"/>
    </xf>
    <xf numFmtId="0" fontId="3" fillId="9" borderId="11" xfId="0" applyFont="1" applyFill="1" applyBorder="1"/>
    <xf numFmtId="0" fontId="0" fillId="2" borderId="7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8" xfId="0" applyFont="1" applyBorder="1"/>
    <xf numFmtId="0" fontId="0" fillId="32" borderId="18" xfId="0" applyFont="1" applyFill="1" applyBorder="1" applyAlignment="1">
      <alignment horizontal="center" vertical="center"/>
    </xf>
    <xf numFmtId="0" fontId="0" fillId="9" borderId="11" xfId="0" applyFont="1" applyFill="1" applyBorder="1" applyAlignment="1">
      <alignment horizontal="center" vertical="center"/>
    </xf>
    <xf numFmtId="0" fontId="0" fillId="31" borderId="7" xfId="0" applyFont="1" applyFill="1" applyBorder="1" applyAlignment="1">
      <alignment horizontal="center" vertical="center"/>
    </xf>
    <xf numFmtId="0" fontId="3" fillId="31" borderId="8" xfId="0" applyFont="1" applyFill="1" applyBorder="1"/>
    <xf numFmtId="0" fontId="0" fillId="9" borderId="7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 wrapText="1"/>
    </xf>
    <xf numFmtId="0" fontId="0" fillId="9" borderId="13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4" xfId="0" applyFont="1" applyFill="1" applyBorder="1" applyAlignment="1">
      <alignment horizontal="center" vertical="center"/>
    </xf>
    <xf numFmtId="0" fontId="0" fillId="9" borderId="15" xfId="0" applyFont="1" applyFill="1" applyBorder="1" applyAlignment="1">
      <alignment horizontal="center" vertical="center"/>
    </xf>
    <xf numFmtId="0" fontId="0" fillId="9" borderId="17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9" borderId="13" xfId="0" applyFont="1" applyFill="1" applyBorder="1" applyAlignment="1">
      <alignment horizontal="center" vertical="center" wrapText="1"/>
    </xf>
    <xf numFmtId="0" fontId="0" fillId="9" borderId="14" xfId="0" applyFont="1" applyFill="1" applyBorder="1" applyAlignment="1">
      <alignment horizontal="center" vertical="center" wrapText="1"/>
    </xf>
    <xf numFmtId="0" fontId="0" fillId="9" borderId="15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9" borderId="19" xfId="0" applyFont="1" applyFill="1" applyBorder="1" applyAlignment="1">
      <alignment horizontal="center" vertical="center"/>
    </xf>
    <xf numFmtId="0" fontId="0" fillId="9" borderId="20" xfId="0" applyFont="1" applyFill="1" applyBorder="1" applyAlignment="1">
      <alignment horizontal="center" vertical="center"/>
    </xf>
    <xf numFmtId="0" fontId="0" fillId="9" borderId="21" xfId="0" applyFont="1" applyFill="1" applyBorder="1" applyAlignment="1">
      <alignment horizontal="center" vertical="center"/>
    </xf>
    <xf numFmtId="0" fontId="0" fillId="9" borderId="32" xfId="0" applyFont="1" applyFill="1" applyBorder="1" applyAlignment="1">
      <alignment horizontal="center" vertical="center"/>
    </xf>
    <xf numFmtId="0" fontId="0" fillId="9" borderId="33" xfId="0" applyFont="1" applyFill="1" applyBorder="1" applyAlignment="1">
      <alignment horizontal="center" vertical="center"/>
    </xf>
    <xf numFmtId="0" fontId="0" fillId="9" borderId="34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 vertical="center"/>
    </xf>
    <xf numFmtId="2" fontId="0" fillId="35" borderId="7" xfId="0" applyNumberFormat="1" applyFont="1" applyFill="1" applyBorder="1" applyAlignment="1">
      <alignment horizontal="center" vertical="center"/>
    </xf>
    <xf numFmtId="0" fontId="3" fillId="35" borderId="11" xfId="0" applyFont="1" applyFill="1" applyBorder="1"/>
    <xf numFmtId="0" fontId="3" fillId="35" borderId="8" xfId="0" applyFont="1" applyFill="1" applyBorder="1"/>
    <xf numFmtId="2" fontId="0" fillId="11" borderId="7" xfId="0" applyNumberFormat="1" applyFont="1" applyFill="1" applyBorder="1" applyAlignment="1">
      <alignment horizontal="center" vertical="center"/>
    </xf>
    <xf numFmtId="0" fontId="3" fillId="11" borderId="11" xfId="0" applyFont="1" applyFill="1" applyBorder="1"/>
    <xf numFmtId="0" fontId="3" fillId="11" borderId="8" xfId="0" applyFont="1" applyFill="1" applyBorder="1"/>
    <xf numFmtId="2" fontId="0" fillId="12" borderId="7" xfId="0" applyNumberFormat="1" applyFont="1" applyFill="1" applyBorder="1" applyAlignment="1">
      <alignment horizontal="center" vertical="center"/>
    </xf>
    <xf numFmtId="0" fontId="3" fillId="12" borderId="11" xfId="0" applyFont="1" applyFill="1" applyBorder="1"/>
    <xf numFmtId="0" fontId="3" fillId="12" borderId="8" xfId="0" applyFont="1" applyFill="1" applyBorder="1"/>
    <xf numFmtId="2" fontId="0" fillId="36" borderId="7" xfId="0" applyNumberFormat="1" applyFont="1" applyFill="1" applyBorder="1" applyAlignment="1">
      <alignment horizontal="center" vertical="center"/>
    </xf>
    <xf numFmtId="0" fontId="3" fillId="36" borderId="11" xfId="0" applyFont="1" applyFill="1" applyBorder="1"/>
    <xf numFmtId="0" fontId="3" fillId="36" borderId="8" xfId="0" applyFont="1" applyFill="1" applyBorder="1"/>
    <xf numFmtId="2" fontId="0" fillId="37" borderId="7" xfId="0" applyNumberFormat="1" applyFont="1" applyFill="1" applyBorder="1" applyAlignment="1">
      <alignment horizontal="center" vertical="center"/>
    </xf>
    <xf numFmtId="0" fontId="3" fillId="37" borderId="11" xfId="0" applyFont="1" applyFill="1" applyBorder="1"/>
    <xf numFmtId="0" fontId="3" fillId="37" borderId="16" xfId="0" applyFont="1" applyFill="1" applyBorder="1"/>
    <xf numFmtId="0" fontId="3" fillId="9" borderId="11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7" xfId="0" applyFont="1" applyBorder="1" applyAlignment="1">
      <alignment horizontal="center" vertical="center"/>
    </xf>
    <xf numFmtId="0" fontId="0" fillId="37" borderId="1" xfId="0" applyFont="1" applyFill="1" applyBorder="1" applyAlignment="1">
      <alignment horizontal="center"/>
    </xf>
    <xf numFmtId="0" fontId="3" fillId="37" borderId="2" xfId="0" applyFont="1" applyFill="1" applyBorder="1"/>
    <xf numFmtId="0" fontId="3" fillId="37" borderId="3" xfId="0" applyFont="1" applyFill="1" applyBorder="1"/>
    <xf numFmtId="0" fontId="1" fillId="9" borderId="18" xfId="0" applyFont="1" applyFill="1" applyBorder="1" applyAlignment="1">
      <alignment horizontal="center" vertical="center"/>
    </xf>
  </cellXfs>
  <cellStyles count="1">
    <cellStyle name="Normale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MS (sagging) [kN.m]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'Longitudinal design strenght'!$C$5:$C$25</c:f>
              <c:numCache>
                <c:formatCode>General</c:formatCode>
                <c:ptCount val="21"/>
                <c:pt idx="0">
                  <c:v>0</c:v>
                </c:pt>
                <c:pt idx="1">
                  <c:v>11.55</c:v>
                </c:pt>
                <c:pt idx="2">
                  <c:v>23.1</c:v>
                </c:pt>
                <c:pt idx="3">
                  <c:v>34.650000000000006</c:v>
                </c:pt>
                <c:pt idx="4">
                  <c:v>46.2</c:v>
                </c:pt>
                <c:pt idx="5">
                  <c:v>57.75</c:v>
                </c:pt>
                <c:pt idx="6">
                  <c:v>69.3</c:v>
                </c:pt>
                <c:pt idx="7">
                  <c:v>80.849999999999994</c:v>
                </c:pt>
                <c:pt idx="8">
                  <c:v>92.399999999999991</c:v>
                </c:pt>
                <c:pt idx="9">
                  <c:v>103.94999999999999</c:v>
                </c:pt>
                <c:pt idx="10">
                  <c:v>115.49999999999999</c:v>
                </c:pt>
                <c:pt idx="11">
                  <c:v>127.04999999999998</c:v>
                </c:pt>
                <c:pt idx="12">
                  <c:v>138.6</c:v>
                </c:pt>
                <c:pt idx="13">
                  <c:v>150.15</c:v>
                </c:pt>
                <c:pt idx="14">
                  <c:v>161.70000000000002</c:v>
                </c:pt>
                <c:pt idx="15">
                  <c:v>173.25000000000003</c:v>
                </c:pt>
                <c:pt idx="16">
                  <c:v>184.80000000000004</c:v>
                </c:pt>
                <c:pt idx="17">
                  <c:v>196.35000000000005</c:v>
                </c:pt>
                <c:pt idx="18">
                  <c:v>207.90000000000006</c:v>
                </c:pt>
                <c:pt idx="19">
                  <c:v>219.45000000000007</c:v>
                </c:pt>
                <c:pt idx="20">
                  <c:v>231.00000000000009</c:v>
                </c:pt>
              </c:numCache>
            </c:numRef>
          </c:xVal>
          <c:yVal>
            <c:numRef>
              <c:f>'Longitudinal design strenght'!$E$5:$E$25</c:f>
              <c:numCache>
                <c:formatCode>#,##0</c:formatCode>
                <c:ptCount val="21"/>
                <c:pt idx="0">
                  <c:v>0</c:v>
                </c:pt>
                <c:pt idx="1">
                  <c:v>-135565.58941729774</c:v>
                </c:pt>
                <c:pt idx="2">
                  <c:v>-271131.17883459548</c:v>
                </c:pt>
                <c:pt idx="3">
                  <c:v>-655233.68218360574</c:v>
                </c:pt>
                <c:pt idx="4">
                  <c:v>-1039336.1855326163</c:v>
                </c:pt>
                <c:pt idx="5">
                  <c:v>-1423438.6888816264</c:v>
                </c:pt>
                <c:pt idx="6">
                  <c:v>-1807541.192230637</c:v>
                </c:pt>
                <c:pt idx="7">
                  <c:v>-1807541.1922306365</c:v>
                </c:pt>
                <c:pt idx="8">
                  <c:v>-1807541.1922306365</c:v>
                </c:pt>
                <c:pt idx="9">
                  <c:v>-1807541.1922306365</c:v>
                </c:pt>
                <c:pt idx="10">
                  <c:v>-1807541.1922306365</c:v>
                </c:pt>
                <c:pt idx="11">
                  <c:v>-1807541.1922306365</c:v>
                </c:pt>
                <c:pt idx="12">
                  <c:v>-1807541.1922306365</c:v>
                </c:pt>
                <c:pt idx="13">
                  <c:v>-1807541.1922306365</c:v>
                </c:pt>
                <c:pt idx="14">
                  <c:v>-1807541.1922306365</c:v>
                </c:pt>
                <c:pt idx="15">
                  <c:v>-1423438.6888816264</c:v>
                </c:pt>
                <c:pt idx="16">
                  <c:v>-1039336.1855326163</c:v>
                </c:pt>
                <c:pt idx="17">
                  <c:v>-655233.68218360585</c:v>
                </c:pt>
                <c:pt idx="18">
                  <c:v>-271131.17883459548</c:v>
                </c:pt>
                <c:pt idx="19">
                  <c:v>-135565.58941729774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1E-45DC-8C7E-FE61141511CE}"/>
            </c:ext>
          </c:extLst>
        </c:ser>
        <c:ser>
          <c:idx val="1"/>
          <c:order val="1"/>
          <c:tx>
            <c:v>MS (hogging) [kN.m]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'Longitudinal design strenght'!$C$5:$C$25</c:f>
              <c:numCache>
                <c:formatCode>General</c:formatCode>
                <c:ptCount val="21"/>
                <c:pt idx="0">
                  <c:v>0</c:v>
                </c:pt>
                <c:pt idx="1">
                  <c:v>11.55</c:v>
                </c:pt>
                <c:pt idx="2">
                  <c:v>23.1</c:v>
                </c:pt>
                <c:pt idx="3">
                  <c:v>34.650000000000006</c:v>
                </c:pt>
                <c:pt idx="4">
                  <c:v>46.2</c:v>
                </c:pt>
                <c:pt idx="5">
                  <c:v>57.75</c:v>
                </c:pt>
                <c:pt idx="6">
                  <c:v>69.3</c:v>
                </c:pt>
                <c:pt idx="7">
                  <c:v>80.849999999999994</c:v>
                </c:pt>
                <c:pt idx="8">
                  <c:v>92.399999999999991</c:v>
                </c:pt>
                <c:pt idx="9">
                  <c:v>103.94999999999999</c:v>
                </c:pt>
                <c:pt idx="10">
                  <c:v>115.49999999999999</c:v>
                </c:pt>
                <c:pt idx="11">
                  <c:v>127.04999999999998</c:v>
                </c:pt>
                <c:pt idx="12">
                  <c:v>138.6</c:v>
                </c:pt>
                <c:pt idx="13">
                  <c:v>150.15</c:v>
                </c:pt>
                <c:pt idx="14">
                  <c:v>161.70000000000002</c:v>
                </c:pt>
                <c:pt idx="15">
                  <c:v>173.25000000000003</c:v>
                </c:pt>
                <c:pt idx="16">
                  <c:v>184.80000000000004</c:v>
                </c:pt>
                <c:pt idx="17">
                  <c:v>196.35000000000005</c:v>
                </c:pt>
                <c:pt idx="18">
                  <c:v>207.90000000000006</c:v>
                </c:pt>
                <c:pt idx="19">
                  <c:v>219.45000000000007</c:v>
                </c:pt>
                <c:pt idx="20">
                  <c:v>231.00000000000009</c:v>
                </c:pt>
              </c:numCache>
            </c:numRef>
          </c:xVal>
          <c:yVal>
            <c:numRef>
              <c:f>'Longitudinal design strenght'!$F$5:$F$25</c:f>
              <c:numCache>
                <c:formatCode>#,##0</c:formatCode>
                <c:ptCount val="21"/>
                <c:pt idx="0">
                  <c:v>0</c:v>
                </c:pt>
                <c:pt idx="1">
                  <c:v>156139.99280079614</c:v>
                </c:pt>
                <c:pt idx="2">
                  <c:v>312279.98560159229</c:v>
                </c:pt>
                <c:pt idx="3">
                  <c:v>754676.6318705146</c:v>
                </c:pt>
                <c:pt idx="4">
                  <c:v>1197073.2781394373</c:v>
                </c:pt>
                <c:pt idx="5">
                  <c:v>1639469.9244083597</c:v>
                </c:pt>
                <c:pt idx="6">
                  <c:v>2081866.5706772823</c:v>
                </c:pt>
                <c:pt idx="7">
                  <c:v>2081866.5706772818</c:v>
                </c:pt>
                <c:pt idx="8">
                  <c:v>2081866.5706772818</c:v>
                </c:pt>
                <c:pt idx="9">
                  <c:v>2081866.5706772818</c:v>
                </c:pt>
                <c:pt idx="10">
                  <c:v>2081866.5706772818</c:v>
                </c:pt>
                <c:pt idx="11">
                  <c:v>2081866.5706772818</c:v>
                </c:pt>
                <c:pt idx="12">
                  <c:v>2081866.5706772818</c:v>
                </c:pt>
                <c:pt idx="13">
                  <c:v>2081866.5706772818</c:v>
                </c:pt>
                <c:pt idx="14">
                  <c:v>2081866.5706772818</c:v>
                </c:pt>
                <c:pt idx="15">
                  <c:v>1639469.9244083597</c:v>
                </c:pt>
                <c:pt idx="16">
                  <c:v>1197073.2781394373</c:v>
                </c:pt>
                <c:pt idx="17">
                  <c:v>754676.63187051483</c:v>
                </c:pt>
                <c:pt idx="18">
                  <c:v>312279.98560159229</c:v>
                </c:pt>
                <c:pt idx="19">
                  <c:v>156139.99280079614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1E-45DC-8C7E-FE6114151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68186"/>
        <c:axId val="147189531"/>
      </c:scatterChart>
      <c:valAx>
        <c:axId val="897681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47189531"/>
        <c:crosses val="autoZero"/>
        <c:crossBetween val="midCat"/>
      </c:valAx>
      <c:valAx>
        <c:axId val="147189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8976818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QS (sagging) [kN]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'Longitudinal design strenght'!$C$5:$C$25</c:f>
              <c:numCache>
                <c:formatCode>General</c:formatCode>
                <c:ptCount val="21"/>
                <c:pt idx="0">
                  <c:v>0</c:v>
                </c:pt>
                <c:pt idx="1">
                  <c:v>11.55</c:v>
                </c:pt>
                <c:pt idx="2">
                  <c:v>23.1</c:v>
                </c:pt>
                <c:pt idx="3">
                  <c:v>34.650000000000006</c:v>
                </c:pt>
                <c:pt idx="4">
                  <c:v>46.2</c:v>
                </c:pt>
                <c:pt idx="5">
                  <c:v>57.75</c:v>
                </c:pt>
                <c:pt idx="6">
                  <c:v>69.3</c:v>
                </c:pt>
                <c:pt idx="7">
                  <c:v>80.849999999999994</c:v>
                </c:pt>
                <c:pt idx="8">
                  <c:v>92.399999999999991</c:v>
                </c:pt>
                <c:pt idx="9">
                  <c:v>103.94999999999999</c:v>
                </c:pt>
                <c:pt idx="10">
                  <c:v>115.49999999999999</c:v>
                </c:pt>
                <c:pt idx="11">
                  <c:v>127.04999999999998</c:v>
                </c:pt>
                <c:pt idx="12">
                  <c:v>138.6</c:v>
                </c:pt>
                <c:pt idx="13">
                  <c:v>150.15</c:v>
                </c:pt>
                <c:pt idx="14">
                  <c:v>161.70000000000002</c:v>
                </c:pt>
                <c:pt idx="15">
                  <c:v>173.25000000000003</c:v>
                </c:pt>
                <c:pt idx="16">
                  <c:v>184.80000000000004</c:v>
                </c:pt>
                <c:pt idx="17">
                  <c:v>196.35000000000005</c:v>
                </c:pt>
                <c:pt idx="18">
                  <c:v>207.90000000000006</c:v>
                </c:pt>
                <c:pt idx="19">
                  <c:v>219.45000000000007</c:v>
                </c:pt>
                <c:pt idx="20">
                  <c:v>231.00000000000009</c:v>
                </c:pt>
              </c:numCache>
            </c:numRef>
          </c:xVal>
          <c:yVal>
            <c:numRef>
              <c:f>'Longitudinal design strenght'!$H$5:$H$25</c:f>
              <c:numCache>
                <c:formatCode>#,##0</c:formatCode>
                <c:ptCount val="21"/>
                <c:pt idx="0">
                  <c:v>0</c:v>
                </c:pt>
                <c:pt idx="1">
                  <c:v>-13041.422743366786</c:v>
                </c:pt>
                <c:pt idx="2">
                  <c:v>-26082.845486733571</c:v>
                </c:pt>
                <c:pt idx="3">
                  <c:v>-39124.268230100359</c:v>
                </c:pt>
                <c:pt idx="4">
                  <c:v>-39124.268230100359</c:v>
                </c:pt>
                <c:pt idx="5">
                  <c:v>-39124.268230100359</c:v>
                </c:pt>
                <c:pt idx="6">
                  <c:v>-39124.268230100359</c:v>
                </c:pt>
                <c:pt idx="7">
                  <c:v>-35211.841407090324</c:v>
                </c:pt>
                <c:pt idx="8">
                  <c:v>-31299.414584080288</c:v>
                </c:pt>
                <c:pt idx="9">
                  <c:v>-31299.414584080288</c:v>
                </c:pt>
                <c:pt idx="10">
                  <c:v>-31299.414584080288</c:v>
                </c:pt>
                <c:pt idx="11">
                  <c:v>-31299.414584080288</c:v>
                </c:pt>
                <c:pt idx="12">
                  <c:v>-31299.414584080288</c:v>
                </c:pt>
                <c:pt idx="13">
                  <c:v>-35211.841407090324</c:v>
                </c:pt>
                <c:pt idx="14">
                  <c:v>-39124.268230100359</c:v>
                </c:pt>
                <c:pt idx="15">
                  <c:v>-39124.268230100359</c:v>
                </c:pt>
                <c:pt idx="16">
                  <c:v>-39124.268230100359</c:v>
                </c:pt>
                <c:pt idx="17">
                  <c:v>-39124.268230100359</c:v>
                </c:pt>
                <c:pt idx="18">
                  <c:v>-26082.845486733571</c:v>
                </c:pt>
                <c:pt idx="19">
                  <c:v>-13041.422743366786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6C-40A2-81BC-66EE20C06626}"/>
            </c:ext>
          </c:extLst>
        </c:ser>
        <c:ser>
          <c:idx val="1"/>
          <c:order val="1"/>
          <c:tx>
            <c:v>QS (hogging) [kN]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'Longitudinal design strenght'!$C$5:$C$25</c:f>
              <c:numCache>
                <c:formatCode>General</c:formatCode>
                <c:ptCount val="21"/>
                <c:pt idx="0">
                  <c:v>0</c:v>
                </c:pt>
                <c:pt idx="1">
                  <c:v>11.55</c:v>
                </c:pt>
                <c:pt idx="2">
                  <c:v>23.1</c:v>
                </c:pt>
                <c:pt idx="3">
                  <c:v>34.650000000000006</c:v>
                </c:pt>
                <c:pt idx="4">
                  <c:v>46.2</c:v>
                </c:pt>
                <c:pt idx="5">
                  <c:v>57.75</c:v>
                </c:pt>
                <c:pt idx="6">
                  <c:v>69.3</c:v>
                </c:pt>
                <c:pt idx="7">
                  <c:v>80.849999999999994</c:v>
                </c:pt>
                <c:pt idx="8">
                  <c:v>92.399999999999991</c:v>
                </c:pt>
                <c:pt idx="9">
                  <c:v>103.94999999999999</c:v>
                </c:pt>
                <c:pt idx="10">
                  <c:v>115.49999999999999</c:v>
                </c:pt>
                <c:pt idx="11">
                  <c:v>127.04999999999998</c:v>
                </c:pt>
                <c:pt idx="12">
                  <c:v>138.6</c:v>
                </c:pt>
                <c:pt idx="13">
                  <c:v>150.15</c:v>
                </c:pt>
                <c:pt idx="14">
                  <c:v>161.70000000000002</c:v>
                </c:pt>
                <c:pt idx="15">
                  <c:v>173.25000000000003</c:v>
                </c:pt>
                <c:pt idx="16">
                  <c:v>184.80000000000004</c:v>
                </c:pt>
                <c:pt idx="17">
                  <c:v>196.35000000000005</c:v>
                </c:pt>
                <c:pt idx="18">
                  <c:v>207.90000000000006</c:v>
                </c:pt>
                <c:pt idx="19">
                  <c:v>219.45000000000007</c:v>
                </c:pt>
                <c:pt idx="20">
                  <c:v>231.00000000000009</c:v>
                </c:pt>
              </c:numCache>
            </c:numRef>
          </c:xVal>
          <c:yVal>
            <c:numRef>
              <c:f>'Longitudinal design strenght'!$I$5:$I$25</c:f>
              <c:numCache>
                <c:formatCode>#,##0</c:formatCode>
                <c:ptCount val="21"/>
                <c:pt idx="0">
                  <c:v>0</c:v>
                </c:pt>
                <c:pt idx="1">
                  <c:v>15020.682328118915</c:v>
                </c:pt>
                <c:pt idx="2">
                  <c:v>30041.364656237831</c:v>
                </c:pt>
                <c:pt idx="3">
                  <c:v>45062.046984356748</c:v>
                </c:pt>
                <c:pt idx="4">
                  <c:v>45062.046984356748</c:v>
                </c:pt>
                <c:pt idx="5">
                  <c:v>45062.046984356748</c:v>
                </c:pt>
                <c:pt idx="6">
                  <c:v>45062.046984356748</c:v>
                </c:pt>
                <c:pt idx="7">
                  <c:v>40555.842285921077</c:v>
                </c:pt>
                <c:pt idx="8">
                  <c:v>36049.637587485398</c:v>
                </c:pt>
                <c:pt idx="9">
                  <c:v>36049.637587485398</c:v>
                </c:pt>
                <c:pt idx="10">
                  <c:v>36049.637587485398</c:v>
                </c:pt>
                <c:pt idx="11">
                  <c:v>36049.637587485398</c:v>
                </c:pt>
                <c:pt idx="12">
                  <c:v>36049.637587485398</c:v>
                </c:pt>
                <c:pt idx="13">
                  <c:v>40555.842285921077</c:v>
                </c:pt>
                <c:pt idx="14">
                  <c:v>45062.046984356748</c:v>
                </c:pt>
                <c:pt idx="15">
                  <c:v>45062.046984356748</c:v>
                </c:pt>
                <c:pt idx="16">
                  <c:v>45062.046984356748</c:v>
                </c:pt>
                <c:pt idx="17">
                  <c:v>45062.046984356748</c:v>
                </c:pt>
                <c:pt idx="18">
                  <c:v>30041.364656237831</c:v>
                </c:pt>
                <c:pt idx="19">
                  <c:v>15020.682328118915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6C-40A2-81BC-66EE20C06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0525"/>
        <c:axId val="267450999"/>
      </c:scatterChart>
      <c:valAx>
        <c:axId val="330105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267450999"/>
        <c:crosses val="autoZero"/>
        <c:crossBetween val="midCat"/>
      </c:valAx>
      <c:valAx>
        <c:axId val="267450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3301052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>
        <c:manualLayout>
          <c:xMode val="edge"/>
          <c:yMode val="edge"/>
          <c:x val="0.15017825896762904"/>
          <c:y val="3.7037037037037035E-2"/>
          <c:w val="0.80026618547681538"/>
          <c:h val="0.89814814814814814"/>
        </c:manualLayout>
      </c:layout>
      <c:scatterChart>
        <c:scatterStyle val="lineMarker"/>
        <c:varyColors val="1"/>
        <c:ser>
          <c:idx val="0"/>
          <c:order val="0"/>
          <c:tx>
            <c:v>MS (sagging) [kN.m]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'Longitudinal design strenght'!$N$5:$N$25</c:f>
              <c:numCache>
                <c:formatCode>General</c:formatCode>
                <c:ptCount val="21"/>
                <c:pt idx="0">
                  <c:v>0</c:v>
                </c:pt>
                <c:pt idx="1">
                  <c:v>11.55</c:v>
                </c:pt>
                <c:pt idx="2">
                  <c:v>23.1</c:v>
                </c:pt>
                <c:pt idx="3">
                  <c:v>34.650000000000006</c:v>
                </c:pt>
                <c:pt idx="4">
                  <c:v>46.2</c:v>
                </c:pt>
                <c:pt idx="5">
                  <c:v>57.75</c:v>
                </c:pt>
                <c:pt idx="6">
                  <c:v>69.3</c:v>
                </c:pt>
                <c:pt idx="7">
                  <c:v>80.849999999999994</c:v>
                </c:pt>
                <c:pt idx="8">
                  <c:v>92.399999999999991</c:v>
                </c:pt>
                <c:pt idx="9">
                  <c:v>103.94999999999999</c:v>
                </c:pt>
                <c:pt idx="10">
                  <c:v>115.49999999999999</c:v>
                </c:pt>
                <c:pt idx="11">
                  <c:v>127.04999999999998</c:v>
                </c:pt>
                <c:pt idx="12">
                  <c:v>138.6</c:v>
                </c:pt>
                <c:pt idx="13">
                  <c:v>150.15</c:v>
                </c:pt>
                <c:pt idx="14">
                  <c:v>161.70000000000002</c:v>
                </c:pt>
                <c:pt idx="15">
                  <c:v>173.25000000000003</c:v>
                </c:pt>
                <c:pt idx="16">
                  <c:v>184.80000000000004</c:v>
                </c:pt>
                <c:pt idx="17">
                  <c:v>196.35000000000005</c:v>
                </c:pt>
                <c:pt idx="18">
                  <c:v>207.90000000000006</c:v>
                </c:pt>
                <c:pt idx="19">
                  <c:v>219.45000000000007</c:v>
                </c:pt>
                <c:pt idx="20">
                  <c:v>231.00000000000009</c:v>
                </c:pt>
              </c:numCache>
            </c:numRef>
          </c:xVal>
          <c:yVal>
            <c:numRef>
              <c:f>'Longitudinal design strenght'!$P$5:$P$25</c:f>
              <c:numCache>
                <c:formatCode>#,##0</c:formatCode>
                <c:ptCount val="21"/>
                <c:pt idx="0">
                  <c:v>0</c:v>
                </c:pt>
                <c:pt idx="1">
                  <c:v>-382364.48297186539</c:v>
                </c:pt>
                <c:pt idx="2">
                  <c:v>-764728.96594373079</c:v>
                </c:pt>
                <c:pt idx="3">
                  <c:v>-1147093.4489155964</c:v>
                </c:pt>
                <c:pt idx="4">
                  <c:v>-1529457.9318874616</c:v>
                </c:pt>
                <c:pt idx="5">
                  <c:v>-1911822.414859327</c:v>
                </c:pt>
                <c:pt idx="6">
                  <c:v>-2294186.8978311922</c:v>
                </c:pt>
                <c:pt idx="7">
                  <c:v>-2676551.3808030579</c:v>
                </c:pt>
                <c:pt idx="8">
                  <c:v>-3058915.8637749231</c:v>
                </c:pt>
                <c:pt idx="9">
                  <c:v>-3058915.8637749231</c:v>
                </c:pt>
                <c:pt idx="10">
                  <c:v>-3058915.8637749231</c:v>
                </c:pt>
                <c:pt idx="11">
                  <c:v>-3058915.8637749231</c:v>
                </c:pt>
                <c:pt idx="12">
                  <c:v>-3058915.8637749231</c:v>
                </c:pt>
                <c:pt idx="13">
                  <c:v>-3058915.8637749231</c:v>
                </c:pt>
                <c:pt idx="14">
                  <c:v>-2621927.8832356473</c:v>
                </c:pt>
                <c:pt idx="15">
                  <c:v>-2184939.9026963725</c:v>
                </c:pt>
                <c:pt idx="16">
                  <c:v>-1747951.9221570981</c:v>
                </c:pt>
                <c:pt idx="17">
                  <c:v>-1310963.9416178223</c:v>
                </c:pt>
                <c:pt idx="18">
                  <c:v>-873975.96107854776</c:v>
                </c:pt>
                <c:pt idx="19">
                  <c:v>-436987.98053927184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A-4ED2-BE98-94D93F70B0A5}"/>
            </c:ext>
          </c:extLst>
        </c:ser>
        <c:ser>
          <c:idx val="1"/>
          <c:order val="1"/>
          <c:tx>
            <c:v>MS (hogging) [kN.m]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'Longitudinal design strenght'!$N$5:$N$25</c:f>
              <c:numCache>
                <c:formatCode>General</c:formatCode>
                <c:ptCount val="21"/>
                <c:pt idx="0">
                  <c:v>0</c:v>
                </c:pt>
                <c:pt idx="1">
                  <c:v>11.55</c:v>
                </c:pt>
                <c:pt idx="2">
                  <c:v>23.1</c:v>
                </c:pt>
                <c:pt idx="3">
                  <c:v>34.650000000000006</c:v>
                </c:pt>
                <c:pt idx="4">
                  <c:v>46.2</c:v>
                </c:pt>
                <c:pt idx="5">
                  <c:v>57.75</c:v>
                </c:pt>
                <c:pt idx="6">
                  <c:v>69.3</c:v>
                </c:pt>
                <c:pt idx="7">
                  <c:v>80.849999999999994</c:v>
                </c:pt>
                <c:pt idx="8">
                  <c:v>92.399999999999991</c:v>
                </c:pt>
                <c:pt idx="9">
                  <c:v>103.94999999999999</c:v>
                </c:pt>
                <c:pt idx="10">
                  <c:v>115.49999999999999</c:v>
                </c:pt>
                <c:pt idx="11">
                  <c:v>127.04999999999998</c:v>
                </c:pt>
                <c:pt idx="12">
                  <c:v>138.6</c:v>
                </c:pt>
                <c:pt idx="13">
                  <c:v>150.15</c:v>
                </c:pt>
                <c:pt idx="14">
                  <c:v>161.70000000000002</c:v>
                </c:pt>
                <c:pt idx="15">
                  <c:v>173.25000000000003</c:v>
                </c:pt>
                <c:pt idx="16">
                  <c:v>184.80000000000004</c:v>
                </c:pt>
                <c:pt idx="17">
                  <c:v>196.35000000000005</c:v>
                </c:pt>
                <c:pt idx="18">
                  <c:v>207.90000000000006</c:v>
                </c:pt>
                <c:pt idx="19">
                  <c:v>219.45000000000007</c:v>
                </c:pt>
                <c:pt idx="20">
                  <c:v>231.00000000000009</c:v>
                </c:pt>
              </c:numCache>
            </c:numRef>
          </c:xVal>
          <c:yVal>
            <c:numRef>
              <c:f>'Longitudinal design strenght'!$Q$5:$Q$25</c:f>
              <c:numCache>
                <c:formatCode>#,##0</c:formatCode>
                <c:ptCount val="21"/>
                <c:pt idx="0">
                  <c:v>0</c:v>
                </c:pt>
                <c:pt idx="1">
                  <c:v>348073.81066603475</c:v>
                </c:pt>
                <c:pt idx="2">
                  <c:v>696147.62133206951</c:v>
                </c:pt>
                <c:pt idx="3">
                  <c:v>1044221.4319981044</c:v>
                </c:pt>
                <c:pt idx="4">
                  <c:v>1392295.242664139</c:v>
                </c:pt>
                <c:pt idx="5">
                  <c:v>1740369.0533301737</c:v>
                </c:pt>
                <c:pt idx="6">
                  <c:v>2088442.8639962086</c:v>
                </c:pt>
                <c:pt idx="7">
                  <c:v>2436516.6746622431</c:v>
                </c:pt>
                <c:pt idx="8">
                  <c:v>2784590.485328278</c:v>
                </c:pt>
                <c:pt idx="9">
                  <c:v>2784590.485328278</c:v>
                </c:pt>
                <c:pt idx="10">
                  <c:v>2784590.485328278</c:v>
                </c:pt>
                <c:pt idx="11">
                  <c:v>2784590.485328278</c:v>
                </c:pt>
                <c:pt idx="12">
                  <c:v>2784590.485328278</c:v>
                </c:pt>
                <c:pt idx="13">
                  <c:v>2784590.485328278</c:v>
                </c:pt>
                <c:pt idx="14">
                  <c:v>2386791.8445670945</c:v>
                </c:pt>
                <c:pt idx="15">
                  <c:v>1988993.2038059121</c:v>
                </c:pt>
                <c:pt idx="16">
                  <c:v>1591194.5630447296</c:v>
                </c:pt>
                <c:pt idx="17">
                  <c:v>1193395.9222835461</c:v>
                </c:pt>
                <c:pt idx="18">
                  <c:v>795597.28152236354</c:v>
                </c:pt>
                <c:pt idx="19">
                  <c:v>397798.64076117991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BA-4ED2-BE98-94D93F70B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589676"/>
        <c:axId val="1368372617"/>
      </c:scatterChart>
      <c:valAx>
        <c:axId val="9595896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368372617"/>
        <c:crosses val="autoZero"/>
        <c:crossBetween val="midCat"/>
      </c:valAx>
      <c:valAx>
        <c:axId val="1368372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95958967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QS (sagging) [kN]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'Longitudinal design strenght'!$N$5:$N$25</c:f>
              <c:numCache>
                <c:formatCode>General</c:formatCode>
                <c:ptCount val="21"/>
                <c:pt idx="0">
                  <c:v>0</c:v>
                </c:pt>
                <c:pt idx="1">
                  <c:v>11.55</c:v>
                </c:pt>
                <c:pt idx="2">
                  <c:v>23.1</c:v>
                </c:pt>
                <c:pt idx="3">
                  <c:v>34.650000000000006</c:v>
                </c:pt>
                <c:pt idx="4">
                  <c:v>46.2</c:v>
                </c:pt>
                <c:pt idx="5">
                  <c:v>57.75</c:v>
                </c:pt>
                <c:pt idx="6">
                  <c:v>69.3</c:v>
                </c:pt>
                <c:pt idx="7">
                  <c:v>80.849999999999994</c:v>
                </c:pt>
                <c:pt idx="8">
                  <c:v>92.399999999999991</c:v>
                </c:pt>
                <c:pt idx="9">
                  <c:v>103.94999999999999</c:v>
                </c:pt>
                <c:pt idx="10">
                  <c:v>115.49999999999999</c:v>
                </c:pt>
                <c:pt idx="11">
                  <c:v>127.04999999999998</c:v>
                </c:pt>
                <c:pt idx="12">
                  <c:v>138.6</c:v>
                </c:pt>
                <c:pt idx="13">
                  <c:v>150.15</c:v>
                </c:pt>
                <c:pt idx="14">
                  <c:v>161.70000000000002</c:v>
                </c:pt>
                <c:pt idx="15">
                  <c:v>173.25000000000003</c:v>
                </c:pt>
                <c:pt idx="16">
                  <c:v>184.80000000000004</c:v>
                </c:pt>
                <c:pt idx="17">
                  <c:v>196.35000000000005</c:v>
                </c:pt>
                <c:pt idx="18">
                  <c:v>207.90000000000006</c:v>
                </c:pt>
                <c:pt idx="19">
                  <c:v>219.45000000000007</c:v>
                </c:pt>
                <c:pt idx="20">
                  <c:v>231.00000000000009</c:v>
                </c:pt>
              </c:numCache>
            </c:numRef>
          </c:xVal>
          <c:yVal>
            <c:numRef>
              <c:f>'Longitudinal design strenght'!$T$5:$T$25</c:f>
              <c:numCache>
                <c:formatCode>#,##0</c:formatCode>
                <c:ptCount val="21"/>
                <c:pt idx="0">
                  <c:v>0</c:v>
                </c:pt>
                <c:pt idx="1">
                  <c:v>-8306.3831011597686</c:v>
                </c:pt>
                <c:pt idx="2">
                  <c:v>-16612.766202319537</c:v>
                </c:pt>
                <c:pt idx="3">
                  <c:v>-24919.149303479309</c:v>
                </c:pt>
                <c:pt idx="4">
                  <c:v>-33225.532404639074</c:v>
                </c:pt>
                <c:pt idx="5">
                  <c:v>-33225.532404639074</c:v>
                </c:pt>
                <c:pt idx="6">
                  <c:v>-33225.532404639074</c:v>
                </c:pt>
                <c:pt idx="7">
                  <c:v>-29252.914399736579</c:v>
                </c:pt>
                <c:pt idx="8">
                  <c:v>-25280.296394834077</c:v>
                </c:pt>
                <c:pt idx="9">
                  <c:v>-25280.296394834077</c:v>
                </c:pt>
                <c:pt idx="10">
                  <c:v>-25280.296394834077</c:v>
                </c:pt>
                <c:pt idx="11">
                  <c:v>-25280.296394834077</c:v>
                </c:pt>
                <c:pt idx="12">
                  <c:v>-25280.296394834077</c:v>
                </c:pt>
                <c:pt idx="13">
                  <c:v>-29104.063233705219</c:v>
                </c:pt>
                <c:pt idx="14">
                  <c:v>-32927.830072576362</c:v>
                </c:pt>
                <c:pt idx="15">
                  <c:v>-32927.830072576362</c:v>
                </c:pt>
                <c:pt idx="16">
                  <c:v>-32927.830072576362</c:v>
                </c:pt>
                <c:pt idx="17">
                  <c:v>-32927.830072576362</c:v>
                </c:pt>
                <c:pt idx="18">
                  <c:v>-21951.886715050907</c:v>
                </c:pt>
                <c:pt idx="19">
                  <c:v>-10975.943357525453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7D-4FCC-90A6-70A61C3DA965}"/>
            </c:ext>
          </c:extLst>
        </c:ser>
        <c:ser>
          <c:idx val="1"/>
          <c:order val="1"/>
          <c:tx>
            <c:v>QS (hogging) [kN]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'Longitudinal design strenght'!$N$5:$N$25</c:f>
              <c:numCache>
                <c:formatCode>General</c:formatCode>
                <c:ptCount val="21"/>
                <c:pt idx="0">
                  <c:v>0</c:v>
                </c:pt>
                <c:pt idx="1">
                  <c:v>11.55</c:v>
                </c:pt>
                <c:pt idx="2">
                  <c:v>23.1</c:v>
                </c:pt>
                <c:pt idx="3">
                  <c:v>34.650000000000006</c:v>
                </c:pt>
                <c:pt idx="4">
                  <c:v>46.2</c:v>
                </c:pt>
                <c:pt idx="5">
                  <c:v>57.75</c:v>
                </c:pt>
                <c:pt idx="6">
                  <c:v>69.3</c:v>
                </c:pt>
                <c:pt idx="7">
                  <c:v>80.849999999999994</c:v>
                </c:pt>
                <c:pt idx="8">
                  <c:v>92.399999999999991</c:v>
                </c:pt>
                <c:pt idx="9">
                  <c:v>103.94999999999999</c:v>
                </c:pt>
                <c:pt idx="10">
                  <c:v>115.49999999999999</c:v>
                </c:pt>
                <c:pt idx="11">
                  <c:v>127.04999999999998</c:v>
                </c:pt>
                <c:pt idx="12">
                  <c:v>138.6</c:v>
                </c:pt>
                <c:pt idx="13">
                  <c:v>150.15</c:v>
                </c:pt>
                <c:pt idx="14">
                  <c:v>161.70000000000002</c:v>
                </c:pt>
                <c:pt idx="15">
                  <c:v>173.25000000000003</c:v>
                </c:pt>
                <c:pt idx="16">
                  <c:v>184.80000000000004</c:v>
                </c:pt>
                <c:pt idx="17">
                  <c:v>196.35000000000005</c:v>
                </c:pt>
                <c:pt idx="18">
                  <c:v>207.90000000000006</c:v>
                </c:pt>
                <c:pt idx="19">
                  <c:v>219.45000000000007</c:v>
                </c:pt>
                <c:pt idx="20">
                  <c:v>231.00000000000009</c:v>
                </c:pt>
              </c:numCache>
            </c:numRef>
          </c:xVal>
          <c:yVal>
            <c:numRef>
              <c:f>'Longitudinal design strenght'!$U$5:$U$25</c:f>
              <c:numCache>
                <c:formatCode>#,##0</c:formatCode>
                <c:ptCount val="21"/>
                <c:pt idx="0">
                  <c:v>0</c:v>
                </c:pt>
                <c:pt idx="1">
                  <c:v>7565.7875455775174</c:v>
                </c:pt>
                <c:pt idx="2">
                  <c:v>15131.575091155035</c:v>
                </c:pt>
                <c:pt idx="3">
                  <c:v>22697.362636732552</c:v>
                </c:pt>
                <c:pt idx="4">
                  <c:v>30263.15018231007</c:v>
                </c:pt>
                <c:pt idx="5">
                  <c:v>30263.15018231007</c:v>
                </c:pt>
                <c:pt idx="6">
                  <c:v>30263.15018231007</c:v>
                </c:pt>
                <c:pt idx="7">
                  <c:v>27771.723288572077</c:v>
                </c:pt>
                <c:pt idx="8">
                  <c:v>25280.296394834077</c:v>
                </c:pt>
                <c:pt idx="9">
                  <c:v>25280.296394834077</c:v>
                </c:pt>
                <c:pt idx="10">
                  <c:v>25280.296394834077</c:v>
                </c:pt>
                <c:pt idx="11">
                  <c:v>25280.296394834077</c:v>
                </c:pt>
                <c:pt idx="12">
                  <c:v>25280.296394834077</c:v>
                </c:pt>
                <c:pt idx="13">
                  <c:v>30697.502765155667</c:v>
                </c:pt>
                <c:pt idx="14">
                  <c:v>36114.709135477256</c:v>
                </c:pt>
                <c:pt idx="15">
                  <c:v>36114.709135477256</c:v>
                </c:pt>
                <c:pt idx="16">
                  <c:v>36114.709135477256</c:v>
                </c:pt>
                <c:pt idx="17">
                  <c:v>36114.709135477256</c:v>
                </c:pt>
                <c:pt idx="18">
                  <c:v>24076.472756984836</c:v>
                </c:pt>
                <c:pt idx="19">
                  <c:v>12038.236378492418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7D-4FCC-90A6-70A61C3DA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02442"/>
        <c:axId val="911100274"/>
      </c:scatterChart>
      <c:valAx>
        <c:axId val="5774024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911100274"/>
        <c:crosses val="autoZero"/>
        <c:crossBetween val="midCat"/>
      </c:valAx>
      <c:valAx>
        <c:axId val="911100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57740244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8612875410775676"/>
          <c:y val="0.12974051896207583"/>
          <c:w val="0.71177087712520781"/>
          <c:h val="0.72353639178336238"/>
        </c:manualLayout>
      </c:layout>
      <c:scatterChart>
        <c:scatterStyle val="lineMarker"/>
        <c:varyColors val="0"/>
        <c:ser>
          <c:idx val="0"/>
          <c:order val="0"/>
          <c:tx>
            <c:v>M_wh [kN*m]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'Longitudinal design strenght'!$X$5:$X$25</c:f>
              <c:numCache>
                <c:formatCode>General</c:formatCode>
                <c:ptCount val="21"/>
                <c:pt idx="0">
                  <c:v>0</c:v>
                </c:pt>
                <c:pt idx="1">
                  <c:v>11.55</c:v>
                </c:pt>
                <c:pt idx="2">
                  <c:v>23.1</c:v>
                </c:pt>
                <c:pt idx="3">
                  <c:v>34.650000000000006</c:v>
                </c:pt>
                <c:pt idx="4">
                  <c:v>46.2</c:v>
                </c:pt>
                <c:pt idx="5">
                  <c:v>57.75</c:v>
                </c:pt>
                <c:pt idx="6">
                  <c:v>69.3</c:v>
                </c:pt>
                <c:pt idx="7">
                  <c:v>80.849999999999994</c:v>
                </c:pt>
                <c:pt idx="8">
                  <c:v>92.399999999999991</c:v>
                </c:pt>
                <c:pt idx="9">
                  <c:v>103.94999999999999</c:v>
                </c:pt>
                <c:pt idx="10">
                  <c:v>115.49999999999999</c:v>
                </c:pt>
                <c:pt idx="11">
                  <c:v>127.04999999999998</c:v>
                </c:pt>
                <c:pt idx="12">
                  <c:v>138.6</c:v>
                </c:pt>
                <c:pt idx="13">
                  <c:v>150.15</c:v>
                </c:pt>
                <c:pt idx="14">
                  <c:v>161.70000000000002</c:v>
                </c:pt>
                <c:pt idx="15">
                  <c:v>173.25000000000003</c:v>
                </c:pt>
                <c:pt idx="16">
                  <c:v>184.80000000000004</c:v>
                </c:pt>
                <c:pt idx="17">
                  <c:v>196.35000000000005</c:v>
                </c:pt>
                <c:pt idx="18">
                  <c:v>207.90000000000006</c:v>
                </c:pt>
                <c:pt idx="19">
                  <c:v>219.45000000000007</c:v>
                </c:pt>
                <c:pt idx="20">
                  <c:v>231.00000000000009</c:v>
                </c:pt>
              </c:numCache>
            </c:numRef>
          </c:xVal>
          <c:yVal>
            <c:numRef>
              <c:f>'Longitudinal design strenght'!$Z$5:$Z$25</c:f>
              <c:numCache>
                <c:formatCode>#,##0</c:formatCode>
                <c:ptCount val="21"/>
                <c:pt idx="0">
                  <c:v>0</c:v>
                </c:pt>
                <c:pt idx="1">
                  <c:v>41198.643561633973</c:v>
                </c:pt>
                <c:pt idx="2">
                  <c:v>160761.76396689453</c:v>
                </c:pt>
                <c:pt idx="3">
                  <c:v>346985.68994527101</c:v>
                </c:pt>
                <c:pt idx="4">
                  <c:v>581641.52612361254</c:v>
                </c:pt>
                <c:pt idx="5">
                  <c:v>841759.52431343601</c:v>
                </c:pt>
                <c:pt idx="6">
                  <c:v>1101877.5225032596</c:v>
                </c:pt>
                <c:pt idx="7">
                  <c:v>1336533.3586816012</c:v>
                </c:pt>
                <c:pt idx="8">
                  <c:v>1522757.2846599778</c:v>
                </c:pt>
                <c:pt idx="9">
                  <c:v>1642320.4050652382</c:v>
                </c:pt>
                <c:pt idx="10">
                  <c:v>1683519.0486268722</c:v>
                </c:pt>
                <c:pt idx="11">
                  <c:v>1642320.4050652385</c:v>
                </c:pt>
                <c:pt idx="12">
                  <c:v>1522757.2846599778</c:v>
                </c:pt>
                <c:pt idx="13">
                  <c:v>1336533.3586816015</c:v>
                </c:pt>
                <c:pt idx="14">
                  <c:v>1101877.5225032596</c:v>
                </c:pt>
                <c:pt idx="15">
                  <c:v>841759.52431343554</c:v>
                </c:pt>
                <c:pt idx="16">
                  <c:v>581641.52612361207</c:v>
                </c:pt>
                <c:pt idx="17">
                  <c:v>346985.68994527042</c:v>
                </c:pt>
                <c:pt idx="18">
                  <c:v>160761.76396689378</c:v>
                </c:pt>
                <c:pt idx="19">
                  <c:v>41198.643561633507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FF-4AA2-9068-6D7554CF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13187"/>
        <c:axId val="642901715"/>
      </c:scatterChart>
      <c:valAx>
        <c:axId val="2290131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642901715"/>
        <c:crosses val="autoZero"/>
        <c:crossBetween val="midCat"/>
      </c:valAx>
      <c:valAx>
        <c:axId val="642901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22901318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472440</xdr:colOff>
      <xdr:row>1</xdr:row>
      <xdr:rowOff>45721</xdr:rowOff>
    </xdr:from>
    <xdr:to>
      <xdr:col>15</xdr:col>
      <xdr:colOff>97449</xdr:colOff>
      <xdr:row>22</xdr:row>
      <xdr:rowOff>188566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631727F6-0A43-50E2-5A72-D0EB52445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9020" y="236221"/>
          <a:ext cx="7100229" cy="4059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379095</xdr:colOff>
      <xdr:row>16</xdr:row>
      <xdr:rowOff>76200</xdr:rowOff>
    </xdr:from>
    <xdr:ext cx="2188845" cy="320802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72075" y="3009900"/>
          <a:ext cx="2188845" cy="320802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377191</xdr:colOff>
      <xdr:row>3</xdr:row>
      <xdr:rowOff>47625</xdr:rowOff>
    </xdr:from>
    <xdr:ext cx="2457450" cy="1613535"/>
    <xdr:pic>
      <xdr:nvPicPr>
        <xdr:cNvPr id="12" name="image8.png" title="Imagem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26231" y="603885"/>
          <a:ext cx="2457450" cy="161353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533400</xdr:colOff>
      <xdr:row>16</xdr:row>
      <xdr:rowOff>30481</xdr:rowOff>
    </xdr:from>
    <xdr:ext cx="3977640" cy="4373879"/>
    <xdr:pic>
      <xdr:nvPicPr>
        <xdr:cNvPr id="13" name="image5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33400" y="2964181"/>
          <a:ext cx="3977640" cy="4373879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514350</xdr:colOff>
      <xdr:row>38</xdr:row>
      <xdr:rowOff>110490</xdr:rowOff>
    </xdr:from>
    <xdr:ext cx="4019550" cy="811530"/>
    <xdr:pic>
      <xdr:nvPicPr>
        <xdr:cNvPr id="14" name="image7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14350" y="7341870"/>
          <a:ext cx="4019550" cy="81153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571500</xdr:colOff>
      <xdr:row>42</xdr:row>
      <xdr:rowOff>160020</xdr:rowOff>
    </xdr:from>
    <xdr:ext cx="4000500" cy="1280159"/>
    <xdr:pic>
      <xdr:nvPicPr>
        <xdr:cNvPr id="15" name="image2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71500" y="8183880"/>
          <a:ext cx="4000500" cy="1280159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366889</xdr:colOff>
      <xdr:row>50</xdr:row>
      <xdr:rowOff>127001</xdr:rowOff>
    </xdr:from>
    <xdr:to>
      <xdr:col>6</xdr:col>
      <xdr:colOff>225778</xdr:colOff>
      <xdr:row>70</xdr:row>
      <xdr:rowOff>81881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3232831A-F58F-F5D9-F223-820F308E8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6889" y="9736668"/>
          <a:ext cx="4275667" cy="39059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493395</xdr:colOff>
      <xdr:row>28</xdr:row>
      <xdr:rowOff>11430</xdr:rowOff>
    </xdr:from>
    <xdr:ext cx="4116705" cy="2434590"/>
    <xdr:graphicFrame macro="">
      <xdr:nvGraphicFramePr>
        <xdr:cNvPr id="1742177866" name="Chart 1">
          <a:extLst>
            <a:ext uri="{FF2B5EF4-FFF2-40B4-BE49-F238E27FC236}">
              <a16:creationId xmlns:a16="http://schemas.microsoft.com/office/drawing/2014/main" id="{00000000-0008-0000-0400-00004A86D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554355</xdr:colOff>
      <xdr:row>28</xdr:row>
      <xdr:rowOff>11430</xdr:rowOff>
    </xdr:from>
    <xdr:ext cx="3971925" cy="2373630"/>
    <xdr:graphicFrame macro="">
      <xdr:nvGraphicFramePr>
        <xdr:cNvPr id="108344933" name="Chart 2" title="Gráfico">
          <a:extLst>
            <a:ext uri="{FF2B5EF4-FFF2-40B4-BE49-F238E27FC236}">
              <a16:creationId xmlns:a16="http://schemas.microsoft.com/office/drawing/2014/main" id="{00000000-0008-0000-0400-000065367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523875</xdr:colOff>
      <xdr:row>28</xdr:row>
      <xdr:rowOff>41910</xdr:rowOff>
    </xdr:from>
    <xdr:ext cx="4109085" cy="2327910"/>
    <xdr:graphicFrame macro="">
      <xdr:nvGraphicFramePr>
        <xdr:cNvPr id="1454575634" name="Chart 3">
          <a:extLst>
            <a:ext uri="{FF2B5EF4-FFF2-40B4-BE49-F238E27FC236}">
              <a16:creationId xmlns:a16="http://schemas.microsoft.com/office/drawing/2014/main" id="{00000000-0008-0000-0400-00001210B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733425</xdr:colOff>
      <xdr:row>28</xdr:row>
      <xdr:rowOff>45720</xdr:rowOff>
    </xdr:from>
    <xdr:ext cx="3533775" cy="2346960"/>
    <xdr:graphicFrame macro="">
      <xdr:nvGraphicFramePr>
        <xdr:cNvPr id="401258487" name="Chart 4">
          <a:extLst>
            <a:ext uri="{FF2B5EF4-FFF2-40B4-BE49-F238E27FC236}">
              <a16:creationId xmlns:a16="http://schemas.microsoft.com/office/drawing/2014/main" id="{00000000-0008-0000-0400-0000F7B7E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21</xdr:col>
      <xdr:colOff>1045845</xdr:colOff>
      <xdr:row>28</xdr:row>
      <xdr:rowOff>15241</xdr:rowOff>
    </xdr:from>
    <xdr:ext cx="3960495" cy="2545080"/>
    <xdr:graphicFrame macro="">
      <xdr:nvGraphicFramePr>
        <xdr:cNvPr id="1947112130" name="Chart 5">
          <a:extLst>
            <a:ext uri="{FF2B5EF4-FFF2-40B4-BE49-F238E27FC236}">
              <a16:creationId xmlns:a16="http://schemas.microsoft.com/office/drawing/2014/main" id="{00000000-0008-0000-0400-0000C2920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522514</xdr:colOff>
      <xdr:row>1</xdr:row>
      <xdr:rowOff>108858</xdr:rowOff>
    </xdr:from>
    <xdr:to>
      <xdr:col>7</xdr:col>
      <xdr:colOff>509210</xdr:colOff>
      <xdr:row>22</xdr:row>
      <xdr:rowOff>95992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35A05F7A-E01A-4F08-BA98-8D0011231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514" y="293915"/>
          <a:ext cx="4275667" cy="39059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315686</xdr:colOff>
      <xdr:row>2</xdr:row>
      <xdr:rowOff>174171</xdr:rowOff>
    </xdr:from>
    <xdr:to>
      <xdr:col>5</xdr:col>
      <xdr:colOff>411239</xdr:colOff>
      <xdr:row>25</xdr:row>
      <xdr:rowOff>65314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AF210370-0867-43BD-A6F8-4EC54C357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686" y="555171"/>
          <a:ext cx="4275667" cy="42018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337457</xdr:colOff>
      <xdr:row>1</xdr:row>
      <xdr:rowOff>163285</xdr:rowOff>
    </xdr:from>
    <xdr:to>
      <xdr:col>7</xdr:col>
      <xdr:colOff>324153</xdr:colOff>
      <xdr:row>22</xdr:row>
      <xdr:rowOff>161305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68017921-08F0-4EFB-849B-057BBDFD1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457" y="359228"/>
          <a:ext cx="4275667" cy="390599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558605</xdr:colOff>
      <xdr:row>14</xdr:row>
      <xdr:rowOff>186397</xdr:rowOff>
    </xdr:from>
    <xdr:ext cx="5514975" cy="8570742"/>
    <xdr:pic>
      <xdr:nvPicPr>
        <xdr:cNvPr id="2" name="image12.png" title="Imagem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49097" y="2812366"/>
          <a:ext cx="5514975" cy="8570742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259080</xdr:colOff>
      <xdr:row>0</xdr:row>
      <xdr:rowOff>0</xdr:rowOff>
    </xdr:from>
    <xdr:to>
      <xdr:col>22</xdr:col>
      <xdr:colOff>1150620</xdr:colOff>
      <xdr:row>19</xdr:row>
      <xdr:rowOff>7424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E5B8EED-0BFA-7988-CA44-EAEB3E1C2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6200" y="0"/>
          <a:ext cx="1485900" cy="35126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3903345</xdr:colOff>
      <xdr:row>43</xdr:row>
      <xdr:rowOff>186690</xdr:rowOff>
    </xdr:from>
    <xdr:ext cx="4318635" cy="1162050"/>
    <xdr:pic>
      <xdr:nvPicPr>
        <xdr:cNvPr id="2" name="image18.png" title="Imagem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97705" y="8408670"/>
          <a:ext cx="431863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38100</xdr:colOff>
      <xdr:row>4</xdr:row>
      <xdr:rowOff>152400</xdr:rowOff>
    </xdr:from>
    <xdr:ext cx="4362450" cy="809625"/>
    <xdr:pic>
      <xdr:nvPicPr>
        <xdr:cNvPr id="3" name="image16.png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88980" y="891540"/>
          <a:ext cx="4362450" cy="8096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5715</xdr:colOff>
      <xdr:row>11</xdr:row>
      <xdr:rowOff>30481</xdr:rowOff>
    </xdr:from>
    <xdr:ext cx="4246245" cy="2575560"/>
    <xdr:pic>
      <xdr:nvPicPr>
        <xdr:cNvPr id="4" name="image19.png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306175" y="2049781"/>
          <a:ext cx="4246245" cy="257556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476250</xdr:colOff>
      <xdr:row>43</xdr:row>
      <xdr:rowOff>116205</xdr:rowOff>
    </xdr:from>
    <xdr:ext cx="3928110" cy="1148715"/>
    <xdr:pic>
      <xdr:nvPicPr>
        <xdr:cNvPr id="5" name="image17.png" title="Imagem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76250" y="8338185"/>
          <a:ext cx="3928110" cy="114871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000"/>
  <sheetViews>
    <sheetView workbookViewId="0">
      <selection activeCell="O12" sqref="O12"/>
    </sheetView>
  </sheetViews>
  <sheetFormatPr defaultColWidth="14.44140625" defaultRowHeight="15" customHeight="1" x14ac:dyDescent="0.3"/>
  <cols>
    <col min="1" max="1" width="8.6640625" customWidth="1"/>
    <col min="2" max="2" width="9.33203125" customWidth="1"/>
    <col min="3" max="4" width="8.6640625" customWidth="1"/>
    <col min="5" max="5" width="9.109375" customWidth="1"/>
    <col min="6" max="6" width="8.6640625" customWidth="1"/>
    <col min="7" max="7" width="9.6640625" customWidth="1"/>
    <col min="8" max="11" width="8.6640625" customWidth="1"/>
    <col min="12" max="12" width="11.33203125" customWidth="1"/>
    <col min="13" max="14" width="8.6640625" customWidth="1"/>
    <col min="15" max="15" width="10.33203125" customWidth="1"/>
    <col min="16" max="18" width="8.6640625" customWidth="1"/>
    <col min="19" max="19" width="10.88671875" customWidth="1"/>
    <col min="20" max="20" width="10.109375" customWidth="1"/>
    <col min="21" max="21" width="10.5546875" customWidth="1"/>
    <col min="22" max="22" width="10.109375" customWidth="1"/>
    <col min="23" max="26" width="8.6640625" customWidth="1"/>
  </cols>
  <sheetData>
    <row r="2" spans="2:24" ht="14.4" x14ac:dyDescent="0.3">
      <c r="B2" s="198" t="s">
        <v>525</v>
      </c>
      <c r="C2" s="202"/>
      <c r="D2" s="203"/>
      <c r="G2" s="319" t="s">
        <v>551</v>
      </c>
      <c r="H2" s="205"/>
      <c r="I2" s="205"/>
      <c r="J2" s="205"/>
      <c r="K2" s="205"/>
      <c r="L2" s="205"/>
      <c r="U2" s="2"/>
      <c r="V2" s="3"/>
      <c r="W2" s="3"/>
      <c r="X2" s="3"/>
    </row>
    <row r="3" spans="2:24" ht="14.4" x14ac:dyDescent="0.3">
      <c r="B3" s="49" t="s">
        <v>2</v>
      </c>
      <c r="C3" s="4">
        <v>231</v>
      </c>
      <c r="D3" s="4" t="s">
        <v>3</v>
      </c>
      <c r="G3" s="48" t="s">
        <v>8</v>
      </c>
      <c r="H3" s="48" t="s">
        <v>9</v>
      </c>
      <c r="I3" s="48" t="s">
        <v>10</v>
      </c>
      <c r="J3" s="48" t="s">
        <v>11</v>
      </c>
      <c r="K3" s="206" t="s">
        <v>12</v>
      </c>
      <c r="L3" s="205"/>
      <c r="U3" s="6"/>
      <c r="V3" s="6"/>
      <c r="W3" s="6"/>
    </row>
    <row r="4" spans="2:24" ht="14.4" x14ac:dyDescent="0.3">
      <c r="B4" s="49" t="s">
        <v>13</v>
      </c>
      <c r="C4" s="4">
        <v>34.6</v>
      </c>
      <c r="D4" s="4" t="s">
        <v>3</v>
      </c>
      <c r="G4" s="48" t="s">
        <v>17</v>
      </c>
      <c r="H4" s="46">
        <v>0</v>
      </c>
      <c r="I4" s="46">
        <f>0.75*B/(8)</f>
        <v>3.2437500000000004</v>
      </c>
      <c r="J4" s="46" t="s">
        <v>3</v>
      </c>
      <c r="K4" s="207" t="s">
        <v>18</v>
      </c>
      <c r="L4" s="208"/>
      <c r="U4" s="6"/>
      <c r="V4" s="6"/>
    </row>
    <row r="5" spans="2:24" ht="14.4" x14ac:dyDescent="0.3">
      <c r="B5" s="49" t="s">
        <v>19</v>
      </c>
      <c r="C5" s="4">
        <v>18.100000000000001</v>
      </c>
      <c r="D5" s="4" t="s">
        <v>3</v>
      </c>
      <c r="G5" s="48" t="s">
        <v>23</v>
      </c>
      <c r="H5" s="46">
        <f>0.125*B</f>
        <v>4.3250000000000002</v>
      </c>
      <c r="I5" s="46">
        <f>0.175*B</f>
        <v>6.0549999999999997</v>
      </c>
      <c r="J5" s="46" t="s">
        <v>3</v>
      </c>
      <c r="K5" s="207" t="s">
        <v>24</v>
      </c>
      <c r="L5" s="208"/>
      <c r="U5" s="6"/>
      <c r="V5" s="6"/>
    </row>
    <row r="6" spans="2:24" ht="14.4" x14ac:dyDescent="0.3">
      <c r="B6" s="49" t="s">
        <v>25</v>
      </c>
      <c r="C6" s="4">
        <v>13.2</v>
      </c>
      <c r="D6" s="4" t="s">
        <v>3</v>
      </c>
      <c r="G6" s="61" t="s">
        <v>29</v>
      </c>
      <c r="H6" s="47">
        <v>600</v>
      </c>
      <c r="I6" s="47">
        <f>ROUNDDOWN(2.08*Lbp+438,0)</f>
        <v>918</v>
      </c>
      <c r="J6" s="47" t="s">
        <v>30</v>
      </c>
      <c r="K6" s="209" t="s">
        <v>31</v>
      </c>
      <c r="L6" s="208"/>
      <c r="U6" s="3"/>
      <c r="V6" s="8"/>
      <c r="W6" s="3"/>
    </row>
    <row r="7" spans="2:24" ht="14.4" x14ac:dyDescent="0.3">
      <c r="B7" s="49" t="s">
        <v>4</v>
      </c>
      <c r="C7" s="4">
        <v>18.2</v>
      </c>
      <c r="D7" s="4" t="s">
        <v>5</v>
      </c>
      <c r="G7" s="48" t="s">
        <v>33</v>
      </c>
      <c r="H7" s="58">
        <v>1.2</v>
      </c>
      <c r="I7" s="47">
        <v>1.8</v>
      </c>
      <c r="J7" s="46" t="s">
        <v>3</v>
      </c>
      <c r="K7" s="209" t="s">
        <v>34</v>
      </c>
      <c r="L7" s="208"/>
      <c r="V7" s="8"/>
      <c r="W7" s="3"/>
    </row>
    <row r="8" spans="2:24" ht="14.4" x14ac:dyDescent="0.3">
      <c r="B8" s="49" t="s">
        <v>14</v>
      </c>
      <c r="C8" s="4">
        <v>0.78</v>
      </c>
      <c r="D8" s="4" t="s">
        <v>15</v>
      </c>
      <c r="G8" s="48" t="s">
        <v>36</v>
      </c>
      <c r="H8" s="47">
        <f>0.5*B</f>
        <v>17.3</v>
      </c>
      <c r="I8" s="47" t="s">
        <v>37</v>
      </c>
      <c r="J8" s="46" t="s">
        <v>3</v>
      </c>
      <c r="K8" s="209" t="s">
        <v>38</v>
      </c>
      <c r="L8" s="208"/>
      <c r="V8" s="6"/>
    </row>
    <row r="9" spans="2:24" ht="14.4" x14ac:dyDescent="0.3">
      <c r="G9" s="48" t="s">
        <v>40</v>
      </c>
      <c r="H9" s="46">
        <f>3*I6</f>
        <v>2754</v>
      </c>
      <c r="I9" s="47">
        <f>5*I6</f>
        <v>4590</v>
      </c>
      <c r="J9" s="46" t="s">
        <v>30</v>
      </c>
      <c r="K9" s="209" t="s">
        <v>41</v>
      </c>
      <c r="L9" s="208"/>
      <c r="V9" s="6"/>
    </row>
    <row r="10" spans="2:24" ht="14.4" x14ac:dyDescent="0.3">
      <c r="O10" s="6"/>
      <c r="P10" s="3"/>
      <c r="Q10" s="3"/>
      <c r="R10" s="6"/>
      <c r="S10" s="3"/>
      <c r="T10" s="3"/>
      <c r="V10" s="6"/>
    </row>
    <row r="11" spans="2:24" ht="14.4" x14ac:dyDescent="0.3">
      <c r="B11" s="201" t="s">
        <v>1</v>
      </c>
      <c r="C11" s="202"/>
      <c r="D11" s="202"/>
      <c r="E11" s="203"/>
      <c r="G11" s="198" t="s">
        <v>524</v>
      </c>
      <c r="H11" s="199"/>
      <c r="I11" s="200"/>
      <c r="O11" s="6"/>
      <c r="P11" s="3"/>
      <c r="Q11" s="10"/>
      <c r="R11" s="6"/>
      <c r="S11" s="3"/>
      <c r="T11" s="3"/>
    </row>
    <row r="12" spans="2:24" ht="14.4" x14ac:dyDescent="0.3">
      <c r="B12" s="50"/>
      <c r="C12" s="59" t="s">
        <v>6</v>
      </c>
      <c r="D12" s="60" t="s">
        <v>7</v>
      </c>
      <c r="E12" s="5"/>
      <c r="G12" s="49" t="s">
        <v>20</v>
      </c>
      <c r="H12" s="4">
        <v>2.7E-2</v>
      </c>
      <c r="I12" s="4" t="s">
        <v>3</v>
      </c>
    </row>
    <row r="13" spans="2:24" ht="15" customHeight="1" x14ac:dyDescent="0.3">
      <c r="B13" s="50" t="s">
        <v>2</v>
      </c>
      <c r="C13" s="7" t="s">
        <v>16</v>
      </c>
      <c r="D13" s="7">
        <f>Lbp</f>
        <v>231</v>
      </c>
      <c r="E13" s="5" t="s">
        <v>3</v>
      </c>
      <c r="G13" s="49" t="s">
        <v>35</v>
      </c>
      <c r="H13" s="4">
        <f>C3/20</f>
        <v>11.55</v>
      </c>
      <c r="I13" s="4" t="s">
        <v>3</v>
      </c>
    </row>
    <row r="14" spans="2:24" ht="15" customHeight="1" x14ac:dyDescent="0.3">
      <c r="B14" s="50" t="s">
        <v>21</v>
      </c>
      <c r="C14" s="7" t="s">
        <v>22</v>
      </c>
      <c r="D14" s="7">
        <f>Lbp/B</f>
        <v>6.6763005780346818</v>
      </c>
      <c r="E14" s="5" t="s">
        <v>15</v>
      </c>
      <c r="G14" s="49" t="s">
        <v>39</v>
      </c>
      <c r="H14" s="4">
        <v>2.82</v>
      </c>
      <c r="I14" s="4" t="s">
        <v>3</v>
      </c>
    </row>
    <row r="15" spans="2:24" ht="15" customHeight="1" x14ac:dyDescent="0.3">
      <c r="B15" s="50" t="s">
        <v>27</v>
      </c>
      <c r="C15" s="7" t="s">
        <v>28</v>
      </c>
      <c r="D15" s="7">
        <f>B/D</f>
        <v>1.9116022099447514</v>
      </c>
      <c r="E15" s="5" t="s">
        <v>15</v>
      </c>
      <c r="G15" s="49" t="s">
        <v>42</v>
      </c>
      <c r="H15" s="9">
        <v>9.81</v>
      </c>
      <c r="I15" s="4" t="s">
        <v>43</v>
      </c>
    </row>
    <row r="16" spans="2:24" ht="15" customHeight="1" x14ac:dyDescent="0.3">
      <c r="B16" s="50" t="s">
        <v>14</v>
      </c>
      <c r="C16" s="7" t="s">
        <v>32</v>
      </c>
      <c r="D16" s="7">
        <f>C8</f>
        <v>0.78</v>
      </c>
      <c r="E16" s="5" t="s">
        <v>15</v>
      </c>
      <c r="G16" s="49" t="s">
        <v>44</v>
      </c>
      <c r="H16" s="9">
        <v>1.0249999999999999</v>
      </c>
      <c r="I16" s="4" t="s">
        <v>45</v>
      </c>
    </row>
    <row r="17" spans="7:9" ht="15" customHeight="1" x14ac:dyDescent="0.3">
      <c r="G17" s="49" t="s">
        <v>46</v>
      </c>
      <c r="H17" s="9">
        <v>0.8</v>
      </c>
      <c r="I17" s="4" t="s">
        <v>45</v>
      </c>
    </row>
    <row r="21" spans="7:9" ht="15.75" customHeight="1" x14ac:dyDescent="0.3"/>
    <row r="22" spans="7:9" ht="15.75" customHeight="1" x14ac:dyDescent="0.3"/>
    <row r="23" spans="7:9" ht="15.75" customHeight="1" x14ac:dyDescent="0.3"/>
    <row r="24" spans="7:9" ht="15.75" customHeight="1" x14ac:dyDescent="0.3"/>
    <row r="25" spans="7:9" ht="15.75" customHeight="1" x14ac:dyDescent="0.3"/>
    <row r="26" spans="7:9" ht="15.75" customHeight="1" x14ac:dyDescent="0.3"/>
    <row r="27" spans="7:9" ht="15.75" customHeight="1" x14ac:dyDescent="0.3"/>
    <row r="28" spans="7:9" ht="15.75" customHeight="1" x14ac:dyDescent="0.3"/>
    <row r="29" spans="7:9" ht="15.75" customHeight="1" x14ac:dyDescent="0.3"/>
    <row r="30" spans="7:9" ht="15.75" customHeight="1" x14ac:dyDescent="0.3"/>
    <row r="31" spans="7:9" ht="15.75" customHeight="1" x14ac:dyDescent="0.3"/>
    <row r="32" spans="7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1">
    <mergeCell ref="G11:I11"/>
    <mergeCell ref="B11:E11"/>
    <mergeCell ref="G2:L2"/>
    <mergeCell ref="K3:L3"/>
    <mergeCell ref="K4:L4"/>
    <mergeCell ref="K5:L5"/>
    <mergeCell ref="K6:L6"/>
    <mergeCell ref="K7:L7"/>
    <mergeCell ref="K8:L8"/>
    <mergeCell ref="K9:L9"/>
    <mergeCell ref="B2:D2"/>
  </mergeCells>
  <pageMargins left="0.511811024" right="0.511811024" top="0.78740157499999996" bottom="0.78740157499999996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Z1000"/>
  <sheetViews>
    <sheetView topLeftCell="A10" zoomScale="70" zoomScaleNormal="70" workbookViewId="0">
      <selection activeCell="L48" sqref="L48"/>
    </sheetView>
  </sheetViews>
  <sheetFormatPr defaultColWidth="14.44140625" defaultRowHeight="15" customHeight="1" x14ac:dyDescent="0.3"/>
  <cols>
    <col min="1" max="1" width="8.6640625" customWidth="1"/>
    <col min="2" max="2" width="13.44140625" customWidth="1"/>
    <col min="3" max="5" width="8.6640625" customWidth="1"/>
    <col min="6" max="6" width="13.33203125" bestFit="1" customWidth="1"/>
    <col min="7" max="7" width="8.6640625" customWidth="1"/>
    <col min="8" max="8" width="9.5546875" customWidth="1"/>
    <col min="9" max="11" width="8.6640625" customWidth="1"/>
    <col min="12" max="12" width="11.5546875" bestFit="1" customWidth="1"/>
    <col min="13" max="13" width="8.6640625" customWidth="1"/>
    <col min="14" max="14" width="14.5546875" customWidth="1"/>
    <col min="15" max="17" width="8.6640625" customWidth="1"/>
    <col min="18" max="18" width="10" bestFit="1" customWidth="1"/>
    <col min="19" max="19" width="10.109375" bestFit="1" customWidth="1"/>
    <col min="20" max="20" width="8.6640625" customWidth="1"/>
    <col min="21" max="21" width="8.21875" bestFit="1" customWidth="1"/>
    <col min="22" max="22" width="32.6640625" bestFit="1" customWidth="1"/>
    <col min="23" max="23" width="9.109375" customWidth="1"/>
    <col min="24" max="26" width="11.5546875" customWidth="1"/>
    <col min="27" max="27" width="7.5546875" customWidth="1"/>
    <col min="28" max="29" width="5.88671875" customWidth="1"/>
    <col min="30" max="30" width="9.88671875" customWidth="1"/>
    <col min="31" max="32" width="8.6640625" customWidth="1"/>
    <col min="33" max="33" width="10.5546875" customWidth="1"/>
    <col min="34" max="34" width="14.109375" customWidth="1"/>
    <col min="35" max="35" width="10.6640625" customWidth="1"/>
    <col min="36" max="42" width="8.6640625" customWidth="1"/>
    <col min="43" max="44" width="10.33203125" customWidth="1"/>
    <col min="45" max="45" width="8.33203125" customWidth="1"/>
    <col min="46" max="46" width="32.88671875" customWidth="1"/>
  </cols>
  <sheetData>
    <row r="1" spans="2:25" ht="14.4" x14ac:dyDescent="0.3">
      <c r="R1" s="22"/>
      <c r="S1" s="22"/>
      <c r="U1" s="22"/>
      <c r="V1" s="22"/>
      <c r="W1" s="22"/>
    </row>
    <row r="2" spans="2:25" ht="14.4" x14ac:dyDescent="0.3">
      <c r="R2" s="22"/>
      <c r="S2" s="22"/>
      <c r="U2" s="22"/>
      <c r="V2" s="22"/>
      <c r="W2" s="22"/>
    </row>
    <row r="3" spans="2:25" ht="14.4" x14ac:dyDescent="0.3">
      <c r="R3" s="22"/>
      <c r="S3" s="22"/>
      <c r="U3" s="22"/>
      <c r="V3" s="22"/>
      <c r="W3" s="22"/>
    </row>
    <row r="4" spans="2:25" ht="14.4" x14ac:dyDescent="0.3">
      <c r="B4" s="11"/>
      <c r="M4" s="11"/>
      <c r="R4" s="22"/>
      <c r="S4" s="22"/>
      <c r="U4" s="22"/>
      <c r="V4" s="22"/>
      <c r="W4" s="22"/>
    </row>
    <row r="5" spans="2:25" ht="14.4" x14ac:dyDescent="0.3">
      <c r="B5" s="99" t="s">
        <v>66</v>
      </c>
    </row>
    <row r="6" spans="2:25" ht="14.4" x14ac:dyDescent="0.3">
      <c r="B6" s="265" t="s">
        <v>284</v>
      </c>
      <c r="C6" s="49" t="s">
        <v>155</v>
      </c>
      <c r="D6" s="49" t="s">
        <v>60</v>
      </c>
      <c r="E6" s="49" t="s">
        <v>166</v>
      </c>
      <c r="F6" s="49" t="s">
        <v>318</v>
      </c>
      <c r="G6" s="49" t="s">
        <v>26</v>
      </c>
      <c r="H6" s="49" t="s">
        <v>191</v>
      </c>
      <c r="I6" s="49" t="s">
        <v>319</v>
      </c>
      <c r="J6" s="49" t="s">
        <v>320</v>
      </c>
      <c r="K6" s="49" t="s">
        <v>177</v>
      </c>
      <c r="N6" s="264" t="s">
        <v>297</v>
      </c>
      <c r="O6" s="160" t="s">
        <v>26</v>
      </c>
      <c r="P6" s="160" t="s">
        <v>60</v>
      </c>
      <c r="Q6" s="160" t="s">
        <v>298</v>
      </c>
      <c r="R6" s="160" t="s">
        <v>299</v>
      </c>
      <c r="S6" s="259" t="s">
        <v>300</v>
      </c>
      <c r="T6" s="251"/>
      <c r="U6" s="259" t="s">
        <v>301</v>
      </c>
      <c r="V6" s="251"/>
      <c r="W6" s="259" t="s">
        <v>302</v>
      </c>
      <c r="X6" s="251"/>
      <c r="Y6" s="2"/>
    </row>
    <row r="7" spans="2:25" ht="14.4" x14ac:dyDescent="0.3">
      <c r="B7" s="258"/>
      <c r="C7" s="137" t="s">
        <v>164</v>
      </c>
      <c r="D7" s="137" t="s">
        <v>3</v>
      </c>
      <c r="E7" s="137" t="s">
        <v>30</v>
      </c>
      <c r="F7" s="137" t="s">
        <v>329</v>
      </c>
      <c r="G7" s="137" t="s">
        <v>330</v>
      </c>
      <c r="H7" s="137" t="s">
        <v>3</v>
      </c>
      <c r="I7" s="137" t="s">
        <v>331</v>
      </c>
      <c r="J7" s="137" t="s">
        <v>329</v>
      </c>
      <c r="K7" s="137" t="s">
        <v>329</v>
      </c>
      <c r="N7" s="251"/>
      <c r="O7" s="161" t="s">
        <v>228</v>
      </c>
      <c r="P7" s="161" t="s">
        <v>30</v>
      </c>
      <c r="Q7" s="161" t="s">
        <v>30</v>
      </c>
      <c r="R7" s="161" t="s">
        <v>228</v>
      </c>
      <c r="S7" s="161" t="s">
        <v>304</v>
      </c>
      <c r="T7" s="161" t="s">
        <v>190</v>
      </c>
      <c r="U7" s="161" t="s">
        <v>305</v>
      </c>
      <c r="V7" s="161" t="s">
        <v>306</v>
      </c>
      <c r="W7" s="161" t="s">
        <v>307</v>
      </c>
      <c r="X7" s="161" t="s">
        <v>308</v>
      </c>
      <c r="Y7" s="2"/>
    </row>
    <row r="8" spans="2:25" ht="15" customHeight="1" x14ac:dyDescent="0.3">
      <c r="B8" s="268" t="s">
        <v>286</v>
      </c>
      <c r="C8" s="4">
        <v>1</v>
      </c>
      <c r="D8" s="4">
        <f>'Bottom structures'!Q6/2000</f>
        <v>8.9999999999999993E-3</v>
      </c>
      <c r="E8" s="4">
        <f>'Bottom structures'!M6/2</f>
        <v>1</v>
      </c>
      <c r="F8" s="4">
        <f t="shared" ref="F8:F14" si="0">(E8*D8^3)/12</f>
        <v>6.0749999999999985E-8</v>
      </c>
      <c r="G8" s="4">
        <f t="shared" ref="G8:G14" si="1">D8*E8</f>
        <v>8.9999999999999993E-3</v>
      </c>
      <c r="H8" s="4">
        <f>'Bottom structures'!Q6/1000</f>
        <v>1.7999999999999999E-2</v>
      </c>
      <c r="I8" s="4">
        <f t="shared" ref="I8:I46" si="2">G8*H8</f>
        <v>1.6199999999999998E-4</v>
      </c>
      <c r="J8" s="4">
        <f t="shared" ref="J8:J46" si="3">G8*(H8-$T$43)^2</f>
        <v>0.32646368872016684</v>
      </c>
      <c r="K8" s="4">
        <f t="shared" ref="K8:K46" si="4">F8+J8</f>
        <v>0.32646374947016682</v>
      </c>
      <c r="N8" s="140" t="s">
        <v>312</v>
      </c>
      <c r="O8" s="141">
        <v>16.63</v>
      </c>
      <c r="P8" s="140">
        <v>140</v>
      </c>
      <c r="Q8" s="140">
        <v>10</v>
      </c>
      <c r="R8" s="140">
        <v>60</v>
      </c>
      <c r="S8" s="140">
        <v>79.2</v>
      </c>
      <c r="T8" s="142">
        <v>7</v>
      </c>
      <c r="U8" s="140">
        <v>316</v>
      </c>
      <c r="V8" s="142">
        <v>5.56</v>
      </c>
      <c r="W8" s="142">
        <v>39.799999999999997</v>
      </c>
      <c r="X8" s="142">
        <v>7.94</v>
      </c>
      <c r="Y8" s="2"/>
    </row>
    <row r="9" spans="2:25" ht="14.4" x14ac:dyDescent="0.3">
      <c r="B9" s="260"/>
      <c r="C9" s="4">
        <v>2</v>
      </c>
      <c r="D9" s="4">
        <f>'Bottom structures'!M12/1000</f>
        <v>1.4999999999999999E-2</v>
      </c>
      <c r="E9" s="39">
        <f>'Bottom structures'!L12</f>
        <v>2.25</v>
      </c>
      <c r="F9" s="4">
        <f t="shared" si="0"/>
        <v>6.3281250000000003E-7</v>
      </c>
      <c r="G9" s="4">
        <f t="shared" si="1"/>
        <v>3.3750000000000002E-2</v>
      </c>
      <c r="H9" s="9">
        <f>'Bottom structures'!M12/1000</f>
        <v>1.4999999999999999E-2</v>
      </c>
      <c r="I9" s="4">
        <f t="shared" si="2"/>
        <v>5.0624999999999997E-4</v>
      </c>
      <c r="J9" s="4">
        <f t="shared" si="3"/>
        <v>1.225458747118721</v>
      </c>
      <c r="K9" s="4">
        <f t="shared" si="4"/>
        <v>1.225459379931221</v>
      </c>
      <c r="N9" s="109" t="s">
        <v>314</v>
      </c>
      <c r="O9" s="80">
        <v>17.8</v>
      </c>
      <c r="P9" s="109">
        <v>160</v>
      </c>
      <c r="Q9" s="109">
        <v>9</v>
      </c>
      <c r="R9" s="109">
        <v>60</v>
      </c>
      <c r="S9" s="109">
        <v>93.6</v>
      </c>
      <c r="T9" s="71">
        <v>7.1</v>
      </c>
      <c r="U9" s="109">
        <v>448</v>
      </c>
      <c r="V9" s="71">
        <v>7.32</v>
      </c>
      <c r="W9" s="71">
        <v>47.9</v>
      </c>
      <c r="X9" s="71">
        <v>10.3</v>
      </c>
      <c r="Y9" s="2"/>
    </row>
    <row r="10" spans="2:25" ht="14.4" x14ac:dyDescent="0.3">
      <c r="B10" s="260"/>
      <c r="C10" s="4">
        <v>3</v>
      </c>
      <c r="D10" s="4">
        <f>'Bottom structures'!M13/1000</f>
        <v>1.4999999999999999E-2</v>
      </c>
      <c r="E10" s="39">
        <f>'Bottom structures'!L13</f>
        <v>2.25</v>
      </c>
      <c r="F10" s="4">
        <f t="shared" si="0"/>
        <v>6.3281250000000003E-7</v>
      </c>
      <c r="G10" s="4">
        <f t="shared" si="1"/>
        <v>3.3750000000000002E-2</v>
      </c>
      <c r="H10" s="9">
        <f>'Bottom structures'!M13/1000</f>
        <v>1.4999999999999999E-2</v>
      </c>
      <c r="I10" s="4">
        <f t="shared" si="2"/>
        <v>5.0624999999999997E-4</v>
      </c>
      <c r="J10" s="4">
        <f t="shared" si="3"/>
        <v>1.225458747118721</v>
      </c>
      <c r="K10" s="4">
        <f t="shared" si="4"/>
        <v>1.225459379931221</v>
      </c>
      <c r="N10" s="109" t="s">
        <v>324</v>
      </c>
      <c r="O10" s="109">
        <v>22.46</v>
      </c>
      <c r="P10" s="109">
        <v>180</v>
      </c>
      <c r="Q10" s="109">
        <v>10</v>
      </c>
      <c r="R10" s="109">
        <v>60</v>
      </c>
      <c r="S10" s="109">
        <v>106</v>
      </c>
      <c r="T10" s="71">
        <v>8.1</v>
      </c>
      <c r="U10" s="109">
        <v>717</v>
      </c>
      <c r="V10" s="71">
        <v>12.05</v>
      </c>
      <c r="W10" s="71">
        <v>67.8</v>
      </c>
      <c r="X10" s="71">
        <v>14.9</v>
      </c>
      <c r="Y10" s="2"/>
    </row>
    <row r="11" spans="2:25" ht="14.4" x14ac:dyDescent="0.3">
      <c r="B11" s="260"/>
      <c r="C11" s="4">
        <v>4</v>
      </c>
      <c r="D11" s="4">
        <f>'Bottom structures'!M14/1000</f>
        <v>1.4999999999999999E-2</v>
      </c>
      <c r="E11" s="39">
        <f>'Bottom structures'!L14</f>
        <v>2.25</v>
      </c>
      <c r="F11" s="4">
        <f t="shared" si="0"/>
        <v>6.3281250000000003E-7</v>
      </c>
      <c r="G11" s="4">
        <f t="shared" si="1"/>
        <v>3.3750000000000002E-2</v>
      </c>
      <c r="H11" s="9">
        <f>'Bottom structures'!M14/1000</f>
        <v>1.4999999999999999E-2</v>
      </c>
      <c r="I11" s="4">
        <f t="shared" si="2"/>
        <v>5.0624999999999997E-4</v>
      </c>
      <c r="J11" s="4">
        <f t="shared" si="3"/>
        <v>1.225458747118721</v>
      </c>
      <c r="K11" s="4">
        <f t="shared" si="4"/>
        <v>1.225459379931221</v>
      </c>
      <c r="N11" s="109" t="s">
        <v>332</v>
      </c>
      <c r="O11" s="109">
        <v>23.66</v>
      </c>
      <c r="P11" s="109">
        <v>200</v>
      </c>
      <c r="Q11" s="109">
        <v>9</v>
      </c>
      <c r="R11" s="109">
        <v>100</v>
      </c>
      <c r="S11" s="109">
        <v>121</v>
      </c>
      <c r="T11" s="71">
        <v>8.4</v>
      </c>
      <c r="U11" s="109">
        <v>941</v>
      </c>
      <c r="V11" s="71">
        <v>15.76</v>
      </c>
      <c r="W11" s="71">
        <v>77.7</v>
      </c>
      <c r="X11" s="71">
        <v>18.8</v>
      </c>
      <c r="Y11" s="2"/>
    </row>
    <row r="12" spans="2:25" ht="14.4" x14ac:dyDescent="0.3">
      <c r="B12" s="260"/>
      <c r="C12" s="4">
        <v>5</v>
      </c>
      <c r="D12" s="4">
        <f>'Bottom structures'!M15/1000</f>
        <v>1.4999999999999999E-2</v>
      </c>
      <c r="E12" s="39">
        <f>'Bottom structures'!L15</f>
        <v>2.25</v>
      </c>
      <c r="F12" s="4">
        <f t="shared" si="0"/>
        <v>6.3281250000000003E-7</v>
      </c>
      <c r="G12" s="4">
        <f t="shared" si="1"/>
        <v>3.3750000000000002E-2</v>
      </c>
      <c r="H12" s="9">
        <f>'Bottom structures'!M15/1000</f>
        <v>1.4999999999999999E-2</v>
      </c>
      <c r="I12" s="4">
        <f t="shared" si="2"/>
        <v>5.0624999999999997E-4</v>
      </c>
      <c r="J12" s="4">
        <f t="shared" si="3"/>
        <v>1.225458747118721</v>
      </c>
      <c r="K12" s="4">
        <f t="shared" si="4"/>
        <v>1.225459379931221</v>
      </c>
      <c r="N12" s="109" t="s">
        <v>335</v>
      </c>
      <c r="O12" s="80">
        <v>25.66</v>
      </c>
      <c r="P12" s="109">
        <v>200</v>
      </c>
      <c r="Q12" s="109">
        <v>10</v>
      </c>
      <c r="R12" s="109">
        <v>100</v>
      </c>
      <c r="S12" s="109">
        <v>119</v>
      </c>
      <c r="T12" s="71">
        <v>8.6999999999999993</v>
      </c>
      <c r="U12" s="109">
        <v>1020</v>
      </c>
      <c r="V12" s="71">
        <v>17.21</v>
      </c>
      <c r="W12" s="71">
        <v>85</v>
      </c>
      <c r="X12" s="71">
        <v>19.8</v>
      </c>
      <c r="Y12" s="2"/>
    </row>
    <row r="13" spans="2:25" ht="14.4" x14ac:dyDescent="0.3">
      <c r="B13" s="260"/>
      <c r="C13" s="4">
        <v>6</v>
      </c>
      <c r="D13" s="4">
        <f>'Bottom structures'!M16/1000</f>
        <v>1.4999999999999999E-2</v>
      </c>
      <c r="E13" s="39">
        <f>'Bottom structures'!L16</f>
        <v>2.25</v>
      </c>
      <c r="F13" s="4">
        <f t="shared" si="0"/>
        <v>6.3281250000000003E-7</v>
      </c>
      <c r="G13" s="4">
        <f t="shared" si="1"/>
        <v>3.3750000000000002E-2</v>
      </c>
      <c r="H13" s="9">
        <f>'Bottom structures'!M16/1000</f>
        <v>1.4999999999999999E-2</v>
      </c>
      <c r="I13" s="4">
        <f t="shared" si="2"/>
        <v>5.0624999999999997E-4</v>
      </c>
      <c r="J13" s="4">
        <f t="shared" si="3"/>
        <v>1.225458747118721</v>
      </c>
      <c r="K13" s="4">
        <f t="shared" si="4"/>
        <v>1.225459379931221</v>
      </c>
      <c r="N13" s="109" t="s">
        <v>338</v>
      </c>
      <c r="O13" s="80">
        <v>29.66</v>
      </c>
      <c r="P13" s="109">
        <v>200</v>
      </c>
      <c r="Q13" s="109">
        <v>12</v>
      </c>
      <c r="R13" s="109">
        <v>100</v>
      </c>
      <c r="S13" s="109">
        <v>117</v>
      </c>
      <c r="T13" s="71">
        <v>9.4</v>
      </c>
      <c r="U13" s="109">
        <v>1160</v>
      </c>
      <c r="V13" s="71">
        <v>20.46</v>
      </c>
      <c r="W13" s="71">
        <v>99.6</v>
      </c>
      <c r="X13" s="71">
        <v>21.8</v>
      </c>
      <c r="Y13" s="2"/>
    </row>
    <row r="14" spans="2:25" ht="14.4" x14ac:dyDescent="0.3">
      <c r="B14" s="260"/>
      <c r="C14" s="4">
        <v>7</v>
      </c>
      <c r="D14" s="4">
        <f>'Bottom structures'!M17/1000</f>
        <v>1.7000000000000001E-2</v>
      </c>
      <c r="E14" s="39">
        <f>'Bottom structures'!L17</f>
        <v>2</v>
      </c>
      <c r="F14" s="4">
        <f t="shared" si="0"/>
        <v>8.1883333333333351E-7</v>
      </c>
      <c r="G14" s="4">
        <f t="shared" si="1"/>
        <v>3.4000000000000002E-2</v>
      </c>
      <c r="H14" s="9">
        <f>'Bottom structures'!M17/1000</f>
        <v>1.7000000000000001E-2</v>
      </c>
      <c r="I14" s="4">
        <f t="shared" si="2"/>
        <v>5.7800000000000006E-4</v>
      </c>
      <c r="J14" s="4">
        <f t="shared" si="3"/>
        <v>1.233716850772139</v>
      </c>
      <c r="K14" s="4">
        <f t="shared" si="4"/>
        <v>1.2337176696054724</v>
      </c>
      <c r="N14" s="143" t="s">
        <v>339</v>
      </c>
      <c r="O14" s="143">
        <v>29</v>
      </c>
      <c r="P14" s="143">
        <v>220</v>
      </c>
      <c r="Q14" s="143">
        <v>10</v>
      </c>
      <c r="R14" s="143">
        <v>100</v>
      </c>
      <c r="S14" s="143">
        <v>134</v>
      </c>
      <c r="T14" s="144">
        <v>9.3000000000000007</v>
      </c>
      <c r="U14" s="143">
        <v>1400</v>
      </c>
      <c r="V14" s="144">
        <v>23.89</v>
      </c>
      <c r="W14" s="144">
        <v>105</v>
      </c>
      <c r="X14" s="144">
        <v>25.7</v>
      </c>
      <c r="Y14" s="2"/>
    </row>
    <row r="15" spans="2:25" ht="14.4" x14ac:dyDescent="0.3">
      <c r="B15" s="260"/>
      <c r="C15" s="136">
        <v>8</v>
      </c>
      <c r="D15" s="4" t="s">
        <v>37</v>
      </c>
      <c r="E15" s="4" t="s">
        <v>37</v>
      </c>
      <c r="F15" s="4">
        <f>('Ship Characteristics'!H14^2)*G15*(0.5-4/(PI()^2))</f>
        <v>6.648474014609386E-2</v>
      </c>
      <c r="G15" s="9">
        <f>88268.1*10^-6</f>
        <v>8.8268100000000002E-2</v>
      </c>
      <c r="H15" s="4">
        <v>1.06</v>
      </c>
      <c r="I15" s="4">
        <f t="shared" si="2"/>
        <v>9.3564186000000008E-2</v>
      </c>
      <c r="J15" s="4">
        <f t="shared" si="3"/>
        <v>2.189760069765943</v>
      </c>
      <c r="K15" s="4">
        <f t="shared" si="4"/>
        <v>2.2562448099120367</v>
      </c>
      <c r="N15" s="109" t="s">
        <v>340</v>
      </c>
      <c r="O15" s="80">
        <v>33.4</v>
      </c>
      <c r="P15" s="109">
        <v>220</v>
      </c>
      <c r="Q15" s="109">
        <v>12</v>
      </c>
      <c r="R15" s="109">
        <v>100</v>
      </c>
      <c r="S15" s="109">
        <v>130</v>
      </c>
      <c r="T15" s="71">
        <v>10</v>
      </c>
      <c r="U15" s="109">
        <v>1590</v>
      </c>
      <c r="V15" s="71">
        <v>27.98</v>
      </c>
      <c r="W15" s="71">
        <v>122</v>
      </c>
      <c r="X15" s="71">
        <v>29</v>
      </c>
      <c r="Y15" s="2"/>
    </row>
    <row r="16" spans="2:25" ht="14.4" x14ac:dyDescent="0.3">
      <c r="B16" s="260"/>
      <c r="C16" s="4">
        <v>9</v>
      </c>
      <c r="D16" s="39">
        <f>'Bottom structures'!L19</f>
        <v>2.3250000000000002</v>
      </c>
      <c r="E16" s="4">
        <f>'Bottom structures'!M19/1000</f>
        <v>1.7000000000000001E-2</v>
      </c>
      <c r="F16" s="4">
        <f t="shared" ref="F16:F17" si="5">(E16*D16^3)/12</f>
        <v>1.7804777343750005E-2</v>
      </c>
      <c r="G16" s="4">
        <f t="shared" ref="G16:G46" si="6">D16*E16</f>
        <v>3.9525000000000005E-2</v>
      </c>
      <c r="H16" s="4">
        <v>5.2</v>
      </c>
      <c r="I16" s="4">
        <f t="shared" si="2"/>
        <v>0.20553000000000002</v>
      </c>
      <c r="J16" s="4">
        <f t="shared" si="3"/>
        <v>2.7939908655227511E-2</v>
      </c>
      <c r="K16" s="4">
        <f t="shared" si="4"/>
        <v>4.5744685998977519E-2</v>
      </c>
      <c r="N16" s="109" t="s">
        <v>341</v>
      </c>
      <c r="O16" s="80">
        <v>32.49</v>
      </c>
      <c r="P16" s="109">
        <v>240</v>
      </c>
      <c r="Q16" s="109">
        <v>10</v>
      </c>
      <c r="R16" s="109">
        <v>100</v>
      </c>
      <c r="S16" s="109">
        <v>147</v>
      </c>
      <c r="T16" s="71">
        <v>10</v>
      </c>
      <c r="U16" s="109">
        <v>1860</v>
      </c>
      <c r="V16" s="71">
        <v>32.340000000000003</v>
      </c>
      <c r="W16" s="71">
        <v>126</v>
      </c>
      <c r="X16" s="71">
        <v>32.299999999999997</v>
      </c>
      <c r="Y16" s="2"/>
    </row>
    <row r="17" spans="2:25" ht="14.4" x14ac:dyDescent="0.3">
      <c r="B17" s="258"/>
      <c r="C17" s="4">
        <v>10</v>
      </c>
      <c r="D17" s="39">
        <f>'Bottom structures'!L20</f>
        <v>2.3250000000000002</v>
      </c>
      <c r="E17" s="4">
        <f>'Bottom structures'!M20/1000</f>
        <v>1.7000000000000001E-2</v>
      </c>
      <c r="F17" s="4">
        <f t="shared" si="5"/>
        <v>1.7804777343750005E-2</v>
      </c>
      <c r="G17" s="4">
        <f t="shared" si="6"/>
        <v>3.9525000000000005E-2</v>
      </c>
      <c r="H17" s="4">
        <v>6.54</v>
      </c>
      <c r="I17" s="4">
        <f t="shared" si="2"/>
        <v>0.25849350000000004</v>
      </c>
      <c r="J17" s="4">
        <f t="shared" si="3"/>
        <v>9.8508892512540452E-3</v>
      </c>
      <c r="K17" s="4">
        <f t="shared" si="4"/>
        <v>2.7655666595004048E-2</v>
      </c>
      <c r="N17" s="109" t="s">
        <v>342</v>
      </c>
      <c r="O17" s="109">
        <v>34.89</v>
      </c>
      <c r="P17" s="109">
        <v>240</v>
      </c>
      <c r="Q17" s="109">
        <v>11</v>
      </c>
      <c r="R17" s="109">
        <v>100</v>
      </c>
      <c r="S17" s="109">
        <v>146</v>
      </c>
      <c r="T17" s="71">
        <v>10.3</v>
      </c>
      <c r="U17" s="109">
        <v>2000</v>
      </c>
      <c r="V17" s="71">
        <v>34.81</v>
      </c>
      <c r="W17" s="71">
        <v>137</v>
      </c>
      <c r="X17" s="71">
        <v>33.799999999999997</v>
      </c>
      <c r="Y17" s="2"/>
    </row>
    <row r="18" spans="2:25" ht="14.4" x14ac:dyDescent="0.3">
      <c r="B18" s="268" t="s">
        <v>53</v>
      </c>
      <c r="C18" s="136">
        <v>28</v>
      </c>
      <c r="D18" s="4">
        <f>'Bottom structures'!M26/1000</f>
        <v>1.4999999999999999E-2</v>
      </c>
      <c r="E18" s="4">
        <f>'Bottom structures'!L26</f>
        <v>3.73</v>
      </c>
      <c r="F18" s="4">
        <f t="shared" ref="F18:F19" si="7">(1/12)*D18*(E18^3)*(COS(3*PI()/4)^2)</f>
        <v>3.2434448124999987E-2</v>
      </c>
      <c r="G18" s="4">
        <f t="shared" si="6"/>
        <v>5.595E-2</v>
      </c>
      <c r="H18" s="4">
        <v>6</v>
      </c>
      <c r="I18" s="4">
        <f t="shared" si="2"/>
        <v>0.3357</v>
      </c>
      <c r="J18" s="4">
        <f t="shared" si="3"/>
        <v>9.2993904982109659E-5</v>
      </c>
      <c r="K18" s="4">
        <f t="shared" si="4"/>
        <v>3.2527442029982097E-2</v>
      </c>
      <c r="N18" s="109" t="s">
        <v>343</v>
      </c>
      <c r="O18" s="80">
        <v>37.29</v>
      </c>
      <c r="P18" s="109">
        <v>240</v>
      </c>
      <c r="Q18" s="109">
        <v>12</v>
      </c>
      <c r="R18" s="109">
        <v>100</v>
      </c>
      <c r="S18" s="109">
        <v>144</v>
      </c>
      <c r="T18" s="71">
        <v>10.6</v>
      </c>
      <c r="U18" s="109">
        <v>2130</v>
      </c>
      <c r="V18" s="71">
        <v>37.43</v>
      </c>
      <c r="W18" s="71">
        <v>148</v>
      </c>
      <c r="X18" s="71">
        <v>35.299999999999997</v>
      </c>
      <c r="Y18" s="2"/>
    </row>
    <row r="19" spans="2:25" ht="14.4" x14ac:dyDescent="0.3">
      <c r="B19" s="260"/>
      <c r="C19" s="136">
        <v>29</v>
      </c>
      <c r="D19" s="4">
        <f>'Bottom structures'!M27/1000</f>
        <v>1.4999999999999999E-2</v>
      </c>
      <c r="E19" s="4">
        <f>'Bottom structures'!L27</f>
        <v>3.73</v>
      </c>
      <c r="F19" s="4">
        <f t="shared" si="7"/>
        <v>3.2434448124999987E-2</v>
      </c>
      <c r="G19" s="4">
        <f t="shared" si="6"/>
        <v>5.595E-2</v>
      </c>
      <c r="H19" s="4">
        <v>3.32</v>
      </c>
      <c r="I19" s="4">
        <f t="shared" si="2"/>
        <v>0.185754</v>
      </c>
      <c r="J19" s="4">
        <f t="shared" si="3"/>
        <v>0.41417449028207598</v>
      </c>
      <c r="K19" s="4">
        <f t="shared" si="4"/>
        <v>0.44660893840707594</v>
      </c>
      <c r="N19" s="109" t="s">
        <v>344</v>
      </c>
      <c r="O19" s="80">
        <v>36.11</v>
      </c>
      <c r="P19" s="109">
        <v>260</v>
      </c>
      <c r="Q19" s="109">
        <v>10</v>
      </c>
      <c r="R19" s="109">
        <v>100</v>
      </c>
      <c r="S19" s="109">
        <v>162</v>
      </c>
      <c r="T19" s="71">
        <v>10.7</v>
      </c>
      <c r="U19" s="109">
        <v>2477</v>
      </c>
      <c r="V19" s="71">
        <v>42.84</v>
      </c>
      <c r="W19" s="71">
        <v>153</v>
      </c>
      <c r="X19" s="71">
        <v>40</v>
      </c>
      <c r="Y19" s="2"/>
    </row>
    <row r="20" spans="2:25" ht="14.4" x14ac:dyDescent="0.3">
      <c r="B20" s="260"/>
      <c r="C20" s="4">
        <v>30</v>
      </c>
      <c r="D20" s="4">
        <f>'Bottom structures'!M26/1000</f>
        <v>1.4999999999999999E-2</v>
      </c>
      <c r="E20" s="4">
        <f>'Bottom structures'!L28</f>
        <v>3.0249999999999999</v>
      </c>
      <c r="F20" s="4">
        <f t="shared" ref="F20:F42" si="8">(E20*D20^3)/12</f>
        <v>8.5078124999999993E-7</v>
      </c>
      <c r="G20" s="4">
        <f t="shared" si="6"/>
        <v>4.5374999999999999E-2</v>
      </c>
      <c r="H20" s="4">
        <v>2</v>
      </c>
      <c r="I20" s="4">
        <f t="shared" si="2"/>
        <v>9.0749999999999997E-2</v>
      </c>
      <c r="J20" s="4">
        <f t="shared" si="3"/>
        <v>0.74087446678309443</v>
      </c>
      <c r="K20" s="4">
        <f t="shared" si="4"/>
        <v>0.74087531756434444</v>
      </c>
      <c r="N20" s="109" t="s">
        <v>345</v>
      </c>
      <c r="O20" s="80">
        <v>38.71</v>
      </c>
      <c r="P20" s="109">
        <v>260</v>
      </c>
      <c r="Q20" s="109">
        <v>11</v>
      </c>
      <c r="R20" s="109">
        <v>100</v>
      </c>
      <c r="S20" s="109">
        <v>160</v>
      </c>
      <c r="T20" s="71">
        <v>11</v>
      </c>
      <c r="U20" s="109">
        <v>2610</v>
      </c>
      <c r="V20" s="71">
        <v>45.9</v>
      </c>
      <c r="W20" s="71">
        <v>162</v>
      </c>
      <c r="X20" s="71">
        <v>41.7</v>
      </c>
      <c r="Y20" s="2"/>
    </row>
    <row r="21" spans="2:25" ht="15.75" customHeight="1" x14ac:dyDescent="0.3">
      <c r="B21" s="260"/>
      <c r="C21" s="4">
        <v>31</v>
      </c>
      <c r="D21" s="4">
        <f>'Bottom structures'!M27/1000</f>
        <v>1.4999999999999999E-2</v>
      </c>
      <c r="E21" s="4">
        <f>'Bottom structures'!L29</f>
        <v>3.0249999999999999</v>
      </c>
      <c r="F21" s="4">
        <f t="shared" si="8"/>
        <v>8.5078124999999993E-7</v>
      </c>
      <c r="G21" s="4">
        <f t="shared" si="6"/>
        <v>4.5374999999999999E-2</v>
      </c>
      <c r="H21" s="4">
        <v>2</v>
      </c>
      <c r="I21" s="4">
        <f t="shared" si="2"/>
        <v>9.0749999999999997E-2</v>
      </c>
      <c r="J21" s="4">
        <f t="shared" si="3"/>
        <v>0.74087446678309443</v>
      </c>
      <c r="K21" s="4">
        <f t="shared" si="4"/>
        <v>0.74087531756434444</v>
      </c>
      <c r="N21" s="145" t="s">
        <v>346</v>
      </c>
      <c r="O21" s="146">
        <v>41.31</v>
      </c>
      <c r="P21" s="145">
        <v>260</v>
      </c>
      <c r="Q21" s="145">
        <v>12</v>
      </c>
      <c r="R21" s="145">
        <v>100</v>
      </c>
      <c r="S21" s="145">
        <v>158</v>
      </c>
      <c r="T21" s="147">
        <v>11.3</v>
      </c>
      <c r="U21" s="145">
        <v>2770</v>
      </c>
      <c r="V21" s="147">
        <v>49.11</v>
      </c>
      <c r="W21" s="147">
        <v>175</v>
      </c>
      <c r="X21" s="147">
        <v>43.5</v>
      </c>
      <c r="Y21" s="2"/>
    </row>
    <row r="22" spans="2:25" ht="15.75" customHeight="1" x14ac:dyDescent="0.3">
      <c r="B22" s="260"/>
      <c r="C22" s="4">
        <v>32</v>
      </c>
      <c r="D22" s="4">
        <f>'Bottom structures'!M28/1000</f>
        <v>1.4E-2</v>
      </c>
      <c r="E22" s="4">
        <f>'Bottom structures'!L30</f>
        <v>2.5249999999999999</v>
      </c>
      <c r="F22" s="4">
        <f t="shared" si="8"/>
        <v>5.7738333333333337E-7</v>
      </c>
      <c r="G22" s="4">
        <f t="shared" si="6"/>
        <v>3.5349999999999999E-2</v>
      </c>
      <c r="H22" s="4">
        <v>2</v>
      </c>
      <c r="I22" s="4">
        <f t="shared" si="2"/>
        <v>7.0699999999999999E-2</v>
      </c>
      <c r="J22" s="4">
        <f t="shared" si="3"/>
        <v>0.57718815208335839</v>
      </c>
      <c r="K22" s="4">
        <f t="shared" si="4"/>
        <v>0.57718872946669175</v>
      </c>
      <c r="N22" s="109" t="s">
        <v>347</v>
      </c>
      <c r="O22" s="80">
        <v>42.68</v>
      </c>
      <c r="P22" s="109">
        <v>280</v>
      </c>
      <c r="Q22" s="109">
        <v>11</v>
      </c>
      <c r="R22" s="109">
        <v>100</v>
      </c>
      <c r="S22" s="109">
        <v>174</v>
      </c>
      <c r="T22" s="71">
        <v>11.7</v>
      </c>
      <c r="U22" s="109">
        <v>3330</v>
      </c>
      <c r="V22" s="71">
        <v>59.44</v>
      </c>
      <c r="W22" s="71">
        <v>191</v>
      </c>
      <c r="X22" s="71">
        <v>50.8</v>
      </c>
      <c r="Y22" s="2"/>
    </row>
    <row r="23" spans="2:25" ht="15.75" customHeight="1" x14ac:dyDescent="0.3">
      <c r="B23" s="260"/>
      <c r="C23" s="4">
        <v>33</v>
      </c>
      <c r="D23" s="4">
        <f>'Bottom structures'!M29/1000</f>
        <v>1.4E-2</v>
      </c>
      <c r="E23" s="4">
        <f>'Bottom structures'!L31</f>
        <v>2.5249999999999999</v>
      </c>
      <c r="F23" s="4">
        <f t="shared" si="8"/>
        <v>5.7738333333333337E-7</v>
      </c>
      <c r="G23" s="4">
        <f t="shared" si="6"/>
        <v>3.5349999999999999E-2</v>
      </c>
      <c r="H23" s="4">
        <v>2</v>
      </c>
      <c r="I23" s="4">
        <f t="shared" si="2"/>
        <v>7.0699999999999999E-2</v>
      </c>
      <c r="J23" s="4">
        <f t="shared" si="3"/>
        <v>0.57718815208335839</v>
      </c>
      <c r="K23" s="4">
        <f t="shared" si="4"/>
        <v>0.57718872946669175</v>
      </c>
      <c r="N23" s="109" t="s">
        <v>348</v>
      </c>
      <c r="O23" s="80">
        <v>45.48</v>
      </c>
      <c r="P23" s="109">
        <v>280</v>
      </c>
      <c r="Q23" s="109">
        <v>12</v>
      </c>
      <c r="R23" s="109">
        <v>100</v>
      </c>
      <c r="S23" s="109">
        <v>172</v>
      </c>
      <c r="T23" s="71">
        <v>11.9</v>
      </c>
      <c r="U23" s="109">
        <v>3550</v>
      </c>
      <c r="V23" s="71">
        <v>63.34</v>
      </c>
      <c r="W23" s="71">
        <v>206</v>
      </c>
      <c r="X23" s="71">
        <v>53.2</v>
      </c>
      <c r="Y23" s="2"/>
    </row>
    <row r="24" spans="2:25" ht="15.75" customHeight="1" x14ac:dyDescent="0.3">
      <c r="B24" s="258"/>
      <c r="C24" s="4">
        <v>34</v>
      </c>
      <c r="D24" s="4">
        <f>'Bottom structures'!M30/2000</f>
        <v>7.0000000000000001E-3</v>
      </c>
      <c r="E24" s="4">
        <f>'Bottom structures'!L32/2</f>
        <v>1</v>
      </c>
      <c r="F24" s="4">
        <f t="shared" si="8"/>
        <v>2.8583333333333338E-8</v>
      </c>
      <c r="G24" s="4">
        <f t="shared" si="6"/>
        <v>7.0000000000000001E-3</v>
      </c>
      <c r="H24" s="4">
        <v>2</v>
      </c>
      <c r="I24" s="4">
        <f t="shared" si="2"/>
        <v>1.4E-2</v>
      </c>
      <c r="J24" s="4">
        <f t="shared" si="3"/>
        <v>0.11429468358086306</v>
      </c>
      <c r="K24" s="4">
        <f t="shared" si="4"/>
        <v>0.1142947121641964</v>
      </c>
      <c r="N24" s="109" t="s">
        <v>349</v>
      </c>
      <c r="O24" s="80">
        <v>46.78</v>
      </c>
      <c r="P24" s="109">
        <v>300</v>
      </c>
      <c r="Q24" s="109">
        <v>11</v>
      </c>
      <c r="R24" s="109">
        <v>100</v>
      </c>
      <c r="S24" s="109">
        <v>189</v>
      </c>
      <c r="T24" s="71">
        <v>12.4</v>
      </c>
      <c r="U24" s="109">
        <v>4190</v>
      </c>
      <c r="V24" s="71">
        <v>75.739999999999995</v>
      </c>
      <c r="W24" s="71">
        <v>222</v>
      </c>
      <c r="X24" s="71">
        <v>61.1</v>
      </c>
      <c r="Y24" s="2"/>
    </row>
    <row r="25" spans="2:25" ht="15.75" customHeight="1" x14ac:dyDescent="0.3">
      <c r="B25" s="257" t="s">
        <v>289</v>
      </c>
      <c r="C25" s="4">
        <v>35</v>
      </c>
      <c r="D25" s="4">
        <f>'Bottom structures'!L38</f>
        <v>2</v>
      </c>
      <c r="E25" s="4">
        <f>'Bottom structures'!M38/2000</f>
        <v>8.0000000000000002E-3</v>
      </c>
      <c r="F25" s="4">
        <f t="shared" si="8"/>
        <v>5.3333333333333332E-3</v>
      </c>
      <c r="G25" s="4">
        <f t="shared" si="6"/>
        <v>1.6E-2</v>
      </c>
      <c r="H25" s="4">
        <v>1</v>
      </c>
      <c r="I25" s="4">
        <f t="shared" si="2"/>
        <v>1.6E-2</v>
      </c>
      <c r="J25" s="4">
        <f t="shared" si="3"/>
        <v>0.40654959044464767</v>
      </c>
      <c r="K25" s="4">
        <f t="shared" si="4"/>
        <v>0.41188292377798102</v>
      </c>
      <c r="N25" s="109" t="s">
        <v>350</v>
      </c>
      <c r="O25" s="80">
        <v>49.79</v>
      </c>
      <c r="P25" s="109">
        <v>300</v>
      </c>
      <c r="Q25" s="109">
        <v>12</v>
      </c>
      <c r="R25" s="109">
        <v>100</v>
      </c>
      <c r="S25" s="109">
        <v>187</v>
      </c>
      <c r="T25" s="71">
        <v>12.6</v>
      </c>
      <c r="U25" s="109">
        <v>4460</v>
      </c>
      <c r="V25" s="71">
        <v>80.44</v>
      </c>
      <c r="W25" s="71">
        <v>239</v>
      </c>
      <c r="X25" s="71">
        <v>63.8</v>
      </c>
      <c r="Y25" s="2"/>
    </row>
    <row r="26" spans="2:25" ht="15.75" customHeight="1" x14ac:dyDescent="0.3">
      <c r="B26" s="260"/>
      <c r="C26" s="4">
        <v>36</v>
      </c>
      <c r="D26" s="4">
        <f>'Bottom structures'!L39</f>
        <v>2</v>
      </c>
      <c r="E26" s="4">
        <f>'Bottom structures'!M39/1000</f>
        <v>1.6E-2</v>
      </c>
      <c r="F26" s="4">
        <f t="shared" si="8"/>
        <v>1.0666666666666666E-2</v>
      </c>
      <c r="G26" s="4">
        <f t="shared" si="6"/>
        <v>3.2000000000000001E-2</v>
      </c>
      <c r="H26" s="4">
        <v>1</v>
      </c>
      <c r="I26" s="4">
        <f t="shared" si="2"/>
        <v>3.2000000000000001E-2</v>
      </c>
      <c r="J26" s="4">
        <f t="shared" si="3"/>
        <v>0.81309918088929534</v>
      </c>
      <c r="K26" s="4">
        <f t="shared" si="4"/>
        <v>0.82376584755596205</v>
      </c>
      <c r="N26" s="109" t="s">
        <v>351</v>
      </c>
      <c r="O26" s="80">
        <v>52.79</v>
      </c>
      <c r="P26" s="109">
        <v>300</v>
      </c>
      <c r="Q26" s="109">
        <v>13</v>
      </c>
      <c r="R26" s="109">
        <v>100</v>
      </c>
      <c r="S26" s="109">
        <v>185</v>
      </c>
      <c r="T26" s="71">
        <v>12.9</v>
      </c>
      <c r="U26" s="109">
        <v>4720</v>
      </c>
      <c r="V26" s="71">
        <v>85.33</v>
      </c>
      <c r="W26" s="71">
        <v>256</v>
      </c>
      <c r="X26" s="71">
        <v>66.099999999999994</v>
      </c>
      <c r="Y26" s="2"/>
    </row>
    <row r="27" spans="2:25" ht="15.75" customHeight="1" x14ac:dyDescent="0.3">
      <c r="B27" s="260"/>
      <c r="C27" s="4">
        <v>37</v>
      </c>
      <c r="D27" s="4">
        <f>'Bottom structures'!L40</f>
        <v>2</v>
      </c>
      <c r="E27" s="4">
        <f>'Bottom structures'!M40/1000</f>
        <v>1.6E-2</v>
      </c>
      <c r="F27" s="4">
        <f t="shared" si="8"/>
        <v>1.0666666666666666E-2</v>
      </c>
      <c r="G27" s="4">
        <f t="shared" si="6"/>
        <v>3.2000000000000001E-2</v>
      </c>
      <c r="H27" s="4">
        <v>1</v>
      </c>
      <c r="I27" s="4">
        <f t="shared" si="2"/>
        <v>3.2000000000000001E-2</v>
      </c>
      <c r="J27" s="4">
        <f t="shared" si="3"/>
        <v>0.81309918088929534</v>
      </c>
      <c r="K27" s="4">
        <f t="shared" si="4"/>
        <v>0.82376584755596205</v>
      </c>
      <c r="N27" s="109" t="s">
        <v>352</v>
      </c>
      <c r="O27" s="80">
        <v>54.25</v>
      </c>
      <c r="P27" s="109">
        <v>320</v>
      </c>
      <c r="Q27" s="109">
        <v>12</v>
      </c>
      <c r="R27" s="109">
        <v>100</v>
      </c>
      <c r="S27" s="109">
        <v>201</v>
      </c>
      <c r="T27" s="71">
        <v>13.4</v>
      </c>
      <c r="U27" s="109">
        <v>5530</v>
      </c>
      <c r="V27" s="71">
        <v>100.8</v>
      </c>
      <c r="W27" s="71">
        <v>274</v>
      </c>
      <c r="X27" s="71">
        <v>75.2</v>
      </c>
      <c r="Y27" s="2"/>
    </row>
    <row r="28" spans="2:25" ht="15" customHeight="1" x14ac:dyDescent="0.3">
      <c r="B28" s="260"/>
      <c r="C28" s="4">
        <v>38</v>
      </c>
      <c r="D28" s="4">
        <f>'Bottom structures'!L41</f>
        <v>2</v>
      </c>
      <c r="E28" s="4">
        <f>'Bottom structures'!M41/1000</f>
        <v>1.6E-2</v>
      </c>
      <c r="F28" s="4">
        <f t="shared" si="8"/>
        <v>1.0666666666666666E-2</v>
      </c>
      <c r="G28" s="4">
        <f t="shared" si="6"/>
        <v>3.2000000000000001E-2</v>
      </c>
      <c r="H28" s="4">
        <v>1</v>
      </c>
      <c r="I28" s="4">
        <f t="shared" si="2"/>
        <v>3.2000000000000001E-2</v>
      </c>
      <c r="J28" s="4">
        <f t="shared" si="3"/>
        <v>0.81309918088929534</v>
      </c>
      <c r="K28" s="4">
        <f t="shared" si="4"/>
        <v>0.82376584755596205</v>
      </c>
      <c r="N28" s="109" t="s">
        <v>353</v>
      </c>
      <c r="O28" s="80">
        <v>57.45</v>
      </c>
      <c r="P28" s="109">
        <v>320</v>
      </c>
      <c r="Q28" s="109">
        <v>13</v>
      </c>
      <c r="R28" s="109">
        <v>100</v>
      </c>
      <c r="S28" s="109">
        <v>199</v>
      </c>
      <c r="T28" s="71">
        <v>13.6</v>
      </c>
      <c r="U28" s="109">
        <v>5850</v>
      </c>
      <c r="V28" s="71">
        <v>106.6</v>
      </c>
      <c r="W28" s="71">
        <v>294</v>
      </c>
      <c r="X28" s="71">
        <v>78.599999999999994</v>
      </c>
      <c r="Y28" s="2"/>
    </row>
    <row r="29" spans="2:25" ht="15.75" customHeight="1" x14ac:dyDescent="0.3">
      <c r="B29" s="258"/>
      <c r="C29" s="4">
        <v>39</v>
      </c>
      <c r="D29" s="4">
        <f>'Bottom structures'!L42</f>
        <v>2</v>
      </c>
      <c r="E29" s="4">
        <f>'Bottom structures'!M42/1000</f>
        <v>1.6E-2</v>
      </c>
      <c r="F29" s="4">
        <f t="shared" si="8"/>
        <v>1.0666666666666666E-2</v>
      </c>
      <c r="G29" s="4">
        <f t="shared" si="6"/>
        <v>3.2000000000000001E-2</v>
      </c>
      <c r="H29" s="4">
        <v>1</v>
      </c>
      <c r="I29" s="4">
        <f t="shared" si="2"/>
        <v>3.2000000000000001E-2</v>
      </c>
      <c r="J29" s="4">
        <f t="shared" si="3"/>
        <v>0.81309918088929534</v>
      </c>
      <c r="K29" s="4">
        <f t="shared" si="4"/>
        <v>0.82376584755596205</v>
      </c>
      <c r="N29" s="148" t="s">
        <v>354</v>
      </c>
      <c r="O29" s="149">
        <v>58.84</v>
      </c>
      <c r="P29" s="148">
        <v>340</v>
      </c>
      <c r="Q29" s="148">
        <v>12</v>
      </c>
      <c r="R29" s="148">
        <v>100</v>
      </c>
      <c r="S29" s="148">
        <v>215</v>
      </c>
      <c r="T29" s="150">
        <v>14.1</v>
      </c>
      <c r="U29" s="148">
        <v>6760</v>
      </c>
      <c r="V29" s="150">
        <v>124.6</v>
      </c>
      <c r="W29" s="150">
        <v>313</v>
      </c>
      <c r="X29" s="150">
        <v>88.4</v>
      </c>
      <c r="Y29" s="2"/>
    </row>
    <row r="30" spans="2:25" ht="15.75" customHeight="1" x14ac:dyDescent="0.3">
      <c r="B30" s="257" t="s">
        <v>57</v>
      </c>
      <c r="C30" s="4">
        <v>11</v>
      </c>
      <c r="D30" s="4">
        <f>'Side structures'!I7</f>
        <v>1.8</v>
      </c>
      <c r="E30" s="4">
        <f>'Side structures'!J7/1000</f>
        <v>1.4E-2</v>
      </c>
      <c r="F30" s="4">
        <f t="shared" si="8"/>
        <v>6.804000000000001E-3</v>
      </c>
      <c r="G30" s="4">
        <f t="shared" si="6"/>
        <v>2.52E-2</v>
      </c>
      <c r="H30" s="4">
        <f>8.6</f>
        <v>8.6</v>
      </c>
      <c r="I30" s="4">
        <f t="shared" si="2"/>
        <v>0.21672</v>
      </c>
      <c r="J30" s="4">
        <f t="shared" si="3"/>
        <v>0.16505155010030065</v>
      </c>
      <c r="K30" s="4">
        <f t="shared" si="4"/>
        <v>0.17185555010030065</v>
      </c>
      <c r="N30" s="109" t="s">
        <v>355</v>
      </c>
      <c r="O30" s="80">
        <v>65.540000000000006</v>
      </c>
      <c r="P30" s="109">
        <v>340</v>
      </c>
      <c r="Q30" s="109">
        <v>14</v>
      </c>
      <c r="R30" s="109">
        <v>100</v>
      </c>
      <c r="S30" s="109">
        <v>211</v>
      </c>
      <c r="T30" s="71">
        <v>14.6</v>
      </c>
      <c r="U30" s="109">
        <v>7540</v>
      </c>
      <c r="V30" s="71">
        <v>138.6</v>
      </c>
      <c r="W30" s="71">
        <v>357</v>
      </c>
      <c r="X30" s="71">
        <v>94.9</v>
      </c>
      <c r="Y30" s="2"/>
    </row>
    <row r="31" spans="2:25" ht="15.75" customHeight="1" x14ac:dyDescent="0.3">
      <c r="B31" s="260"/>
      <c r="C31" s="4">
        <v>12</v>
      </c>
      <c r="D31" s="4">
        <f>'Side structures'!I8</f>
        <v>1.8</v>
      </c>
      <c r="E31" s="4">
        <f>'Side structures'!J8/1000</f>
        <v>1.2999999999999999E-2</v>
      </c>
      <c r="F31" s="4">
        <f t="shared" si="8"/>
        <v>6.3180000000000007E-3</v>
      </c>
      <c r="G31" s="4">
        <f t="shared" si="6"/>
        <v>2.3400000000000001E-2</v>
      </c>
      <c r="H31" s="4">
        <v>10.4</v>
      </c>
      <c r="I31" s="4">
        <f t="shared" si="2"/>
        <v>0.24336000000000002</v>
      </c>
      <c r="J31" s="4">
        <f t="shared" si="3"/>
        <v>0.44466779573702314</v>
      </c>
      <c r="K31" s="4">
        <f t="shared" si="4"/>
        <v>0.45098579573702313</v>
      </c>
      <c r="N31" s="151" t="s">
        <v>356</v>
      </c>
      <c r="O31" s="152">
        <v>69.7</v>
      </c>
      <c r="P31" s="151">
        <v>370</v>
      </c>
      <c r="Q31" s="151">
        <v>13</v>
      </c>
      <c r="R31" s="151">
        <v>100</v>
      </c>
      <c r="S31" s="151">
        <v>235</v>
      </c>
      <c r="T31" s="153">
        <v>15.4</v>
      </c>
      <c r="U31" s="151">
        <v>9470</v>
      </c>
      <c r="V31" s="153">
        <v>176.7</v>
      </c>
      <c r="W31" s="153">
        <v>402</v>
      </c>
      <c r="X31" s="153">
        <v>115</v>
      </c>
      <c r="Y31" s="2"/>
    </row>
    <row r="32" spans="2:25" ht="15.75" customHeight="1" x14ac:dyDescent="0.3">
      <c r="B32" s="260"/>
      <c r="C32" s="4">
        <v>13</v>
      </c>
      <c r="D32" s="4">
        <f>'Side structures'!I9</f>
        <v>1.8</v>
      </c>
      <c r="E32" s="4">
        <f>'Side structures'!J9/1000</f>
        <v>1.2999999999999999E-2</v>
      </c>
      <c r="F32" s="4">
        <f t="shared" si="8"/>
        <v>6.3180000000000007E-3</v>
      </c>
      <c r="G32" s="4">
        <f t="shared" si="6"/>
        <v>2.3400000000000001E-2</v>
      </c>
      <c r="H32" s="4">
        <v>12.2</v>
      </c>
      <c r="I32" s="4">
        <f t="shared" si="2"/>
        <v>0.28548000000000001</v>
      </c>
      <c r="J32" s="4">
        <f t="shared" si="3"/>
        <v>0.88770543780948097</v>
      </c>
      <c r="K32" s="4">
        <f t="shared" si="4"/>
        <v>0.89402343780948101</v>
      </c>
      <c r="N32" s="154" t="s">
        <v>357</v>
      </c>
      <c r="O32" s="155">
        <v>77.099999999999994</v>
      </c>
      <c r="P32" s="154">
        <v>370</v>
      </c>
      <c r="Q32" s="154">
        <v>15</v>
      </c>
      <c r="R32" s="154">
        <v>100</v>
      </c>
      <c r="S32" s="154">
        <v>230</v>
      </c>
      <c r="T32" s="156">
        <v>15.9</v>
      </c>
      <c r="U32" s="154">
        <v>10490</v>
      </c>
      <c r="V32" s="156">
        <v>194.8</v>
      </c>
      <c r="W32" s="156">
        <v>455</v>
      </c>
      <c r="X32" s="156">
        <v>123</v>
      </c>
      <c r="Y32" s="2"/>
    </row>
    <row r="33" spans="2:26" ht="15.75" customHeight="1" x14ac:dyDescent="0.3">
      <c r="B33" s="260"/>
      <c r="C33" s="4">
        <v>14</v>
      </c>
      <c r="D33" s="4">
        <f>'Side structures'!I10</f>
        <v>1.8</v>
      </c>
      <c r="E33" s="4">
        <f>'Side structures'!J10/1000</f>
        <v>1.0999999999999999E-2</v>
      </c>
      <c r="F33" s="4">
        <f t="shared" si="8"/>
        <v>5.3460000000000001E-3</v>
      </c>
      <c r="G33" s="4">
        <f t="shared" si="6"/>
        <v>1.9799999999999998E-2</v>
      </c>
      <c r="H33" s="4">
        <v>14</v>
      </c>
      <c r="I33" s="4">
        <f t="shared" si="2"/>
        <v>0.2772</v>
      </c>
      <c r="J33" s="4">
        <f t="shared" si="3"/>
        <v>1.2543173752847179</v>
      </c>
      <c r="K33" s="4">
        <f t="shared" si="4"/>
        <v>1.2596633752847179</v>
      </c>
      <c r="N33" s="109" t="s">
        <v>358</v>
      </c>
      <c r="O33" s="80">
        <v>81.48</v>
      </c>
      <c r="P33" s="109">
        <v>400</v>
      </c>
      <c r="Q33" s="109">
        <v>14</v>
      </c>
      <c r="R33" s="109">
        <v>150</v>
      </c>
      <c r="S33" s="109">
        <v>255</v>
      </c>
      <c r="T33" s="71">
        <v>16.8</v>
      </c>
      <c r="U33" s="109">
        <v>12930</v>
      </c>
      <c r="V33" s="71">
        <v>243.6</v>
      </c>
      <c r="W33" s="71">
        <v>507</v>
      </c>
      <c r="X33" s="71">
        <v>145</v>
      </c>
      <c r="Y33" s="2"/>
    </row>
    <row r="34" spans="2:26" ht="15.75" customHeight="1" x14ac:dyDescent="0.3">
      <c r="B34" s="258"/>
      <c r="C34" s="4">
        <v>15</v>
      </c>
      <c r="D34" s="4">
        <f>'Side structures'!I11</f>
        <v>1.8</v>
      </c>
      <c r="E34" s="4">
        <f>'Side structures'!J11/1000</f>
        <v>0.01</v>
      </c>
      <c r="F34" s="4">
        <f t="shared" si="8"/>
        <v>4.8600000000000006E-3</v>
      </c>
      <c r="G34" s="4">
        <f t="shared" si="6"/>
        <v>1.8000000000000002E-2</v>
      </c>
      <c r="H34" s="4">
        <v>15.8</v>
      </c>
      <c r="I34" s="4">
        <f t="shared" si="2"/>
        <v>0.28440000000000004</v>
      </c>
      <c r="J34" s="4">
        <f t="shared" si="3"/>
        <v>1.7143667091956909</v>
      </c>
      <c r="K34" s="4">
        <f t="shared" si="4"/>
        <v>1.719226709195691</v>
      </c>
      <c r="N34" s="157" t="s">
        <v>359</v>
      </c>
      <c r="O34" s="158">
        <v>89.48</v>
      </c>
      <c r="P34" s="157">
        <v>400</v>
      </c>
      <c r="Q34" s="157">
        <v>16</v>
      </c>
      <c r="R34" s="157">
        <v>150</v>
      </c>
      <c r="S34" s="157">
        <v>250</v>
      </c>
      <c r="T34" s="159">
        <v>17.2</v>
      </c>
      <c r="U34" s="157">
        <v>14220</v>
      </c>
      <c r="V34" s="159">
        <v>266.60000000000002</v>
      </c>
      <c r="W34" s="159">
        <v>568</v>
      </c>
      <c r="X34" s="159">
        <v>155</v>
      </c>
      <c r="Y34" s="2"/>
      <c r="Z34" s="2"/>
    </row>
    <row r="35" spans="2:26" ht="15.75" customHeight="1" x14ac:dyDescent="0.3">
      <c r="B35" s="49" t="s">
        <v>252</v>
      </c>
      <c r="C35" s="4">
        <v>16</v>
      </c>
      <c r="D35" s="4">
        <f>'Side structures'!$I$7</f>
        <v>1.8</v>
      </c>
      <c r="E35" s="4">
        <f>'Side structures'!J17/1000</f>
        <v>1.0999999999999999E-2</v>
      </c>
      <c r="F35" s="4">
        <f t="shared" si="8"/>
        <v>5.3460000000000001E-3</v>
      </c>
      <c r="G35" s="4">
        <f t="shared" si="6"/>
        <v>1.9799999999999998E-2</v>
      </c>
      <c r="H35" s="4">
        <v>17.399999999999999</v>
      </c>
      <c r="I35" s="4">
        <f t="shared" si="2"/>
        <v>0.34451999999999994</v>
      </c>
      <c r="J35" s="4">
        <f t="shared" si="3"/>
        <v>2.5548362732979619</v>
      </c>
      <c r="K35" s="4">
        <f t="shared" si="4"/>
        <v>2.5601822732979618</v>
      </c>
      <c r="N35" s="109" t="s">
        <v>360</v>
      </c>
      <c r="O35" s="80">
        <v>89.7</v>
      </c>
      <c r="P35" s="109">
        <v>430</v>
      </c>
      <c r="Q35" s="109">
        <v>14</v>
      </c>
      <c r="R35" s="109">
        <v>150</v>
      </c>
      <c r="S35" s="109">
        <v>277</v>
      </c>
      <c r="T35" s="71">
        <v>17.899999999999999</v>
      </c>
      <c r="U35" s="109">
        <v>16460</v>
      </c>
      <c r="V35" s="71">
        <v>313.89999999999998</v>
      </c>
      <c r="W35" s="71">
        <v>594</v>
      </c>
      <c r="X35" s="71">
        <v>175</v>
      </c>
      <c r="Y35" s="2"/>
      <c r="Z35" s="2"/>
    </row>
    <row r="36" spans="2:26" ht="15.75" customHeight="1" x14ac:dyDescent="0.3">
      <c r="B36" s="257" t="s">
        <v>278</v>
      </c>
      <c r="C36" s="4">
        <v>17</v>
      </c>
      <c r="D36" s="4">
        <f>'Deck structures'!L7/1000</f>
        <v>1.2E-2</v>
      </c>
      <c r="E36" s="4">
        <f>'Deck structures'!K7</f>
        <v>1.8</v>
      </c>
      <c r="F36" s="4">
        <f t="shared" si="8"/>
        <v>2.5919999999999999E-7</v>
      </c>
      <c r="G36" s="4">
        <f t="shared" si="6"/>
        <v>2.1600000000000001E-2</v>
      </c>
      <c r="H36" s="4">
        <v>18.100000000000001</v>
      </c>
      <c r="I36" s="4">
        <f t="shared" si="2"/>
        <v>0.39096000000000003</v>
      </c>
      <c r="J36" s="4">
        <f t="shared" si="3"/>
        <v>3.1411812698895236</v>
      </c>
      <c r="K36" s="4">
        <f t="shared" si="4"/>
        <v>3.1411815290895237</v>
      </c>
      <c r="N36" s="109" t="s">
        <v>361</v>
      </c>
      <c r="O36" s="80">
        <v>94.19</v>
      </c>
      <c r="P36" s="109">
        <v>430</v>
      </c>
      <c r="Q36" s="109">
        <v>15</v>
      </c>
      <c r="R36" s="109">
        <v>150</v>
      </c>
      <c r="S36" s="109">
        <v>274</v>
      </c>
      <c r="T36" s="71">
        <v>18.100000000000001</v>
      </c>
      <c r="U36" s="109">
        <v>17260</v>
      </c>
      <c r="V36" s="71">
        <v>327.9</v>
      </c>
      <c r="W36" s="71">
        <v>628</v>
      </c>
      <c r="X36" s="71">
        <v>181</v>
      </c>
      <c r="Y36" s="2"/>
      <c r="Z36" s="2"/>
    </row>
    <row r="37" spans="2:26" ht="15.75" customHeight="1" x14ac:dyDescent="0.3">
      <c r="B37" s="260"/>
      <c r="C37" s="4">
        <v>18</v>
      </c>
      <c r="D37" s="4">
        <f>'Deck structures'!L8/1000</f>
        <v>1.2E-2</v>
      </c>
      <c r="E37" s="4">
        <f>'Deck structures'!K8</f>
        <v>1.8</v>
      </c>
      <c r="F37" s="4">
        <f t="shared" si="8"/>
        <v>2.5919999999999999E-7</v>
      </c>
      <c r="G37" s="4">
        <f t="shared" si="6"/>
        <v>2.1600000000000001E-2</v>
      </c>
      <c r="H37" s="4">
        <v>18.100000000000001</v>
      </c>
      <c r="I37" s="4">
        <f t="shared" si="2"/>
        <v>0.39096000000000003</v>
      </c>
      <c r="J37" s="4">
        <f t="shared" si="3"/>
        <v>3.1411812698895236</v>
      </c>
      <c r="K37" s="4">
        <f t="shared" si="4"/>
        <v>3.1411815290895237</v>
      </c>
      <c r="N37" s="109" t="s">
        <v>362</v>
      </c>
      <c r="O37" s="80">
        <v>102.7</v>
      </c>
      <c r="P37" s="109">
        <v>430</v>
      </c>
      <c r="Q37" s="109">
        <v>17</v>
      </c>
      <c r="R37" s="109">
        <v>150</v>
      </c>
      <c r="S37" s="109">
        <v>269</v>
      </c>
      <c r="T37" s="71">
        <v>18.5</v>
      </c>
      <c r="U37" s="109">
        <v>18860</v>
      </c>
      <c r="V37" s="71">
        <v>356.7</v>
      </c>
      <c r="W37" s="71">
        <v>700</v>
      </c>
      <c r="X37" s="71">
        <v>193</v>
      </c>
      <c r="Y37" s="2"/>
      <c r="Z37" s="2"/>
    </row>
    <row r="38" spans="2:26" ht="15.75" customHeight="1" x14ac:dyDescent="0.3">
      <c r="B38" s="260"/>
      <c r="C38" s="4">
        <v>19</v>
      </c>
      <c r="D38" s="4">
        <f>'Deck structures'!L9/1000</f>
        <v>1.2E-2</v>
      </c>
      <c r="E38" s="4">
        <f>'Deck structures'!K9</f>
        <v>1.8</v>
      </c>
      <c r="F38" s="4">
        <f t="shared" si="8"/>
        <v>2.5919999999999999E-7</v>
      </c>
      <c r="G38" s="4">
        <f t="shared" si="6"/>
        <v>2.1600000000000001E-2</v>
      </c>
      <c r="H38" s="4">
        <v>18.100000000000001</v>
      </c>
      <c r="I38" s="4">
        <f t="shared" si="2"/>
        <v>0.39096000000000003</v>
      </c>
      <c r="J38" s="4">
        <f t="shared" si="3"/>
        <v>3.1411812698895236</v>
      </c>
      <c r="K38" s="4">
        <f t="shared" si="4"/>
        <v>3.1411815290895237</v>
      </c>
      <c r="Y38" s="2"/>
      <c r="Z38" s="2"/>
    </row>
    <row r="39" spans="2:26" ht="15.75" customHeight="1" x14ac:dyDescent="0.3">
      <c r="B39" s="260"/>
      <c r="C39" s="4">
        <v>20</v>
      </c>
      <c r="D39" s="4">
        <f>'Deck structures'!L10/1000</f>
        <v>1.2E-2</v>
      </c>
      <c r="E39" s="4">
        <f>'Deck structures'!K10</f>
        <v>1.8</v>
      </c>
      <c r="F39" s="4">
        <f t="shared" si="8"/>
        <v>2.5919999999999999E-7</v>
      </c>
      <c r="G39" s="4">
        <f t="shared" si="6"/>
        <v>2.1600000000000001E-2</v>
      </c>
      <c r="H39" s="4">
        <v>18.100000000000001</v>
      </c>
      <c r="I39" s="4">
        <f t="shared" si="2"/>
        <v>0.39096000000000003</v>
      </c>
      <c r="J39" s="4">
        <f t="shared" si="3"/>
        <v>3.1411812698895236</v>
      </c>
      <c r="K39" s="4">
        <f t="shared" si="4"/>
        <v>3.1411815290895237</v>
      </c>
      <c r="Y39" s="2"/>
      <c r="Z39" s="2"/>
    </row>
    <row r="40" spans="2:26" ht="15.75" customHeight="1" x14ac:dyDescent="0.3">
      <c r="B40" s="258"/>
      <c r="C40" s="4">
        <v>21</v>
      </c>
      <c r="D40" s="4">
        <f>'Deck structures'!L11/1000</f>
        <v>1.2E-2</v>
      </c>
      <c r="E40" s="4">
        <f>'Deck structures'!K11</f>
        <v>1.8</v>
      </c>
      <c r="F40" s="4">
        <f t="shared" si="8"/>
        <v>2.5919999999999999E-7</v>
      </c>
      <c r="G40" s="4">
        <f t="shared" si="6"/>
        <v>2.1600000000000001E-2</v>
      </c>
      <c r="H40" s="4">
        <v>18.100000000000001</v>
      </c>
      <c r="I40" s="4">
        <f t="shared" si="2"/>
        <v>0.39096000000000003</v>
      </c>
      <c r="J40" s="4">
        <f t="shared" si="3"/>
        <v>3.1411812698895236</v>
      </c>
      <c r="K40" s="4">
        <f t="shared" si="4"/>
        <v>3.1411815290895237</v>
      </c>
      <c r="Y40" s="2"/>
      <c r="Z40" s="2"/>
    </row>
    <row r="41" spans="2:26" ht="15.75" customHeight="1" x14ac:dyDescent="0.3">
      <c r="B41" s="49" t="s">
        <v>281</v>
      </c>
      <c r="C41" s="4">
        <v>22</v>
      </c>
      <c r="D41" s="4">
        <f>1.5</f>
        <v>1.5</v>
      </c>
      <c r="E41" s="4">
        <f>'Deck structures'!L17/1000</f>
        <v>1.2E-2</v>
      </c>
      <c r="F41" s="4">
        <f t="shared" si="8"/>
        <v>3.375E-3</v>
      </c>
      <c r="G41" s="4">
        <f t="shared" si="6"/>
        <v>1.8000000000000002E-2</v>
      </c>
      <c r="H41" s="4">
        <f>18.1+0.75</f>
        <v>18.850000000000001</v>
      </c>
      <c r="I41" s="4">
        <f t="shared" si="2"/>
        <v>0.33930000000000005</v>
      </c>
      <c r="J41" s="4">
        <f t="shared" si="3"/>
        <v>2.9533753024952629</v>
      </c>
      <c r="K41" s="4">
        <f t="shared" si="4"/>
        <v>2.956750302495263</v>
      </c>
      <c r="N41" s="201" t="s">
        <v>0</v>
      </c>
      <c r="O41" s="202"/>
      <c r="P41" s="202"/>
      <c r="Q41" s="203"/>
      <c r="S41" s="201" t="s">
        <v>303</v>
      </c>
      <c r="T41" s="202"/>
      <c r="U41" s="202"/>
      <c r="V41" s="203"/>
      <c r="Y41" s="2"/>
      <c r="Z41" s="2"/>
    </row>
    <row r="42" spans="2:26" ht="15.75" customHeight="1" x14ac:dyDescent="0.3">
      <c r="B42" s="257" t="s">
        <v>280</v>
      </c>
      <c r="C42" s="4">
        <v>23</v>
      </c>
      <c r="D42" s="4">
        <v>0.8</v>
      </c>
      <c r="E42" s="4">
        <f>'Deck structures'!L18/1000</f>
        <v>1.2E-2</v>
      </c>
      <c r="F42" s="4">
        <f t="shared" si="8"/>
        <v>5.1200000000000019E-4</v>
      </c>
      <c r="G42" s="4">
        <f t="shared" si="6"/>
        <v>9.6000000000000009E-3</v>
      </c>
      <c r="H42" s="4">
        <f>17.7</f>
        <v>17.7</v>
      </c>
      <c r="I42" s="4">
        <f t="shared" si="2"/>
        <v>0.16992000000000002</v>
      </c>
      <c r="J42" s="4">
        <f t="shared" si="3"/>
        <v>1.3050016682519854</v>
      </c>
      <c r="K42" s="4">
        <f t="shared" si="4"/>
        <v>1.3055136682519854</v>
      </c>
      <c r="N42" s="50"/>
      <c r="O42" s="50" t="s">
        <v>26</v>
      </c>
      <c r="P42" s="50" t="s">
        <v>309</v>
      </c>
      <c r="Q42" s="50" t="s">
        <v>177</v>
      </c>
      <c r="S42" s="50" t="s">
        <v>8</v>
      </c>
      <c r="T42" s="50" t="s">
        <v>310</v>
      </c>
      <c r="U42" s="50" t="s">
        <v>11</v>
      </c>
      <c r="V42" s="162" t="s">
        <v>12</v>
      </c>
      <c r="Y42" s="2"/>
      <c r="Z42" s="2"/>
    </row>
    <row r="43" spans="2:26" ht="15.75" customHeight="1" x14ac:dyDescent="0.3">
      <c r="B43" s="260"/>
      <c r="C43" s="136">
        <v>24</v>
      </c>
      <c r="D43" s="4">
        <f>'Deck structures'!L19/1000</f>
        <v>1.2E-2</v>
      </c>
      <c r="E43" s="4">
        <f>'Deck structures'!K19</f>
        <v>2.5</v>
      </c>
      <c r="F43" s="4">
        <f t="shared" ref="F43:F46" si="9">(1/12)*D43*(E43^3)*(COS(PI()/3)^2)</f>
        <v>3.9062500000000017E-3</v>
      </c>
      <c r="G43" s="4">
        <f t="shared" si="6"/>
        <v>0.03</v>
      </c>
      <c r="H43" s="4">
        <v>16.675000000000001</v>
      </c>
      <c r="I43" s="4">
        <f t="shared" si="2"/>
        <v>0.50024999999999997</v>
      </c>
      <c r="J43" s="4">
        <f t="shared" si="3"/>
        <v>3.3926062402644708</v>
      </c>
      <c r="K43" s="4">
        <f t="shared" si="4"/>
        <v>3.3965124902644708</v>
      </c>
      <c r="N43" s="50" t="s">
        <v>155</v>
      </c>
      <c r="O43" s="33">
        <f>SUM(G8:G46)</f>
        <v>1.1886181000000002</v>
      </c>
      <c r="P43" s="33">
        <f>SUM(I8:I46)</f>
        <v>7.4559629360000006</v>
      </c>
      <c r="Q43" s="33">
        <f>SUM(K8:K46)</f>
        <v>53.451735765345134</v>
      </c>
      <c r="S43" s="50" t="s">
        <v>200</v>
      </c>
      <c r="T43" s="33">
        <f>P45/O45</f>
        <v>6.0407687313335927</v>
      </c>
      <c r="U43" s="5" t="s">
        <v>247</v>
      </c>
      <c r="V43" s="162" t="s">
        <v>313</v>
      </c>
      <c r="Y43" s="2"/>
      <c r="Z43" s="2"/>
    </row>
    <row r="44" spans="2:26" ht="15.75" customHeight="1" x14ac:dyDescent="0.3">
      <c r="B44" s="260"/>
      <c r="C44" s="136">
        <v>25</v>
      </c>
      <c r="D44" s="4">
        <f>'Deck structures'!L20/1000</f>
        <v>1.2E-2</v>
      </c>
      <c r="E44" s="4">
        <f>'Deck structures'!K20</f>
        <v>2.5</v>
      </c>
      <c r="F44" s="4">
        <f t="shared" si="9"/>
        <v>3.9062500000000017E-3</v>
      </c>
      <c r="G44" s="4">
        <f t="shared" si="6"/>
        <v>0.03</v>
      </c>
      <c r="H44" s="4">
        <v>15.43</v>
      </c>
      <c r="I44" s="4">
        <f t="shared" si="2"/>
        <v>0.46289999999999998</v>
      </c>
      <c r="J44" s="4">
        <f t="shared" si="3"/>
        <v>2.6447299144950898</v>
      </c>
      <c r="K44" s="4">
        <f t="shared" si="4"/>
        <v>2.6486361644950898</v>
      </c>
      <c r="N44" s="50" t="s">
        <v>217</v>
      </c>
      <c r="O44" s="33">
        <f>SUM(G52:G130)</f>
        <v>0.52947499999999992</v>
      </c>
      <c r="P44" s="33">
        <f>SUM(I52:I130)</f>
        <v>2.9226401400000013</v>
      </c>
      <c r="Q44" s="33">
        <f>SUM(K52:K130)</f>
        <v>22.089755823833336</v>
      </c>
      <c r="S44" s="50" t="s">
        <v>315</v>
      </c>
      <c r="T44" s="37">
        <f>Q45*2</f>
        <v>151.08298317835693</v>
      </c>
      <c r="U44" s="5" t="s">
        <v>316</v>
      </c>
      <c r="V44" s="162" t="s">
        <v>317</v>
      </c>
      <c r="Y44" s="2"/>
      <c r="Z44" s="2"/>
    </row>
    <row r="45" spans="2:26" ht="15.75" customHeight="1" x14ac:dyDescent="0.3">
      <c r="B45" s="260"/>
      <c r="C45" s="136">
        <v>26</v>
      </c>
      <c r="D45" s="4">
        <f>'Deck structures'!L21/1000</f>
        <v>1.2E-2</v>
      </c>
      <c r="E45" s="4">
        <f>'Deck structures'!K21</f>
        <v>2.5</v>
      </c>
      <c r="F45" s="4">
        <f t="shared" si="9"/>
        <v>3.9062500000000017E-3</v>
      </c>
      <c r="G45" s="4">
        <f t="shared" si="6"/>
        <v>0.03</v>
      </c>
      <c r="H45" s="4">
        <v>14.2</v>
      </c>
      <c r="I45" s="4">
        <f t="shared" si="2"/>
        <v>0.42599999999999999</v>
      </c>
      <c r="J45" s="4">
        <f t="shared" si="3"/>
        <v>1.9971916468675086</v>
      </c>
      <c r="K45" s="4">
        <f t="shared" si="4"/>
        <v>2.0010978968675088</v>
      </c>
      <c r="N45" s="50" t="s">
        <v>325</v>
      </c>
      <c r="O45" s="33">
        <f t="shared" ref="O45:Q45" si="10">SUM(O43:O44)</f>
        <v>1.7180931000000002</v>
      </c>
      <c r="P45" s="33">
        <f t="shared" si="10"/>
        <v>10.378603076000001</v>
      </c>
      <c r="Q45" s="33">
        <f t="shared" si="10"/>
        <v>75.541491589178463</v>
      </c>
      <c r="S45" s="50" t="s">
        <v>326</v>
      </c>
      <c r="T45" s="37">
        <f>0.01*(Lbp^2)*B*(Cb+0.7)*(10.75-((0.01*(300-Lbp))^1.5))</f>
        <v>278083.26034317492</v>
      </c>
      <c r="U45" s="5" t="s">
        <v>327</v>
      </c>
      <c r="V45" s="162" t="s">
        <v>328</v>
      </c>
      <c r="Y45" s="2"/>
      <c r="Z45" s="2"/>
    </row>
    <row r="46" spans="2:26" ht="15.75" customHeight="1" x14ac:dyDescent="0.3">
      <c r="B46" s="258"/>
      <c r="C46" s="136">
        <v>27</v>
      </c>
      <c r="D46" s="4">
        <f>'Deck structures'!L22/1000</f>
        <v>1.2E-2</v>
      </c>
      <c r="E46" s="4">
        <f>'Deck structures'!K22</f>
        <v>2.5</v>
      </c>
      <c r="F46" s="4">
        <f t="shared" si="9"/>
        <v>3.9062500000000017E-3</v>
      </c>
      <c r="G46" s="4">
        <f t="shared" si="6"/>
        <v>0.03</v>
      </c>
      <c r="H46" s="4">
        <v>12.93</v>
      </c>
      <c r="I46" s="4">
        <f t="shared" si="2"/>
        <v>0.38789999999999997</v>
      </c>
      <c r="J46" s="4">
        <f t="shared" si="3"/>
        <v>1.4238452241951285</v>
      </c>
      <c r="K46" s="4">
        <f t="shared" si="4"/>
        <v>1.4277514741951285</v>
      </c>
      <c r="S46" s="50" t="s">
        <v>333</v>
      </c>
      <c r="T46" s="37">
        <f>T44/T43*10^4</f>
        <v>250105.55758356774</v>
      </c>
      <c r="U46" s="5" t="s">
        <v>327</v>
      </c>
      <c r="V46" s="162" t="s">
        <v>334</v>
      </c>
      <c r="Y46" s="2"/>
      <c r="Z46" s="2"/>
    </row>
    <row r="47" spans="2:26" ht="15.75" customHeight="1" x14ac:dyDescent="0.3">
      <c r="S47" s="50" t="s">
        <v>336</v>
      </c>
      <c r="T47" s="37">
        <f>T44/(D-T43)*10^4</f>
        <v>125284.09134246971</v>
      </c>
      <c r="U47" s="5" t="s">
        <v>327</v>
      </c>
      <c r="V47" s="162" t="s">
        <v>337</v>
      </c>
      <c r="Y47" s="2"/>
      <c r="Z47" s="2"/>
    </row>
    <row r="48" spans="2:26" ht="15.75" customHeight="1" x14ac:dyDescent="0.3">
      <c r="Y48" s="2"/>
      <c r="Z48" s="2"/>
    </row>
    <row r="49" spans="2:26" ht="15.75" customHeight="1" x14ac:dyDescent="0.3">
      <c r="B49" s="99" t="s">
        <v>529</v>
      </c>
      <c r="F49" s="22"/>
      <c r="G49" s="22"/>
      <c r="I49" s="22"/>
      <c r="J49" s="22"/>
      <c r="K49" s="22"/>
      <c r="Y49" s="2"/>
      <c r="Z49" s="2"/>
    </row>
    <row r="50" spans="2:26" ht="15.75" customHeight="1" x14ac:dyDescent="0.3">
      <c r="B50" s="265" t="s">
        <v>284</v>
      </c>
      <c r="C50" s="49" t="s">
        <v>321</v>
      </c>
      <c r="D50" s="49" t="s">
        <v>322</v>
      </c>
      <c r="E50" s="49" t="s">
        <v>323</v>
      </c>
      <c r="F50" s="138" t="s">
        <v>318</v>
      </c>
      <c r="G50" s="138" t="s">
        <v>26</v>
      </c>
      <c r="H50" s="49" t="s">
        <v>191</v>
      </c>
      <c r="I50" s="138" t="s">
        <v>319</v>
      </c>
      <c r="J50" s="138" t="s">
        <v>320</v>
      </c>
      <c r="K50" s="138" t="s">
        <v>177</v>
      </c>
      <c r="L50" s="266" t="s">
        <v>297</v>
      </c>
      <c r="Y50" s="2"/>
      <c r="Z50" s="2"/>
    </row>
    <row r="51" spans="2:26" ht="15.75" customHeight="1" x14ac:dyDescent="0.3">
      <c r="B51" s="258"/>
      <c r="C51" s="137" t="s">
        <v>164</v>
      </c>
      <c r="D51" s="137" t="s">
        <v>30</v>
      </c>
      <c r="E51" s="137" t="s">
        <v>30</v>
      </c>
      <c r="F51" s="139" t="s">
        <v>329</v>
      </c>
      <c r="G51" s="139" t="s">
        <v>330</v>
      </c>
      <c r="H51" s="137" t="s">
        <v>3</v>
      </c>
      <c r="I51" s="139" t="s">
        <v>331</v>
      </c>
      <c r="J51" s="139" t="s">
        <v>329</v>
      </c>
      <c r="K51" s="139" t="s">
        <v>329</v>
      </c>
      <c r="L51" s="267"/>
      <c r="Y51" s="2"/>
      <c r="Z51" s="2"/>
    </row>
    <row r="52" spans="2:26" ht="15.75" customHeight="1" x14ac:dyDescent="0.3">
      <c r="B52" s="257" t="s">
        <v>286</v>
      </c>
      <c r="C52" s="4">
        <v>1</v>
      </c>
      <c r="D52" s="31">
        <f t="shared" ref="D52:D71" si="11">$P$34</f>
        <v>400</v>
      </c>
      <c r="E52" s="31">
        <f t="shared" ref="E52:E71" si="12">$Q$34</f>
        <v>16</v>
      </c>
      <c r="F52" s="38">
        <f t="shared" ref="F52:F66" si="13">$V$34*10^-8</f>
        <v>2.6660000000000004E-6</v>
      </c>
      <c r="G52" s="38">
        <f t="shared" ref="G52:G71" si="14">$O$34*10^-4</f>
        <v>8.9480000000000011E-3</v>
      </c>
      <c r="H52" s="4">
        <f t="shared" ref="H52:H66" si="15">D52/2000</f>
        <v>0.2</v>
      </c>
      <c r="I52" s="38">
        <f t="shared" ref="I52:I130" si="16">G52*H52</f>
        <v>1.7896000000000003E-3</v>
      </c>
      <c r="J52" s="38">
        <f t="shared" ref="J52:J83" si="17">G52*(H52-$T$43)^2</f>
        <v>0.30525725622892602</v>
      </c>
      <c r="K52" s="38">
        <f t="shared" ref="K52:K130" si="18">F52+J52</f>
        <v>0.30525992222892601</v>
      </c>
      <c r="L52" s="269" t="str">
        <f>'Longitudinal components'!N5</f>
        <v>HP400 X 16</v>
      </c>
      <c r="Y52" s="2"/>
      <c r="Z52" s="2"/>
    </row>
    <row r="53" spans="2:26" ht="15.75" customHeight="1" x14ac:dyDescent="0.3">
      <c r="B53" s="260"/>
      <c r="C53" s="4">
        <v>2</v>
      </c>
      <c r="D53" s="31">
        <f t="shared" si="11"/>
        <v>400</v>
      </c>
      <c r="E53" s="31">
        <f t="shared" si="12"/>
        <v>16</v>
      </c>
      <c r="F53" s="38">
        <f t="shared" si="13"/>
        <v>2.6660000000000004E-6</v>
      </c>
      <c r="G53" s="38">
        <f t="shared" si="14"/>
        <v>8.9480000000000011E-3</v>
      </c>
      <c r="H53" s="4">
        <f t="shared" si="15"/>
        <v>0.2</v>
      </c>
      <c r="I53" s="38">
        <f t="shared" si="16"/>
        <v>1.7896000000000003E-3</v>
      </c>
      <c r="J53" s="38">
        <f t="shared" si="17"/>
        <v>0.30525725622892602</v>
      </c>
      <c r="K53" s="38">
        <f t="shared" si="18"/>
        <v>0.30525992222892601</v>
      </c>
      <c r="L53" s="262"/>
      <c r="Y53" s="2"/>
      <c r="Z53" s="2"/>
    </row>
    <row r="54" spans="2:26" ht="15.75" customHeight="1" x14ac:dyDescent="0.3">
      <c r="B54" s="260"/>
      <c r="C54" s="4">
        <v>3</v>
      </c>
      <c r="D54" s="31">
        <f t="shared" si="11"/>
        <v>400</v>
      </c>
      <c r="E54" s="31">
        <f t="shared" si="12"/>
        <v>16</v>
      </c>
      <c r="F54" s="38">
        <f t="shared" si="13"/>
        <v>2.6660000000000004E-6</v>
      </c>
      <c r="G54" s="38">
        <f t="shared" si="14"/>
        <v>8.9480000000000011E-3</v>
      </c>
      <c r="H54" s="4">
        <f t="shared" si="15"/>
        <v>0.2</v>
      </c>
      <c r="I54" s="38">
        <f t="shared" si="16"/>
        <v>1.7896000000000003E-3</v>
      </c>
      <c r="J54" s="38">
        <f t="shared" si="17"/>
        <v>0.30525725622892602</v>
      </c>
      <c r="K54" s="38">
        <f t="shared" si="18"/>
        <v>0.30525992222892601</v>
      </c>
      <c r="L54" s="262"/>
      <c r="Y54" s="2"/>
      <c r="Z54" s="2"/>
    </row>
    <row r="55" spans="2:26" ht="15.75" customHeight="1" x14ac:dyDescent="0.3">
      <c r="B55" s="260"/>
      <c r="C55" s="4">
        <v>4</v>
      </c>
      <c r="D55" s="31">
        <f t="shared" si="11"/>
        <v>400</v>
      </c>
      <c r="E55" s="31">
        <f t="shared" si="12"/>
        <v>16</v>
      </c>
      <c r="F55" s="38">
        <f t="shared" si="13"/>
        <v>2.6660000000000004E-6</v>
      </c>
      <c r="G55" s="38">
        <f t="shared" si="14"/>
        <v>8.9480000000000011E-3</v>
      </c>
      <c r="H55" s="4">
        <f t="shared" si="15"/>
        <v>0.2</v>
      </c>
      <c r="I55" s="38">
        <f t="shared" si="16"/>
        <v>1.7896000000000003E-3</v>
      </c>
      <c r="J55" s="38">
        <f t="shared" si="17"/>
        <v>0.30525725622892602</v>
      </c>
      <c r="K55" s="38">
        <f t="shared" si="18"/>
        <v>0.30525992222892601</v>
      </c>
      <c r="L55" s="262"/>
      <c r="Y55" s="2"/>
      <c r="Z55" s="2"/>
    </row>
    <row r="56" spans="2:26" ht="15.75" customHeight="1" x14ac:dyDescent="0.3">
      <c r="B56" s="260"/>
      <c r="C56" s="4">
        <v>5</v>
      </c>
      <c r="D56" s="31">
        <f t="shared" si="11"/>
        <v>400</v>
      </c>
      <c r="E56" s="31">
        <f t="shared" si="12"/>
        <v>16</v>
      </c>
      <c r="F56" s="38">
        <f t="shared" si="13"/>
        <v>2.6660000000000004E-6</v>
      </c>
      <c r="G56" s="38">
        <f t="shared" si="14"/>
        <v>8.9480000000000011E-3</v>
      </c>
      <c r="H56" s="4">
        <f t="shared" si="15"/>
        <v>0.2</v>
      </c>
      <c r="I56" s="38">
        <f t="shared" si="16"/>
        <v>1.7896000000000003E-3</v>
      </c>
      <c r="J56" s="38">
        <f t="shared" si="17"/>
        <v>0.30525725622892602</v>
      </c>
      <c r="K56" s="38">
        <f t="shared" si="18"/>
        <v>0.30525992222892601</v>
      </c>
      <c r="L56" s="262"/>
      <c r="Y56" s="2"/>
      <c r="Z56" s="2"/>
    </row>
    <row r="57" spans="2:26" ht="15.75" customHeight="1" x14ac:dyDescent="0.3">
      <c r="B57" s="260"/>
      <c r="C57" s="4">
        <v>6</v>
      </c>
      <c r="D57" s="31">
        <f t="shared" si="11"/>
        <v>400</v>
      </c>
      <c r="E57" s="31">
        <f t="shared" si="12"/>
        <v>16</v>
      </c>
      <c r="F57" s="38">
        <f t="shared" si="13"/>
        <v>2.6660000000000004E-6</v>
      </c>
      <c r="G57" s="38">
        <f t="shared" si="14"/>
        <v>8.9480000000000011E-3</v>
      </c>
      <c r="H57" s="4">
        <f t="shared" si="15"/>
        <v>0.2</v>
      </c>
      <c r="I57" s="38">
        <f t="shared" si="16"/>
        <v>1.7896000000000003E-3</v>
      </c>
      <c r="J57" s="38">
        <f t="shared" si="17"/>
        <v>0.30525725622892602</v>
      </c>
      <c r="K57" s="38">
        <f t="shared" si="18"/>
        <v>0.30525992222892601</v>
      </c>
      <c r="L57" s="262"/>
      <c r="Y57" s="2"/>
      <c r="Z57" s="2"/>
    </row>
    <row r="58" spans="2:26" ht="15.75" customHeight="1" x14ac:dyDescent="0.3">
      <c r="B58" s="260"/>
      <c r="C58" s="4">
        <v>7</v>
      </c>
      <c r="D58" s="31">
        <f t="shared" si="11"/>
        <v>400</v>
      </c>
      <c r="E58" s="31">
        <f t="shared" si="12"/>
        <v>16</v>
      </c>
      <c r="F58" s="38">
        <f t="shared" si="13"/>
        <v>2.6660000000000004E-6</v>
      </c>
      <c r="G58" s="38">
        <f t="shared" si="14"/>
        <v>8.9480000000000011E-3</v>
      </c>
      <c r="H58" s="4">
        <f t="shared" si="15"/>
        <v>0.2</v>
      </c>
      <c r="I58" s="38">
        <f t="shared" si="16"/>
        <v>1.7896000000000003E-3</v>
      </c>
      <c r="J58" s="38">
        <f t="shared" si="17"/>
        <v>0.30525725622892602</v>
      </c>
      <c r="K58" s="38">
        <f t="shared" si="18"/>
        <v>0.30525992222892601</v>
      </c>
      <c r="L58" s="262"/>
      <c r="Y58" s="2"/>
      <c r="Z58" s="2"/>
    </row>
    <row r="59" spans="2:26" ht="15.75" customHeight="1" x14ac:dyDescent="0.3">
      <c r="B59" s="260"/>
      <c r="C59" s="4">
        <v>8</v>
      </c>
      <c r="D59" s="31">
        <f t="shared" si="11"/>
        <v>400</v>
      </c>
      <c r="E59" s="31">
        <f t="shared" si="12"/>
        <v>16</v>
      </c>
      <c r="F59" s="38">
        <f t="shared" si="13"/>
        <v>2.6660000000000004E-6</v>
      </c>
      <c r="G59" s="38">
        <f t="shared" si="14"/>
        <v>8.9480000000000011E-3</v>
      </c>
      <c r="H59" s="4">
        <f t="shared" si="15"/>
        <v>0.2</v>
      </c>
      <c r="I59" s="38">
        <f t="shared" si="16"/>
        <v>1.7896000000000003E-3</v>
      </c>
      <c r="J59" s="38">
        <f t="shared" si="17"/>
        <v>0.30525725622892602</v>
      </c>
      <c r="K59" s="38">
        <f t="shared" si="18"/>
        <v>0.30525992222892601</v>
      </c>
      <c r="L59" s="262"/>
      <c r="Y59" s="2"/>
      <c r="Z59" s="2"/>
    </row>
    <row r="60" spans="2:26" ht="15.75" customHeight="1" x14ac:dyDescent="0.3">
      <c r="B60" s="260"/>
      <c r="C60" s="4">
        <v>9</v>
      </c>
      <c r="D60" s="31">
        <f t="shared" si="11"/>
        <v>400</v>
      </c>
      <c r="E60" s="31">
        <f t="shared" si="12"/>
        <v>16</v>
      </c>
      <c r="F60" s="38">
        <f t="shared" si="13"/>
        <v>2.6660000000000004E-6</v>
      </c>
      <c r="G60" s="38">
        <f t="shared" si="14"/>
        <v>8.9480000000000011E-3</v>
      </c>
      <c r="H60" s="4">
        <f t="shared" si="15"/>
        <v>0.2</v>
      </c>
      <c r="I60" s="38">
        <f t="shared" si="16"/>
        <v>1.7896000000000003E-3</v>
      </c>
      <c r="J60" s="38">
        <f t="shared" si="17"/>
        <v>0.30525725622892602</v>
      </c>
      <c r="K60" s="38">
        <f t="shared" si="18"/>
        <v>0.30525992222892601</v>
      </c>
      <c r="L60" s="262"/>
      <c r="Y60" s="2"/>
      <c r="Z60" s="2"/>
    </row>
    <row r="61" spans="2:26" ht="15.75" customHeight="1" x14ac:dyDescent="0.3">
      <c r="B61" s="260"/>
      <c r="C61" s="4">
        <v>10</v>
      </c>
      <c r="D61" s="31">
        <f t="shared" si="11"/>
        <v>400</v>
      </c>
      <c r="E61" s="31">
        <f t="shared" si="12"/>
        <v>16</v>
      </c>
      <c r="F61" s="38">
        <f t="shared" si="13"/>
        <v>2.6660000000000004E-6</v>
      </c>
      <c r="G61" s="38">
        <f t="shared" si="14"/>
        <v>8.9480000000000011E-3</v>
      </c>
      <c r="H61" s="4">
        <f t="shared" si="15"/>
        <v>0.2</v>
      </c>
      <c r="I61" s="38">
        <f t="shared" si="16"/>
        <v>1.7896000000000003E-3</v>
      </c>
      <c r="J61" s="38">
        <f t="shared" si="17"/>
        <v>0.30525725622892602</v>
      </c>
      <c r="K61" s="38">
        <f t="shared" si="18"/>
        <v>0.30525992222892601</v>
      </c>
      <c r="L61" s="262"/>
      <c r="Y61" s="2"/>
      <c r="Z61" s="2"/>
    </row>
    <row r="62" spans="2:26" ht="15.75" customHeight="1" x14ac:dyDescent="0.3">
      <c r="B62" s="260"/>
      <c r="C62" s="4">
        <v>11</v>
      </c>
      <c r="D62" s="31">
        <f t="shared" si="11"/>
        <v>400</v>
      </c>
      <c r="E62" s="31">
        <f t="shared" si="12"/>
        <v>16</v>
      </c>
      <c r="F62" s="38">
        <f t="shared" si="13"/>
        <v>2.6660000000000004E-6</v>
      </c>
      <c r="G62" s="38">
        <f t="shared" si="14"/>
        <v>8.9480000000000011E-3</v>
      </c>
      <c r="H62" s="4">
        <f t="shared" si="15"/>
        <v>0.2</v>
      </c>
      <c r="I62" s="38">
        <f t="shared" si="16"/>
        <v>1.7896000000000003E-3</v>
      </c>
      <c r="J62" s="38">
        <f t="shared" si="17"/>
        <v>0.30525725622892602</v>
      </c>
      <c r="K62" s="38">
        <f t="shared" si="18"/>
        <v>0.30525992222892601</v>
      </c>
      <c r="L62" s="262"/>
      <c r="Y62" s="2"/>
      <c r="Z62" s="2"/>
    </row>
    <row r="63" spans="2:26" ht="15.75" customHeight="1" x14ac:dyDescent="0.3">
      <c r="B63" s="260"/>
      <c r="C63" s="4">
        <v>12</v>
      </c>
      <c r="D63" s="31">
        <f t="shared" si="11"/>
        <v>400</v>
      </c>
      <c r="E63" s="31">
        <f t="shared" si="12"/>
        <v>16</v>
      </c>
      <c r="F63" s="38">
        <f t="shared" si="13"/>
        <v>2.6660000000000004E-6</v>
      </c>
      <c r="G63" s="38">
        <f t="shared" si="14"/>
        <v>8.9480000000000011E-3</v>
      </c>
      <c r="H63" s="4">
        <f t="shared" si="15"/>
        <v>0.2</v>
      </c>
      <c r="I63" s="38">
        <f t="shared" si="16"/>
        <v>1.7896000000000003E-3</v>
      </c>
      <c r="J63" s="38">
        <f t="shared" si="17"/>
        <v>0.30525725622892602</v>
      </c>
      <c r="K63" s="38">
        <f t="shared" si="18"/>
        <v>0.30525992222892601</v>
      </c>
      <c r="L63" s="262"/>
      <c r="Y63" s="2"/>
      <c r="Z63" s="2"/>
    </row>
    <row r="64" spans="2:26" ht="15.75" customHeight="1" x14ac:dyDescent="0.3">
      <c r="B64" s="260"/>
      <c r="C64" s="4">
        <v>13</v>
      </c>
      <c r="D64" s="31">
        <f t="shared" si="11"/>
        <v>400</v>
      </c>
      <c r="E64" s="31">
        <f t="shared" si="12"/>
        <v>16</v>
      </c>
      <c r="F64" s="38">
        <f t="shared" si="13"/>
        <v>2.6660000000000004E-6</v>
      </c>
      <c r="G64" s="38">
        <f t="shared" si="14"/>
        <v>8.9480000000000011E-3</v>
      </c>
      <c r="H64" s="4">
        <f t="shared" si="15"/>
        <v>0.2</v>
      </c>
      <c r="I64" s="38">
        <f t="shared" si="16"/>
        <v>1.7896000000000003E-3</v>
      </c>
      <c r="J64" s="38">
        <f t="shared" si="17"/>
        <v>0.30525725622892602</v>
      </c>
      <c r="K64" s="38">
        <f t="shared" si="18"/>
        <v>0.30525992222892601</v>
      </c>
      <c r="L64" s="262"/>
      <c r="Y64" s="2"/>
      <c r="Z64" s="2"/>
    </row>
    <row r="65" spans="2:26" ht="15.75" customHeight="1" x14ac:dyDescent="0.3">
      <c r="B65" s="260"/>
      <c r="C65" s="4">
        <v>14</v>
      </c>
      <c r="D65" s="31">
        <f t="shared" si="11"/>
        <v>400</v>
      </c>
      <c r="E65" s="31">
        <f t="shared" si="12"/>
        <v>16</v>
      </c>
      <c r="F65" s="38">
        <f t="shared" si="13"/>
        <v>2.6660000000000004E-6</v>
      </c>
      <c r="G65" s="38">
        <f t="shared" si="14"/>
        <v>8.9480000000000011E-3</v>
      </c>
      <c r="H65" s="4">
        <f t="shared" si="15"/>
        <v>0.2</v>
      </c>
      <c r="I65" s="38">
        <f t="shared" si="16"/>
        <v>1.7896000000000003E-3</v>
      </c>
      <c r="J65" s="38">
        <f t="shared" si="17"/>
        <v>0.30525725622892602</v>
      </c>
      <c r="K65" s="38">
        <f t="shared" si="18"/>
        <v>0.30525992222892601</v>
      </c>
      <c r="L65" s="262"/>
      <c r="Y65" s="2"/>
      <c r="Z65" s="2"/>
    </row>
    <row r="66" spans="2:26" ht="15.75" customHeight="1" x14ac:dyDescent="0.3">
      <c r="B66" s="260"/>
      <c r="C66" s="4">
        <v>15</v>
      </c>
      <c r="D66" s="31">
        <f t="shared" si="11"/>
        <v>400</v>
      </c>
      <c r="E66" s="31">
        <f t="shared" si="12"/>
        <v>16</v>
      </c>
      <c r="F66" s="38">
        <f t="shared" si="13"/>
        <v>2.6660000000000004E-6</v>
      </c>
      <c r="G66" s="38">
        <f t="shared" si="14"/>
        <v>8.9480000000000011E-3</v>
      </c>
      <c r="H66" s="4">
        <f t="shared" si="15"/>
        <v>0.2</v>
      </c>
      <c r="I66" s="38">
        <f t="shared" si="16"/>
        <v>1.7896000000000003E-3</v>
      </c>
      <c r="J66" s="38">
        <f t="shared" si="17"/>
        <v>0.30525725622892602</v>
      </c>
      <c r="K66" s="38">
        <f t="shared" si="18"/>
        <v>0.30525992222892601</v>
      </c>
      <c r="L66" s="262"/>
      <c r="Y66" s="2"/>
      <c r="Z66" s="2"/>
    </row>
    <row r="67" spans="2:26" ht="15.75" customHeight="1" x14ac:dyDescent="0.3">
      <c r="B67" s="260"/>
      <c r="C67" s="4">
        <v>16</v>
      </c>
      <c r="D67" s="31">
        <f t="shared" si="11"/>
        <v>400</v>
      </c>
      <c r="E67" s="31">
        <f t="shared" si="12"/>
        <v>16</v>
      </c>
      <c r="F67" s="38">
        <f>$U$34*10^-8</f>
        <v>1.4220000000000001E-4</v>
      </c>
      <c r="G67" s="38">
        <f t="shared" si="14"/>
        <v>8.9480000000000011E-3</v>
      </c>
      <c r="H67" s="4">
        <v>2.82</v>
      </c>
      <c r="I67" s="38">
        <f t="shared" si="16"/>
        <v>2.5233360000000003E-2</v>
      </c>
      <c r="J67" s="38">
        <f t="shared" si="17"/>
        <v>9.2820746723147551E-2</v>
      </c>
      <c r="K67" s="38">
        <f t="shared" si="18"/>
        <v>9.2962946723147546E-2</v>
      </c>
      <c r="L67" s="262"/>
      <c r="Y67" s="2"/>
      <c r="Z67" s="2"/>
    </row>
    <row r="68" spans="2:26" ht="15.75" customHeight="1" x14ac:dyDescent="0.3">
      <c r="B68" s="260"/>
      <c r="C68" s="4">
        <v>17</v>
      </c>
      <c r="D68" s="31">
        <f t="shared" si="11"/>
        <v>400</v>
      </c>
      <c r="E68" s="31">
        <f t="shared" si="12"/>
        <v>16</v>
      </c>
      <c r="F68" s="38">
        <f>$U$34*10^-8</f>
        <v>1.4220000000000001E-4</v>
      </c>
      <c r="G68" s="38">
        <f t="shared" si="14"/>
        <v>8.9480000000000011E-3</v>
      </c>
      <c r="H68" s="4">
        <f t="shared" ref="H68:H70" si="19">H67+0.88</f>
        <v>3.6999999999999997</v>
      </c>
      <c r="I68" s="38">
        <f t="shared" si="16"/>
        <v>3.3107600000000001E-2</v>
      </c>
      <c r="J68" s="38">
        <f t="shared" si="17"/>
        <v>4.9027865973115078E-2</v>
      </c>
      <c r="K68" s="38">
        <f t="shared" si="18"/>
        <v>4.917006597311508E-2</v>
      </c>
      <c r="L68" s="262"/>
      <c r="Y68" s="2"/>
      <c r="Z68" s="2"/>
    </row>
    <row r="69" spans="2:26" ht="15.75" customHeight="1" x14ac:dyDescent="0.3">
      <c r="B69" s="260"/>
      <c r="C69" s="4">
        <v>18</v>
      </c>
      <c r="D69" s="31">
        <f t="shared" si="11"/>
        <v>400</v>
      </c>
      <c r="E69" s="31">
        <f t="shared" si="12"/>
        <v>16</v>
      </c>
      <c r="F69" s="38">
        <f>$U$34*10^-8</f>
        <v>1.4220000000000001E-4</v>
      </c>
      <c r="G69" s="38">
        <f t="shared" si="14"/>
        <v>8.9480000000000011E-3</v>
      </c>
      <c r="H69" s="4">
        <f t="shared" si="19"/>
        <v>4.58</v>
      </c>
      <c r="I69" s="38">
        <f t="shared" si="16"/>
        <v>4.0981840000000005E-2</v>
      </c>
      <c r="J69" s="38">
        <f t="shared" si="17"/>
        <v>1.9093647623082605E-2</v>
      </c>
      <c r="K69" s="38">
        <f t="shared" si="18"/>
        <v>1.9235847623082603E-2</v>
      </c>
      <c r="L69" s="262"/>
      <c r="Y69" s="2"/>
      <c r="Z69" s="2"/>
    </row>
    <row r="70" spans="2:26" ht="15.75" customHeight="1" x14ac:dyDescent="0.3">
      <c r="B70" s="260"/>
      <c r="C70" s="4">
        <v>19</v>
      </c>
      <c r="D70" s="31">
        <f t="shared" si="11"/>
        <v>400</v>
      </c>
      <c r="E70" s="31">
        <f t="shared" si="12"/>
        <v>16</v>
      </c>
      <c r="F70" s="38">
        <f>$U$34*10^-8</f>
        <v>1.4220000000000001E-4</v>
      </c>
      <c r="G70" s="38">
        <f t="shared" si="14"/>
        <v>8.9480000000000011E-3</v>
      </c>
      <c r="H70" s="4">
        <f t="shared" si="19"/>
        <v>5.46</v>
      </c>
      <c r="I70" s="38">
        <f t="shared" si="16"/>
        <v>4.8856080000000003E-2</v>
      </c>
      <c r="J70" s="38">
        <f t="shared" si="17"/>
        <v>3.0180916730501465E-3</v>
      </c>
      <c r="K70" s="38">
        <f t="shared" si="18"/>
        <v>3.1602916730501464E-3</v>
      </c>
      <c r="L70" s="262"/>
      <c r="Y70" s="2"/>
      <c r="Z70" s="2"/>
    </row>
    <row r="71" spans="2:26" ht="15.75" customHeight="1" x14ac:dyDescent="0.3">
      <c r="B71" s="258"/>
      <c r="C71" s="4">
        <v>20</v>
      </c>
      <c r="D71" s="31">
        <f t="shared" si="11"/>
        <v>400</v>
      </c>
      <c r="E71" s="31">
        <f t="shared" si="12"/>
        <v>16</v>
      </c>
      <c r="F71" s="38">
        <f>$U$34*10^-8</f>
        <v>1.4220000000000001E-4</v>
      </c>
      <c r="G71" s="38">
        <f t="shared" si="14"/>
        <v>8.9480000000000011E-3</v>
      </c>
      <c r="H71" s="4">
        <v>6.4</v>
      </c>
      <c r="I71" s="38">
        <f t="shared" si="16"/>
        <v>5.7267200000000011E-2</v>
      </c>
      <c r="J71" s="38">
        <f t="shared" si="17"/>
        <v>1.1547134900609316E-3</v>
      </c>
      <c r="K71" s="38">
        <f t="shared" si="18"/>
        <v>1.2969134900609317E-3</v>
      </c>
      <c r="L71" s="263"/>
      <c r="Y71" s="2"/>
      <c r="Z71" s="2"/>
    </row>
    <row r="72" spans="2:26" ht="15.75" customHeight="1" x14ac:dyDescent="0.3">
      <c r="B72" s="257" t="s">
        <v>53</v>
      </c>
      <c r="C72" s="4">
        <v>50</v>
      </c>
      <c r="D72" s="31">
        <f t="shared" ref="D72:D91" si="20">$P$32</f>
        <v>370</v>
      </c>
      <c r="E72" s="31">
        <f t="shared" ref="E72:E91" si="21">$Q$32</f>
        <v>15</v>
      </c>
      <c r="F72" s="38">
        <f t="shared" ref="F72:F91" si="22">$V$32*10^-8</f>
        <v>1.9480000000000002E-6</v>
      </c>
      <c r="G72" s="38">
        <f t="shared" ref="G72:G91" si="23">$O$32*10^-4</f>
        <v>7.7099999999999998E-3</v>
      </c>
      <c r="H72" s="4">
        <f>6.49</f>
        <v>6.49</v>
      </c>
      <c r="I72" s="38">
        <f t="shared" si="16"/>
        <v>5.0037900000000003E-2</v>
      </c>
      <c r="J72" s="38">
        <f t="shared" si="17"/>
        <v>1.5559453294842272E-3</v>
      </c>
      <c r="K72" s="38">
        <f t="shared" si="18"/>
        <v>1.5578933294842273E-3</v>
      </c>
      <c r="L72" s="261" t="str">
        <f>'Longitudinal components'!N6</f>
        <v>HP370 X 15</v>
      </c>
      <c r="Y72" s="2"/>
      <c r="Z72" s="2"/>
    </row>
    <row r="73" spans="2:26" ht="15.75" customHeight="1" x14ac:dyDescent="0.3">
      <c r="B73" s="260"/>
      <c r="C73" s="4">
        <v>51</v>
      </c>
      <c r="D73" s="31">
        <f t="shared" si="20"/>
        <v>370</v>
      </c>
      <c r="E73" s="31">
        <f t="shared" si="21"/>
        <v>15</v>
      </c>
      <c r="F73" s="38">
        <f t="shared" si="22"/>
        <v>1.9480000000000002E-6</v>
      </c>
      <c r="G73" s="38">
        <f t="shared" si="23"/>
        <v>7.7099999999999998E-3</v>
      </c>
      <c r="H73" s="4">
        <v>5.9</v>
      </c>
      <c r="I73" s="38">
        <f t="shared" si="16"/>
        <v>4.5489000000000002E-2</v>
      </c>
      <c r="J73" s="38">
        <f t="shared" si="17"/>
        <v>1.5278009341098482E-4</v>
      </c>
      <c r="K73" s="38">
        <f t="shared" si="18"/>
        <v>1.5472809341098481E-4</v>
      </c>
      <c r="L73" s="262"/>
      <c r="Y73" s="2"/>
      <c r="Z73" s="2"/>
    </row>
    <row r="74" spans="2:26" ht="15.75" customHeight="1" x14ac:dyDescent="0.3">
      <c r="B74" s="260"/>
      <c r="C74" s="4">
        <v>52</v>
      </c>
      <c r="D74" s="31">
        <f t="shared" si="20"/>
        <v>370</v>
      </c>
      <c r="E74" s="31">
        <f t="shared" si="21"/>
        <v>15</v>
      </c>
      <c r="F74" s="38">
        <f t="shared" si="22"/>
        <v>1.9480000000000002E-6</v>
      </c>
      <c r="G74" s="38">
        <f t="shared" si="23"/>
        <v>7.7099999999999998E-3</v>
      </c>
      <c r="H74" s="4">
        <f t="shared" ref="H74:H79" si="24">H73-($H$72-$H$73)</f>
        <v>5.3100000000000005</v>
      </c>
      <c r="I74" s="38">
        <f t="shared" si="16"/>
        <v>4.09401E-2</v>
      </c>
      <c r="J74" s="38">
        <f t="shared" si="17"/>
        <v>4.1173168573377401E-3</v>
      </c>
      <c r="K74" s="38">
        <f t="shared" si="18"/>
        <v>4.1192648573377399E-3</v>
      </c>
      <c r="L74" s="262"/>
      <c r="Y74" s="2"/>
      <c r="Z74" s="2"/>
    </row>
    <row r="75" spans="2:26" ht="15.75" customHeight="1" x14ac:dyDescent="0.3">
      <c r="B75" s="260"/>
      <c r="C75" s="4">
        <v>53</v>
      </c>
      <c r="D75" s="31">
        <f t="shared" si="20"/>
        <v>370</v>
      </c>
      <c r="E75" s="31">
        <f t="shared" si="21"/>
        <v>15</v>
      </c>
      <c r="F75" s="38">
        <f t="shared" si="22"/>
        <v>1.9480000000000002E-6</v>
      </c>
      <c r="G75" s="38">
        <f t="shared" si="23"/>
        <v>7.7099999999999998E-3</v>
      </c>
      <c r="H75" s="4">
        <f t="shared" si="24"/>
        <v>4.7200000000000006</v>
      </c>
      <c r="I75" s="38">
        <f t="shared" si="16"/>
        <v>3.6391200000000005E-2</v>
      </c>
      <c r="J75" s="38">
        <f t="shared" si="17"/>
        <v>1.3449555621264491E-2</v>
      </c>
      <c r="K75" s="38">
        <f t="shared" si="18"/>
        <v>1.3451503621264491E-2</v>
      </c>
      <c r="L75" s="262"/>
      <c r="Y75" s="2"/>
      <c r="Z75" s="2"/>
    </row>
    <row r="76" spans="2:26" ht="15.75" customHeight="1" x14ac:dyDescent="0.3">
      <c r="B76" s="260"/>
      <c r="C76" s="4">
        <v>54</v>
      </c>
      <c r="D76" s="31">
        <f t="shared" si="20"/>
        <v>370</v>
      </c>
      <c r="E76" s="31">
        <f t="shared" si="21"/>
        <v>15</v>
      </c>
      <c r="F76" s="38">
        <f t="shared" si="22"/>
        <v>1.9480000000000002E-6</v>
      </c>
      <c r="G76" s="38">
        <f t="shared" si="23"/>
        <v>7.7099999999999998E-3</v>
      </c>
      <c r="H76" s="4">
        <f t="shared" si="24"/>
        <v>4.1300000000000008</v>
      </c>
      <c r="I76" s="38">
        <f t="shared" si="16"/>
        <v>3.1842300000000004E-2</v>
      </c>
      <c r="J76" s="38">
        <f t="shared" si="17"/>
        <v>2.8149496385191243E-2</v>
      </c>
      <c r="K76" s="38">
        <f t="shared" si="18"/>
        <v>2.8151444385191245E-2</v>
      </c>
      <c r="L76" s="262"/>
      <c r="Y76" s="2"/>
      <c r="Z76" s="2"/>
    </row>
    <row r="77" spans="2:26" ht="15.75" customHeight="1" x14ac:dyDescent="0.3">
      <c r="B77" s="260"/>
      <c r="C77" s="4">
        <v>55</v>
      </c>
      <c r="D77" s="31">
        <f t="shared" si="20"/>
        <v>370</v>
      </c>
      <c r="E77" s="31">
        <f t="shared" si="21"/>
        <v>15</v>
      </c>
      <c r="F77" s="38">
        <f t="shared" si="22"/>
        <v>1.9480000000000002E-6</v>
      </c>
      <c r="G77" s="38">
        <f t="shared" si="23"/>
        <v>7.7099999999999998E-3</v>
      </c>
      <c r="H77" s="4">
        <f t="shared" si="24"/>
        <v>3.5400000000000009</v>
      </c>
      <c r="I77" s="38">
        <f t="shared" si="16"/>
        <v>2.7293400000000006E-2</v>
      </c>
      <c r="J77" s="38">
        <f t="shared" si="17"/>
        <v>4.8217139149117988E-2</v>
      </c>
      <c r="K77" s="38">
        <f t="shared" si="18"/>
        <v>4.821908714911799E-2</v>
      </c>
      <c r="L77" s="262"/>
      <c r="Y77" s="2"/>
      <c r="Z77" s="2"/>
    </row>
    <row r="78" spans="2:26" ht="15.75" customHeight="1" x14ac:dyDescent="0.3">
      <c r="B78" s="260"/>
      <c r="C78" s="4">
        <v>56</v>
      </c>
      <c r="D78" s="31">
        <f t="shared" si="20"/>
        <v>370</v>
      </c>
      <c r="E78" s="31">
        <f t="shared" si="21"/>
        <v>15</v>
      </c>
      <c r="F78" s="38">
        <f t="shared" si="22"/>
        <v>1.9480000000000002E-6</v>
      </c>
      <c r="G78" s="38">
        <f t="shared" si="23"/>
        <v>7.7099999999999998E-3</v>
      </c>
      <c r="H78" s="4">
        <f t="shared" si="24"/>
        <v>2.9500000000000011</v>
      </c>
      <c r="I78" s="38">
        <f t="shared" si="16"/>
        <v>2.2744500000000008E-2</v>
      </c>
      <c r="J78" s="38">
        <f t="shared" si="17"/>
        <v>7.3652483913044742E-2</v>
      </c>
      <c r="K78" s="38">
        <f t="shared" si="18"/>
        <v>7.3654431913044743E-2</v>
      </c>
      <c r="L78" s="262"/>
      <c r="Y78" s="2"/>
      <c r="Z78" s="2"/>
    </row>
    <row r="79" spans="2:26" ht="15.75" customHeight="1" x14ac:dyDescent="0.3">
      <c r="B79" s="260"/>
      <c r="C79" s="4">
        <v>57</v>
      </c>
      <c r="D79" s="31">
        <f t="shared" si="20"/>
        <v>370</v>
      </c>
      <c r="E79" s="31">
        <f t="shared" si="21"/>
        <v>15</v>
      </c>
      <c r="F79" s="38">
        <f t="shared" si="22"/>
        <v>1.9480000000000002E-6</v>
      </c>
      <c r="G79" s="38">
        <f t="shared" si="23"/>
        <v>7.7099999999999998E-3</v>
      </c>
      <c r="H79" s="4">
        <f t="shared" si="24"/>
        <v>2.3600000000000012</v>
      </c>
      <c r="I79" s="38">
        <f t="shared" si="16"/>
        <v>1.819560000000001E-2</v>
      </c>
      <c r="J79" s="38">
        <f t="shared" si="17"/>
        <v>0.10445553067697148</v>
      </c>
      <c r="K79" s="38">
        <f t="shared" si="18"/>
        <v>0.10445747867697149</v>
      </c>
      <c r="L79" s="262"/>
      <c r="Y79" s="2"/>
      <c r="Z79" s="2"/>
    </row>
    <row r="80" spans="2:26" ht="15.75" customHeight="1" x14ac:dyDescent="0.3">
      <c r="B80" s="260"/>
      <c r="C80" s="4">
        <v>58</v>
      </c>
      <c r="D80" s="31">
        <f t="shared" si="20"/>
        <v>370</v>
      </c>
      <c r="E80" s="31">
        <f t="shared" si="21"/>
        <v>15</v>
      </c>
      <c r="F80" s="38">
        <f t="shared" si="22"/>
        <v>1.9480000000000002E-6</v>
      </c>
      <c r="G80" s="38">
        <f t="shared" si="23"/>
        <v>7.7099999999999998E-3</v>
      </c>
      <c r="H80" s="4">
        <f>('Midship Section'!$C$10-D80*0.5)*10^-3</f>
        <v>1.8149999999999999</v>
      </c>
      <c r="I80" s="38">
        <f t="shared" si="16"/>
        <v>1.399365E-2</v>
      </c>
      <c r="J80" s="38">
        <f t="shared" si="17"/>
        <v>0.13767840576822596</v>
      </c>
      <c r="K80" s="38">
        <f t="shared" si="18"/>
        <v>0.13768035376822596</v>
      </c>
      <c r="L80" s="262"/>
      <c r="Y80" s="2"/>
      <c r="Z80" s="2"/>
    </row>
    <row r="81" spans="2:26" ht="15.75" customHeight="1" x14ac:dyDescent="0.3">
      <c r="B81" s="260"/>
      <c r="C81" s="4">
        <v>59</v>
      </c>
      <c r="D81" s="31">
        <f t="shared" si="20"/>
        <v>370</v>
      </c>
      <c r="E81" s="31">
        <f t="shared" si="21"/>
        <v>15</v>
      </c>
      <c r="F81" s="38">
        <f t="shared" si="22"/>
        <v>1.9480000000000002E-6</v>
      </c>
      <c r="G81" s="38">
        <f t="shared" si="23"/>
        <v>7.7099999999999998E-3</v>
      </c>
      <c r="H81" s="4">
        <f>('Midship Section'!$C$10-D81*0.5)*10^-3</f>
        <v>1.8149999999999999</v>
      </c>
      <c r="I81" s="38">
        <f t="shared" si="16"/>
        <v>1.399365E-2</v>
      </c>
      <c r="J81" s="38">
        <f t="shared" si="17"/>
        <v>0.13767840576822596</v>
      </c>
      <c r="K81" s="38">
        <f t="shared" si="18"/>
        <v>0.13768035376822596</v>
      </c>
      <c r="L81" s="262"/>
      <c r="Y81" s="2"/>
      <c r="Z81" s="2"/>
    </row>
    <row r="82" spans="2:26" ht="15.75" customHeight="1" x14ac:dyDescent="0.3">
      <c r="B82" s="260"/>
      <c r="C82" s="4">
        <v>60</v>
      </c>
      <c r="D82" s="31">
        <f t="shared" si="20"/>
        <v>370</v>
      </c>
      <c r="E82" s="31">
        <f t="shared" si="21"/>
        <v>15</v>
      </c>
      <c r="F82" s="38">
        <f t="shared" si="22"/>
        <v>1.9480000000000002E-6</v>
      </c>
      <c r="G82" s="38">
        <f t="shared" si="23"/>
        <v>7.7099999999999998E-3</v>
      </c>
      <c r="H82" s="4">
        <f>('Midship Section'!$C$10-D82*0.5)*10^-3</f>
        <v>1.8149999999999999</v>
      </c>
      <c r="I82" s="38">
        <f t="shared" si="16"/>
        <v>1.399365E-2</v>
      </c>
      <c r="J82" s="38">
        <f t="shared" si="17"/>
        <v>0.13767840576822596</v>
      </c>
      <c r="K82" s="38">
        <f t="shared" si="18"/>
        <v>0.13768035376822596</v>
      </c>
      <c r="L82" s="262"/>
      <c r="Y82" s="2"/>
      <c r="Z82" s="2"/>
    </row>
    <row r="83" spans="2:26" ht="15.75" customHeight="1" x14ac:dyDescent="0.3">
      <c r="B83" s="260"/>
      <c r="C83" s="4">
        <v>61</v>
      </c>
      <c r="D83" s="31">
        <f t="shared" si="20"/>
        <v>370</v>
      </c>
      <c r="E83" s="31">
        <f t="shared" si="21"/>
        <v>15</v>
      </c>
      <c r="F83" s="38">
        <f t="shared" si="22"/>
        <v>1.9480000000000002E-6</v>
      </c>
      <c r="G83" s="38">
        <f t="shared" si="23"/>
        <v>7.7099999999999998E-3</v>
      </c>
      <c r="H83" s="4">
        <f>('Midship Section'!$C$10-D83*0.5)*10^-3</f>
        <v>1.8149999999999999</v>
      </c>
      <c r="I83" s="38">
        <f t="shared" si="16"/>
        <v>1.399365E-2</v>
      </c>
      <c r="J83" s="38">
        <f t="shared" si="17"/>
        <v>0.13767840576822596</v>
      </c>
      <c r="K83" s="38">
        <f t="shared" si="18"/>
        <v>0.13768035376822596</v>
      </c>
      <c r="L83" s="262"/>
      <c r="Y83" s="2"/>
      <c r="Z83" s="2"/>
    </row>
    <row r="84" spans="2:26" ht="15.75" customHeight="1" x14ac:dyDescent="0.3">
      <c r="B84" s="260"/>
      <c r="C84" s="4">
        <v>62</v>
      </c>
      <c r="D84" s="31">
        <f t="shared" si="20"/>
        <v>370</v>
      </c>
      <c r="E84" s="31">
        <f t="shared" si="21"/>
        <v>15</v>
      </c>
      <c r="F84" s="38">
        <f t="shared" si="22"/>
        <v>1.9480000000000002E-6</v>
      </c>
      <c r="G84" s="38">
        <f t="shared" si="23"/>
        <v>7.7099999999999998E-3</v>
      </c>
      <c r="H84" s="4">
        <f>('Midship Section'!$C$10-D84*0.5)*10^-3</f>
        <v>1.8149999999999999</v>
      </c>
      <c r="I84" s="38">
        <f t="shared" si="16"/>
        <v>1.399365E-2</v>
      </c>
      <c r="J84" s="38">
        <f t="shared" ref="J84:J115" si="25">G84*(H84-$T$43)^2</f>
        <v>0.13767840576822596</v>
      </c>
      <c r="K84" s="38">
        <f t="shared" si="18"/>
        <v>0.13768035376822596</v>
      </c>
      <c r="L84" s="262"/>
      <c r="Y84" s="2"/>
      <c r="Z84" s="2"/>
    </row>
    <row r="85" spans="2:26" ht="15.75" customHeight="1" x14ac:dyDescent="0.3">
      <c r="B85" s="260"/>
      <c r="C85" s="4">
        <v>63</v>
      </c>
      <c r="D85" s="31">
        <f t="shared" si="20"/>
        <v>370</v>
      </c>
      <c r="E85" s="31">
        <f t="shared" si="21"/>
        <v>15</v>
      </c>
      <c r="F85" s="38">
        <f t="shared" si="22"/>
        <v>1.9480000000000002E-6</v>
      </c>
      <c r="G85" s="38">
        <f t="shared" si="23"/>
        <v>7.7099999999999998E-3</v>
      </c>
      <c r="H85" s="4">
        <f>('Midship Section'!$C$10-D85*0.5)*10^-3</f>
        <v>1.8149999999999999</v>
      </c>
      <c r="I85" s="38">
        <f t="shared" si="16"/>
        <v>1.399365E-2</v>
      </c>
      <c r="J85" s="38">
        <f t="shared" si="25"/>
        <v>0.13767840576822596</v>
      </c>
      <c r="K85" s="38">
        <f t="shared" si="18"/>
        <v>0.13768035376822596</v>
      </c>
      <c r="L85" s="262"/>
      <c r="Y85" s="2"/>
      <c r="Z85" s="2"/>
    </row>
    <row r="86" spans="2:26" ht="15.75" customHeight="1" x14ac:dyDescent="0.3">
      <c r="B86" s="260"/>
      <c r="C86" s="4">
        <v>64</v>
      </c>
      <c r="D86" s="31">
        <f t="shared" si="20"/>
        <v>370</v>
      </c>
      <c r="E86" s="31">
        <f t="shared" si="21"/>
        <v>15</v>
      </c>
      <c r="F86" s="38">
        <f t="shared" si="22"/>
        <v>1.9480000000000002E-6</v>
      </c>
      <c r="G86" s="38">
        <f t="shared" si="23"/>
        <v>7.7099999999999998E-3</v>
      </c>
      <c r="H86" s="4">
        <f>('Midship Section'!$C$10-D86*0.5)*10^-3</f>
        <v>1.8149999999999999</v>
      </c>
      <c r="I86" s="38">
        <f t="shared" si="16"/>
        <v>1.399365E-2</v>
      </c>
      <c r="J86" s="38">
        <f t="shared" si="25"/>
        <v>0.13767840576822596</v>
      </c>
      <c r="K86" s="38">
        <f t="shared" si="18"/>
        <v>0.13768035376822596</v>
      </c>
      <c r="L86" s="262"/>
      <c r="Y86" s="2"/>
      <c r="Z86" s="2"/>
    </row>
    <row r="87" spans="2:26" ht="15.75" customHeight="1" x14ac:dyDescent="0.3">
      <c r="B87" s="260"/>
      <c r="C87" s="4">
        <v>65</v>
      </c>
      <c r="D87" s="31">
        <f t="shared" si="20"/>
        <v>370</v>
      </c>
      <c r="E87" s="31">
        <f t="shared" si="21"/>
        <v>15</v>
      </c>
      <c r="F87" s="38">
        <f t="shared" si="22"/>
        <v>1.9480000000000002E-6</v>
      </c>
      <c r="G87" s="38">
        <f t="shared" si="23"/>
        <v>7.7099999999999998E-3</v>
      </c>
      <c r="H87" s="4">
        <f>('Midship Section'!$C$10-D87*0.5)*10^-3</f>
        <v>1.8149999999999999</v>
      </c>
      <c r="I87" s="38">
        <f t="shared" si="16"/>
        <v>1.399365E-2</v>
      </c>
      <c r="J87" s="38">
        <f t="shared" si="25"/>
        <v>0.13767840576822596</v>
      </c>
      <c r="K87" s="38">
        <f t="shared" si="18"/>
        <v>0.13768035376822596</v>
      </c>
      <c r="L87" s="262"/>
      <c r="R87" s="22"/>
      <c r="S87" s="22"/>
      <c r="U87" s="22"/>
      <c r="V87" s="22"/>
      <c r="W87" s="22"/>
    </row>
    <row r="88" spans="2:26" ht="15.75" customHeight="1" x14ac:dyDescent="0.3">
      <c r="B88" s="260"/>
      <c r="C88" s="4">
        <v>66</v>
      </c>
      <c r="D88" s="31">
        <f t="shared" si="20"/>
        <v>370</v>
      </c>
      <c r="E88" s="31">
        <f t="shared" si="21"/>
        <v>15</v>
      </c>
      <c r="F88" s="38">
        <f t="shared" si="22"/>
        <v>1.9480000000000002E-6</v>
      </c>
      <c r="G88" s="38">
        <f t="shared" si="23"/>
        <v>7.7099999999999998E-3</v>
      </c>
      <c r="H88" s="4">
        <f>('Midship Section'!$C$10-D88*0.5)*10^-3</f>
        <v>1.8149999999999999</v>
      </c>
      <c r="I88" s="38">
        <f t="shared" si="16"/>
        <v>1.399365E-2</v>
      </c>
      <c r="J88" s="38">
        <f t="shared" si="25"/>
        <v>0.13767840576822596</v>
      </c>
      <c r="K88" s="38">
        <f t="shared" si="18"/>
        <v>0.13768035376822596</v>
      </c>
      <c r="L88" s="262"/>
      <c r="R88" s="22"/>
      <c r="S88" s="22"/>
      <c r="U88" s="22"/>
      <c r="V88" s="22"/>
      <c r="W88" s="22"/>
    </row>
    <row r="89" spans="2:26" ht="15.75" customHeight="1" x14ac:dyDescent="0.3">
      <c r="B89" s="260"/>
      <c r="C89" s="4">
        <v>67</v>
      </c>
      <c r="D89" s="31">
        <f t="shared" si="20"/>
        <v>370</v>
      </c>
      <c r="E89" s="31">
        <f t="shared" si="21"/>
        <v>15</v>
      </c>
      <c r="F89" s="38">
        <f t="shared" si="22"/>
        <v>1.9480000000000002E-6</v>
      </c>
      <c r="G89" s="38">
        <f t="shared" si="23"/>
        <v>7.7099999999999998E-3</v>
      </c>
      <c r="H89" s="4">
        <f>('Midship Section'!$C$10-D89*0.5)*10^-3</f>
        <v>1.8149999999999999</v>
      </c>
      <c r="I89" s="38">
        <f t="shared" si="16"/>
        <v>1.399365E-2</v>
      </c>
      <c r="J89" s="38">
        <f t="shared" si="25"/>
        <v>0.13767840576822596</v>
      </c>
      <c r="K89" s="38">
        <f t="shared" si="18"/>
        <v>0.13768035376822596</v>
      </c>
      <c r="L89" s="262"/>
      <c r="R89" s="22"/>
      <c r="S89" s="22"/>
      <c r="U89" s="22"/>
      <c r="V89" s="22"/>
      <c r="W89" s="22"/>
    </row>
    <row r="90" spans="2:26" ht="15.75" customHeight="1" x14ac:dyDescent="0.3">
      <c r="B90" s="260"/>
      <c r="C90" s="4">
        <v>68</v>
      </c>
      <c r="D90" s="31">
        <f t="shared" si="20"/>
        <v>370</v>
      </c>
      <c r="E90" s="31">
        <f t="shared" si="21"/>
        <v>15</v>
      </c>
      <c r="F90" s="38">
        <f t="shared" si="22"/>
        <v>1.9480000000000002E-6</v>
      </c>
      <c r="G90" s="38">
        <f t="shared" si="23"/>
        <v>7.7099999999999998E-3</v>
      </c>
      <c r="H90" s="4">
        <f>('Midship Section'!$C$10-D90*0.5)*10^-3</f>
        <v>1.8149999999999999</v>
      </c>
      <c r="I90" s="38">
        <f t="shared" si="16"/>
        <v>1.399365E-2</v>
      </c>
      <c r="J90" s="38">
        <f t="shared" si="25"/>
        <v>0.13767840576822596</v>
      </c>
      <c r="K90" s="38">
        <f t="shared" si="18"/>
        <v>0.13768035376822596</v>
      </c>
      <c r="L90" s="262"/>
      <c r="R90" s="22"/>
      <c r="S90" s="22"/>
      <c r="U90" s="22"/>
      <c r="V90" s="22"/>
      <c r="W90" s="22"/>
    </row>
    <row r="91" spans="2:26" ht="15.75" customHeight="1" x14ac:dyDescent="0.3">
      <c r="B91" s="258"/>
      <c r="C91" s="4">
        <v>69</v>
      </c>
      <c r="D91" s="31">
        <f t="shared" si="20"/>
        <v>370</v>
      </c>
      <c r="E91" s="31">
        <f t="shared" si="21"/>
        <v>15</v>
      </c>
      <c r="F91" s="38">
        <f t="shared" si="22"/>
        <v>1.9480000000000002E-6</v>
      </c>
      <c r="G91" s="38">
        <f t="shared" si="23"/>
        <v>7.7099999999999998E-3</v>
      </c>
      <c r="H91" s="4">
        <f>('Midship Section'!$C$10-D91*0.5)*10^-3</f>
        <v>1.8149999999999999</v>
      </c>
      <c r="I91" s="38">
        <f t="shared" si="16"/>
        <v>1.399365E-2</v>
      </c>
      <c r="J91" s="38">
        <f t="shared" si="25"/>
        <v>0.13767840576822596</v>
      </c>
      <c r="K91" s="38">
        <f t="shared" si="18"/>
        <v>0.13768035376822596</v>
      </c>
      <c r="L91" s="263"/>
      <c r="R91" s="22"/>
      <c r="S91" s="22"/>
      <c r="U91" s="22"/>
      <c r="V91" s="22"/>
      <c r="W91" s="22"/>
    </row>
    <row r="92" spans="2:26" ht="15.75" customHeight="1" x14ac:dyDescent="0.3">
      <c r="B92" s="257" t="s">
        <v>289</v>
      </c>
      <c r="C92" s="4">
        <v>70</v>
      </c>
      <c r="D92" s="31">
        <f t="shared" ref="D92:D101" si="26">$P$29</f>
        <v>340</v>
      </c>
      <c r="E92" s="31">
        <f t="shared" ref="E92:E101" si="27">$Q$29</f>
        <v>12</v>
      </c>
      <c r="F92" s="38">
        <f t="shared" ref="F92:F101" si="28">$U$29*10^-8</f>
        <v>6.7600000000000003E-5</v>
      </c>
      <c r="G92" s="38">
        <f t="shared" ref="G92:G101" si="29">$O$29*10^-4</f>
        <v>5.8840000000000003E-3</v>
      </c>
      <c r="H92" s="4">
        <v>1.4</v>
      </c>
      <c r="I92" s="38">
        <f t="shared" si="16"/>
        <v>8.2375999999999994E-3</v>
      </c>
      <c r="J92" s="38">
        <f t="shared" si="25"/>
        <v>0.12672214531388568</v>
      </c>
      <c r="K92" s="38">
        <f t="shared" si="18"/>
        <v>0.12678974531388568</v>
      </c>
      <c r="L92" s="272" t="str">
        <f>'Longitudinal components'!N7</f>
        <v>HP340 x 12</v>
      </c>
      <c r="R92" s="22"/>
      <c r="S92" s="22"/>
      <c r="U92" s="22"/>
      <c r="V92" s="22"/>
      <c r="W92" s="22"/>
    </row>
    <row r="93" spans="2:26" ht="15.75" customHeight="1" x14ac:dyDescent="0.3">
      <c r="B93" s="260"/>
      <c r="C93" s="4">
        <v>71</v>
      </c>
      <c r="D93" s="31">
        <f t="shared" si="26"/>
        <v>340</v>
      </c>
      <c r="E93" s="31">
        <f t="shared" si="27"/>
        <v>12</v>
      </c>
      <c r="F93" s="38">
        <f t="shared" si="28"/>
        <v>6.7600000000000003E-5</v>
      </c>
      <c r="G93" s="38">
        <f t="shared" si="29"/>
        <v>5.8840000000000003E-3</v>
      </c>
      <c r="H93" s="4">
        <v>0.6</v>
      </c>
      <c r="I93" s="38">
        <f t="shared" si="16"/>
        <v>3.5303999999999999E-3</v>
      </c>
      <c r="J93" s="38">
        <f t="shared" si="25"/>
        <v>0.1741779584581527</v>
      </c>
      <c r="K93" s="38">
        <f t="shared" si="18"/>
        <v>0.17424555845815271</v>
      </c>
      <c r="L93" s="262"/>
      <c r="R93" s="22"/>
      <c r="S93" s="22"/>
      <c r="U93" s="22"/>
      <c r="V93" s="22"/>
      <c r="W93" s="22"/>
    </row>
    <row r="94" spans="2:26" ht="15.75" customHeight="1" x14ac:dyDescent="0.3">
      <c r="B94" s="260"/>
      <c r="C94" s="4">
        <v>72</v>
      </c>
      <c r="D94" s="31">
        <f t="shared" si="26"/>
        <v>340</v>
      </c>
      <c r="E94" s="31">
        <f t="shared" si="27"/>
        <v>12</v>
      </c>
      <c r="F94" s="38">
        <f t="shared" si="28"/>
        <v>6.7600000000000003E-5</v>
      </c>
      <c r="G94" s="38">
        <f t="shared" si="29"/>
        <v>5.8840000000000003E-3</v>
      </c>
      <c r="H94" s="4">
        <f t="shared" ref="H94:H101" si="30">H92</f>
        <v>1.4</v>
      </c>
      <c r="I94" s="38">
        <f t="shared" si="16"/>
        <v>8.2375999999999994E-3</v>
      </c>
      <c r="J94" s="38">
        <f t="shared" si="25"/>
        <v>0.12672214531388568</v>
      </c>
      <c r="K94" s="38">
        <f t="shared" si="18"/>
        <v>0.12678974531388568</v>
      </c>
      <c r="L94" s="262"/>
      <c r="R94" s="22"/>
      <c r="S94" s="22"/>
      <c r="U94" s="22"/>
      <c r="V94" s="22"/>
      <c r="W94" s="22"/>
    </row>
    <row r="95" spans="2:26" ht="15.75" customHeight="1" x14ac:dyDescent="0.3">
      <c r="B95" s="260"/>
      <c r="C95" s="4">
        <v>73</v>
      </c>
      <c r="D95" s="31">
        <f t="shared" si="26"/>
        <v>340</v>
      </c>
      <c r="E95" s="31">
        <f t="shared" si="27"/>
        <v>12</v>
      </c>
      <c r="F95" s="38">
        <f t="shared" si="28"/>
        <v>6.7600000000000003E-5</v>
      </c>
      <c r="G95" s="38">
        <f t="shared" si="29"/>
        <v>5.8840000000000003E-3</v>
      </c>
      <c r="H95" s="4">
        <f t="shared" si="30"/>
        <v>0.6</v>
      </c>
      <c r="I95" s="38">
        <f t="shared" si="16"/>
        <v>3.5303999999999999E-3</v>
      </c>
      <c r="J95" s="38">
        <f t="shared" si="25"/>
        <v>0.1741779584581527</v>
      </c>
      <c r="K95" s="38">
        <f t="shared" si="18"/>
        <v>0.17424555845815271</v>
      </c>
      <c r="L95" s="262"/>
      <c r="R95" s="22"/>
      <c r="S95" s="22"/>
      <c r="U95" s="22"/>
      <c r="V95" s="22"/>
      <c r="W95" s="22"/>
    </row>
    <row r="96" spans="2:26" ht="15.75" customHeight="1" x14ac:dyDescent="0.3">
      <c r="B96" s="260"/>
      <c r="C96" s="4">
        <v>74</v>
      </c>
      <c r="D96" s="31">
        <f t="shared" si="26"/>
        <v>340</v>
      </c>
      <c r="E96" s="31">
        <f t="shared" si="27"/>
        <v>12</v>
      </c>
      <c r="F96" s="38">
        <f t="shared" si="28"/>
        <v>6.7600000000000003E-5</v>
      </c>
      <c r="G96" s="38">
        <f t="shared" si="29"/>
        <v>5.8840000000000003E-3</v>
      </c>
      <c r="H96" s="4">
        <f t="shared" si="30"/>
        <v>1.4</v>
      </c>
      <c r="I96" s="38">
        <f t="shared" si="16"/>
        <v>8.2375999999999994E-3</v>
      </c>
      <c r="J96" s="38">
        <f t="shared" si="25"/>
        <v>0.12672214531388568</v>
      </c>
      <c r="K96" s="38">
        <f t="shared" si="18"/>
        <v>0.12678974531388568</v>
      </c>
      <c r="L96" s="262"/>
      <c r="R96" s="22"/>
      <c r="S96" s="22"/>
      <c r="U96" s="22"/>
      <c r="V96" s="22"/>
      <c r="W96" s="22"/>
    </row>
    <row r="97" spans="2:23" ht="15.75" customHeight="1" x14ac:dyDescent="0.3">
      <c r="B97" s="260"/>
      <c r="C97" s="4">
        <v>75</v>
      </c>
      <c r="D97" s="31">
        <f t="shared" si="26"/>
        <v>340</v>
      </c>
      <c r="E97" s="31">
        <f t="shared" si="27"/>
        <v>12</v>
      </c>
      <c r="F97" s="38">
        <f t="shared" si="28"/>
        <v>6.7600000000000003E-5</v>
      </c>
      <c r="G97" s="38">
        <f t="shared" si="29"/>
        <v>5.8840000000000003E-3</v>
      </c>
      <c r="H97" s="4">
        <f t="shared" si="30"/>
        <v>0.6</v>
      </c>
      <c r="I97" s="38">
        <f t="shared" si="16"/>
        <v>3.5303999999999999E-3</v>
      </c>
      <c r="J97" s="38">
        <f t="shared" si="25"/>
        <v>0.1741779584581527</v>
      </c>
      <c r="K97" s="38">
        <f t="shared" si="18"/>
        <v>0.17424555845815271</v>
      </c>
      <c r="L97" s="262"/>
      <c r="R97" s="22"/>
      <c r="S97" s="22"/>
      <c r="U97" s="22"/>
      <c r="V97" s="22"/>
      <c r="W97" s="22"/>
    </row>
    <row r="98" spans="2:23" ht="15.75" customHeight="1" x14ac:dyDescent="0.3">
      <c r="B98" s="260"/>
      <c r="C98" s="4">
        <v>76</v>
      </c>
      <c r="D98" s="31">
        <f t="shared" si="26"/>
        <v>340</v>
      </c>
      <c r="E98" s="31">
        <f t="shared" si="27"/>
        <v>12</v>
      </c>
      <c r="F98" s="38">
        <f t="shared" si="28"/>
        <v>6.7600000000000003E-5</v>
      </c>
      <c r="G98" s="38">
        <f t="shared" si="29"/>
        <v>5.8840000000000003E-3</v>
      </c>
      <c r="H98" s="4">
        <f t="shared" si="30"/>
        <v>1.4</v>
      </c>
      <c r="I98" s="38">
        <f t="shared" si="16"/>
        <v>8.2375999999999994E-3</v>
      </c>
      <c r="J98" s="38">
        <f t="shared" si="25"/>
        <v>0.12672214531388568</v>
      </c>
      <c r="K98" s="38">
        <f t="shared" si="18"/>
        <v>0.12678974531388568</v>
      </c>
      <c r="L98" s="262"/>
      <c r="R98" s="22"/>
      <c r="S98" s="22"/>
      <c r="U98" s="22"/>
      <c r="V98" s="22"/>
      <c r="W98" s="22"/>
    </row>
    <row r="99" spans="2:23" ht="15.75" customHeight="1" x14ac:dyDescent="0.3">
      <c r="B99" s="260"/>
      <c r="C99" s="4">
        <v>77</v>
      </c>
      <c r="D99" s="31">
        <f t="shared" si="26"/>
        <v>340</v>
      </c>
      <c r="E99" s="31">
        <f t="shared" si="27"/>
        <v>12</v>
      </c>
      <c r="F99" s="38">
        <f t="shared" si="28"/>
        <v>6.7600000000000003E-5</v>
      </c>
      <c r="G99" s="38">
        <f t="shared" si="29"/>
        <v>5.8840000000000003E-3</v>
      </c>
      <c r="H99" s="4">
        <f t="shared" si="30"/>
        <v>0.6</v>
      </c>
      <c r="I99" s="38">
        <f t="shared" si="16"/>
        <v>3.5303999999999999E-3</v>
      </c>
      <c r="J99" s="38">
        <f t="shared" si="25"/>
        <v>0.1741779584581527</v>
      </c>
      <c r="K99" s="38">
        <f t="shared" si="18"/>
        <v>0.17424555845815271</v>
      </c>
      <c r="L99" s="262"/>
      <c r="R99" s="22"/>
      <c r="S99" s="22"/>
      <c r="U99" s="22"/>
      <c r="V99" s="22"/>
      <c r="W99" s="22"/>
    </row>
    <row r="100" spans="2:23" ht="15.75" customHeight="1" x14ac:dyDescent="0.3">
      <c r="B100" s="260"/>
      <c r="C100" s="4">
        <v>78</v>
      </c>
      <c r="D100" s="31">
        <f t="shared" si="26"/>
        <v>340</v>
      </c>
      <c r="E100" s="31">
        <f t="shared" si="27"/>
        <v>12</v>
      </c>
      <c r="F100" s="38">
        <f t="shared" si="28"/>
        <v>6.7600000000000003E-5</v>
      </c>
      <c r="G100" s="38">
        <f t="shared" si="29"/>
        <v>5.8840000000000003E-3</v>
      </c>
      <c r="H100" s="4">
        <f t="shared" si="30"/>
        <v>1.4</v>
      </c>
      <c r="I100" s="38">
        <f t="shared" si="16"/>
        <v>8.2375999999999994E-3</v>
      </c>
      <c r="J100" s="38">
        <f t="shared" si="25"/>
        <v>0.12672214531388568</v>
      </c>
      <c r="K100" s="38">
        <f t="shared" si="18"/>
        <v>0.12678974531388568</v>
      </c>
      <c r="L100" s="262"/>
      <c r="R100" s="22"/>
      <c r="S100" s="22"/>
      <c r="U100" s="22"/>
      <c r="V100" s="22"/>
      <c r="W100" s="22"/>
    </row>
    <row r="101" spans="2:23" ht="15.75" customHeight="1" x14ac:dyDescent="0.3">
      <c r="B101" s="258"/>
      <c r="C101" s="4">
        <v>79</v>
      </c>
      <c r="D101" s="31">
        <f t="shared" si="26"/>
        <v>340</v>
      </c>
      <c r="E101" s="31">
        <f t="shared" si="27"/>
        <v>12</v>
      </c>
      <c r="F101" s="38">
        <f t="shared" si="28"/>
        <v>6.7600000000000003E-5</v>
      </c>
      <c r="G101" s="38">
        <f t="shared" si="29"/>
        <v>5.8840000000000003E-3</v>
      </c>
      <c r="H101" s="4">
        <f t="shared" si="30"/>
        <v>0.6</v>
      </c>
      <c r="I101" s="38">
        <f t="shared" si="16"/>
        <v>3.5303999999999999E-3</v>
      </c>
      <c r="J101" s="38">
        <f t="shared" si="25"/>
        <v>0.1741779584581527</v>
      </c>
      <c r="K101" s="38">
        <f t="shared" si="18"/>
        <v>0.17424555845815271</v>
      </c>
      <c r="L101" s="263"/>
      <c r="R101" s="22"/>
      <c r="S101" s="22"/>
      <c r="U101" s="22"/>
      <c r="V101" s="22"/>
      <c r="W101" s="22"/>
    </row>
    <row r="102" spans="2:23" ht="15.75" customHeight="1" x14ac:dyDescent="0.3">
      <c r="B102" s="257" t="s">
        <v>57</v>
      </c>
      <c r="C102" s="4">
        <v>21</v>
      </c>
      <c r="D102" s="31">
        <f t="shared" ref="D102:D108" si="31">$P$14</f>
        <v>220</v>
      </c>
      <c r="E102" s="31">
        <f t="shared" ref="E102:E108" si="32">$Q$14</f>
        <v>10</v>
      </c>
      <c r="F102" s="38">
        <f t="shared" ref="F102:F108" si="33">$U$14*10^-8</f>
        <v>1.4E-5</v>
      </c>
      <c r="G102" s="38">
        <f t="shared" ref="G102:G108" si="34">$O$14*10^-4</f>
        <v>2.9000000000000002E-3</v>
      </c>
      <c r="H102" s="4">
        <v>13.031000000000001</v>
      </c>
      <c r="I102" s="38">
        <f t="shared" si="16"/>
        <v>3.7789900000000001E-2</v>
      </c>
      <c r="J102" s="38">
        <f t="shared" si="25"/>
        <v>0.14170366624938058</v>
      </c>
      <c r="K102" s="38">
        <f t="shared" si="18"/>
        <v>0.14171766624938056</v>
      </c>
      <c r="L102" s="270" t="str">
        <f>'Longitudinal components'!N8</f>
        <v>HP220 X 10</v>
      </c>
      <c r="R102" s="22"/>
      <c r="S102" s="22"/>
      <c r="U102" s="22"/>
      <c r="V102" s="22"/>
      <c r="W102" s="22"/>
    </row>
    <row r="103" spans="2:23" ht="15.75" customHeight="1" x14ac:dyDescent="0.3">
      <c r="B103" s="260"/>
      <c r="C103" s="4">
        <v>22</v>
      </c>
      <c r="D103" s="31">
        <f t="shared" si="31"/>
        <v>220</v>
      </c>
      <c r="E103" s="31">
        <f t="shared" si="32"/>
        <v>10</v>
      </c>
      <c r="F103" s="38">
        <f t="shared" si="33"/>
        <v>1.4E-5</v>
      </c>
      <c r="G103" s="38">
        <f t="shared" si="34"/>
        <v>2.9000000000000002E-3</v>
      </c>
      <c r="H103" s="4">
        <f t="shared" ref="H103:H108" si="35">H102+0.725</f>
        <v>13.756</v>
      </c>
      <c r="I103" s="38">
        <f t="shared" si="16"/>
        <v>3.9892400000000001E-2</v>
      </c>
      <c r="J103" s="38">
        <f t="shared" si="25"/>
        <v>0.17262190123412283</v>
      </c>
      <c r="K103" s="38">
        <f t="shared" si="18"/>
        <v>0.17263590123412281</v>
      </c>
      <c r="L103" s="262"/>
      <c r="R103" s="22"/>
      <c r="S103" s="22"/>
      <c r="U103" s="22"/>
      <c r="V103" s="22"/>
      <c r="W103" s="22"/>
    </row>
    <row r="104" spans="2:23" ht="15.75" customHeight="1" x14ac:dyDescent="0.3">
      <c r="B104" s="260"/>
      <c r="C104" s="4">
        <v>23</v>
      </c>
      <c r="D104" s="31">
        <f t="shared" si="31"/>
        <v>220</v>
      </c>
      <c r="E104" s="31">
        <f t="shared" si="32"/>
        <v>10</v>
      </c>
      <c r="F104" s="38">
        <f t="shared" si="33"/>
        <v>1.4E-5</v>
      </c>
      <c r="G104" s="38">
        <f t="shared" si="34"/>
        <v>2.9000000000000002E-3</v>
      </c>
      <c r="H104" s="4">
        <f t="shared" si="35"/>
        <v>14.481</v>
      </c>
      <c r="I104" s="38">
        <f t="shared" si="16"/>
        <v>4.1994900000000002E-2</v>
      </c>
      <c r="J104" s="38">
        <f t="shared" si="25"/>
        <v>0.20658876121886505</v>
      </c>
      <c r="K104" s="38">
        <f t="shared" si="18"/>
        <v>0.20660276121886503</v>
      </c>
      <c r="L104" s="262"/>
      <c r="R104" s="22"/>
      <c r="S104" s="22"/>
      <c r="U104" s="22"/>
      <c r="V104" s="22"/>
      <c r="W104" s="22"/>
    </row>
    <row r="105" spans="2:23" ht="15.75" customHeight="1" x14ac:dyDescent="0.3">
      <c r="B105" s="260"/>
      <c r="C105" s="4">
        <v>24</v>
      </c>
      <c r="D105" s="31">
        <f t="shared" si="31"/>
        <v>220</v>
      </c>
      <c r="E105" s="31">
        <f t="shared" si="32"/>
        <v>10</v>
      </c>
      <c r="F105" s="38">
        <f t="shared" si="33"/>
        <v>1.4E-5</v>
      </c>
      <c r="G105" s="38">
        <f t="shared" si="34"/>
        <v>2.9000000000000002E-3</v>
      </c>
      <c r="H105" s="4">
        <f t="shared" si="35"/>
        <v>15.206</v>
      </c>
      <c r="I105" s="38">
        <f t="shared" si="16"/>
        <v>4.4097400000000002E-2</v>
      </c>
      <c r="J105" s="38">
        <f t="shared" si="25"/>
        <v>0.24360424620360727</v>
      </c>
      <c r="K105" s="38">
        <f t="shared" si="18"/>
        <v>0.24361824620360725</v>
      </c>
      <c r="L105" s="262"/>
      <c r="R105" s="22"/>
      <c r="S105" s="22"/>
      <c r="U105" s="22"/>
      <c r="V105" s="22"/>
      <c r="W105" s="22"/>
    </row>
    <row r="106" spans="2:23" ht="15.75" customHeight="1" x14ac:dyDescent="0.3">
      <c r="B106" s="260"/>
      <c r="C106" s="4">
        <v>25</v>
      </c>
      <c r="D106" s="31">
        <f t="shared" si="31"/>
        <v>220</v>
      </c>
      <c r="E106" s="31">
        <f t="shared" si="32"/>
        <v>10</v>
      </c>
      <c r="F106" s="38">
        <f t="shared" si="33"/>
        <v>1.4E-5</v>
      </c>
      <c r="G106" s="38">
        <f t="shared" si="34"/>
        <v>2.9000000000000002E-3</v>
      </c>
      <c r="H106" s="4">
        <f t="shared" si="35"/>
        <v>15.930999999999999</v>
      </c>
      <c r="I106" s="38">
        <f t="shared" si="16"/>
        <v>4.6199900000000002E-2</v>
      </c>
      <c r="J106" s="38">
        <f t="shared" si="25"/>
        <v>0.28366835618834946</v>
      </c>
      <c r="K106" s="38">
        <f t="shared" si="18"/>
        <v>0.28368235618834947</v>
      </c>
      <c r="L106" s="262"/>
      <c r="R106" s="22"/>
      <c r="S106" s="22"/>
      <c r="U106" s="22"/>
      <c r="V106" s="22"/>
      <c r="W106" s="22"/>
    </row>
    <row r="107" spans="2:23" ht="15.75" customHeight="1" x14ac:dyDescent="0.3">
      <c r="B107" s="258"/>
      <c r="C107" s="4">
        <v>26</v>
      </c>
      <c r="D107" s="31">
        <f t="shared" si="31"/>
        <v>220</v>
      </c>
      <c r="E107" s="31">
        <f t="shared" si="32"/>
        <v>10</v>
      </c>
      <c r="F107" s="38">
        <f t="shared" si="33"/>
        <v>1.4E-5</v>
      </c>
      <c r="G107" s="38">
        <f t="shared" si="34"/>
        <v>2.9000000000000002E-3</v>
      </c>
      <c r="H107" s="4">
        <f t="shared" si="35"/>
        <v>16.655999999999999</v>
      </c>
      <c r="I107" s="38">
        <f t="shared" si="16"/>
        <v>4.8302400000000002E-2</v>
      </c>
      <c r="J107" s="38">
        <f t="shared" si="25"/>
        <v>0.32678109117309173</v>
      </c>
      <c r="K107" s="38">
        <f t="shared" si="18"/>
        <v>0.32679509117309175</v>
      </c>
      <c r="L107" s="262"/>
      <c r="R107" s="22"/>
      <c r="S107" s="22"/>
      <c r="U107" s="22"/>
      <c r="V107" s="22"/>
      <c r="W107" s="22"/>
    </row>
    <row r="108" spans="2:23" ht="15.75" customHeight="1" x14ac:dyDescent="0.3">
      <c r="B108" s="49" t="s">
        <v>252</v>
      </c>
      <c r="C108" s="4">
        <v>27</v>
      </c>
      <c r="D108" s="31">
        <f t="shared" si="31"/>
        <v>220</v>
      </c>
      <c r="E108" s="31">
        <f t="shared" si="32"/>
        <v>10</v>
      </c>
      <c r="F108" s="38">
        <f t="shared" si="33"/>
        <v>1.4E-5</v>
      </c>
      <c r="G108" s="38">
        <f t="shared" si="34"/>
        <v>2.9000000000000002E-3</v>
      </c>
      <c r="H108" s="4">
        <f t="shared" si="35"/>
        <v>17.381</v>
      </c>
      <c r="I108" s="38">
        <f t="shared" si="16"/>
        <v>5.0404900000000002E-2</v>
      </c>
      <c r="J108" s="38">
        <f t="shared" si="25"/>
        <v>0.37294245115783403</v>
      </c>
      <c r="K108" s="38">
        <f t="shared" si="18"/>
        <v>0.37295645115783405</v>
      </c>
      <c r="L108" s="263"/>
      <c r="R108" s="22"/>
      <c r="S108" s="22"/>
      <c r="U108" s="22"/>
      <c r="V108" s="22"/>
      <c r="W108" s="22"/>
    </row>
    <row r="109" spans="2:23" ht="15.75" customHeight="1" x14ac:dyDescent="0.3">
      <c r="B109" s="257" t="s">
        <v>296</v>
      </c>
      <c r="C109" s="4">
        <v>28</v>
      </c>
      <c r="D109" s="31">
        <f t="shared" ref="D109:D117" si="36">$P$21</f>
        <v>260</v>
      </c>
      <c r="E109" s="31">
        <f t="shared" ref="E109:E117" si="37">$Q$21</f>
        <v>12</v>
      </c>
      <c r="F109" s="38">
        <f t="shared" ref="F109:F117" si="38">$V$21*10^-8</f>
        <v>4.9110000000000005E-7</v>
      </c>
      <c r="G109" s="38">
        <f t="shared" ref="G109:G117" si="39">$O$21*10^-4</f>
        <v>4.1310000000000001E-3</v>
      </c>
      <c r="H109" s="4">
        <f t="shared" ref="H109:H117" si="40">D-D109*10^-3</f>
        <v>17.84</v>
      </c>
      <c r="I109" s="38">
        <f t="shared" si="16"/>
        <v>7.3697040000000005E-2</v>
      </c>
      <c r="J109" s="38">
        <f t="shared" si="25"/>
        <v>0.5751254975935236</v>
      </c>
      <c r="K109" s="38">
        <f t="shared" si="18"/>
        <v>0.5751259886935236</v>
      </c>
      <c r="L109" s="271" t="str">
        <f>'Longitudinal components'!N10</f>
        <v>HP260 x 12</v>
      </c>
      <c r="R109" s="22"/>
      <c r="S109" s="22"/>
      <c r="U109" s="22"/>
      <c r="V109" s="22"/>
      <c r="W109" s="22"/>
    </row>
    <row r="110" spans="2:23" ht="15.75" customHeight="1" x14ac:dyDescent="0.3">
      <c r="B110" s="260"/>
      <c r="C110" s="4">
        <v>29</v>
      </c>
      <c r="D110" s="31">
        <f t="shared" si="36"/>
        <v>260</v>
      </c>
      <c r="E110" s="31">
        <f t="shared" si="37"/>
        <v>12</v>
      </c>
      <c r="F110" s="38">
        <f t="shared" si="38"/>
        <v>4.9110000000000005E-7</v>
      </c>
      <c r="G110" s="38">
        <f t="shared" si="39"/>
        <v>4.1310000000000001E-3</v>
      </c>
      <c r="H110" s="4">
        <f t="shared" si="40"/>
        <v>17.84</v>
      </c>
      <c r="I110" s="38">
        <f t="shared" si="16"/>
        <v>7.3697040000000005E-2</v>
      </c>
      <c r="J110" s="38">
        <f t="shared" si="25"/>
        <v>0.5751254975935236</v>
      </c>
      <c r="K110" s="38">
        <f t="shared" si="18"/>
        <v>0.5751259886935236</v>
      </c>
      <c r="L110" s="262"/>
      <c r="R110" s="22"/>
      <c r="S110" s="22"/>
      <c r="U110" s="22"/>
      <c r="V110" s="22"/>
      <c r="W110" s="22"/>
    </row>
    <row r="111" spans="2:23" ht="15.75" customHeight="1" x14ac:dyDescent="0.3">
      <c r="B111" s="260"/>
      <c r="C111" s="4">
        <v>30</v>
      </c>
      <c r="D111" s="31">
        <f t="shared" si="36"/>
        <v>260</v>
      </c>
      <c r="E111" s="31">
        <f t="shared" si="37"/>
        <v>12</v>
      </c>
      <c r="F111" s="38">
        <f t="shared" si="38"/>
        <v>4.9110000000000005E-7</v>
      </c>
      <c r="G111" s="38">
        <f t="shared" si="39"/>
        <v>4.1310000000000001E-3</v>
      </c>
      <c r="H111" s="4">
        <f t="shared" si="40"/>
        <v>17.84</v>
      </c>
      <c r="I111" s="38">
        <f t="shared" si="16"/>
        <v>7.3697040000000005E-2</v>
      </c>
      <c r="J111" s="38">
        <f t="shared" si="25"/>
        <v>0.5751254975935236</v>
      </c>
      <c r="K111" s="38">
        <f t="shared" si="18"/>
        <v>0.5751259886935236</v>
      </c>
      <c r="L111" s="262"/>
      <c r="R111" s="22"/>
      <c r="S111" s="22"/>
      <c r="U111" s="22"/>
      <c r="V111" s="22"/>
      <c r="W111" s="22"/>
    </row>
    <row r="112" spans="2:23" ht="15.75" customHeight="1" x14ac:dyDescent="0.3">
      <c r="B112" s="260"/>
      <c r="C112" s="4">
        <v>31</v>
      </c>
      <c r="D112" s="31">
        <f t="shared" si="36"/>
        <v>260</v>
      </c>
      <c r="E112" s="31">
        <f t="shared" si="37"/>
        <v>12</v>
      </c>
      <c r="F112" s="38">
        <f t="shared" si="38"/>
        <v>4.9110000000000005E-7</v>
      </c>
      <c r="G112" s="38">
        <f t="shared" si="39"/>
        <v>4.1310000000000001E-3</v>
      </c>
      <c r="H112" s="4">
        <f t="shared" si="40"/>
        <v>17.84</v>
      </c>
      <c r="I112" s="38">
        <f t="shared" si="16"/>
        <v>7.3697040000000005E-2</v>
      </c>
      <c r="J112" s="38">
        <f t="shared" si="25"/>
        <v>0.5751254975935236</v>
      </c>
      <c r="K112" s="38">
        <f t="shared" si="18"/>
        <v>0.5751259886935236</v>
      </c>
      <c r="L112" s="262"/>
      <c r="R112" s="22"/>
      <c r="S112" s="22"/>
      <c r="U112" s="22"/>
      <c r="V112" s="22"/>
      <c r="W112" s="22"/>
    </row>
    <row r="113" spans="2:23" ht="15.75" customHeight="1" x14ac:dyDescent="0.3">
      <c r="B113" s="260"/>
      <c r="C113" s="4">
        <v>32</v>
      </c>
      <c r="D113" s="31">
        <f t="shared" si="36"/>
        <v>260</v>
      </c>
      <c r="E113" s="31">
        <f t="shared" si="37"/>
        <v>12</v>
      </c>
      <c r="F113" s="38">
        <f t="shared" si="38"/>
        <v>4.9110000000000005E-7</v>
      </c>
      <c r="G113" s="38">
        <f t="shared" si="39"/>
        <v>4.1310000000000001E-3</v>
      </c>
      <c r="H113" s="4">
        <f t="shared" si="40"/>
        <v>17.84</v>
      </c>
      <c r="I113" s="38">
        <f t="shared" si="16"/>
        <v>7.3697040000000005E-2</v>
      </c>
      <c r="J113" s="38">
        <f t="shared" si="25"/>
        <v>0.5751254975935236</v>
      </c>
      <c r="K113" s="38">
        <f t="shared" si="18"/>
        <v>0.5751259886935236</v>
      </c>
      <c r="L113" s="262"/>
      <c r="R113" s="22"/>
      <c r="S113" s="22"/>
      <c r="U113" s="22"/>
      <c r="V113" s="22"/>
      <c r="W113" s="22"/>
    </row>
    <row r="114" spans="2:23" ht="15.75" customHeight="1" x14ac:dyDescent="0.3">
      <c r="B114" s="260"/>
      <c r="C114" s="4">
        <v>33</v>
      </c>
      <c r="D114" s="31">
        <f t="shared" si="36"/>
        <v>260</v>
      </c>
      <c r="E114" s="31">
        <f t="shared" si="37"/>
        <v>12</v>
      </c>
      <c r="F114" s="38">
        <f t="shared" si="38"/>
        <v>4.9110000000000005E-7</v>
      </c>
      <c r="G114" s="38">
        <f t="shared" si="39"/>
        <v>4.1310000000000001E-3</v>
      </c>
      <c r="H114" s="4">
        <f t="shared" si="40"/>
        <v>17.84</v>
      </c>
      <c r="I114" s="38">
        <f t="shared" si="16"/>
        <v>7.3697040000000005E-2</v>
      </c>
      <c r="J114" s="38">
        <f t="shared" si="25"/>
        <v>0.5751254975935236</v>
      </c>
      <c r="K114" s="38">
        <f t="shared" si="18"/>
        <v>0.5751259886935236</v>
      </c>
      <c r="L114" s="262"/>
      <c r="R114" s="22"/>
      <c r="S114" s="22"/>
      <c r="U114" s="22"/>
      <c r="V114" s="22"/>
      <c r="W114" s="22"/>
    </row>
    <row r="115" spans="2:23" ht="15.75" customHeight="1" x14ac:dyDescent="0.3">
      <c r="B115" s="260"/>
      <c r="C115" s="4">
        <v>34</v>
      </c>
      <c r="D115" s="31">
        <f t="shared" si="36"/>
        <v>260</v>
      </c>
      <c r="E115" s="31">
        <f t="shared" si="37"/>
        <v>12</v>
      </c>
      <c r="F115" s="38">
        <f t="shared" si="38"/>
        <v>4.9110000000000005E-7</v>
      </c>
      <c r="G115" s="38">
        <f t="shared" si="39"/>
        <v>4.1310000000000001E-3</v>
      </c>
      <c r="H115" s="4">
        <f t="shared" si="40"/>
        <v>17.84</v>
      </c>
      <c r="I115" s="38">
        <f t="shared" si="16"/>
        <v>7.3697040000000005E-2</v>
      </c>
      <c r="J115" s="38">
        <f t="shared" si="25"/>
        <v>0.5751254975935236</v>
      </c>
      <c r="K115" s="38">
        <f t="shared" si="18"/>
        <v>0.5751259886935236</v>
      </c>
      <c r="L115" s="262"/>
      <c r="R115" s="22"/>
      <c r="S115" s="22"/>
      <c r="U115" s="22"/>
      <c r="V115" s="22"/>
      <c r="W115" s="22"/>
    </row>
    <row r="116" spans="2:23" ht="15.75" customHeight="1" x14ac:dyDescent="0.3">
      <c r="B116" s="260"/>
      <c r="C116" s="4">
        <v>35</v>
      </c>
      <c r="D116" s="31">
        <f t="shared" si="36"/>
        <v>260</v>
      </c>
      <c r="E116" s="31">
        <f t="shared" si="37"/>
        <v>12</v>
      </c>
      <c r="F116" s="38">
        <f t="shared" si="38"/>
        <v>4.9110000000000005E-7</v>
      </c>
      <c r="G116" s="38">
        <f t="shared" si="39"/>
        <v>4.1310000000000001E-3</v>
      </c>
      <c r="H116" s="4">
        <f t="shared" si="40"/>
        <v>17.84</v>
      </c>
      <c r="I116" s="38">
        <f t="shared" si="16"/>
        <v>7.3697040000000005E-2</v>
      </c>
      <c r="J116" s="38">
        <f t="shared" ref="J116:J130" si="41">G116*(H116-$T$43)^2</f>
        <v>0.5751254975935236</v>
      </c>
      <c r="K116" s="38">
        <f t="shared" si="18"/>
        <v>0.5751259886935236</v>
      </c>
      <c r="L116" s="262"/>
      <c r="R116" s="22"/>
      <c r="S116" s="22"/>
      <c r="U116" s="22"/>
      <c r="V116" s="22"/>
      <c r="W116" s="22"/>
    </row>
    <row r="117" spans="2:23" ht="15.75" customHeight="1" x14ac:dyDescent="0.3">
      <c r="B117" s="258"/>
      <c r="C117" s="4">
        <v>36</v>
      </c>
      <c r="D117" s="31">
        <f t="shared" si="36"/>
        <v>260</v>
      </c>
      <c r="E117" s="31">
        <f t="shared" si="37"/>
        <v>12</v>
      </c>
      <c r="F117" s="38">
        <f t="shared" si="38"/>
        <v>4.9110000000000005E-7</v>
      </c>
      <c r="G117" s="38">
        <f t="shared" si="39"/>
        <v>4.1310000000000001E-3</v>
      </c>
      <c r="H117" s="4">
        <f t="shared" si="40"/>
        <v>17.84</v>
      </c>
      <c r="I117" s="38">
        <f t="shared" si="16"/>
        <v>7.3697040000000005E-2</v>
      </c>
      <c r="J117" s="38">
        <f t="shared" si="41"/>
        <v>0.5751254975935236</v>
      </c>
      <c r="K117" s="38">
        <f t="shared" si="18"/>
        <v>0.5751259886935236</v>
      </c>
      <c r="L117" s="263"/>
      <c r="R117" s="22"/>
      <c r="S117" s="22"/>
      <c r="U117" s="22"/>
      <c r="V117" s="22"/>
      <c r="W117" s="22"/>
    </row>
    <row r="118" spans="2:23" ht="15.75" customHeight="1" x14ac:dyDescent="0.3">
      <c r="B118" s="257" t="s">
        <v>280</v>
      </c>
      <c r="C118" s="4">
        <v>37</v>
      </c>
      <c r="D118" s="31">
        <f t="shared" ref="D118:D128" si="42">$P$31</f>
        <v>370</v>
      </c>
      <c r="E118" s="31">
        <f t="shared" ref="E118:E128" si="43">$Q$31</f>
        <v>13</v>
      </c>
      <c r="F118" s="38">
        <f t="shared" ref="F118:F128" si="44">$V$31*10^-8</f>
        <v>1.767E-6</v>
      </c>
      <c r="G118" s="38">
        <f t="shared" ref="G118:G128" si="45">$O$31*10^-4</f>
        <v>6.9700000000000005E-3</v>
      </c>
      <c r="H118" s="4">
        <f>D-0.4</f>
        <v>17.700000000000003</v>
      </c>
      <c r="I118" s="38">
        <f t="shared" si="16"/>
        <v>0.12336900000000003</v>
      </c>
      <c r="J118" s="38">
        <f t="shared" si="41"/>
        <v>0.94748558622045242</v>
      </c>
      <c r="K118" s="38">
        <f t="shared" si="18"/>
        <v>0.94748735322045241</v>
      </c>
      <c r="L118" s="273" t="str">
        <f>'Longitudinal components'!N11</f>
        <v>HP370 X 13</v>
      </c>
      <c r="R118" s="22"/>
      <c r="S118" s="22"/>
      <c r="U118" s="22"/>
      <c r="V118" s="22"/>
      <c r="W118" s="22"/>
    </row>
    <row r="119" spans="2:23" ht="15.75" customHeight="1" x14ac:dyDescent="0.3">
      <c r="B119" s="260"/>
      <c r="C119" s="4">
        <v>38</v>
      </c>
      <c r="D119" s="31">
        <f t="shared" si="42"/>
        <v>370</v>
      </c>
      <c r="E119" s="31">
        <f t="shared" si="43"/>
        <v>13</v>
      </c>
      <c r="F119" s="38">
        <f t="shared" si="44"/>
        <v>1.767E-6</v>
      </c>
      <c r="G119" s="38">
        <f t="shared" si="45"/>
        <v>6.9700000000000005E-3</v>
      </c>
      <c r="H119" s="4">
        <v>16.844999999999999</v>
      </c>
      <c r="I119" s="38">
        <f t="shared" si="16"/>
        <v>0.11740965</v>
      </c>
      <c r="J119" s="38">
        <f t="shared" si="41"/>
        <v>0.81361795074859744</v>
      </c>
      <c r="K119" s="38">
        <f t="shared" si="18"/>
        <v>0.81361971774859743</v>
      </c>
      <c r="L119" s="262"/>
      <c r="R119" s="22"/>
      <c r="S119" s="22"/>
      <c r="U119" s="22"/>
      <c r="V119" s="22"/>
      <c r="W119" s="22"/>
    </row>
    <row r="120" spans="2:23" ht="15.75" customHeight="1" x14ac:dyDescent="0.3">
      <c r="B120" s="260"/>
      <c r="C120" s="4">
        <v>39</v>
      </c>
      <c r="D120" s="31">
        <f t="shared" si="42"/>
        <v>370</v>
      </c>
      <c r="E120" s="31">
        <f t="shared" si="43"/>
        <v>13</v>
      </c>
      <c r="F120" s="38">
        <f t="shared" si="44"/>
        <v>1.767E-6</v>
      </c>
      <c r="G120" s="38">
        <f t="shared" si="45"/>
        <v>6.9700000000000005E-3</v>
      </c>
      <c r="H120" s="4">
        <v>16.39</v>
      </c>
      <c r="I120" s="38">
        <f t="shared" si="16"/>
        <v>0.11423830000000001</v>
      </c>
      <c r="J120" s="38">
        <f t="shared" si="41"/>
        <v>0.74653291733082727</v>
      </c>
      <c r="K120" s="38">
        <f t="shared" si="18"/>
        <v>0.74653468433082726</v>
      </c>
      <c r="L120" s="262"/>
      <c r="R120" s="22"/>
      <c r="S120" s="22"/>
      <c r="U120" s="22"/>
      <c r="V120" s="22"/>
      <c r="W120" s="22"/>
    </row>
    <row r="121" spans="2:23" ht="15.75" customHeight="1" x14ac:dyDescent="0.3">
      <c r="B121" s="260"/>
      <c r="C121" s="4">
        <v>40</v>
      </c>
      <c r="D121" s="31">
        <f t="shared" si="42"/>
        <v>370</v>
      </c>
      <c r="E121" s="31">
        <f t="shared" si="43"/>
        <v>13</v>
      </c>
      <c r="F121" s="38">
        <f t="shared" si="44"/>
        <v>1.767E-6</v>
      </c>
      <c r="G121" s="38">
        <f t="shared" si="45"/>
        <v>6.9700000000000005E-3</v>
      </c>
      <c r="H121" s="4">
        <f t="shared" ref="H121:H128" si="46">H120-($H$119-$H$120)</f>
        <v>15.935000000000002</v>
      </c>
      <c r="I121" s="38">
        <f t="shared" si="16"/>
        <v>0.11106695000000003</v>
      </c>
      <c r="J121" s="38">
        <f t="shared" si="41"/>
        <v>0.68233381241305713</v>
      </c>
      <c r="K121" s="38">
        <f t="shared" si="18"/>
        <v>0.68233557941305711</v>
      </c>
      <c r="L121" s="262"/>
      <c r="R121" s="22"/>
      <c r="S121" s="22"/>
      <c r="U121" s="22"/>
      <c r="V121" s="22"/>
      <c r="W121" s="22"/>
    </row>
    <row r="122" spans="2:23" ht="15.75" customHeight="1" x14ac:dyDescent="0.3">
      <c r="B122" s="260"/>
      <c r="C122" s="4">
        <v>41</v>
      </c>
      <c r="D122" s="31">
        <f t="shared" si="42"/>
        <v>370</v>
      </c>
      <c r="E122" s="31">
        <f t="shared" si="43"/>
        <v>13</v>
      </c>
      <c r="F122" s="38">
        <f t="shared" si="44"/>
        <v>1.767E-6</v>
      </c>
      <c r="G122" s="38">
        <f t="shared" si="45"/>
        <v>6.9700000000000005E-3</v>
      </c>
      <c r="H122" s="4">
        <f t="shared" si="46"/>
        <v>15.480000000000004</v>
      </c>
      <c r="I122" s="38">
        <f t="shared" si="16"/>
        <v>0.10789560000000004</v>
      </c>
      <c r="J122" s="38">
        <f t="shared" si="41"/>
        <v>0.6210206359952869</v>
      </c>
      <c r="K122" s="38">
        <f t="shared" si="18"/>
        <v>0.62102240299528688</v>
      </c>
      <c r="L122" s="262"/>
      <c r="R122" s="22"/>
      <c r="S122" s="22"/>
      <c r="U122" s="22"/>
      <c r="V122" s="22"/>
      <c r="W122" s="22"/>
    </row>
    <row r="123" spans="2:23" ht="15.75" customHeight="1" x14ac:dyDescent="0.3">
      <c r="B123" s="260"/>
      <c r="C123" s="4">
        <v>42</v>
      </c>
      <c r="D123" s="31">
        <f t="shared" si="42"/>
        <v>370</v>
      </c>
      <c r="E123" s="31">
        <f t="shared" si="43"/>
        <v>13</v>
      </c>
      <c r="F123" s="38">
        <f t="shared" si="44"/>
        <v>1.767E-6</v>
      </c>
      <c r="G123" s="38">
        <f t="shared" si="45"/>
        <v>6.9700000000000005E-3</v>
      </c>
      <c r="H123" s="4">
        <f t="shared" si="46"/>
        <v>15.025000000000006</v>
      </c>
      <c r="I123" s="38">
        <f t="shared" si="16"/>
        <v>0.10472425000000005</v>
      </c>
      <c r="J123" s="38">
        <f t="shared" si="41"/>
        <v>0.56259338807751669</v>
      </c>
      <c r="K123" s="38">
        <f t="shared" si="18"/>
        <v>0.56259515507751667</v>
      </c>
      <c r="L123" s="262"/>
      <c r="R123" s="22"/>
      <c r="S123" s="22"/>
      <c r="U123" s="22"/>
      <c r="V123" s="22"/>
      <c r="W123" s="22"/>
    </row>
    <row r="124" spans="2:23" ht="15.75" customHeight="1" x14ac:dyDescent="0.3">
      <c r="B124" s="260"/>
      <c r="C124" s="4">
        <v>43</v>
      </c>
      <c r="D124" s="31">
        <f t="shared" si="42"/>
        <v>370</v>
      </c>
      <c r="E124" s="31">
        <f t="shared" si="43"/>
        <v>13</v>
      </c>
      <c r="F124" s="38">
        <f t="shared" si="44"/>
        <v>1.767E-6</v>
      </c>
      <c r="G124" s="38">
        <f t="shared" si="45"/>
        <v>6.9700000000000005E-3</v>
      </c>
      <c r="H124" s="4">
        <f t="shared" si="46"/>
        <v>14.570000000000007</v>
      </c>
      <c r="I124" s="38">
        <f t="shared" si="16"/>
        <v>0.10155290000000006</v>
      </c>
      <c r="J124" s="38">
        <f t="shared" si="41"/>
        <v>0.50705206865974639</v>
      </c>
      <c r="K124" s="38">
        <f t="shared" si="18"/>
        <v>0.50705383565974638</v>
      </c>
      <c r="L124" s="262"/>
      <c r="R124" s="22"/>
      <c r="S124" s="22"/>
      <c r="U124" s="22"/>
      <c r="V124" s="22"/>
      <c r="W124" s="22"/>
    </row>
    <row r="125" spans="2:23" ht="15.75" customHeight="1" x14ac:dyDescent="0.3">
      <c r="B125" s="260"/>
      <c r="C125" s="4">
        <v>44</v>
      </c>
      <c r="D125" s="31">
        <f t="shared" si="42"/>
        <v>370</v>
      </c>
      <c r="E125" s="31">
        <f t="shared" si="43"/>
        <v>13</v>
      </c>
      <c r="F125" s="38">
        <f t="shared" si="44"/>
        <v>1.767E-6</v>
      </c>
      <c r="G125" s="38">
        <f t="shared" si="45"/>
        <v>6.9700000000000005E-3</v>
      </c>
      <c r="H125" s="4">
        <f t="shared" si="46"/>
        <v>14.115000000000009</v>
      </c>
      <c r="I125" s="38">
        <f t="shared" si="16"/>
        <v>9.8381550000000068E-2</v>
      </c>
      <c r="J125" s="38">
        <f t="shared" si="41"/>
        <v>0.45439667774197612</v>
      </c>
      <c r="K125" s="38">
        <f t="shared" si="18"/>
        <v>0.4543984447419761</v>
      </c>
      <c r="L125" s="262"/>
      <c r="R125" s="22"/>
      <c r="S125" s="22"/>
      <c r="U125" s="22"/>
      <c r="V125" s="22"/>
      <c r="W125" s="22"/>
    </row>
    <row r="126" spans="2:23" ht="15.75" customHeight="1" x14ac:dyDescent="0.3">
      <c r="B126" s="260"/>
      <c r="C126" s="4">
        <v>45</v>
      </c>
      <c r="D126" s="31">
        <f t="shared" si="42"/>
        <v>370</v>
      </c>
      <c r="E126" s="31">
        <f t="shared" si="43"/>
        <v>13</v>
      </c>
      <c r="F126" s="38">
        <f t="shared" si="44"/>
        <v>1.767E-6</v>
      </c>
      <c r="G126" s="38">
        <f t="shared" si="45"/>
        <v>6.9700000000000005E-3</v>
      </c>
      <c r="H126" s="4">
        <f t="shared" si="46"/>
        <v>13.660000000000011</v>
      </c>
      <c r="I126" s="38">
        <f t="shared" si="16"/>
        <v>9.5210200000000078E-2</v>
      </c>
      <c r="J126" s="38">
        <f t="shared" si="41"/>
        <v>0.40462721532420587</v>
      </c>
      <c r="K126" s="38">
        <f t="shared" si="18"/>
        <v>0.40462898232420585</v>
      </c>
      <c r="L126" s="262"/>
      <c r="R126" s="22"/>
      <c r="S126" s="22"/>
      <c r="U126" s="22"/>
      <c r="V126" s="22"/>
      <c r="W126" s="22"/>
    </row>
    <row r="127" spans="2:23" ht="15.75" customHeight="1" x14ac:dyDescent="0.3">
      <c r="B127" s="260"/>
      <c r="C127" s="4">
        <v>46</v>
      </c>
      <c r="D127" s="31">
        <f t="shared" si="42"/>
        <v>370</v>
      </c>
      <c r="E127" s="31">
        <f t="shared" si="43"/>
        <v>13</v>
      </c>
      <c r="F127" s="38">
        <f t="shared" si="44"/>
        <v>1.767E-6</v>
      </c>
      <c r="G127" s="38">
        <f t="shared" si="45"/>
        <v>6.9700000000000005E-3</v>
      </c>
      <c r="H127" s="4">
        <f t="shared" si="46"/>
        <v>13.205000000000013</v>
      </c>
      <c r="I127" s="38">
        <f t="shared" si="16"/>
        <v>9.2038850000000089E-2</v>
      </c>
      <c r="J127" s="38">
        <f t="shared" si="41"/>
        <v>0.35774368140643548</v>
      </c>
      <c r="K127" s="38">
        <f t="shared" si="18"/>
        <v>0.35774544840643546</v>
      </c>
      <c r="L127" s="262"/>
      <c r="R127" s="22"/>
      <c r="S127" s="22"/>
      <c r="U127" s="22"/>
      <c r="V127" s="22"/>
      <c r="W127" s="22"/>
    </row>
    <row r="128" spans="2:23" ht="15.75" customHeight="1" x14ac:dyDescent="0.3">
      <c r="B128" s="258"/>
      <c r="C128" s="4">
        <v>47</v>
      </c>
      <c r="D128" s="31">
        <f t="shared" si="42"/>
        <v>370</v>
      </c>
      <c r="E128" s="31">
        <f t="shared" si="43"/>
        <v>13</v>
      </c>
      <c r="F128" s="38">
        <f t="shared" si="44"/>
        <v>1.767E-6</v>
      </c>
      <c r="G128" s="38">
        <f t="shared" si="45"/>
        <v>6.9700000000000005E-3</v>
      </c>
      <c r="H128" s="4">
        <f t="shared" si="46"/>
        <v>12.750000000000014</v>
      </c>
      <c r="I128" s="38">
        <f t="shared" si="16"/>
        <v>8.8867500000000099E-2</v>
      </c>
      <c r="J128" s="38">
        <f t="shared" si="41"/>
        <v>0.31374607598866516</v>
      </c>
      <c r="K128" s="38">
        <f t="shared" si="18"/>
        <v>0.31374784298866515</v>
      </c>
      <c r="L128" s="263"/>
      <c r="R128" s="22"/>
      <c r="S128" s="22"/>
      <c r="U128" s="22"/>
      <c r="V128" s="22"/>
      <c r="W128" s="22"/>
    </row>
    <row r="129" spans="2:23" ht="15.75" customHeight="1" x14ac:dyDescent="0.3">
      <c r="B129" s="257" t="s">
        <v>281</v>
      </c>
      <c r="C129" s="4">
        <v>48</v>
      </c>
      <c r="D129" s="31">
        <f>$P$8</f>
        <v>140</v>
      </c>
      <c r="E129" s="31">
        <f>$Q$8</f>
        <v>10</v>
      </c>
      <c r="F129" s="38">
        <f>$U$8*10^-8</f>
        <v>3.1600000000000002E-6</v>
      </c>
      <c r="G129" s="38">
        <f>$O$8*10^-4</f>
        <v>1.663E-3</v>
      </c>
      <c r="H129" s="4">
        <f>D+0.75</f>
        <v>18.850000000000001</v>
      </c>
      <c r="I129" s="38">
        <f t="shared" si="16"/>
        <v>3.1347550000000002E-2</v>
      </c>
      <c r="J129" s="38">
        <f t="shared" si="41"/>
        <v>0.27285906266942345</v>
      </c>
      <c r="K129" s="38">
        <f t="shared" si="18"/>
        <v>0.27286222266942345</v>
      </c>
      <c r="L129" s="274" t="str">
        <f>'Longitudinal components'!N12</f>
        <v>HP140 X 10</v>
      </c>
      <c r="R129" s="22"/>
      <c r="S129" s="22"/>
      <c r="U129" s="22"/>
      <c r="V129" s="22"/>
      <c r="W129" s="22"/>
    </row>
    <row r="130" spans="2:23" ht="15.75" customHeight="1" x14ac:dyDescent="0.3">
      <c r="B130" s="258"/>
      <c r="C130" s="4">
        <v>49</v>
      </c>
      <c r="D130" s="31">
        <f>$P$8</f>
        <v>140</v>
      </c>
      <c r="E130" s="31">
        <f>$Q$8</f>
        <v>10</v>
      </c>
      <c r="F130" s="38">
        <f>$U$8*10^-8</f>
        <v>3.1600000000000002E-6</v>
      </c>
      <c r="G130" s="38">
        <f>$O$8*10^-4</f>
        <v>1.663E-3</v>
      </c>
      <c r="H130" s="4">
        <f>D+1.5</f>
        <v>19.600000000000001</v>
      </c>
      <c r="I130" s="38">
        <f t="shared" si="16"/>
        <v>3.25948E-2</v>
      </c>
      <c r="J130" s="38">
        <f t="shared" si="41"/>
        <v>0.30574712756911182</v>
      </c>
      <c r="K130" s="38">
        <f t="shared" si="18"/>
        <v>0.30575028756911182</v>
      </c>
      <c r="L130" s="263"/>
      <c r="R130" s="22"/>
      <c r="S130" s="22"/>
      <c r="U130" s="22"/>
      <c r="V130" s="22"/>
      <c r="W130" s="22"/>
    </row>
    <row r="131" spans="2:23" ht="15.75" customHeight="1" x14ac:dyDescent="0.3">
      <c r="R131" s="22"/>
      <c r="S131" s="22"/>
      <c r="U131" s="22"/>
      <c r="V131" s="22"/>
      <c r="W131" s="22"/>
    </row>
    <row r="132" spans="2:23" ht="15.75" customHeight="1" x14ac:dyDescent="0.3">
      <c r="R132" s="22"/>
      <c r="S132" s="22"/>
      <c r="U132" s="22"/>
      <c r="V132" s="22"/>
      <c r="W132" s="22"/>
    </row>
    <row r="133" spans="2:23" ht="15.75" customHeight="1" x14ac:dyDescent="0.3">
      <c r="R133" s="22"/>
      <c r="S133" s="22"/>
      <c r="U133" s="22"/>
      <c r="V133" s="22"/>
      <c r="W133" s="22"/>
    </row>
    <row r="134" spans="2:23" ht="15.75" customHeight="1" x14ac:dyDescent="0.3">
      <c r="R134" s="22"/>
      <c r="S134" s="22"/>
      <c r="U134" s="22"/>
      <c r="V134" s="22"/>
      <c r="W134" s="22"/>
    </row>
    <row r="135" spans="2:23" ht="15.75" customHeight="1" x14ac:dyDescent="0.3">
      <c r="R135" s="22"/>
      <c r="S135" s="22"/>
      <c r="U135" s="22"/>
      <c r="V135" s="22"/>
      <c r="W135" s="22"/>
    </row>
    <row r="136" spans="2:23" ht="15.75" customHeight="1" x14ac:dyDescent="0.3">
      <c r="R136" s="22"/>
      <c r="S136" s="22"/>
      <c r="U136" s="22"/>
      <c r="V136" s="22"/>
      <c r="W136" s="22"/>
    </row>
    <row r="137" spans="2:23" ht="15.75" customHeight="1" x14ac:dyDescent="0.3">
      <c r="R137" s="22"/>
      <c r="S137" s="22"/>
      <c r="U137" s="22"/>
      <c r="V137" s="22"/>
      <c r="W137" s="22"/>
    </row>
    <row r="138" spans="2:23" ht="15.75" customHeight="1" x14ac:dyDescent="0.3">
      <c r="R138" s="22"/>
      <c r="S138" s="22"/>
      <c r="U138" s="22"/>
      <c r="V138" s="22"/>
      <c r="W138" s="22"/>
    </row>
    <row r="139" spans="2:23" ht="15.75" customHeight="1" x14ac:dyDescent="0.3">
      <c r="R139" s="22"/>
      <c r="S139" s="22"/>
      <c r="U139" s="22"/>
      <c r="V139" s="22"/>
      <c r="W139" s="22"/>
    </row>
    <row r="140" spans="2:23" ht="15.75" customHeight="1" x14ac:dyDescent="0.3">
      <c r="R140" s="22"/>
      <c r="S140" s="22"/>
      <c r="U140" s="22"/>
      <c r="V140" s="22"/>
      <c r="W140" s="22"/>
    </row>
    <row r="141" spans="2:23" ht="15.75" customHeight="1" x14ac:dyDescent="0.3">
      <c r="R141" s="22"/>
      <c r="S141" s="22"/>
      <c r="U141" s="22"/>
      <c r="V141" s="22"/>
      <c r="W141" s="22"/>
    </row>
    <row r="142" spans="2:23" ht="15.75" customHeight="1" x14ac:dyDescent="0.3">
      <c r="R142" s="22"/>
      <c r="S142" s="22"/>
      <c r="U142" s="22"/>
      <c r="V142" s="22"/>
      <c r="W142" s="22"/>
    </row>
    <row r="143" spans="2:23" ht="15.75" customHeight="1" x14ac:dyDescent="0.3">
      <c r="R143" s="22"/>
      <c r="S143" s="22"/>
      <c r="U143" s="22"/>
      <c r="V143" s="22"/>
      <c r="W143" s="22"/>
    </row>
    <row r="144" spans="2:23" ht="15.75" customHeight="1" x14ac:dyDescent="0.3">
      <c r="R144" s="22"/>
      <c r="S144" s="22"/>
      <c r="U144" s="22"/>
      <c r="V144" s="22"/>
      <c r="W144" s="22"/>
    </row>
    <row r="145" spans="18:23" ht="15.75" customHeight="1" x14ac:dyDescent="0.3">
      <c r="R145" s="22"/>
      <c r="S145" s="22"/>
      <c r="U145" s="22"/>
      <c r="V145" s="22"/>
      <c r="W145" s="22"/>
    </row>
    <row r="146" spans="18:23" ht="15.75" customHeight="1" x14ac:dyDescent="0.3">
      <c r="R146" s="22"/>
      <c r="S146" s="22"/>
      <c r="U146" s="22"/>
      <c r="V146" s="22"/>
      <c r="W146" s="22"/>
    </row>
    <row r="147" spans="18:23" ht="15.75" customHeight="1" x14ac:dyDescent="0.3">
      <c r="R147" s="22"/>
      <c r="S147" s="22"/>
      <c r="U147" s="22"/>
      <c r="V147" s="22"/>
      <c r="W147" s="22"/>
    </row>
    <row r="148" spans="18:23" ht="15.75" customHeight="1" x14ac:dyDescent="0.3">
      <c r="R148" s="22"/>
      <c r="S148" s="22"/>
      <c r="U148" s="22"/>
      <c r="V148" s="22"/>
      <c r="W148" s="22"/>
    </row>
    <row r="149" spans="18:23" ht="15.75" customHeight="1" x14ac:dyDescent="0.3">
      <c r="R149" s="22"/>
      <c r="S149" s="22"/>
      <c r="U149" s="22"/>
      <c r="V149" s="22"/>
      <c r="W149" s="22"/>
    </row>
    <row r="150" spans="18:23" ht="15.75" customHeight="1" x14ac:dyDescent="0.3">
      <c r="R150" s="22"/>
      <c r="S150" s="22"/>
      <c r="U150" s="22"/>
      <c r="V150" s="22"/>
      <c r="W150" s="22"/>
    </row>
    <row r="151" spans="18:23" ht="15.75" customHeight="1" x14ac:dyDescent="0.3">
      <c r="R151" s="22"/>
      <c r="S151" s="22"/>
      <c r="U151" s="22"/>
      <c r="V151" s="22"/>
      <c r="W151" s="22"/>
    </row>
    <row r="152" spans="18:23" ht="15.75" customHeight="1" x14ac:dyDescent="0.3">
      <c r="R152" s="22"/>
      <c r="S152" s="22"/>
      <c r="U152" s="22"/>
      <c r="V152" s="22"/>
      <c r="W152" s="22"/>
    </row>
    <row r="153" spans="18:23" ht="15.75" customHeight="1" x14ac:dyDescent="0.3">
      <c r="R153" s="22"/>
      <c r="S153" s="22"/>
      <c r="U153" s="22"/>
      <c r="V153" s="22"/>
      <c r="W153" s="22"/>
    </row>
    <row r="154" spans="18:23" ht="15.75" customHeight="1" x14ac:dyDescent="0.3">
      <c r="R154" s="22"/>
      <c r="S154" s="22"/>
      <c r="U154" s="22"/>
      <c r="V154" s="22"/>
      <c r="W154" s="22"/>
    </row>
    <row r="155" spans="18:23" ht="15.75" customHeight="1" x14ac:dyDescent="0.3">
      <c r="R155" s="22"/>
      <c r="S155" s="22"/>
      <c r="U155" s="22"/>
      <c r="V155" s="22"/>
      <c r="W155" s="22"/>
    </row>
    <row r="156" spans="18:23" ht="15.75" customHeight="1" x14ac:dyDescent="0.3">
      <c r="R156" s="22"/>
      <c r="S156" s="22"/>
      <c r="U156" s="22"/>
      <c r="V156" s="22"/>
      <c r="W156" s="22"/>
    </row>
    <row r="157" spans="18:23" ht="15.75" customHeight="1" x14ac:dyDescent="0.3">
      <c r="R157" s="22"/>
      <c r="S157" s="22"/>
      <c r="U157" s="22"/>
      <c r="V157" s="22"/>
      <c r="W157" s="22"/>
    </row>
    <row r="158" spans="18:23" ht="15.75" customHeight="1" x14ac:dyDescent="0.3">
      <c r="R158" s="22"/>
      <c r="S158" s="22"/>
      <c r="U158" s="22"/>
      <c r="V158" s="22"/>
      <c r="W158" s="22"/>
    </row>
    <row r="159" spans="18:23" ht="15.75" customHeight="1" x14ac:dyDescent="0.3">
      <c r="R159" s="22"/>
      <c r="S159" s="22"/>
      <c r="U159" s="22"/>
      <c r="V159" s="22"/>
      <c r="W159" s="22"/>
    </row>
    <row r="160" spans="18:23" ht="15.75" customHeight="1" x14ac:dyDescent="0.3">
      <c r="R160" s="22"/>
      <c r="S160" s="22"/>
      <c r="U160" s="22"/>
      <c r="V160" s="22"/>
      <c r="W160" s="22"/>
    </row>
    <row r="161" spans="18:23" ht="15.75" customHeight="1" x14ac:dyDescent="0.3">
      <c r="R161" s="22"/>
      <c r="S161" s="22"/>
      <c r="U161" s="22"/>
      <c r="V161" s="22"/>
      <c r="W161" s="22"/>
    </row>
    <row r="162" spans="18:23" ht="15.75" customHeight="1" x14ac:dyDescent="0.3">
      <c r="R162" s="22"/>
      <c r="S162" s="22"/>
      <c r="U162" s="22"/>
      <c r="V162" s="22"/>
      <c r="W162" s="22"/>
    </row>
    <row r="163" spans="18:23" ht="15.75" customHeight="1" x14ac:dyDescent="0.3">
      <c r="R163" s="22"/>
      <c r="S163" s="22"/>
      <c r="U163" s="22"/>
      <c r="V163" s="22"/>
      <c r="W163" s="22"/>
    </row>
    <row r="164" spans="18:23" ht="15.75" customHeight="1" x14ac:dyDescent="0.3">
      <c r="R164" s="22"/>
      <c r="S164" s="22"/>
      <c r="U164" s="22"/>
      <c r="V164" s="22"/>
      <c r="W164" s="22"/>
    </row>
    <row r="165" spans="18:23" ht="15.75" customHeight="1" x14ac:dyDescent="0.3">
      <c r="R165" s="22"/>
      <c r="S165" s="22"/>
      <c r="U165" s="22"/>
      <c r="V165" s="22"/>
      <c r="W165" s="22"/>
    </row>
    <row r="166" spans="18:23" ht="15.75" customHeight="1" x14ac:dyDescent="0.3">
      <c r="R166" s="22"/>
      <c r="S166" s="22"/>
      <c r="U166" s="22"/>
      <c r="V166" s="22"/>
      <c r="W166" s="22"/>
    </row>
    <row r="167" spans="18:23" ht="15.75" customHeight="1" x14ac:dyDescent="0.3">
      <c r="R167" s="22"/>
      <c r="S167" s="22"/>
      <c r="U167" s="22"/>
      <c r="V167" s="22"/>
      <c r="W167" s="22"/>
    </row>
    <row r="168" spans="18:23" ht="15.75" customHeight="1" x14ac:dyDescent="0.3">
      <c r="R168" s="22"/>
      <c r="S168" s="22"/>
      <c r="U168" s="22"/>
      <c r="V168" s="22"/>
      <c r="W168" s="22"/>
    </row>
    <row r="169" spans="18:23" ht="15.75" customHeight="1" x14ac:dyDescent="0.3">
      <c r="R169" s="22"/>
      <c r="S169" s="22"/>
      <c r="U169" s="22"/>
      <c r="V169" s="22"/>
      <c r="W169" s="22"/>
    </row>
    <row r="170" spans="18:23" ht="15.75" customHeight="1" x14ac:dyDescent="0.3">
      <c r="R170" s="22"/>
      <c r="S170" s="22"/>
      <c r="U170" s="22"/>
      <c r="V170" s="22"/>
      <c r="W170" s="22"/>
    </row>
    <row r="171" spans="18:23" ht="15.75" customHeight="1" x14ac:dyDescent="0.3">
      <c r="R171" s="22"/>
      <c r="S171" s="22"/>
      <c r="U171" s="22"/>
      <c r="V171" s="22"/>
      <c r="W171" s="22"/>
    </row>
    <row r="172" spans="18:23" ht="15.75" customHeight="1" x14ac:dyDescent="0.3">
      <c r="R172" s="22"/>
      <c r="S172" s="22"/>
      <c r="U172" s="22"/>
      <c r="V172" s="22"/>
      <c r="W172" s="22"/>
    </row>
    <row r="173" spans="18:23" ht="15.75" customHeight="1" x14ac:dyDescent="0.3">
      <c r="R173" s="22"/>
      <c r="S173" s="22"/>
      <c r="U173" s="22"/>
      <c r="V173" s="22"/>
      <c r="W173" s="22"/>
    </row>
    <row r="174" spans="18:23" ht="15.75" customHeight="1" x14ac:dyDescent="0.3">
      <c r="R174" s="22"/>
      <c r="S174" s="22"/>
      <c r="U174" s="22"/>
      <c r="V174" s="22"/>
      <c r="W174" s="22"/>
    </row>
    <row r="175" spans="18:23" ht="15.75" customHeight="1" x14ac:dyDescent="0.3">
      <c r="R175" s="22"/>
      <c r="S175" s="22"/>
      <c r="U175" s="22"/>
      <c r="V175" s="22"/>
      <c r="W175" s="22"/>
    </row>
    <row r="176" spans="18:23" ht="15.75" customHeight="1" x14ac:dyDescent="0.3">
      <c r="R176" s="22"/>
      <c r="S176" s="22"/>
      <c r="U176" s="22"/>
      <c r="V176" s="22"/>
      <c r="W176" s="22"/>
    </row>
    <row r="177" spans="18:23" ht="15.75" customHeight="1" x14ac:dyDescent="0.3">
      <c r="R177" s="22"/>
      <c r="S177" s="22"/>
      <c r="U177" s="22"/>
      <c r="V177" s="22"/>
      <c r="W177" s="22"/>
    </row>
    <row r="178" spans="18:23" ht="15.75" customHeight="1" x14ac:dyDescent="0.3">
      <c r="R178" s="22"/>
      <c r="S178" s="22"/>
      <c r="U178" s="22"/>
      <c r="V178" s="22"/>
      <c r="W178" s="22"/>
    </row>
    <row r="179" spans="18:23" ht="15.75" customHeight="1" x14ac:dyDescent="0.3">
      <c r="R179" s="22"/>
      <c r="S179" s="22"/>
      <c r="U179" s="22"/>
      <c r="V179" s="22"/>
      <c r="W179" s="22"/>
    </row>
    <row r="180" spans="18:23" ht="15.75" customHeight="1" x14ac:dyDescent="0.3">
      <c r="R180" s="22"/>
      <c r="S180" s="22"/>
      <c r="U180" s="22"/>
      <c r="V180" s="22"/>
      <c r="W180" s="22"/>
    </row>
    <row r="181" spans="18:23" ht="15.75" customHeight="1" x14ac:dyDescent="0.3">
      <c r="R181" s="22"/>
      <c r="S181" s="22"/>
      <c r="U181" s="22"/>
      <c r="V181" s="22"/>
      <c r="W181" s="22"/>
    </row>
    <row r="182" spans="18:23" ht="15.75" customHeight="1" x14ac:dyDescent="0.3">
      <c r="R182" s="22"/>
      <c r="S182" s="22"/>
      <c r="U182" s="22"/>
      <c r="V182" s="22"/>
      <c r="W182" s="22"/>
    </row>
    <row r="183" spans="18:23" ht="15.75" customHeight="1" x14ac:dyDescent="0.3">
      <c r="R183" s="22"/>
      <c r="S183" s="22"/>
      <c r="U183" s="22"/>
      <c r="V183" s="22"/>
      <c r="W183" s="22"/>
    </row>
    <row r="184" spans="18:23" ht="15.75" customHeight="1" x14ac:dyDescent="0.3">
      <c r="R184" s="22"/>
      <c r="S184" s="22"/>
      <c r="U184" s="22"/>
      <c r="V184" s="22"/>
      <c r="W184" s="22"/>
    </row>
    <row r="185" spans="18:23" ht="15.75" customHeight="1" x14ac:dyDescent="0.3">
      <c r="R185" s="22"/>
      <c r="S185" s="22"/>
      <c r="U185" s="22"/>
      <c r="V185" s="22"/>
      <c r="W185" s="22"/>
    </row>
    <row r="186" spans="18:23" ht="15.75" customHeight="1" x14ac:dyDescent="0.3">
      <c r="R186" s="22"/>
      <c r="S186" s="22"/>
      <c r="U186" s="22"/>
      <c r="V186" s="22"/>
      <c r="W186" s="22"/>
    </row>
    <row r="187" spans="18:23" ht="15.75" customHeight="1" x14ac:dyDescent="0.3">
      <c r="R187" s="22"/>
      <c r="S187" s="22"/>
      <c r="U187" s="22"/>
      <c r="V187" s="22"/>
      <c r="W187" s="22"/>
    </row>
    <row r="188" spans="18:23" ht="15.75" customHeight="1" x14ac:dyDescent="0.3">
      <c r="R188" s="22"/>
      <c r="S188" s="22"/>
      <c r="U188" s="22"/>
      <c r="V188" s="22"/>
      <c r="W188" s="22"/>
    </row>
    <row r="189" spans="18:23" ht="15.75" customHeight="1" x14ac:dyDescent="0.3">
      <c r="R189" s="22"/>
      <c r="S189" s="22"/>
      <c r="U189" s="22"/>
      <c r="V189" s="22"/>
      <c r="W189" s="22"/>
    </row>
    <row r="190" spans="18:23" ht="15.75" customHeight="1" x14ac:dyDescent="0.3">
      <c r="R190" s="22"/>
      <c r="S190" s="22"/>
      <c r="U190" s="22"/>
      <c r="V190" s="22"/>
      <c r="W190" s="22"/>
    </row>
    <row r="191" spans="18:23" ht="15.75" customHeight="1" x14ac:dyDescent="0.3">
      <c r="R191" s="22"/>
      <c r="S191" s="22"/>
      <c r="U191" s="22"/>
      <c r="V191" s="22"/>
      <c r="W191" s="22"/>
    </row>
    <row r="192" spans="18:23" ht="15.75" customHeight="1" x14ac:dyDescent="0.3">
      <c r="R192" s="22"/>
      <c r="S192" s="22"/>
      <c r="U192" s="22"/>
      <c r="V192" s="22"/>
      <c r="W192" s="22"/>
    </row>
    <row r="193" spans="18:23" ht="15.75" customHeight="1" x14ac:dyDescent="0.3">
      <c r="R193" s="22"/>
      <c r="S193" s="22"/>
      <c r="U193" s="22"/>
      <c r="V193" s="22"/>
      <c r="W193" s="22"/>
    </row>
    <row r="194" spans="18:23" ht="15.75" customHeight="1" x14ac:dyDescent="0.3">
      <c r="R194" s="22"/>
      <c r="S194" s="22"/>
      <c r="U194" s="22"/>
      <c r="V194" s="22"/>
      <c r="W194" s="22"/>
    </row>
    <row r="195" spans="18:23" ht="15.75" customHeight="1" x14ac:dyDescent="0.3">
      <c r="R195" s="22"/>
      <c r="S195" s="22"/>
      <c r="U195" s="22"/>
      <c r="V195" s="22"/>
      <c r="W195" s="22"/>
    </row>
    <row r="196" spans="18:23" ht="15.75" customHeight="1" x14ac:dyDescent="0.3">
      <c r="R196" s="22"/>
      <c r="S196" s="22"/>
      <c r="U196" s="22"/>
      <c r="V196" s="22"/>
      <c r="W196" s="22"/>
    </row>
    <row r="197" spans="18:23" ht="15.75" customHeight="1" x14ac:dyDescent="0.3">
      <c r="R197" s="22"/>
      <c r="S197" s="22"/>
      <c r="U197" s="22"/>
      <c r="V197" s="22"/>
      <c r="W197" s="22"/>
    </row>
    <row r="198" spans="18:23" ht="15.75" customHeight="1" x14ac:dyDescent="0.3">
      <c r="R198" s="22"/>
      <c r="S198" s="22"/>
      <c r="U198" s="22"/>
      <c r="V198" s="22"/>
      <c r="W198" s="22"/>
    </row>
    <row r="199" spans="18:23" ht="15.75" customHeight="1" x14ac:dyDescent="0.3">
      <c r="R199" s="22"/>
      <c r="S199" s="22"/>
      <c r="U199" s="22"/>
      <c r="V199" s="22"/>
      <c r="W199" s="22"/>
    </row>
    <row r="200" spans="18:23" ht="15.75" customHeight="1" x14ac:dyDescent="0.3">
      <c r="R200" s="22"/>
      <c r="S200" s="22"/>
      <c r="U200" s="22"/>
      <c r="V200" s="22"/>
      <c r="W200" s="22"/>
    </row>
    <row r="201" spans="18:23" ht="15.75" customHeight="1" x14ac:dyDescent="0.3">
      <c r="R201" s="22"/>
      <c r="S201" s="22"/>
      <c r="U201" s="22"/>
      <c r="V201" s="22"/>
      <c r="W201" s="22"/>
    </row>
    <row r="202" spans="18:23" ht="15.75" customHeight="1" x14ac:dyDescent="0.3">
      <c r="R202" s="22"/>
      <c r="S202" s="22"/>
      <c r="U202" s="22"/>
      <c r="V202" s="22"/>
      <c r="W202" s="22"/>
    </row>
    <row r="203" spans="18:23" ht="15.75" customHeight="1" x14ac:dyDescent="0.3">
      <c r="R203" s="22"/>
      <c r="S203" s="22"/>
      <c r="U203" s="22"/>
      <c r="V203" s="22"/>
      <c r="W203" s="22"/>
    </row>
    <row r="204" spans="18:23" ht="15.75" customHeight="1" x14ac:dyDescent="0.3">
      <c r="R204" s="22"/>
      <c r="S204" s="22"/>
      <c r="U204" s="22"/>
      <c r="V204" s="22"/>
      <c r="W204" s="22"/>
    </row>
    <row r="205" spans="18:23" ht="15.75" customHeight="1" x14ac:dyDescent="0.3">
      <c r="R205" s="22"/>
      <c r="S205" s="22"/>
      <c r="U205" s="22"/>
      <c r="V205" s="22"/>
      <c r="W205" s="22"/>
    </row>
    <row r="206" spans="18:23" ht="15.75" customHeight="1" x14ac:dyDescent="0.3">
      <c r="R206" s="22"/>
      <c r="S206" s="22"/>
      <c r="U206" s="22"/>
      <c r="V206" s="22"/>
      <c r="W206" s="22"/>
    </row>
    <row r="207" spans="18:23" ht="15.75" customHeight="1" x14ac:dyDescent="0.3">
      <c r="R207" s="22"/>
      <c r="S207" s="22"/>
      <c r="U207" s="22"/>
      <c r="V207" s="22"/>
      <c r="W207" s="22"/>
    </row>
    <row r="208" spans="18:23" ht="15.75" customHeight="1" x14ac:dyDescent="0.3">
      <c r="R208" s="22"/>
      <c r="S208" s="22"/>
      <c r="U208" s="22"/>
      <c r="V208" s="22"/>
      <c r="W208" s="22"/>
    </row>
    <row r="209" spans="18:23" ht="15.75" customHeight="1" x14ac:dyDescent="0.3">
      <c r="R209" s="22"/>
      <c r="S209" s="22"/>
      <c r="U209" s="22"/>
      <c r="V209" s="22"/>
      <c r="W209" s="22"/>
    </row>
    <row r="210" spans="18:23" ht="15.75" customHeight="1" x14ac:dyDescent="0.3">
      <c r="R210" s="22"/>
      <c r="S210" s="22"/>
      <c r="U210" s="22"/>
      <c r="V210" s="22"/>
      <c r="W210" s="22"/>
    </row>
    <row r="211" spans="18:23" ht="15.75" customHeight="1" x14ac:dyDescent="0.3">
      <c r="R211" s="22"/>
      <c r="S211" s="22"/>
      <c r="U211" s="22"/>
      <c r="V211" s="22"/>
      <c r="W211" s="22"/>
    </row>
    <row r="212" spans="18:23" ht="15.75" customHeight="1" x14ac:dyDescent="0.3">
      <c r="R212" s="22"/>
      <c r="S212" s="22"/>
      <c r="U212" s="22"/>
      <c r="V212" s="22"/>
      <c r="W212" s="22"/>
    </row>
    <row r="213" spans="18:23" ht="15.75" customHeight="1" x14ac:dyDescent="0.3">
      <c r="R213" s="22"/>
      <c r="S213" s="22"/>
      <c r="U213" s="22"/>
      <c r="V213" s="22"/>
      <c r="W213" s="22"/>
    </row>
    <row r="214" spans="18:23" ht="15.75" customHeight="1" x14ac:dyDescent="0.3">
      <c r="R214" s="22"/>
      <c r="S214" s="22"/>
      <c r="U214" s="22"/>
      <c r="V214" s="22"/>
      <c r="W214" s="22"/>
    </row>
    <row r="215" spans="18:23" ht="15.75" customHeight="1" x14ac:dyDescent="0.3">
      <c r="R215" s="22"/>
      <c r="S215" s="22"/>
      <c r="U215" s="22"/>
      <c r="V215" s="22"/>
      <c r="W215" s="22"/>
    </row>
    <row r="216" spans="18:23" ht="15.75" customHeight="1" x14ac:dyDescent="0.3">
      <c r="R216" s="22"/>
      <c r="S216" s="22"/>
      <c r="U216" s="22"/>
      <c r="V216" s="22"/>
      <c r="W216" s="22"/>
    </row>
    <row r="217" spans="18:23" ht="15.75" customHeight="1" x14ac:dyDescent="0.3">
      <c r="R217" s="22"/>
      <c r="S217" s="22"/>
      <c r="U217" s="22"/>
      <c r="V217" s="22"/>
      <c r="W217" s="22"/>
    </row>
    <row r="218" spans="18:23" ht="15.75" customHeight="1" x14ac:dyDescent="0.3">
      <c r="R218" s="22"/>
      <c r="S218" s="22"/>
      <c r="U218" s="22"/>
      <c r="V218" s="22"/>
      <c r="W218" s="22"/>
    </row>
    <row r="219" spans="18:23" ht="15.75" customHeight="1" x14ac:dyDescent="0.3">
      <c r="R219" s="22"/>
      <c r="S219" s="22"/>
      <c r="U219" s="22"/>
      <c r="V219" s="22"/>
      <c r="W219" s="22"/>
    </row>
    <row r="220" spans="18:23" ht="15.75" customHeight="1" x14ac:dyDescent="0.3">
      <c r="R220" s="22"/>
      <c r="S220" s="22"/>
      <c r="U220" s="22"/>
      <c r="V220" s="22"/>
      <c r="W220" s="22"/>
    </row>
    <row r="221" spans="18:23" ht="15.75" customHeight="1" x14ac:dyDescent="0.3">
      <c r="R221" s="22"/>
      <c r="S221" s="22"/>
      <c r="U221" s="22"/>
      <c r="V221" s="22"/>
      <c r="W221" s="22"/>
    </row>
    <row r="222" spans="18:23" ht="15.75" customHeight="1" x14ac:dyDescent="0.3">
      <c r="R222" s="22"/>
      <c r="S222" s="22"/>
      <c r="U222" s="22"/>
      <c r="V222" s="22"/>
      <c r="W222" s="22"/>
    </row>
    <row r="223" spans="18:23" ht="15.75" customHeight="1" x14ac:dyDescent="0.3">
      <c r="R223" s="22"/>
      <c r="S223" s="22"/>
      <c r="U223" s="22"/>
      <c r="V223" s="22"/>
      <c r="W223" s="22"/>
    </row>
    <row r="224" spans="18:23" ht="15.75" customHeight="1" x14ac:dyDescent="0.3">
      <c r="R224" s="22"/>
      <c r="S224" s="22"/>
      <c r="U224" s="22"/>
      <c r="V224" s="22"/>
      <c r="W224" s="22"/>
    </row>
    <row r="225" spans="18:23" ht="15.75" customHeight="1" x14ac:dyDescent="0.3">
      <c r="R225" s="22"/>
      <c r="S225" s="22"/>
      <c r="U225" s="22"/>
      <c r="V225" s="22"/>
      <c r="W225" s="22"/>
    </row>
    <row r="226" spans="18:23" ht="15.75" customHeight="1" x14ac:dyDescent="0.3">
      <c r="R226" s="22"/>
      <c r="S226" s="22"/>
      <c r="U226" s="22"/>
      <c r="V226" s="22"/>
      <c r="W226" s="22"/>
    </row>
    <row r="227" spans="18:23" ht="15.75" customHeight="1" x14ac:dyDescent="0.3">
      <c r="R227" s="22"/>
      <c r="S227" s="22"/>
      <c r="U227" s="22"/>
      <c r="V227" s="22"/>
      <c r="W227" s="22"/>
    </row>
    <row r="228" spans="18:23" ht="15.75" customHeight="1" x14ac:dyDescent="0.3">
      <c r="R228" s="22"/>
      <c r="S228" s="22"/>
      <c r="U228" s="22"/>
      <c r="V228" s="22"/>
      <c r="W228" s="22"/>
    </row>
    <row r="229" spans="18:23" ht="15.75" customHeight="1" x14ac:dyDescent="0.3">
      <c r="R229" s="22"/>
      <c r="S229" s="22"/>
      <c r="U229" s="22"/>
      <c r="V229" s="22"/>
      <c r="W229" s="22"/>
    </row>
    <row r="230" spans="18:23" ht="15.75" customHeight="1" x14ac:dyDescent="0.3">
      <c r="R230" s="22"/>
      <c r="S230" s="22"/>
      <c r="U230" s="22"/>
      <c r="V230" s="22"/>
      <c r="W230" s="22"/>
    </row>
    <row r="231" spans="18:23" ht="15.75" customHeight="1" x14ac:dyDescent="0.3">
      <c r="R231" s="22"/>
      <c r="S231" s="22"/>
      <c r="U231" s="22"/>
      <c r="V231" s="22"/>
      <c r="W231" s="22"/>
    </row>
    <row r="232" spans="18:23" ht="15.75" customHeight="1" x14ac:dyDescent="0.3">
      <c r="R232" s="22"/>
      <c r="S232" s="22"/>
      <c r="U232" s="22"/>
      <c r="V232" s="22"/>
      <c r="W232" s="22"/>
    </row>
    <row r="233" spans="18:23" ht="15.75" customHeight="1" x14ac:dyDescent="0.3">
      <c r="R233" s="22"/>
      <c r="S233" s="22"/>
      <c r="U233" s="22"/>
      <c r="V233" s="22"/>
      <c r="W233" s="22"/>
    </row>
    <row r="234" spans="18:23" ht="15.75" customHeight="1" x14ac:dyDescent="0.3">
      <c r="R234" s="22"/>
      <c r="S234" s="22"/>
      <c r="U234" s="22"/>
      <c r="V234" s="22"/>
      <c r="W234" s="22"/>
    </row>
    <row r="235" spans="18:23" ht="15.75" customHeight="1" x14ac:dyDescent="0.3">
      <c r="R235" s="22"/>
      <c r="S235" s="22"/>
      <c r="U235" s="22"/>
      <c r="V235" s="22"/>
      <c r="W235" s="22"/>
    </row>
    <row r="236" spans="18:23" ht="15.75" customHeight="1" x14ac:dyDescent="0.3">
      <c r="R236" s="22"/>
      <c r="S236" s="22"/>
      <c r="U236" s="22"/>
      <c r="V236" s="22"/>
      <c r="W236" s="22"/>
    </row>
    <row r="237" spans="18:23" ht="15.75" customHeight="1" x14ac:dyDescent="0.3">
      <c r="R237" s="22"/>
      <c r="S237" s="22"/>
      <c r="U237" s="22"/>
      <c r="V237" s="22"/>
      <c r="W237" s="22"/>
    </row>
    <row r="238" spans="18:23" ht="15.75" customHeight="1" x14ac:dyDescent="0.3">
      <c r="R238" s="22"/>
      <c r="S238" s="22"/>
      <c r="U238" s="22"/>
      <c r="V238" s="22"/>
      <c r="W238" s="22"/>
    </row>
    <row r="239" spans="18:23" ht="15.75" customHeight="1" x14ac:dyDescent="0.3">
      <c r="R239" s="22"/>
      <c r="S239" s="22"/>
      <c r="U239" s="22"/>
      <c r="V239" s="22"/>
      <c r="W239" s="22"/>
    </row>
    <row r="240" spans="18:23" ht="15.75" customHeight="1" x14ac:dyDescent="0.3">
      <c r="R240" s="22"/>
      <c r="S240" s="22"/>
      <c r="U240" s="22"/>
      <c r="V240" s="22"/>
      <c r="W240" s="22"/>
    </row>
    <row r="241" spans="18:23" ht="15.75" customHeight="1" x14ac:dyDescent="0.3">
      <c r="R241" s="22"/>
      <c r="S241" s="22"/>
      <c r="U241" s="22"/>
      <c r="V241" s="22"/>
      <c r="W241" s="22"/>
    </row>
    <row r="242" spans="18:23" ht="15.75" customHeight="1" x14ac:dyDescent="0.3">
      <c r="R242" s="22"/>
      <c r="S242" s="22"/>
      <c r="U242" s="22"/>
      <c r="V242" s="22"/>
      <c r="W242" s="22"/>
    </row>
    <row r="243" spans="18:23" ht="15.75" customHeight="1" x14ac:dyDescent="0.3">
      <c r="R243" s="22"/>
      <c r="S243" s="22"/>
      <c r="U243" s="22"/>
      <c r="V243" s="22"/>
      <c r="W243" s="22"/>
    </row>
    <row r="244" spans="18:23" ht="15.75" customHeight="1" x14ac:dyDescent="0.3">
      <c r="R244" s="22"/>
      <c r="S244" s="22"/>
      <c r="U244" s="22"/>
      <c r="V244" s="22"/>
      <c r="W244" s="22"/>
    </row>
    <row r="245" spans="18:23" ht="15.75" customHeight="1" x14ac:dyDescent="0.3">
      <c r="R245" s="22"/>
      <c r="S245" s="22"/>
      <c r="U245" s="22"/>
      <c r="V245" s="22"/>
      <c r="W245" s="22"/>
    </row>
    <row r="246" spans="18:23" ht="15.75" customHeight="1" x14ac:dyDescent="0.3">
      <c r="R246" s="22"/>
      <c r="S246" s="22"/>
      <c r="U246" s="22"/>
      <c r="V246" s="22"/>
      <c r="W246" s="22"/>
    </row>
    <row r="247" spans="18:23" ht="15.75" customHeight="1" x14ac:dyDescent="0.3">
      <c r="R247" s="22"/>
      <c r="S247" s="22"/>
      <c r="U247" s="22"/>
      <c r="V247" s="22"/>
      <c r="W247" s="22"/>
    </row>
    <row r="248" spans="18:23" ht="15.75" customHeight="1" x14ac:dyDescent="0.3">
      <c r="R248" s="22"/>
      <c r="S248" s="22"/>
      <c r="U248" s="22"/>
      <c r="V248" s="22"/>
      <c r="W248" s="22"/>
    </row>
    <row r="249" spans="18:23" ht="15.75" customHeight="1" x14ac:dyDescent="0.3">
      <c r="R249" s="22"/>
      <c r="S249" s="22"/>
      <c r="U249" s="22"/>
      <c r="V249" s="22"/>
      <c r="W249" s="22"/>
    </row>
    <row r="250" spans="18:23" ht="15.75" customHeight="1" x14ac:dyDescent="0.3">
      <c r="R250" s="22"/>
      <c r="S250" s="22"/>
      <c r="U250" s="22"/>
      <c r="V250" s="22"/>
      <c r="W250" s="22"/>
    </row>
    <row r="251" spans="18:23" ht="15.75" customHeight="1" x14ac:dyDescent="0.3">
      <c r="R251" s="22"/>
      <c r="S251" s="22"/>
      <c r="U251" s="22"/>
      <c r="V251" s="22"/>
      <c r="W251" s="22"/>
    </row>
    <row r="252" spans="18:23" ht="15.75" customHeight="1" x14ac:dyDescent="0.3">
      <c r="R252" s="22"/>
      <c r="S252" s="22"/>
      <c r="U252" s="22"/>
      <c r="V252" s="22"/>
      <c r="W252" s="22"/>
    </row>
    <row r="253" spans="18:23" ht="15.75" customHeight="1" x14ac:dyDescent="0.3">
      <c r="R253" s="22"/>
      <c r="S253" s="22"/>
      <c r="U253" s="22"/>
      <c r="V253" s="22"/>
      <c r="W253" s="22"/>
    </row>
    <row r="254" spans="18:23" ht="15.75" customHeight="1" x14ac:dyDescent="0.3">
      <c r="R254" s="22"/>
      <c r="S254" s="22"/>
      <c r="U254" s="22"/>
      <c r="V254" s="22"/>
      <c r="W254" s="22"/>
    </row>
    <row r="255" spans="18:23" ht="15.75" customHeight="1" x14ac:dyDescent="0.3">
      <c r="R255" s="22"/>
      <c r="S255" s="22"/>
      <c r="U255" s="22"/>
      <c r="V255" s="22"/>
      <c r="W255" s="22"/>
    </row>
    <row r="256" spans="18:23" ht="15.75" customHeight="1" x14ac:dyDescent="0.3">
      <c r="R256" s="22"/>
      <c r="S256" s="22"/>
      <c r="U256" s="22"/>
      <c r="V256" s="22"/>
      <c r="W256" s="22"/>
    </row>
    <row r="257" spans="18:23" ht="15.75" customHeight="1" x14ac:dyDescent="0.3">
      <c r="R257" s="22"/>
      <c r="S257" s="22"/>
      <c r="U257" s="22"/>
      <c r="V257" s="22"/>
      <c r="W257" s="22"/>
    </row>
    <row r="258" spans="18:23" ht="15.75" customHeight="1" x14ac:dyDescent="0.3">
      <c r="R258" s="22"/>
      <c r="S258" s="22"/>
      <c r="U258" s="22"/>
      <c r="V258" s="22"/>
      <c r="W258" s="22"/>
    </row>
    <row r="259" spans="18:23" ht="15.75" customHeight="1" x14ac:dyDescent="0.3">
      <c r="R259" s="22"/>
      <c r="S259" s="22"/>
      <c r="U259" s="22"/>
      <c r="V259" s="22"/>
      <c r="W259" s="22"/>
    </row>
    <row r="260" spans="18:23" ht="15.75" customHeight="1" x14ac:dyDescent="0.3">
      <c r="R260" s="22"/>
      <c r="S260" s="22"/>
      <c r="U260" s="22"/>
      <c r="V260" s="22"/>
      <c r="W260" s="22"/>
    </row>
    <row r="261" spans="18:23" ht="15.75" customHeight="1" x14ac:dyDescent="0.3">
      <c r="R261" s="22"/>
      <c r="S261" s="22"/>
      <c r="U261" s="22"/>
      <c r="V261" s="22"/>
      <c r="W261" s="22"/>
    </row>
    <row r="262" spans="18:23" ht="15.75" customHeight="1" x14ac:dyDescent="0.3">
      <c r="R262" s="22"/>
      <c r="S262" s="22"/>
      <c r="U262" s="22"/>
      <c r="V262" s="22"/>
      <c r="W262" s="22"/>
    </row>
    <row r="263" spans="18:23" ht="15.75" customHeight="1" x14ac:dyDescent="0.3">
      <c r="R263" s="22"/>
      <c r="S263" s="22"/>
      <c r="U263" s="22"/>
      <c r="V263" s="22"/>
      <c r="W263" s="22"/>
    </row>
    <row r="264" spans="18:23" ht="15.75" customHeight="1" x14ac:dyDescent="0.3">
      <c r="R264" s="22"/>
      <c r="S264" s="22"/>
      <c r="U264" s="22"/>
      <c r="V264" s="22"/>
      <c r="W264" s="22"/>
    </row>
    <row r="265" spans="18:23" ht="15.75" customHeight="1" x14ac:dyDescent="0.3">
      <c r="R265" s="22"/>
      <c r="S265" s="22"/>
      <c r="U265" s="22"/>
      <c r="V265" s="22"/>
      <c r="W265" s="22"/>
    </row>
    <row r="266" spans="18:23" ht="15.75" customHeight="1" x14ac:dyDescent="0.3">
      <c r="R266" s="22"/>
      <c r="S266" s="22"/>
      <c r="U266" s="22"/>
      <c r="V266" s="22"/>
      <c r="W266" s="22"/>
    </row>
    <row r="267" spans="18:23" ht="15.75" customHeight="1" x14ac:dyDescent="0.3">
      <c r="R267" s="22"/>
      <c r="S267" s="22"/>
      <c r="U267" s="22"/>
      <c r="V267" s="22"/>
      <c r="W267" s="22"/>
    </row>
    <row r="268" spans="18:23" ht="15.75" customHeight="1" x14ac:dyDescent="0.3">
      <c r="R268" s="22"/>
      <c r="S268" s="22"/>
      <c r="U268" s="22"/>
      <c r="V268" s="22"/>
      <c r="W268" s="22"/>
    </row>
    <row r="269" spans="18:23" ht="15.75" customHeight="1" x14ac:dyDescent="0.3">
      <c r="R269" s="22"/>
      <c r="S269" s="22"/>
      <c r="U269" s="22"/>
      <c r="V269" s="22"/>
      <c r="W269" s="22"/>
    </row>
    <row r="270" spans="18:23" ht="15.75" customHeight="1" x14ac:dyDescent="0.3">
      <c r="R270" s="22"/>
      <c r="S270" s="22"/>
      <c r="U270" s="22"/>
      <c r="V270" s="22"/>
      <c r="W270" s="22"/>
    </row>
    <row r="271" spans="18:23" ht="15.75" customHeight="1" x14ac:dyDescent="0.3">
      <c r="R271" s="22"/>
      <c r="S271" s="22"/>
      <c r="U271" s="22"/>
      <c r="V271" s="22"/>
      <c r="W271" s="22"/>
    </row>
    <row r="272" spans="18:23" ht="15.75" customHeight="1" x14ac:dyDescent="0.3">
      <c r="R272" s="22"/>
      <c r="S272" s="22"/>
      <c r="U272" s="22"/>
      <c r="V272" s="22"/>
      <c r="W272" s="22"/>
    </row>
    <row r="273" spans="18:23" ht="15.75" customHeight="1" x14ac:dyDescent="0.3">
      <c r="R273" s="22"/>
      <c r="S273" s="22"/>
      <c r="U273" s="22"/>
      <c r="V273" s="22"/>
      <c r="W273" s="22"/>
    </row>
    <row r="274" spans="18:23" ht="15.75" customHeight="1" x14ac:dyDescent="0.3">
      <c r="R274" s="22"/>
      <c r="S274" s="22"/>
      <c r="U274" s="22"/>
      <c r="V274" s="22"/>
      <c r="W274" s="22"/>
    </row>
    <row r="275" spans="18:23" ht="15.75" customHeight="1" x14ac:dyDescent="0.3">
      <c r="R275" s="22"/>
      <c r="S275" s="22"/>
      <c r="U275" s="22"/>
      <c r="V275" s="22"/>
      <c r="W275" s="22"/>
    </row>
    <row r="276" spans="18:23" ht="15.75" customHeight="1" x14ac:dyDescent="0.3">
      <c r="R276" s="22"/>
      <c r="S276" s="22"/>
      <c r="U276" s="22"/>
      <c r="V276" s="22"/>
      <c r="W276" s="22"/>
    </row>
    <row r="277" spans="18:23" ht="15.75" customHeight="1" x14ac:dyDescent="0.3">
      <c r="R277" s="22"/>
      <c r="S277" s="22"/>
      <c r="U277" s="22"/>
      <c r="V277" s="22"/>
      <c r="W277" s="22"/>
    </row>
    <row r="278" spans="18:23" ht="15.75" customHeight="1" x14ac:dyDescent="0.3">
      <c r="R278" s="22"/>
      <c r="S278" s="22"/>
      <c r="U278" s="22"/>
      <c r="V278" s="22"/>
      <c r="W278" s="22"/>
    </row>
    <row r="279" spans="18:23" ht="15.75" customHeight="1" x14ac:dyDescent="0.3">
      <c r="R279" s="22"/>
      <c r="S279" s="22"/>
      <c r="U279" s="22"/>
      <c r="V279" s="22"/>
      <c r="W279" s="22"/>
    </row>
    <row r="280" spans="18:23" ht="15.75" customHeight="1" x14ac:dyDescent="0.3">
      <c r="R280" s="22"/>
      <c r="S280" s="22"/>
      <c r="U280" s="22"/>
      <c r="V280" s="22"/>
      <c r="W280" s="22"/>
    </row>
    <row r="281" spans="18:23" ht="15.75" customHeight="1" x14ac:dyDescent="0.3">
      <c r="R281" s="22"/>
      <c r="S281" s="22"/>
      <c r="U281" s="22"/>
      <c r="V281" s="22"/>
      <c r="W281" s="22"/>
    </row>
    <row r="282" spans="18:23" ht="15.75" customHeight="1" x14ac:dyDescent="0.3">
      <c r="R282" s="22"/>
      <c r="S282" s="22"/>
      <c r="U282" s="22"/>
      <c r="V282" s="22"/>
      <c r="W282" s="22"/>
    </row>
    <row r="283" spans="18:23" ht="15.75" customHeight="1" x14ac:dyDescent="0.3">
      <c r="R283" s="22"/>
      <c r="S283" s="22"/>
      <c r="U283" s="22"/>
      <c r="V283" s="22"/>
      <c r="W283" s="22"/>
    </row>
    <row r="284" spans="18:23" ht="15.75" customHeight="1" x14ac:dyDescent="0.3">
      <c r="R284" s="22"/>
      <c r="S284" s="22"/>
      <c r="U284" s="22"/>
      <c r="V284" s="22"/>
      <c r="W284" s="22"/>
    </row>
    <row r="285" spans="18:23" ht="15.75" customHeight="1" x14ac:dyDescent="0.3">
      <c r="R285" s="22"/>
      <c r="S285" s="22"/>
      <c r="U285" s="22"/>
      <c r="V285" s="22"/>
      <c r="W285" s="22"/>
    </row>
    <row r="286" spans="18:23" ht="15.75" customHeight="1" x14ac:dyDescent="0.3">
      <c r="R286" s="22"/>
      <c r="S286" s="22"/>
      <c r="U286" s="22"/>
      <c r="V286" s="22"/>
      <c r="W286" s="22"/>
    </row>
    <row r="287" spans="18:23" ht="15.75" customHeight="1" x14ac:dyDescent="0.3">
      <c r="R287" s="22"/>
      <c r="S287" s="22"/>
      <c r="U287" s="22"/>
      <c r="V287" s="22"/>
      <c r="W287" s="22"/>
    </row>
    <row r="288" spans="18:23" ht="15.75" customHeight="1" x14ac:dyDescent="0.3">
      <c r="R288" s="22"/>
      <c r="S288" s="22"/>
      <c r="U288" s="22"/>
      <c r="V288" s="22"/>
      <c r="W288" s="22"/>
    </row>
    <row r="289" spans="18:23" ht="15.75" customHeight="1" x14ac:dyDescent="0.3">
      <c r="R289" s="22"/>
      <c r="S289" s="22"/>
      <c r="U289" s="22"/>
      <c r="V289" s="22"/>
      <c r="W289" s="22"/>
    </row>
    <row r="290" spans="18:23" ht="15.75" customHeight="1" x14ac:dyDescent="0.3">
      <c r="R290" s="22"/>
      <c r="S290" s="22"/>
      <c r="U290" s="22"/>
      <c r="V290" s="22"/>
      <c r="W290" s="22"/>
    </row>
    <row r="291" spans="18:23" ht="15.75" customHeight="1" x14ac:dyDescent="0.3">
      <c r="R291" s="22"/>
      <c r="S291" s="22"/>
      <c r="U291" s="22"/>
      <c r="V291" s="22"/>
      <c r="W291" s="22"/>
    </row>
    <row r="292" spans="18:23" ht="15.75" customHeight="1" x14ac:dyDescent="0.3">
      <c r="R292" s="22"/>
      <c r="S292" s="22"/>
      <c r="U292" s="22"/>
      <c r="V292" s="22"/>
      <c r="W292" s="22"/>
    </row>
    <row r="293" spans="18:23" ht="15.75" customHeight="1" x14ac:dyDescent="0.3">
      <c r="R293" s="22"/>
      <c r="S293" s="22"/>
      <c r="U293" s="22"/>
      <c r="V293" s="22"/>
      <c r="W293" s="22"/>
    </row>
    <row r="294" spans="18:23" ht="15.75" customHeight="1" x14ac:dyDescent="0.3">
      <c r="R294" s="22"/>
      <c r="S294" s="22"/>
      <c r="U294" s="22"/>
      <c r="V294" s="22"/>
      <c r="W294" s="22"/>
    </row>
    <row r="295" spans="18:23" ht="15.75" customHeight="1" x14ac:dyDescent="0.3">
      <c r="R295" s="22"/>
      <c r="S295" s="22"/>
      <c r="U295" s="22"/>
      <c r="V295" s="22"/>
      <c r="W295" s="22"/>
    </row>
    <row r="296" spans="18:23" ht="15.75" customHeight="1" x14ac:dyDescent="0.3">
      <c r="R296" s="22"/>
      <c r="S296" s="22"/>
      <c r="U296" s="22"/>
      <c r="V296" s="22"/>
      <c r="W296" s="22"/>
    </row>
    <row r="297" spans="18:23" ht="15.75" customHeight="1" x14ac:dyDescent="0.3">
      <c r="R297" s="22"/>
      <c r="S297" s="22"/>
      <c r="U297" s="22"/>
      <c r="V297" s="22"/>
      <c r="W297" s="22"/>
    </row>
    <row r="298" spans="18:23" ht="15.75" customHeight="1" x14ac:dyDescent="0.3">
      <c r="R298" s="22"/>
      <c r="S298" s="22"/>
      <c r="U298" s="22"/>
      <c r="V298" s="22"/>
      <c r="W298" s="22"/>
    </row>
    <row r="299" spans="18:23" ht="15.75" customHeight="1" x14ac:dyDescent="0.3">
      <c r="R299" s="22"/>
      <c r="S299" s="22"/>
      <c r="U299" s="22"/>
      <c r="V299" s="22"/>
      <c r="W299" s="22"/>
    </row>
    <row r="300" spans="18:23" ht="15.75" customHeight="1" x14ac:dyDescent="0.3">
      <c r="R300" s="22"/>
      <c r="S300" s="22"/>
      <c r="U300" s="22"/>
      <c r="V300" s="22"/>
      <c r="W300" s="22"/>
    </row>
    <row r="301" spans="18:23" ht="15.75" customHeight="1" x14ac:dyDescent="0.3">
      <c r="R301" s="22"/>
      <c r="S301" s="22"/>
      <c r="U301" s="22"/>
      <c r="V301" s="22"/>
      <c r="W301" s="22"/>
    </row>
    <row r="302" spans="18:23" ht="15.75" customHeight="1" x14ac:dyDescent="0.3">
      <c r="R302" s="22"/>
      <c r="S302" s="22"/>
      <c r="U302" s="22"/>
      <c r="V302" s="22"/>
      <c r="W302" s="22"/>
    </row>
    <row r="303" spans="18:23" ht="15.75" customHeight="1" x14ac:dyDescent="0.3">
      <c r="R303" s="22"/>
      <c r="S303" s="22"/>
      <c r="U303" s="22"/>
      <c r="V303" s="22"/>
      <c r="W303" s="22"/>
    </row>
    <row r="304" spans="18:23" ht="15.75" customHeight="1" x14ac:dyDescent="0.3">
      <c r="R304" s="22"/>
      <c r="S304" s="22"/>
      <c r="U304" s="22"/>
      <c r="V304" s="22"/>
      <c r="W304" s="22"/>
    </row>
    <row r="305" spans="18:23" ht="15.75" customHeight="1" x14ac:dyDescent="0.3">
      <c r="R305" s="22"/>
      <c r="S305" s="22"/>
      <c r="U305" s="22"/>
      <c r="V305" s="22"/>
      <c r="W305" s="22"/>
    </row>
    <row r="306" spans="18:23" ht="15.75" customHeight="1" x14ac:dyDescent="0.3">
      <c r="R306" s="22"/>
      <c r="S306" s="22"/>
      <c r="U306" s="22"/>
      <c r="V306" s="22"/>
      <c r="W306" s="22"/>
    </row>
    <row r="307" spans="18:23" ht="15.75" customHeight="1" x14ac:dyDescent="0.3">
      <c r="R307" s="22"/>
      <c r="S307" s="22"/>
      <c r="U307" s="22"/>
      <c r="V307" s="22"/>
      <c r="W307" s="22"/>
    </row>
    <row r="308" spans="18:23" ht="15.75" customHeight="1" x14ac:dyDescent="0.3">
      <c r="R308" s="22"/>
      <c r="S308" s="22"/>
      <c r="U308" s="22"/>
      <c r="V308" s="22"/>
      <c r="W308" s="22"/>
    </row>
    <row r="309" spans="18:23" ht="15.75" customHeight="1" x14ac:dyDescent="0.3">
      <c r="R309" s="22"/>
      <c r="S309" s="22"/>
      <c r="U309" s="22"/>
      <c r="V309" s="22"/>
      <c r="W309" s="22"/>
    </row>
    <row r="310" spans="18:23" ht="15.75" customHeight="1" x14ac:dyDescent="0.3">
      <c r="R310" s="22"/>
      <c r="S310" s="22"/>
      <c r="U310" s="22"/>
      <c r="V310" s="22"/>
      <c r="W310" s="22"/>
    </row>
    <row r="311" spans="18:23" ht="15.75" customHeight="1" x14ac:dyDescent="0.3">
      <c r="R311" s="22"/>
      <c r="S311" s="22"/>
      <c r="U311" s="22"/>
      <c r="V311" s="22"/>
      <c r="W311" s="22"/>
    </row>
    <row r="312" spans="18:23" ht="15.75" customHeight="1" x14ac:dyDescent="0.3">
      <c r="R312" s="22"/>
      <c r="S312" s="22"/>
      <c r="U312" s="22"/>
      <c r="V312" s="22"/>
      <c r="W312" s="22"/>
    </row>
    <row r="313" spans="18:23" ht="15.75" customHeight="1" x14ac:dyDescent="0.3">
      <c r="R313" s="22"/>
      <c r="S313" s="22"/>
      <c r="U313" s="22"/>
      <c r="V313" s="22"/>
      <c r="W313" s="22"/>
    </row>
    <row r="314" spans="18:23" ht="15.75" customHeight="1" x14ac:dyDescent="0.3">
      <c r="R314" s="22"/>
      <c r="S314" s="22"/>
      <c r="U314" s="22"/>
      <c r="V314" s="22"/>
      <c r="W314" s="22"/>
    </row>
    <row r="315" spans="18:23" ht="15.75" customHeight="1" x14ac:dyDescent="0.3">
      <c r="R315" s="22"/>
      <c r="S315" s="22"/>
      <c r="U315" s="22"/>
      <c r="V315" s="22"/>
      <c r="W315" s="22"/>
    </row>
    <row r="316" spans="18:23" ht="15.75" customHeight="1" x14ac:dyDescent="0.3">
      <c r="R316" s="22"/>
      <c r="S316" s="22"/>
      <c r="U316" s="22"/>
      <c r="V316" s="22"/>
      <c r="W316" s="22"/>
    </row>
    <row r="317" spans="18:23" ht="15.75" customHeight="1" x14ac:dyDescent="0.3">
      <c r="R317" s="22"/>
      <c r="S317" s="22"/>
      <c r="U317" s="22"/>
      <c r="V317" s="22"/>
      <c r="W317" s="22"/>
    </row>
    <row r="318" spans="18:23" ht="15.75" customHeight="1" x14ac:dyDescent="0.3">
      <c r="R318" s="22"/>
      <c r="S318" s="22"/>
      <c r="U318" s="22"/>
      <c r="V318" s="22"/>
      <c r="W318" s="22"/>
    </row>
    <row r="319" spans="18:23" ht="15.75" customHeight="1" x14ac:dyDescent="0.3">
      <c r="R319" s="22"/>
      <c r="S319" s="22"/>
      <c r="U319" s="22"/>
      <c r="V319" s="22"/>
      <c r="W319" s="22"/>
    </row>
    <row r="320" spans="18:23" ht="15.75" customHeight="1" x14ac:dyDescent="0.3">
      <c r="R320" s="22"/>
      <c r="S320" s="22"/>
      <c r="U320" s="22"/>
      <c r="V320" s="22"/>
      <c r="W320" s="22"/>
    </row>
    <row r="321" spans="18:23" ht="15.75" customHeight="1" x14ac:dyDescent="0.3">
      <c r="R321" s="22"/>
      <c r="S321" s="22"/>
      <c r="U321" s="22"/>
      <c r="V321" s="22"/>
      <c r="W321" s="22"/>
    </row>
    <row r="322" spans="18:23" ht="15.75" customHeight="1" x14ac:dyDescent="0.3">
      <c r="R322" s="22"/>
      <c r="S322" s="22"/>
      <c r="U322" s="22"/>
      <c r="V322" s="22"/>
      <c r="W322" s="22"/>
    </row>
    <row r="323" spans="18:23" ht="15.75" customHeight="1" x14ac:dyDescent="0.3">
      <c r="R323" s="22"/>
      <c r="S323" s="22"/>
      <c r="U323" s="22"/>
      <c r="V323" s="22"/>
      <c r="W323" s="22"/>
    </row>
    <row r="324" spans="18:23" ht="15.75" customHeight="1" x14ac:dyDescent="0.3">
      <c r="R324" s="22"/>
      <c r="S324" s="22"/>
      <c r="U324" s="22"/>
      <c r="V324" s="22"/>
      <c r="W324" s="22"/>
    </row>
    <row r="325" spans="18:23" ht="15.75" customHeight="1" x14ac:dyDescent="0.3">
      <c r="R325" s="22"/>
      <c r="S325" s="22"/>
      <c r="U325" s="22"/>
      <c r="V325" s="22"/>
      <c r="W325" s="22"/>
    </row>
    <row r="326" spans="18:23" ht="15.75" customHeight="1" x14ac:dyDescent="0.3">
      <c r="R326" s="22"/>
      <c r="S326" s="22"/>
      <c r="U326" s="22"/>
      <c r="V326" s="22"/>
      <c r="W326" s="22"/>
    </row>
    <row r="327" spans="18:23" ht="15.75" customHeight="1" x14ac:dyDescent="0.3">
      <c r="R327" s="22"/>
      <c r="S327" s="22"/>
      <c r="U327" s="22"/>
      <c r="V327" s="22"/>
      <c r="W327" s="22"/>
    </row>
    <row r="328" spans="18:23" ht="15.75" customHeight="1" x14ac:dyDescent="0.3">
      <c r="R328" s="22"/>
      <c r="S328" s="22"/>
      <c r="U328" s="22"/>
      <c r="V328" s="22"/>
      <c r="W328" s="22"/>
    </row>
    <row r="329" spans="18:23" ht="15.75" customHeight="1" x14ac:dyDescent="0.3">
      <c r="R329" s="22"/>
      <c r="S329" s="22"/>
      <c r="U329" s="22"/>
      <c r="V329" s="22"/>
      <c r="W329" s="22"/>
    </row>
    <row r="330" spans="18:23" ht="15.75" customHeight="1" x14ac:dyDescent="0.3">
      <c r="R330" s="22"/>
      <c r="S330" s="22"/>
      <c r="U330" s="22"/>
      <c r="V330" s="22"/>
      <c r="W330" s="22"/>
    </row>
    <row r="331" spans="18:23" ht="15.75" customHeight="1" x14ac:dyDescent="0.3">
      <c r="R331" s="22"/>
      <c r="S331" s="22"/>
      <c r="U331" s="22"/>
      <c r="V331" s="22"/>
      <c r="W331" s="22"/>
    </row>
    <row r="332" spans="18:23" ht="15.75" customHeight="1" x14ac:dyDescent="0.3">
      <c r="R332" s="22"/>
      <c r="S332" s="22"/>
      <c r="U332" s="22"/>
      <c r="V332" s="22"/>
      <c r="W332" s="22"/>
    </row>
    <row r="333" spans="18:23" ht="15.75" customHeight="1" x14ac:dyDescent="0.3">
      <c r="R333" s="22"/>
      <c r="S333" s="22"/>
      <c r="U333" s="22"/>
      <c r="V333" s="22"/>
      <c r="W333" s="22"/>
    </row>
    <row r="334" spans="18:23" ht="15.75" customHeight="1" x14ac:dyDescent="0.3">
      <c r="R334" s="22"/>
      <c r="S334" s="22"/>
      <c r="U334" s="22"/>
      <c r="V334" s="22"/>
      <c r="W334" s="22"/>
    </row>
    <row r="335" spans="18:23" ht="15.75" customHeight="1" x14ac:dyDescent="0.3">
      <c r="R335" s="22"/>
      <c r="S335" s="22"/>
      <c r="U335" s="22"/>
      <c r="V335" s="22"/>
      <c r="W335" s="22"/>
    </row>
    <row r="336" spans="18:23" ht="15.75" customHeight="1" x14ac:dyDescent="0.3">
      <c r="R336" s="22"/>
      <c r="S336" s="22"/>
      <c r="U336" s="22"/>
      <c r="V336" s="22"/>
      <c r="W336" s="22"/>
    </row>
    <row r="337" spans="18:23" ht="15.75" customHeight="1" x14ac:dyDescent="0.3">
      <c r="R337" s="22"/>
      <c r="S337" s="22"/>
      <c r="U337" s="22"/>
      <c r="V337" s="22"/>
      <c r="W337" s="22"/>
    </row>
    <row r="338" spans="18:23" ht="15.75" customHeight="1" x14ac:dyDescent="0.3">
      <c r="R338" s="22"/>
      <c r="S338" s="22"/>
      <c r="U338" s="22"/>
      <c r="V338" s="22"/>
      <c r="W338" s="22"/>
    </row>
    <row r="339" spans="18:23" ht="15.75" customHeight="1" x14ac:dyDescent="0.3">
      <c r="R339" s="22"/>
      <c r="S339" s="22"/>
      <c r="U339" s="22"/>
      <c r="V339" s="22"/>
      <c r="W339" s="22"/>
    </row>
    <row r="340" spans="18:23" ht="15.75" customHeight="1" x14ac:dyDescent="0.3">
      <c r="R340" s="22"/>
      <c r="S340" s="22"/>
      <c r="U340" s="22"/>
      <c r="V340" s="22"/>
      <c r="W340" s="22"/>
    </row>
    <row r="341" spans="18:23" ht="15.75" customHeight="1" x14ac:dyDescent="0.3">
      <c r="R341" s="22"/>
      <c r="S341" s="22"/>
      <c r="U341" s="22"/>
      <c r="V341" s="22"/>
      <c r="W341" s="22"/>
    </row>
    <row r="342" spans="18:23" ht="15.75" customHeight="1" x14ac:dyDescent="0.3">
      <c r="R342" s="22"/>
      <c r="S342" s="22"/>
      <c r="U342" s="22"/>
      <c r="V342" s="22"/>
      <c r="W342" s="22"/>
    </row>
    <row r="343" spans="18:23" ht="15.75" customHeight="1" x14ac:dyDescent="0.3">
      <c r="R343" s="22"/>
      <c r="S343" s="22"/>
      <c r="U343" s="22"/>
      <c r="V343" s="22"/>
      <c r="W343" s="22"/>
    </row>
    <row r="344" spans="18:23" ht="15.75" customHeight="1" x14ac:dyDescent="0.3">
      <c r="R344" s="22"/>
      <c r="S344" s="22"/>
      <c r="U344" s="22"/>
      <c r="V344" s="22"/>
      <c r="W344" s="22"/>
    </row>
    <row r="345" spans="18:23" ht="15.75" customHeight="1" x14ac:dyDescent="0.3">
      <c r="R345" s="22"/>
      <c r="S345" s="22"/>
      <c r="U345" s="22"/>
      <c r="V345" s="22"/>
      <c r="W345" s="22"/>
    </row>
    <row r="346" spans="18:23" ht="15.75" customHeight="1" x14ac:dyDescent="0.3">
      <c r="R346" s="22"/>
      <c r="S346" s="22"/>
      <c r="U346" s="22"/>
      <c r="V346" s="22"/>
      <c r="W346" s="22"/>
    </row>
    <row r="347" spans="18:23" ht="15.75" customHeight="1" x14ac:dyDescent="0.3">
      <c r="R347" s="22"/>
      <c r="S347" s="22"/>
      <c r="U347" s="22"/>
      <c r="V347" s="22"/>
      <c r="W347" s="22"/>
    </row>
    <row r="348" spans="18:23" ht="15.75" customHeight="1" x14ac:dyDescent="0.3">
      <c r="R348" s="22"/>
      <c r="S348" s="22"/>
      <c r="U348" s="22"/>
      <c r="V348" s="22"/>
      <c r="W348" s="22"/>
    </row>
    <row r="349" spans="18:23" ht="15.75" customHeight="1" x14ac:dyDescent="0.3">
      <c r="R349" s="22"/>
      <c r="S349" s="22"/>
      <c r="U349" s="22"/>
      <c r="V349" s="22"/>
      <c r="W349" s="22"/>
    </row>
    <row r="350" spans="18:23" ht="15.75" customHeight="1" x14ac:dyDescent="0.3">
      <c r="R350" s="22"/>
      <c r="S350" s="22"/>
      <c r="U350" s="22"/>
      <c r="V350" s="22"/>
      <c r="W350" s="22"/>
    </row>
    <row r="351" spans="18:23" ht="15.75" customHeight="1" x14ac:dyDescent="0.3">
      <c r="R351" s="22"/>
      <c r="S351" s="22"/>
      <c r="U351" s="22"/>
      <c r="V351" s="22"/>
      <c r="W351" s="22"/>
    </row>
    <row r="352" spans="18:23" ht="15.75" customHeight="1" x14ac:dyDescent="0.3">
      <c r="R352" s="22"/>
      <c r="S352" s="22"/>
      <c r="U352" s="22"/>
      <c r="V352" s="22"/>
      <c r="W352" s="22"/>
    </row>
    <row r="353" spans="18:23" ht="15.75" customHeight="1" x14ac:dyDescent="0.3">
      <c r="R353" s="22"/>
      <c r="S353" s="22"/>
      <c r="U353" s="22"/>
      <c r="V353" s="22"/>
      <c r="W353" s="22"/>
    </row>
    <row r="354" spans="18:23" ht="15.75" customHeight="1" x14ac:dyDescent="0.3">
      <c r="R354" s="22"/>
      <c r="S354" s="22"/>
      <c r="U354" s="22"/>
      <c r="V354" s="22"/>
      <c r="W354" s="22"/>
    </row>
    <row r="355" spans="18:23" ht="15.75" customHeight="1" x14ac:dyDescent="0.3">
      <c r="R355" s="22"/>
      <c r="S355" s="22"/>
      <c r="U355" s="22"/>
      <c r="V355" s="22"/>
      <c r="W355" s="22"/>
    </row>
    <row r="356" spans="18:23" ht="15.75" customHeight="1" x14ac:dyDescent="0.3">
      <c r="R356" s="22"/>
      <c r="S356" s="22"/>
      <c r="U356" s="22"/>
      <c r="V356" s="22"/>
      <c r="W356" s="22"/>
    </row>
    <row r="357" spans="18:23" ht="15.75" customHeight="1" x14ac:dyDescent="0.3">
      <c r="R357" s="22"/>
      <c r="S357" s="22"/>
      <c r="U357" s="22"/>
      <c r="V357" s="22"/>
      <c r="W357" s="22"/>
    </row>
    <row r="358" spans="18:23" ht="15.75" customHeight="1" x14ac:dyDescent="0.3">
      <c r="R358" s="22"/>
      <c r="S358" s="22"/>
      <c r="U358" s="22"/>
      <c r="V358" s="22"/>
      <c r="W358" s="22"/>
    </row>
    <row r="359" spans="18:23" ht="15.75" customHeight="1" x14ac:dyDescent="0.3">
      <c r="R359" s="22"/>
      <c r="S359" s="22"/>
      <c r="U359" s="22"/>
      <c r="V359" s="22"/>
      <c r="W359" s="22"/>
    </row>
    <row r="360" spans="18:23" ht="15.75" customHeight="1" x14ac:dyDescent="0.3">
      <c r="R360" s="22"/>
      <c r="S360" s="22"/>
      <c r="U360" s="22"/>
      <c r="V360" s="22"/>
      <c r="W360" s="22"/>
    </row>
    <row r="361" spans="18:23" ht="15.75" customHeight="1" x14ac:dyDescent="0.3">
      <c r="R361" s="22"/>
      <c r="S361" s="22"/>
      <c r="U361" s="22"/>
      <c r="V361" s="22"/>
      <c r="W361" s="22"/>
    </row>
    <row r="362" spans="18:23" ht="15.75" customHeight="1" x14ac:dyDescent="0.3">
      <c r="R362" s="22"/>
      <c r="S362" s="22"/>
      <c r="U362" s="22"/>
      <c r="V362" s="22"/>
      <c r="W362" s="22"/>
    </row>
    <row r="363" spans="18:23" ht="15.75" customHeight="1" x14ac:dyDescent="0.3">
      <c r="R363" s="22"/>
      <c r="S363" s="22"/>
      <c r="U363" s="22"/>
      <c r="V363" s="22"/>
      <c r="W363" s="22"/>
    </row>
    <row r="364" spans="18:23" ht="15.75" customHeight="1" x14ac:dyDescent="0.3">
      <c r="R364" s="22"/>
      <c r="S364" s="22"/>
      <c r="U364" s="22"/>
      <c r="V364" s="22"/>
      <c r="W364" s="22"/>
    </row>
    <row r="365" spans="18:23" ht="15.75" customHeight="1" x14ac:dyDescent="0.3">
      <c r="R365" s="22"/>
      <c r="S365" s="22"/>
      <c r="U365" s="22"/>
      <c r="V365" s="22"/>
      <c r="W365" s="22"/>
    </row>
    <row r="366" spans="18:23" ht="15.75" customHeight="1" x14ac:dyDescent="0.3">
      <c r="R366" s="22"/>
      <c r="S366" s="22"/>
      <c r="U366" s="22"/>
      <c r="V366" s="22"/>
      <c r="W366" s="22"/>
    </row>
    <row r="367" spans="18:23" ht="15.75" customHeight="1" x14ac:dyDescent="0.3">
      <c r="R367" s="22"/>
      <c r="S367" s="22"/>
      <c r="U367" s="22"/>
      <c r="V367" s="22"/>
      <c r="W367" s="22"/>
    </row>
    <row r="368" spans="18:23" ht="15.75" customHeight="1" x14ac:dyDescent="0.3">
      <c r="R368" s="22"/>
      <c r="S368" s="22"/>
      <c r="U368" s="22"/>
      <c r="V368" s="22"/>
      <c r="W368" s="22"/>
    </row>
    <row r="369" spans="18:23" ht="15.75" customHeight="1" x14ac:dyDescent="0.3">
      <c r="R369" s="22"/>
      <c r="S369" s="22"/>
      <c r="U369" s="22"/>
      <c r="V369" s="22"/>
      <c r="W369" s="22"/>
    </row>
    <row r="370" spans="18:23" ht="15.75" customHeight="1" x14ac:dyDescent="0.3">
      <c r="R370" s="22"/>
      <c r="S370" s="22"/>
      <c r="U370" s="22"/>
      <c r="V370" s="22"/>
      <c r="W370" s="22"/>
    </row>
    <row r="371" spans="18:23" ht="15.75" customHeight="1" x14ac:dyDescent="0.3">
      <c r="R371" s="22"/>
      <c r="S371" s="22"/>
      <c r="U371" s="22"/>
      <c r="V371" s="22"/>
      <c r="W371" s="22"/>
    </row>
    <row r="372" spans="18:23" ht="15.75" customHeight="1" x14ac:dyDescent="0.3">
      <c r="R372" s="22"/>
      <c r="S372" s="22"/>
      <c r="U372" s="22"/>
      <c r="V372" s="22"/>
      <c r="W372" s="22"/>
    </row>
    <row r="373" spans="18:23" ht="15.75" customHeight="1" x14ac:dyDescent="0.3">
      <c r="R373" s="22"/>
      <c r="S373" s="22"/>
      <c r="U373" s="22"/>
      <c r="V373" s="22"/>
      <c r="W373" s="22"/>
    </row>
    <row r="374" spans="18:23" ht="15.75" customHeight="1" x14ac:dyDescent="0.3">
      <c r="R374" s="22"/>
      <c r="S374" s="22"/>
      <c r="U374" s="22"/>
      <c r="V374" s="22"/>
      <c r="W374" s="22"/>
    </row>
    <row r="375" spans="18:23" ht="15.75" customHeight="1" x14ac:dyDescent="0.3">
      <c r="R375" s="22"/>
      <c r="S375" s="22"/>
      <c r="U375" s="22"/>
      <c r="V375" s="22"/>
      <c r="W375" s="22"/>
    </row>
    <row r="376" spans="18:23" ht="15.75" customHeight="1" x14ac:dyDescent="0.3">
      <c r="R376" s="22"/>
      <c r="S376" s="22"/>
      <c r="U376" s="22"/>
      <c r="V376" s="22"/>
      <c r="W376" s="22"/>
    </row>
    <row r="377" spans="18:23" ht="15.75" customHeight="1" x14ac:dyDescent="0.3">
      <c r="R377" s="22"/>
      <c r="S377" s="22"/>
      <c r="U377" s="22"/>
      <c r="V377" s="22"/>
      <c r="W377" s="22"/>
    </row>
    <row r="378" spans="18:23" ht="15.75" customHeight="1" x14ac:dyDescent="0.3">
      <c r="R378" s="22"/>
      <c r="S378" s="22"/>
      <c r="U378" s="22"/>
      <c r="V378" s="22"/>
      <c r="W378" s="22"/>
    </row>
    <row r="379" spans="18:23" ht="15.75" customHeight="1" x14ac:dyDescent="0.3">
      <c r="R379" s="22"/>
      <c r="S379" s="22"/>
      <c r="U379" s="22"/>
      <c r="V379" s="22"/>
      <c r="W379" s="22"/>
    </row>
    <row r="380" spans="18:23" ht="15.75" customHeight="1" x14ac:dyDescent="0.3">
      <c r="R380" s="22"/>
      <c r="S380" s="22"/>
      <c r="U380" s="22"/>
      <c r="V380" s="22"/>
      <c r="W380" s="22"/>
    </row>
    <row r="381" spans="18:23" ht="15.75" customHeight="1" x14ac:dyDescent="0.3">
      <c r="R381" s="22"/>
      <c r="S381" s="22"/>
      <c r="U381" s="22"/>
      <c r="V381" s="22"/>
      <c r="W381" s="22"/>
    </row>
    <row r="382" spans="18:23" ht="15.75" customHeight="1" x14ac:dyDescent="0.3">
      <c r="R382" s="22"/>
      <c r="S382" s="22"/>
      <c r="U382" s="22"/>
      <c r="V382" s="22"/>
      <c r="W382" s="22"/>
    </row>
    <row r="383" spans="18:23" ht="15.75" customHeight="1" x14ac:dyDescent="0.3">
      <c r="R383" s="22"/>
      <c r="S383" s="22"/>
      <c r="U383" s="22"/>
      <c r="V383" s="22"/>
      <c r="W383" s="22"/>
    </row>
    <row r="384" spans="18:23" ht="15.75" customHeight="1" x14ac:dyDescent="0.3">
      <c r="R384" s="22"/>
      <c r="S384" s="22"/>
      <c r="U384" s="22"/>
      <c r="V384" s="22"/>
      <c r="W384" s="22"/>
    </row>
    <row r="385" spans="18:23" ht="15.75" customHeight="1" x14ac:dyDescent="0.3">
      <c r="R385" s="22"/>
      <c r="S385" s="22"/>
      <c r="U385" s="22"/>
      <c r="V385" s="22"/>
      <c r="W385" s="22"/>
    </row>
    <row r="386" spans="18:23" ht="15.75" customHeight="1" x14ac:dyDescent="0.3">
      <c r="R386" s="22"/>
      <c r="S386" s="22"/>
      <c r="U386" s="22"/>
      <c r="V386" s="22"/>
      <c r="W386" s="22"/>
    </row>
    <row r="387" spans="18:23" ht="15.75" customHeight="1" x14ac:dyDescent="0.3">
      <c r="R387" s="22"/>
      <c r="S387" s="22"/>
      <c r="U387" s="22"/>
      <c r="V387" s="22"/>
      <c r="W387" s="22"/>
    </row>
    <row r="388" spans="18:23" ht="15.75" customHeight="1" x14ac:dyDescent="0.3">
      <c r="R388" s="22"/>
      <c r="S388" s="22"/>
      <c r="U388" s="22"/>
      <c r="V388" s="22"/>
      <c r="W388" s="22"/>
    </row>
    <row r="389" spans="18:23" ht="15.75" customHeight="1" x14ac:dyDescent="0.3">
      <c r="R389" s="22"/>
      <c r="S389" s="22"/>
      <c r="U389" s="22"/>
      <c r="V389" s="22"/>
      <c r="W389" s="22"/>
    </row>
    <row r="390" spans="18:23" ht="15.75" customHeight="1" x14ac:dyDescent="0.3">
      <c r="R390" s="22"/>
      <c r="S390" s="22"/>
      <c r="U390" s="22"/>
      <c r="V390" s="22"/>
      <c r="W390" s="22"/>
    </row>
    <row r="391" spans="18:23" ht="15.75" customHeight="1" x14ac:dyDescent="0.3">
      <c r="R391" s="22"/>
      <c r="S391" s="22"/>
      <c r="U391" s="22"/>
      <c r="V391" s="22"/>
      <c r="W391" s="22"/>
    </row>
    <row r="392" spans="18:23" ht="15.75" customHeight="1" x14ac:dyDescent="0.3">
      <c r="R392" s="22"/>
      <c r="S392" s="22"/>
      <c r="U392" s="22"/>
      <c r="V392" s="22"/>
      <c r="W392" s="22"/>
    </row>
    <row r="393" spans="18:23" ht="15.75" customHeight="1" x14ac:dyDescent="0.3">
      <c r="R393" s="22"/>
      <c r="S393" s="22"/>
      <c r="U393" s="22"/>
      <c r="V393" s="22"/>
      <c r="W393" s="22"/>
    </row>
    <row r="394" spans="18:23" ht="15.75" customHeight="1" x14ac:dyDescent="0.3">
      <c r="R394" s="22"/>
      <c r="S394" s="22"/>
      <c r="U394" s="22"/>
      <c r="V394" s="22"/>
      <c r="W394" s="22"/>
    </row>
    <row r="395" spans="18:23" ht="15.75" customHeight="1" x14ac:dyDescent="0.3">
      <c r="R395" s="22"/>
      <c r="S395" s="22"/>
      <c r="U395" s="22"/>
      <c r="V395" s="22"/>
      <c r="W395" s="22"/>
    </row>
    <row r="396" spans="18:23" ht="15.75" customHeight="1" x14ac:dyDescent="0.3">
      <c r="R396" s="22"/>
      <c r="S396" s="22"/>
      <c r="U396" s="22"/>
      <c r="V396" s="22"/>
      <c r="W396" s="22"/>
    </row>
    <row r="397" spans="18:23" ht="15.75" customHeight="1" x14ac:dyDescent="0.3">
      <c r="R397" s="22"/>
      <c r="S397" s="22"/>
      <c r="U397" s="22"/>
      <c r="V397" s="22"/>
      <c r="W397" s="22"/>
    </row>
    <row r="398" spans="18:23" ht="15.75" customHeight="1" x14ac:dyDescent="0.3">
      <c r="R398" s="22"/>
      <c r="S398" s="22"/>
      <c r="U398" s="22"/>
      <c r="V398" s="22"/>
      <c r="W398" s="22"/>
    </row>
    <row r="399" spans="18:23" ht="15.75" customHeight="1" x14ac:dyDescent="0.3">
      <c r="R399" s="22"/>
      <c r="S399" s="22"/>
      <c r="U399" s="22"/>
      <c r="V399" s="22"/>
      <c r="W399" s="22"/>
    </row>
    <row r="400" spans="18:23" ht="15.75" customHeight="1" x14ac:dyDescent="0.3">
      <c r="R400" s="22"/>
      <c r="S400" s="22"/>
      <c r="U400" s="22"/>
      <c r="V400" s="22"/>
      <c r="W400" s="22"/>
    </row>
    <row r="401" spans="18:23" ht="15.75" customHeight="1" x14ac:dyDescent="0.3">
      <c r="R401" s="22"/>
      <c r="S401" s="22"/>
      <c r="U401" s="22"/>
      <c r="V401" s="22"/>
      <c r="W401" s="22"/>
    </row>
    <row r="402" spans="18:23" ht="15.75" customHeight="1" x14ac:dyDescent="0.3">
      <c r="R402" s="22"/>
      <c r="S402" s="22"/>
      <c r="U402" s="22"/>
      <c r="V402" s="22"/>
      <c r="W402" s="22"/>
    </row>
    <row r="403" spans="18:23" ht="15.75" customHeight="1" x14ac:dyDescent="0.3">
      <c r="R403" s="22"/>
      <c r="S403" s="22"/>
      <c r="U403" s="22"/>
      <c r="V403" s="22"/>
      <c r="W403" s="22"/>
    </row>
    <row r="404" spans="18:23" ht="15.75" customHeight="1" x14ac:dyDescent="0.3">
      <c r="R404" s="22"/>
      <c r="S404" s="22"/>
      <c r="U404" s="22"/>
      <c r="V404" s="22"/>
      <c r="W404" s="22"/>
    </row>
    <row r="405" spans="18:23" ht="15.75" customHeight="1" x14ac:dyDescent="0.3">
      <c r="R405" s="22"/>
      <c r="S405" s="22"/>
      <c r="U405" s="22"/>
      <c r="V405" s="22"/>
      <c r="W405" s="22"/>
    </row>
    <row r="406" spans="18:23" ht="15.75" customHeight="1" x14ac:dyDescent="0.3">
      <c r="R406" s="22"/>
      <c r="S406" s="22"/>
      <c r="U406" s="22"/>
      <c r="V406" s="22"/>
      <c r="W406" s="22"/>
    </row>
    <row r="407" spans="18:23" ht="15.75" customHeight="1" x14ac:dyDescent="0.3">
      <c r="R407" s="22"/>
      <c r="S407" s="22"/>
      <c r="U407" s="22"/>
      <c r="V407" s="22"/>
      <c r="W407" s="22"/>
    </row>
    <row r="408" spans="18:23" ht="15.75" customHeight="1" x14ac:dyDescent="0.3">
      <c r="R408" s="22"/>
      <c r="S408" s="22"/>
      <c r="U408" s="22"/>
      <c r="V408" s="22"/>
      <c r="W408" s="22"/>
    </row>
    <row r="409" spans="18:23" ht="15.75" customHeight="1" x14ac:dyDescent="0.3">
      <c r="R409" s="22"/>
      <c r="S409" s="22"/>
      <c r="U409" s="22"/>
      <c r="V409" s="22"/>
      <c r="W409" s="22"/>
    </row>
    <row r="410" spans="18:23" ht="15.75" customHeight="1" x14ac:dyDescent="0.3">
      <c r="R410" s="22"/>
      <c r="S410" s="22"/>
      <c r="U410" s="22"/>
      <c r="V410" s="22"/>
      <c r="W410" s="22"/>
    </row>
    <row r="411" spans="18:23" ht="15.75" customHeight="1" x14ac:dyDescent="0.3">
      <c r="R411" s="22"/>
      <c r="S411" s="22"/>
      <c r="U411" s="22"/>
      <c r="V411" s="22"/>
      <c r="W411" s="22"/>
    </row>
    <row r="412" spans="18:23" ht="15.75" customHeight="1" x14ac:dyDescent="0.3">
      <c r="R412" s="22"/>
      <c r="S412" s="22"/>
      <c r="U412" s="22"/>
      <c r="V412" s="22"/>
      <c r="W412" s="22"/>
    </row>
    <row r="413" spans="18:23" ht="15.75" customHeight="1" x14ac:dyDescent="0.3">
      <c r="R413" s="22"/>
      <c r="S413" s="22"/>
      <c r="U413" s="22"/>
      <c r="V413" s="22"/>
      <c r="W413" s="22"/>
    </row>
    <row r="414" spans="18:23" ht="15.75" customHeight="1" x14ac:dyDescent="0.3">
      <c r="R414" s="22"/>
      <c r="S414" s="22"/>
      <c r="U414" s="22"/>
      <c r="V414" s="22"/>
      <c r="W414" s="22"/>
    </row>
    <row r="415" spans="18:23" ht="15.75" customHeight="1" x14ac:dyDescent="0.3">
      <c r="R415" s="22"/>
      <c r="S415" s="22"/>
      <c r="U415" s="22"/>
      <c r="V415" s="22"/>
      <c r="W415" s="22"/>
    </row>
    <row r="416" spans="18:23" ht="15.75" customHeight="1" x14ac:dyDescent="0.3">
      <c r="R416" s="22"/>
      <c r="S416" s="22"/>
      <c r="U416" s="22"/>
      <c r="V416" s="22"/>
      <c r="W416" s="22"/>
    </row>
    <row r="417" spans="18:23" ht="15.75" customHeight="1" x14ac:dyDescent="0.3">
      <c r="R417" s="22"/>
      <c r="S417" s="22"/>
      <c r="U417" s="22"/>
      <c r="V417" s="22"/>
      <c r="W417" s="22"/>
    </row>
    <row r="418" spans="18:23" ht="15.75" customHeight="1" x14ac:dyDescent="0.3">
      <c r="R418" s="22"/>
      <c r="S418" s="22"/>
      <c r="U418" s="22"/>
      <c r="V418" s="22"/>
      <c r="W418" s="22"/>
    </row>
    <row r="419" spans="18:23" ht="15.75" customHeight="1" x14ac:dyDescent="0.3">
      <c r="R419" s="22"/>
      <c r="S419" s="22"/>
      <c r="U419" s="22"/>
      <c r="V419" s="22"/>
      <c r="W419" s="22"/>
    </row>
    <row r="420" spans="18:23" ht="15.75" customHeight="1" x14ac:dyDescent="0.3">
      <c r="R420" s="22"/>
      <c r="S420" s="22"/>
      <c r="U420" s="22"/>
      <c r="V420" s="22"/>
      <c r="W420" s="22"/>
    </row>
    <row r="421" spans="18:23" ht="15.75" customHeight="1" x14ac:dyDescent="0.3">
      <c r="R421" s="22"/>
      <c r="S421" s="22"/>
      <c r="U421" s="22"/>
      <c r="V421" s="22"/>
      <c r="W421" s="22"/>
    </row>
    <row r="422" spans="18:23" ht="15.75" customHeight="1" x14ac:dyDescent="0.3">
      <c r="R422" s="22"/>
      <c r="S422" s="22"/>
      <c r="U422" s="22"/>
      <c r="V422" s="22"/>
      <c r="W422" s="22"/>
    </row>
    <row r="423" spans="18:23" ht="15.75" customHeight="1" x14ac:dyDescent="0.3">
      <c r="R423" s="22"/>
      <c r="S423" s="22"/>
      <c r="U423" s="22"/>
      <c r="V423" s="22"/>
      <c r="W423" s="22"/>
    </row>
    <row r="424" spans="18:23" ht="15.75" customHeight="1" x14ac:dyDescent="0.3">
      <c r="R424" s="22"/>
      <c r="S424" s="22"/>
      <c r="U424" s="22"/>
      <c r="V424" s="22"/>
      <c r="W424" s="22"/>
    </row>
    <row r="425" spans="18:23" ht="15.75" customHeight="1" x14ac:dyDescent="0.3">
      <c r="R425" s="22"/>
      <c r="S425" s="22"/>
      <c r="U425" s="22"/>
      <c r="V425" s="22"/>
      <c r="W425" s="22"/>
    </row>
    <row r="426" spans="18:23" ht="15.75" customHeight="1" x14ac:dyDescent="0.3">
      <c r="R426" s="22"/>
      <c r="S426" s="22"/>
      <c r="U426" s="22"/>
      <c r="V426" s="22"/>
      <c r="W426" s="22"/>
    </row>
    <row r="427" spans="18:23" ht="15.75" customHeight="1" x14ac:dyDescent="0.3">
      <c r="R427" s="22"/>
      <c r="S427" s="22"/>
      <c r="U427" s="22"/>
      <c r="V427" s="22"/>
      <c r="W427" s="22"/>
    </row>
    <row r="428" spans="18:23" ht="15.75" customHeight="1" x14ac:dyDescent="0.3">
      <c r="R428" s="22"/>
      <c r="S428" s="22"/>
      <c r="U428" s="22"/>
      <c r="V428" s="22"/>
      <c r="W428" s="22"/>
    </row>
    <row r="429" spans="18:23" ht="15.75" customHeight="1" x14ac:dyDescent="0.3">
      <c r="R429" s="22"/>
      <c r="S429" s="22"/>
      <c r="U429" s="22"/>
      <c r="V429" s="22"/>
      <c r="W429" s="22"/>
    </row>
    <row r="430" spans="18:23" ht="15.75" customHeight="1" x14ac:dyDescent="0.3">
      <c r="R430" s="22"/>
      <c r="S430" s="22"/>
      <c r="U430" s="22"/>
      <c r="V430" s="22"/>
      <c r="W430" s="22"/>
    </row>
    <row r="431" spans="18:23" ht="15.75" customHeight="1" x14ac:dyDescent="0.3">
      <c r="R431" s="22"/>
      <c r="S431" s="22"/>
      <c r="U431" s="22"/>
      <c r="V431" s="22"/>
      <c r="W431" s="22"/>
    </row>
    <row r="432" spans="18:23" ht="15.75" customHeight="1" x14ac:dyDescent="0.3">
      <c r="R432" s="22"/>
      <c r="S432" s="22"/>
      <c r="U432" s="22"/>
      <c r="V432" s="22"/>
      <c r="W432" s="22"/>
    </row>
    <row r="433" spans="18:23" ht="15.75" customHeight="1" x14ac:dyDescent="0.3">
      <c r="R433" s="22"/>
      <c r="S433" s="22"/>
      <c r="U433" s="22"/>
      <c r="V433" s="22"/>
      <c r="W433" s="22"/>
    </row>
    <row r="434" spans="18:23" ht="15.75" customHeight="1" x14ac:dyDescent="0.3">
      <c r="R434" s="22"/>
      <c r="S434" s="22"/>
      <c r="U434" s="22"/>
      <c r="V434" s="22"/>
      <c r="W434" s="22"/>
    </row>
    <row r="435" spans="18:23" ht="15.75" customHeight="1" x14ac:dyDescent="0.3">
      <c r="R435" s="22"/>
      <c r="S435" s="22"/>
      <c r="U435" s="22"/>
      <c r="V435" s="22"/>
      <c r="W435" s="22"/>
    </row>
    <row r="436" spans="18:23" ht="15.75" customHeight="1" x14ac:dyDescent="0.3">
      <c r="R436" s="22"/>
      <c r="S436" s="22"/>
      <c r="U436" s="22"/>
      <c r="V436" s="22"/>
      <c r="W436" s="22"/>
    </row>
    <row r="437" spans="18:23" ht="15.75" customHeight="1" x14ac:dyDescent="0.3">
      <c r="R437" s="22"/>
      <c r="S437" s="22"/>
      <c r="U437" s="22"/>
      <c r="V437" s="22"/>
      <c r="W437" s="22"/>
    </row>
    <row r="438" spans="18:23" ht="15.75" customHeight="1" x14ac:dyDescent="0.3">
      <c r="R438" s="22"/>
      <c r="S438" s="22"/>
      <c r="U438" s="22"/>
      <c r="V438" s="22"/>
      <c r="W438" s="22"/>
    </row>
    <row r="439" spans="18:23" ht="15.75" customHeight="1" x14ac:dyDescent="0.3">
      <c r="R439" s="22"/>
      <c r="S439" s="22"/>
      <c r="U439" s="22"/>
      <c r="V439" s="22"/>
      <c r="W439" s="22"/>
    </row>
    <row r="440" spans="18:23" ht="15.75" customHeight="1" x14ac:dyDescent="0.3">
      <c r="R440" s="22"/>
      <c r="S440" s="22"/>
      <c r="U440" s="22"/>
      <c r="V440" s="22"/>
      <c r="W440" s="22"/>
    </row>
    <row r="441" spans="18:23" ht="15.75" customHeight="1" x14ac:dyDescent="0.3">
      <c r="R441" s="22"/>
      <c r="S441" s="22"/>
      <c r="U441" s="22"/>
      <c r="V441" s="22"/>
      <c r="W441" s="22"/>
    </row>
    <row r="442" spans="18:23" ht="15.75" customHeight="1" x14ac:dyDescent="0.3">
      <c r="R442" s="22"/>
      <c r="S442" s="22"/>
      <c r="U442" s="22"/>
      <c r="V442" s="22"/>
      <c r="W442" s="22"/>
    </row>
    <row r="443" spans="18:23" ht="15.75" customHeight="1" x14ac:dyDescent="0.3">
      <c r="R443" s="22"/>
      <c r="S443" s="22"/>
      <c r="U443" s="22"/>
      <c r="V443" s="22"/>
      <c r="W443" s="22"/>
    </row>
    <row r="444" spans="18:23" ht="15.75" customHeight="1" x14ac:dyDescent="0.3">
      <c r="R444" s="22"/>
      <c r="S444" s="22"/>
      <c r="U444" s="22"/>
      <c r="V444" s="22"/>
      <c r="W444" s="22"/>
    </row>
    <row r="445" spans="18:23" ht="15.75" customHeight="1" x14ac:dyDescent="0.3">
      <c r="R445" s="22"/>
      <c r="S445" s="22"/>
      <c r="U445" s="22"/>
      <c r="V445" s="22"/>
      <c r="W445" s="22"/>
    </row>
    <row r="446" spans="18:23" ht="15.75" customHeight="1" x14ac:dyDescent="0.3">
      <c r="R446" s="22"/>
      <c r="S446" s="22"/>
      <c r="U446" s="22"/>
      <c r="V446" s="22"/>
      <c r="W446" s="22"/>
    </row>
    <row r="447" spans="18:23" ht="15.75" customHeight="1" x14ac:dyDescent="0.3">
      <c r="R447" s="22"/>
      <c r="S447" s="22"/>
      <c r="U447" s="22"/>
      <c r="V447" s="22"/>
      <c r="W447" s="22"/>
    </row>
    <row r="448" spans="18:23" ht="15.75" customHeight="1" x14ac:dyDescent="0.3">
      <c r="R448" s="22"/>
      <c r="S448" s="22"/>
      <c r="U448" s="22"/>
      <c r="V448" s="22"/>
      <c r="W448" s="22"/>
    </row>
    <row r="449" spans="18:23" ht="15.75" customHeight="1" x14ac:dyDescent="0.3">
      <c r="R449" s="22"/>
      <c r="S449" s="22"/>
      <c r="U449" s="22"/>
      <c r="V449" s="22"/>
      <c r="W449" s="22"/>
    </row>
    <row r="450" spans="18:23" ht="15.75" customHeight="1" x14ac:dyDescent="0.3">
      <c r="R450" s="22"/>
      <c r="S450" s="22"/>
      <c r="U450" s="22"/>
      <c r="V450" s="22"/>
      <c r="W450" s="22"/>
    </row>
    <row r="451" spans="18:23" ht="15.75" customHeight="1" x14ac:dyDescent="0.3">
      <c r="R451" s="22"/>
      <c r="S451" s="22"/>
      <c r="U451" s="22"/>
      <c r="V451" s="22"/>
      <c r="W451" s="22"/>
    </row>
    <row r="452" spans="18:23" ht="15.75" customHeight="1" x14ac:dyDescent="0.3">
      <c r="R452" s="22"/>
      <c r="S452" s="22"/>
      <c r="U452" s="22"/>
      <c r="V452" s="22"/>
      <c r="W452" s="22"/>
    </row>
    <row r="453" spans="18:23" ht="15.75" customHeight="1" x14ac:dyDescent="0.3">
      <c r="R453" s="22"/>
      <c r="S453" s="22"/>
      <c r="U453" s="22"/>
      <c r="V453" s="22"/>
      <c r="W453" s="22"/>
    </row>
    <row r="454" spans="18:23" ht="15.75" customHeight="1" x14ac:dyDescent="0.3">
      <c r="R454" s="22"/>
      <c r="S454" s="22"/>
      <c r="U454" s="22"/>
      <c r="V454" s="22"/>
      <c r="W454" s="22"/>
    </row>
    <row r="455" spans="18:23" ht="15.75" customHeight="1" x14ac:dyDescent="0.3">
      <c r="R455" s="22"/>
      <c r="S455" s="22"/>
      <c r="U455" s="22"/>
      <c r="V455" s="22"/>
      <c r="W455" s="22"/>
    </row>
    <row r="456" spans="18:23" ht="15.75" customHeight="1" x14ac:dyDescent="0.3">
      <c r="R456" s="22"/>
      <c r="S456" s="22"/>
      <c r="U456" s="22"/>
      <c r="V456" s="22"/>
      <c r="W456" s="22"/>
    </row>
    <row r="457" spans="18:23" ht="15.75" customHeight="1" x14ac:dyDescent="0.3">
      <c r="R457" s="22"/>
      <c r="S457" s="22"/>
      <c r="U457" s="22"/>
      <c r="V457" s="22"/>
      <c r="W457" s="22"/>
    </row>
    <row r="458" spans="18:23" ht="15.75" customHeight="1" x14ac:dyDescent="0.3">
      <c r="R458" s="22"/>
      <c r="S458" s="22"/>
      <c r="U458" s="22"/>
      <c r="V458" s="22"/>
      <c r="W458" s="22"/>
    </row>
    <row r="459" spans="18:23" ht="15.75" customHeight="1" x14ac:dyDescent="0.3">
      <c r="R459" s="22"/>
      <c r="S459" s="22"/>
      <c r="U459" s="22"/>
      <c r="V459" s="22"/>
      <c r="W459" s="22"/>
    </row>
    <row r="460" spans="18:23" ht="15.75" customHeight="1" x14ac:dyDescent="0.3">
      <c r="R460" s="22"/>
      <c r="S460" s="22"/>
      <c r="U460" s="22"/>
      <c r="V460" s="22"/>
      <c r="W460" s="22"/>
    </row>
    <row r="461" spans="18:23" ht="15.75" customHeight="1" x14ac:dyDescent="0.3">
      <c r="R461" s="22"/>
      <c r="S461" s="22"/>
      <c r="U461" s="22"/>
      <c r="V461" s="22"/>
      <c r="W461" s="22"/>
    </row>
    <row r="462" spans="18:23" ht="15.75" customHeight="1" x14ac:dyDescent="0.3">
      <c r="R462" s="22"/>
      <c r="S462" s="22"/>
      <c r="U462" s="22"/>
      <c r="V462" s="22"/>
      <c r="W462" s="22"/>
    </row>
    <row r="463" spans="18:23" ht="15.75" customHeight="1" x14ac:dyDescent="0.3">
      <c r="R463" s="22"/>
      <c r="S463" s="22"/>
      <c r="U463" s="22"/>
      <c r="V463" s="22"/>
      <c r="W463" s="22"/>
    </row>
    <row r="464" spans="18:23" ht="15.75" customHeight="1" x14ac:dyDescent="0.3">
      <c r="R464" s="22"/>
      <c r="S464" s="22"/>
      <c r="U464" s="22"/>
      <c r="V464" s="22"/>
      <c r="W464" s="22"/>
    </row>
    <row r="465" spans="18:23" ht="15.75" customHeight="1" x14ac:dyDescent="0.3">
      <c r="R465" s="22"/>
      <c r="S465" s="22"/>
      <c r="U465" s="22"/>
      <c r="V465" s="22"/>
      <c r="W465" s="22"/>
    </row>
    <row r="466" spans="18:23" ht="15.75" customHeight="1" x14ac:dyDescent="0.3">
      <c r="R466" s="22"/>
      <c r="S466" s="22"/>
      <c r="U466" s="22"/>
      <c r="V466" s="22"/>
      <c r="W466" s="22"/>
    </row>
    <row r="467" spans="18:23" ht="15.75" customHeight="1" x14ac:dyDescent="0.3">
      <c r="R467" s="22"/>
      <c r="S467" s="22"/>
      <c r="U467" s="22"/>
      <c r="V467" s="22"/>
      <c r="W467" s="22"/>
    </row>
    <row r="468" spans="18:23" ht="15.75" customHeight="1" x14ac:dyDescent="0.3">
      <c r="R468" s="22"/>
      <c r="S468" s="22"/>
      <c r="U468" s="22"/>
      <c r="V468" s="22"/>
      <c r="W468" s="22"/>
    </row>
    <row r="469" spans="18:23" ht="15.75" customHeight="1" x14ac:dyDescent="0.3">
      <c r="R469" s="22"/>
      <c r="S469" s="22"/>
      <c r="U469" s="22"/>
      <c r="V469" s="22"/>
      <c r="W469" s="22"/>
    </row>
    <row r="470" spans="18:23" ht="15.75" customHeight="1" x14ac:dyDescent="0.3">
      <c r="R470" s="22"/>
      <c r="S470" s="22"/>
      <c r="U470" s="22"/>
      <c r="V470" s="22"/>
      <c r="W470" s="22"/>
    </row>
    <row r="471" spans="18:23" ht="15.75" customHeight="1" x14ac:dyDescent="0.3">
      <c r="R471" s="22"/>
      <c r="S471" s="22"/>
      <c r="U471" s="22"/>
      <c r="V471" s="22"/>
      <c r="W471" s="22"/>
    </row>
    <row r="472" spans="18:23" ht="15.75" customHeight="1" x14ac:dyDescent="0.3">
      <c r="R472" s="22"/>
      <c r="S472" s="22"/>
      <c r="U472" s="22"/>
      <c r="V472" s="22"/>
      <c r="W472" s="22"/>
    </row>
    <row r="473" spans="18:23" ht="15.75" customHeight="1" x14ac:dyDescent="0.3">
      <c r="R473" s="22"/>
      <c r="S473" s="22"/>
      <c r="U473" s="22"/>
      <c r="V473" s="22"/>
      <c r="W473" s="22"/>
    </row>
    <row r="474" spans="18:23" ht="15.75" customHeight="1" x14ac:dyDescent="0.3">
      <c r="R474" s="22"/>
      <c r="S474" s="22"/>
      <c r="U474" s="22"/>
      <c r="V474" s="22"/>
      <c r="W474" s="22"/>
    </row>
    <row r="475" spans="18:23" ht="15.75" customHeight="1" x14ac:dyDescent="0.3">
      <c r="R475" s="22"/>
      <c r="S475" s="22"/>
      <c r="U475" s="22"/>
      <c r="V475" s="22"/>
      <c r="W475" s="22"/>
    </row>
    <row r="476" spans="18:23" ht="15.75" customHeight="1" x14ac:dyDescent="0.3">
      <c r="R476" s="22"/>
      <c r="S476" s="22"/>
      <c r="U476" s="22"/>
      <c r="V476" s="22"/>
      <c r="W476" s="22"/>
    </row>
    <row r="477" spans="18:23" ht="15.75" customHeight="1" x14ac:dyDescent="0.3">
      <c r="R477" s="22"/>
      <c r="S477" s="22"/>
      <c r="U477" s="22"/>
      <c r="V477" s="22"/>
      <c r="W477" s="22"/>
    </row>
    <row r="478" spans="18:23" ht="15.75" customHeight="1" x14ac:dyDescent="0.3">
      <c r="R478" s="22"/>
      <c r="S478" s="22"/>
      <c r="U478" s="22"/>
      <c r="V478" s="22"/>
      <c r="W478" s="22"/>
    </row>
    <row r="479" spans="18:23" ht="15.75" customHeight="1" x14ac:dyDescent="0.3">
      <c r="R479" s="22"/>
      <c r="S479" s="22"/>
      <c r="U479" s="22"/>
      <c r="V479" s="22"/>
      <c r="W479" s="22"/>
    </row>
    <row r="480" spans="18:23" ht="15.75" customHeight="1" x14ac:dyDescent="0.3">
      <c r="R480" s="22"/>
      <c r="S480" s="22"/>
      <c r="U480" s="22"/>
      <c r="V480" s="22"/>
      <c r="W480" s="22"/>
    </row>
    <row r="481" spans="18:23" ht="15.75" customHeight="1" x14ac:dyDescent="0.3">
      <c r="R481" s="22"/>
      <c r="S481" s="22"/>
      <c r="U481" s="22"/>
      <c r="V481" s="22"/>
      <c r="W481" s="22"/>
    </row>
    <row r="482" spans="18:23" ht="15.75" customHeight="1" x14ac:dyDescent="0.3">
      <c r="R482" s="22"/>
      <c r="S482" s="22"/>
      <c r="U482" s="22"/>
      <c r="V482" s="22"/>
      <c r="W482" s="22"/>
    </row>
    <row r="483" spans="18:23" ht="15.75" customHeight="1" x14ac:dyDescent="0.3">
      <c r="R483" s="22"/>
      <c r="S483" s="22"/>
      <c r="U483" s="22"/>
      <c r="V483" s="22"/>
      <c r="W483" s="22"/>
    </row>
    <row r="484" spans="18:23" ht="15.75" customHeight="1" x14ac:dyDescent="0.3">
      <c r="R484" s="22"/>
      <c r="S484" s="22"/>
      <c r="U484" s="22"/>
      <c r="V484" s="22"/>
      <c r="W484" s="22"/>
    </row>
    <row r="485" spans="18:23" ht="15.75" customHeight="1" x14ac:dyDescent="0.3">
      <c r="R485" s="22"/>
      <c r="S485" s="22"/>
      <c r="U485" s="22"/>
      <c r="V485" s="22"/>
      <c r="W485" s="22"/>
    </row>
    <row r="486" spans="18:23" ht="15.75" customHeight="1" x14ac:dyDescent="0.3">
      <c r="R486" s="22"/>
      <c r="S486" s="22"/>
      <c r="U486" s="22"/>
      <c r="V486" s="22"/>
      <c r="W486" s="22"/>
    </row>
    <row r="487" spans="18:23" ht="15.75" customHeight="1" x14ac:dyDescent="0.3">
      <c r="R487" s="22"/>
      <c r="S487" s="22"/>
      <c r="U487" s="22"/>
      <c r="V487" s="22"/>
      <c r="W487" s="22"/>
    </row>
    <row r="488" spans="18:23" ht="15.75" customHeight="1" x14ac:dyDescent="0.3">
      <c r="R488" s="22"/>
      <c r="S488" s="22"/>
      <c r="U488" s="22"/>
      <c r="V488" s="22"/>
      <c r="W488" s="22"/>
    </row>
    <row r="489" spans="18:23" ht="15.75" customHeight="1" x14ac:dyDescent="0.3">
      <c r="R489" s="22"/>
      <c r="S489" s="22"/>
      <c r="U489" s="22"/>
      <c r="V489" s="22"/>
      <c r="W489" s="22"/>
    </row>
    <row r="490" spans="18:23" ht="15.75" customHeight="1" x14ac:dyDescent="0.3">
      <c r="R490" s="22"/>
      <c r="S490" s="22"/>
      <c r="U490" s="22"/>
      <c r="V490" s="22"/>
      <c r="W490" s="22"/>
    </row>
    <row r="491" spans="18:23" ht="15.75" customHeight="1" x14ac:dyDescent="0.3">
      <c r="R491" s="22"/>
      <c r="S491" s="22"/>
      <c r="U491" s="22"/>
      <c r="V491" s="22"/>
      <c r="W491" s="22"/>
    </row>
    <row r="492" spans="18:23" ht="15.75" customHeight="1" x14ac:dyDescent="0.3">
      <c r="R492" s="22"/>
      <c r="S492" s="22"/>
      <c r="U492" s="22"/>
      <c r="V492" s="22"/>
      <c r="W492" s="22"/>
    </row>
    <row r="493" spans="18:23" ht="15.75" customHeight="1" x14ac:dyDescent="0.3">
      <c r="R493" s="22"/>
      <c r="S493" s="22"/>
      <c r="U493" s="22"/>
      <c r="V493" s="22"/>
      <c r="W493" s="22"/>
    </row>
    <row r="494" spans="18:23" ht="15.75" customHeight="1" x14ac:dyDescent="0.3">
      <c r="R494" s="22"/>
      <c r="S494" s="22"/>
      <c r="U494" s="22"/>
      <c r="V494" s="22"/>
      <c r="W494" s="22"/>
    </row>
    <row r="495" spans="18:23" ht="15.75" customHeight="1" x14ac:dyDescent="0.3">
      <c r="R495" s="22"/>
      <c r="S495" s="22"/>
      <c r="U495" s="22"/>
      <c r="V495" s="22"/>
      <c r="W495" s="22"/>
    </row>
    <row r="496" spans="18:23" ht="15.75" customHeight="1" x14ac:dyDescent="0.3">
      <c r="R496" s="22"/>
      <c r="S496" s="22"/>
      <c r="U496" s="22"/>
      <c r="V496" s="22"/>
      <c r="W496" s="22"/>
    </row>
    <row r="497" spans="18:23" ht="15.75" customHeight="1" x14ac:dyDescent="0.3">
      <c r="R497" s="22"/>
      <c r="S497" s="22"/>
      <c r="U497" s="22"/>
      <c r="V497" s="22"/>
      <c r="W497" s="22"/>
    </row>
    <row r="498" spans="18:23" ht="15.75" customHeight="1" x14ac:dyDescent="0.3">
      <c r="R498" s="22"/>
      <c r="S498" s="22"/>
      <c r="U498" s="22"/>
      <c r="V498" s="22"/>
      <c r="W498" s="22"/>
    </row>
    <row r="499" spans="18:23" ht="15.75" customHeight="1" x14ac:dyDescent="0.3">
      <c r="R499" s="22"/>
      <c r="S499" s="22"/>
      <c r="U499" s="22"/>
      <c r="V499" s="22"/>
      <c r="W499" s="22"/>
    </row>
    <row r="500" spans="18:23" ht="15.75" customHeight="1" x14ac:dyDescent="0.3">
      <c r="R500" s="22"/>
      <c r="S500" s="22"/>
      <c r="U500" s="22"/>
      <c r="V500" s="22"/>
      <c r="W500" s="22"/>
    </row>
    <row r="501" spans="18:23" ht="15.75" customHeight="1" x14ac:dyDescent="0.3">
      <c r="R501" s="22"/>
      <c r="S501" s="22"/>
      <c r="U501" s="22"/>
      <c r="V501" s="22"/>
      <c r="W501" s="22"/>
    </row>
    <row r="502" spans="18:23" ht="15.75" customHeight="1" x14ac:dyDescent="0.3">
      <c r="R502" s="22"/>
      <c r="S502" s="22"/>
      <c r="U502" s="22"/>
      <c r="V502" s="22"/>
      <c r="W502" s="22"/>
    </row>
    <row r="503" spans="18:23" ht="15.75" customHeight="1" x14ac:dyDescent="0.3">
      <c r="R503" s="22"/>
      <c r="S503" s="22"/>
      <c r="U503" s="22"/>
      <c r="V503" s="22"/>
      <c r="W503" s="22"/>
    </row>
    <row r="504" spans="18:23" ht="15.75" customHeight="1" x14ac:dyDescent="0.3">
      <c r="R504" s="22"/>
      <c r="S504" s="22"/>
      <c r="U504" s="22"/>
      <c r="V504" s="22"/>
      <c r="W504" s="22"/>
    </row>
    <row r="505" spans="18:23" ht="15.75" customHeight="1" x14ac:dyDescent="0.3">
      <c r="R505" s="22"/>
      <c r="S505" s="22"/>
      <c r="U505" s="22"/>
      <c r="V505" s="22"/>
      <c r="W505" s="22"/>
    </row>
    <row r="506" spans="18:23" ht="15.75" customHeight="1" x14ac:dyDescent="0.3">
      <c r="R506" s="22"/>
      <c r="S506" s="22"/>
      <c r="U506" s="22"/>
      <c r="V506" s="22"/>
      <c r="W506" s="22"/>
    </row>
    <row r="507" spans="18:23" ht="15.75" customHeight="1" x14ac:dyDescent="0.3">
      <c r="R507" s="22"/>
      <c r="S507" s="22"/>
      <c r="U507" s="22"/>
      <c r="V507" s="22"/>
      <c r="W507" s="22"/>
    </row>
    <row r="508" spans="18:23" ht="15.75" customHeight="1" x14ac:dyDescent="0.3">
      <c r="R508" s="22"/>
      <c r="S508" s="22"/>
      <c r="U508" s="22"/>
      <c r="V508" s="22"/>
      <c r="W508" s="22"/>
    </row>
    <row r="509" spans="18:23" ht="15.75" customHeight="1" x14ac:dyDescent="0.3">
      <c r="R509" s="22"/>
      <c r="S509" s="22"/>
      <c r="U509" s="22"/>
      <c r="V509" s="22"/>
      <c r="W509" s="22"/>
    </row>
    <row r="510" spans="18:23" ht="15.75" customHeight="1" x14ac:dyDescent="0.3">
      <c r="R510" s="22"/>
      <c r="S510" s="22"/>
      <c r="U510" s="22"/>
      <c r="V510" s="22"/>
      <c r="W510" s="22"/>
    </row>
    <row r="511" spans="18:23" ht="15.75" customHeight="1" x14ac:dyDescent="0.3">
      <c r="R511" s="22"/>
      <c r="S511" s="22"/>
      <c r="U511" s="22"/>
      <c r="V511" s="22"/>
      <c r="W511" s="22"/>
    </row>
    <row r="512" spans="18:23" ht="15.75" customHeight="1" x14ac:dyDescent="0.3">
      <c r="R512" s="22"/>
      <c r="S512" s="22"/>
      <c r="U512" s="22"/>
      <c r="V512" s="22"/>
      <c r="W512" s="22"/>
    </row>
    <row r="513" spans="18:23" ht="15.75" customHeight="1" x14ac:dyDescent="0.3">
      <c r="R513" s="22"/>
      <c r="S513" s="22"/>
      <c r="U513" s="22"/>
      <c r="V513" s="22"/>
      <c r="W513" s="22"/>
    </row>
    <row r="514" spans="18:23" ht="15.75" customHeight="1" x14ac:dyDescent="0.3">
      <c r="R514" s="22"/>
      <c r="S514" s="22"/>
      <c r="U514" s="22"/>
      <c r="V514" s="22"/>
      <c r="W514" s="22"/>
    </row>
    <row r="515" spans="18:23" ht="15.75" customHeight="1" x14ac:dyDescent="0.3">
      <c r="R515" s="22"/>
      <c r="S515" s="22"/>
      <c r="U515" s="22"/>
      <c r="V515" s="22"/>
      <c r="W515" s="22"/>
    </row>
    <row r="516" spans="18:23" ht="15.75" customHeight="1" x14ac:dyDescent="0.3">
      <c r="R516" s="22"/>
      <c r="S516" s="22"/>
      <c r="U516" s="22"/>
      <c r="V516" s="22"/>
      <c r="W516" s="22"/>
    </row>
    <row r="517" spans="18:23" ht="15.75" customHeight="1" x14ac:dyDescent="0.3">
      <c r="R517" s="22"/>
      <c r="S517" s="22"/>
      <c r="U517" s="22"/>
      <c r="V517" s="22"/>
      <c r="W517" s="22"/>
    </row>
    <row r="518" spans="18:23" ht="15.75" customHeight="1" x14ac:dyDescent="0.3">
      <c r="R518" s="22"/>
      <c r="S518" s="22"/>
      <c r="U518" s="22"/>
      <c r="V518" s="22"/>
      <c r="W518" s="22"/>
    </row>
    <row r="519" spans="18:23" ht="15.75" customHeight="1" x14ac:dyDescent="0.3">
      <c r="R519" s="22"/>
      <c r="S519" s="22"/>
      <c r="U519" s="22"/>
      <c r="V519" s="22"/>
      <c r="W519" s="22"/>
    </row>
    <row r="520" spans="18:23" ht="15.75" customHeight="1" x14ac:dyDescent="0.3">
      <c r="R520" s="22"/>
      <c r="S520" s="22"/>
      <c r="U520" s="22"/>
      <c r="V520" s="22"/>
      <c r="W520" s="22"/>
    </row>
    <row r="521" spans="18:23" ht="15.75" customHeight="1" x14ac:dyDescent="0.3">
      <c r="R521" s="22"/>
      <c r="S521" s="22"/>
      <c r="U521" s="22"/>
      <c r="V521" s="22"/>
      <c r="W521" s="22"/>
    </row>
    <row r="522" spans="18:23" ht="15.75" customHeight="1" x14ac:dyDescent="0.3">
      <c r="R522" s="22"/>
      <c r="S522" s="22"/>
      <c r="U522" s="22"/>
      <c r="V522" s="22"/>
      <c r="W522" s="22"/>
    </row>
    <row r="523" spans="18:23" ht="15.75" customHeight="1" x14ac:dyDescent="0.3">
      <c r="R523" s="22"/>
      <c r="S523" s="22"/>
      <c r="U523" s="22"/>
      <c r="V523" s="22"/>
      <c r="W523" s="22"/>
    </row>
    <row r="524" spans="18:23" ht="15.75" customHeight="1" x14ac:dyDescent="0.3">
      <c r="R524" s="22"/>
      <c r="S524" s="22"/>
      <c r="U524" s="22"/>
      <c r="V524" s="22"/>
      <c r="W524" s="22"/>
    </row>
    <row r="525" spans="18:23" ht="15.75" customHeight="1" x14ac:dyDescent="0.3">
      <c r="R525" s="22"/>
      <c r="S525" s="22"/>
      <c r="U525" s="22"/>
      <c r="V525" s="22"/>
      <c r="W525" s="22"/>
    </row>
    <row r="526" spans="18:23" ht="15.75" customHeight="1" x14ac:dyDescent="0.3">
      <c r="R526" s="22"/>
      <c r="S526" s="22"/>
      <c r="U526" s="22"/>
      <c r="V526" s="22"/>
      <c r="W526" s="22"/>
    </row>
    <row r="527" spans="18:23" ht="15.75" customHeight="1" x14ac:dyDescent="0.3">
      <c r="R527" s="22"/>
      <c r="S527" s="22"/>
      <c r="U527" s="22"/>
      <c r="V527" s="22"/>
      <c r="W527" s="22"/>
    </row>
    <row r="528" spans="18:23" ht="15.75" customHeight="1" x14ac:dyDescent="0.3">
      <c r="R528" s="22"/>
      <c r="S528" s="22"/>
      <c r="U528" s="22"/>
      <c r="V528" s="22"/>
      <c r="W528" s="22"/>
    </row>
    <row r="529" spans="18:23" ht="15.75" customHeight="1" x14ac:dyDescent="0.3">
      <c r="R529" s="22"/>
      <c r="S529" s="22"/>
      <c r="U529" s="22"/>
      <c r="V529" s="22"/>
      <c r="W529" s="22"/>
    </row>
    <row r="530" spans="18:23" ht="15.75" customHeight="1" x14ac:dyDescent="0.3">
      <c r="R530" s="22"/>
      <c r="S530" s="22"/>
      <c r="U530" s="22"/>
      <c r="V530" s="22"/>
      <c r="W530" s="22"/>
    </row>
    <row r="531" spans="18:23" ht="15.75" customHeight="1" x14ac:dyDescent="0.3">
      <c r="R531" s="22"/>
      <c r="S531" s="22"/>
      <c r="U531" s="22"/>
      <c r="V531" s="22"/>
      <c r="W531" s="22"/>
    </row>
    <row r="532" spans="18:23" ht="15.75" customHeight="1" x14ac:dyDescent="0.3">
      <c r="R532" s="22"/>
      <c r="S532" s="22"/>
      <c r="U532" s="22"/>
      <c r="V532" s="22"/>
      <c r="W532" s="22"/>
    </row>
    <row r="533" spans="18:23" ht="15.75" customHeight="1" x14ac:dyDescent="0.3">
      <c r="R533" s="22"/>
      <c r="S533" s="22"/>
      <c r="U533" s="22"/>
      <c r="V533" s="22"/>
      <c r="W533" s="22"/>
    </row>
    <row r="534" spans="18:23" ht="15.75" customHeight="1" x14ac:dyDescent="0.3">
      <c r="R534" s="22"/>
      <c r="S534" s="22"/>
      <c r="U534" s="22"/>
      <c r="V534" s="22"/>
      <c r="W534" s="22"/>
    </row>
    <row r="535" spans="18:23" ht="15.75" customHeight="1" x14ac:dyDescent="0.3">
      <c r="R535" s="22"/>
      <c r="S535" s="22"/>
      <c r="U535" s="22"/>
      <c r="V535" s="22"/>
      <c r="W535" s="22"/>
    </row>
    <row r="536" spans="18:23" ht="15.75" customHeight="1" x14ac:dyDescent="0.3">
      <c r="R536" s="22"/>
      <c r="S536" s="22"/>
      <c r="U536" s="22"/>
      <c r="V536" s="22"/>
      <c r="W536" s="22"/>
    </row>
    <row r="537" spans="18:23" ht="15.75" customHeight="1" x14ac:dyDescent="0.3">
      <c r="R537" s="22"/>
      <c r="S537" s="22"/>
      <c r="U537" s="22"/>
      <c r="V537" s="22"/>
      <c r="W537" s="22"/>
    </row>
    <row r="538" spans="18:23" ht="15.75" customHeight="1" x14ac:dyDescent="0.3">
      <c r="R538" s="22"/>
      <c r="S538" s="22"/>
      <c r="U538" s="22"/>
      <c r="V538" s="22"/>
      <c r="W538" s="22"/>
    </row>
    <row r="539" spans="18:23" ht="15.75" customHeight="1" x14ac:dyDescent="0.3">
      <c r="R539" s="22"/>
      <c r="S539" s="22"/>
      <c r="U539" s="22"/>
      <c r="V539" s="22"/>
      <c r="W539" s="22"/>
    </row>
    <row r="540" spans="18:23" ht="15.75" customHeight="1" x14ac:dyDescent="0.3">
      <c r="R540" s="22"/>
      <c r="S540" s="22"/>
      <c r="U540" s="22"/>
      <c r="V540" s="22"/>
      <c r="W540" s="22"/>
    </row>
    <row r="541" spans="18:23" ht="15.75" customHeight="1" x14ac:dyDescent="0.3">
      <c r="R541" s="22"/>
      <c r="S541" s="22"/>
      <c r="U541" s="22"/>
      <c r="V541" s="22"/>
      <c r="W541" s="22"/>
    </row>
    <row r="542" spans="18:23" ht="15.75" customHeight="1" x14ac:dyDescent="0.3">
      <c r="R542" s="22"/>
      <c r="S542" s="22"/>
      <c r="U542" s="22"/>
      <c r="V542" s="22"/>
      <c r="W542" s="22"/>
    </row>
    <row r="543" spans="18:23" ht="15.75" customHeight="1" x14ac:dyDescent="0.3">
      <c r="R543" s="22"/>
      <c r="S543" s="22"/>
      <c r="U543" s="22"/>
      <c r="V543" s="22"/>
      <c r="W543" s="22"/>
    </row>
    <row r="544" spans="18:23" ht="15.75" customHeight="1" x14ac:dyDescent="0.3">
      <c r="R544" s="22"/>
      <c r="S544" s="22"/>
      <c r="U544" s="22"/>
      <c r="V544" s="22"/>
      <c r="W544" s="22"/>
    </row>
    <row r="545" spans="18:23" ht="15.75" customHeight="1" x14ac:dyDescent="0.3">
      <c r="R545" s="22"/>
      <c r="S545" s="22"/>
      <c r="U545" s="22"/>
      <c r="V545" s="22"/>
      <c r="W545" s="22"/>
    </row>
    <row r="546" spans="18:23" ht="15.75" customHeight="1" x14ac:dyDescent="0.3">
      <c r="R546" s="22"/>
      <c r="S546" s="22"/>
      <c r="U546" s="22"/>
      <c r="V546" s="22"/>
      <c r="W546" s="22"/>
    </row>
    <row r="547" spans="18:23" ht="15.75" customHeight="1" x14ac:dyDescent="0.3">
      <c r="R547" s="22"/>
      <c r="S547" s="22"/>
      <c r="U547" s="22"/>
      <c r="V547" s="22"/>
      <c r="W547" s="22"/>
    </row>
    <row r="548" spans="18:23" ht="15.75" customHeight="1" x14ac:dyDescent="0.3">
      <c r="R548" s="22"/>
      <c r="S548" s="22"/>
      <c r="U548" s="22"/>
      <c r="V548" s="22"/>
      <c r="W548" s="22"/>
    </row>
    <row r="549" spans="18:23" ht="15.75" customHeight="1" x14ac:dyDescent="0.3">
      <c r="R549" s="22"/>
      <c r="S549" s="22"/>
      <c r="U549" s="22"/>
      <c r="V549" s="22"/>
      <c r="W549" s="22"/>
    </row>
    <row r="550" spans="18:23" ht="15.75" customHeight="1" x14ac:dyDescent="0.3">
      <c r="R550" s="22"/>
      <c r="S550" s="22"/>
      <c r="U550" s="22"/>
      <c r="V550" s="22"/>
      <c r="W550" s="22"/>
    </row>
    <row r="551" spans="18:23" ht="15.75" customHeight="1" x14ac:dyDescent="0.3">
      <c r="R551" s="22"/>
      <c r="S551" s="22"/>
      <c r="U551" s="22"/>
      <c r="V551" s="22"/>
      <c r="W551" s="22"/>
    </row>
    <row r="552" spans="18:23" ht="15.75" customHeight="1" x14ac:dyDescent="0.3">
      <c r="R552" s="22"/>
      <c r="S552" s="22"/>
      <c r="U552" s="22"/>
      <c r="V552" s="22"/>
      <c r="W552" s="22"/>
    </row>
    <row r="553" spans="18:23" ht="15.75" customHeight="1" x14ac:dyDescent="0.3">
      <c r="R553" s="22"/>
      <c r="S553" s="22"/>
      <c r="U553" s="22"/>
      <c r="V553" s="22"/>
      <c r="W553" s="22"/>
    </row>
    <row r="554" spans="18:23" ht="15.75" customHeight="1" x14ac:dyDescent="0.3">
      <c r="R554" s="22"/>
      <c r="S554" s="22"/>
      <c r="U554" s="22"/>
      <c r="V554" s="22"/>
      <c r="W554" s="22"/>
    </row>
    <row r="555" spans="18:23" ht="15.75" customHeight="1" x14ac:dyDescent="0.3">
      <c r="R555" s="22"/>
      <c r="S555" s="22"/>
      <c r="U555" s="22"/>
      <c r="V555" s="22"/>
      <c r="W555" s="22"/>
    </row>
    <row r="556" spans="18:23" ht="15.75" customHeight="1" x14ac:dyDescent="0.3">
      <c r="R556" s="22"/>
      <c r="S556" s="22"/>
      <c r="U556" s="22"/>
      <c r="V556" s="22"/>
      <c r="W556" s="22"/>
    </row>
    <row r="557" spans="18:23" ht="15.75" customHeight="1" x14ac:dyDescent="0.3">
      <c r="R557" s="22"/>
      <c r="S557" s="22"/>
      <c r="U557" s="22"/>
      <c r="V557" s="22"/>
      <c r="W557" s="22"/>
    </row>
    <row r="558" spans="18:23" ht="15.75" customHeight="1" x14ac:dyDescent="0.3">
      <c r="R558" s="22"/>
      <c r="S558" s="22"/>
      <c r="U558" s="22"/>
      <c r="V558" s="22"/>
      <c r="W558" s="22"/>
    </row>
    <row r="559" spans="18:23" ht="15.75" customHeight="1" x14ac:dyDescent="0.3">
      <c r="R559" s="22"/>
      <c r="S559" s="22"/>
      <c r="U559" s="22"/>
      <c r="V559" s="22"/>
      <c r="W559" s="22"/>
    </row>
    <row r="560" spans="18:23" ht="15.75" customHeight="1" x14ac:dyDescent="0.3">
      <c r="R560" s="22"/>
      <c r="S560" s="22"/>
      <c r="U560" s="22"/>
      <c r="V560" s="22"/>
      <c r="W560" s="22"/>
    </row>
    <row r="561" spans="18:23" ht="15.75" customHeight="1" x14ac:dyDescent="0.3">
      <c r="R561" s="22"/>
      <c r="S561" s="22"/>
      <c r="U561" s="22"/>
      <c r="V561" s="22"/>
      <c r="W561" s="22"/>
    </row>
    <row r="562" spans="18:23" ht="15.75" customHeight="1" x14ac:dyDescent="0.3">
      <c r="R562" s="22"/>
      <c r="S562" s="22"/>
      <c r="U562" s="22"/>
      <c r="V562" s="22"/>
      <c r="W562" s="22"/>
    </row>
    <row r="563" spans="18:23" ht="15.75" customHeight="1" x14ac:dyDescent="0.3">
      <c r="R563" s="22"/>
      <c r="S563" s="22"/>
      <c r="U563" s="22"/>
      <c r="V563" s="22"/>
      <c r="W563" s="22"/>
    </row>
    <row r="564" spans="18:23" ht="15.75" customHeight="1" x14ac:dyDescent="0.3">
      <c r="R564" s="22"/>
      <c r="S564" s="22"/>
      <c r="U564" s="22"/>
      <c r="V564" s="22"/>
      <c r="W564" s="22"/>
    </row>
    <row r="565" spans="18:23" ht="15.75" customHeight="1" x14ac:dyDescent="0.3">
      <c r="R565" s="22"/>
      <c r="S565" s="22"/>
      <c r="U565" s="22"/>
      <c r="V565" s="22"/>
      <c r="W565" s="22"/>
    </row>
    <row r="566" spans="18:23" ht="15.75" customHeight="1" x14ac:dyDescent="0.3">
      <c r="R566" s="22"/>
      <c r="S566" s="22"/>
      <c r="U566" s="22"/>
      <c r="V566" s="22"/>
      <c r="W566" s="22"/>
    </row>
    <row r="567" spans="18:23" ht="15.75" customHeight="1" x14ac:dyDescent="0.3">
      <c r="R567" s="22"/>
      <c r="S567" s="22"/>
      <c r="U567" s="22"/>
      <c r="V567" s="22"/>
      <c r="W567" s="22"/>
    </row>
    <row r="568" spans="18:23" ht="15.75" customHeight="1" x14ac:dyDescent="0.3">
      <c r="R568" s="22"/>
      <c r="S568" s="22"/>
      <c r="U568" s="22"/>
      <c r="V568" s="22"/>
      <c r="W568" s="22"/>
    </row>
    <row r="569" spans="18:23" ht="15.75" customHeight="1" x14ac:dyDescent="0.3">
      <c r="R569" s="22"/>
      <c r="S569" s="22"/>
      <c r="U569" s="22"/>
      <c r="V569" s="22"/>
      <c r="W569" s="22"/>
    </row>
    <row r="570" spans="18:23" ht="15.75" customHeight="1" x14ac:dyDescent="0.3">
      <c r="R570" s="22"/>
      <c r="S570" s="22"/>
      <c r="U570" s="22"/>
      <c r="V570" s="22"/>
      <c r="W570" s="22"/>
    </row>
    <row r="571" spans="18:23" ht="15.75" customHeight="1" x14ac:dyDescent="0.3">
      <c r="R571" s="22"/>
      <c r="S571" s="22"/>
      <c r="U571" s="22"/>
      <c r="V571" s="22"/>
      <c r="W571" s="22"/>
    </row>
    <row r="572" spans="18:23" ht="15.75" customHeight="1" x14ac:dyDescent="0.3">
      <c r="R572" s="22"/>
      <c r="S572" s="22"/>
      <c r="U572" s="22"/>
      <c r="V572" s="22"/>
      <c r="W572" s="22"/>
    </row>
    <row r="573" spans="18:23" ht="15.75" customHeight="1" x14ac:dyDescent="0.3">
      <c r="R573" s="22"/>
      <c r="S573" s="22"/>
      <c r="U573" s="22"/>
      <c r="V573" s="22"/>
      <c r="W573" s="22"/>
    </row>
    <row r="574" spans="18:23" ht="15.75" customHeight="1" x14ac:dyDescent="0.3">
      <c r="R574" s="22"/>
      <c r="S574" s="22"/>
      <c r="U574" s="22"/>
      <c r="V574" s="22"/>
      <c r="W574" s="22"/>
    </row>
    <row r="575" spans="18:23" ht="15.75" customHeight="1" x14ac:dyDescent="0.3">
      <c r="R575" s="22"/>
      <c r="S575" s="22"/>
      <c r="U575" s="22"/>
      <c r="V575" s="22"/>
      <c r="W575" s="22"/>
    </row>
    <row r="576" spans="18:23" ht="15.75" customHeight="1" x14ac:dyDescent="0.3">
      <c r="R576" s="22"/>
      <c r="S576" s="22"/>
      <c r="U576" s="22"/>
      <c r="V576" s="22"/>
      <c r="W576" s="22"/>
    </row>
    <row r="577" spans="18:23" ht="15.75" customHeight="1" x14ac:dyDescent="0.3">
      <c r="R577" s="22"/>
      <c r="S577" s="22"/>
      <c r="U577" s="22"/>
      <c r="V577" s="22"/>
      <c r="W577" s="22"/>
    </row>
    <row r="578" spans="18:23" ht="15.75" customHeight="1" x14ac:dyDescent="0.3">
      <c r="R578" s="22"/>
      <c r="S578" s="22"/>
      <c r="U578" s="22"/>
      <c r="V578" s="22"/>
      <c r="W578" s="22"/>
    </row>
    <row r="579" spans="18:23" ht="15.75" customHeight="1" x14ac:dyDescent="0.3">
      <c r="R579" s="22"/>
      <c r="S579" s="22"/>
      <c r="U579" s="22"/>
      <c r="V579" s="22"/>
      <c r="W579" s="22"/>
    </row>
    <row r="580" spans="18:23" ht="15.75" customHeight="1" x14ac:dyDescent="0.3">
      <c r="R580" s="22"/>
      <c r="S580" s="22"/>
      <c r="U580" s="22"/>
      <c r="V580" s="22"/>
      <c r="W580" s="22"/>
    </row>
    <row r="581" spans="18:23" ht="15.75" customHeight="1" x14ac:dyDescent="0.3">
      <c r="R581" s="22"/>
      <c r="S581" s="22"/>
      <c r="U581" s="22"/>
      <c r="V581" s="22"/>
      <c r="W581" s="22"/>
    </row>
    <row r="582" spans="18:23" ht="15.75" customHeight="1" x14ac:dyDescent="0.3">
      <c r="R582" s="22"/>
      <c r="S582" s="22"/>
      <c r="U582" s="22"/>
      <c r="V582" s="22"/>
      <c r="W582" s="22"/>
    </row>
    <row r="583" spans="18:23" ht="15.75" customHeight="1" x14ac:dyDescent="0.3">
      <c r="R583" s="22"/>
      <c r="S583" s="22"/>
      <c r="U583" s="22"/>
      <c r="V583" s="22"/>
      <c r="W583" s="22"/>
    </row>
    <row r="584" spans="18:23" ht="15.75" customHeight="1" x14ac:dyDescent="0.3">
      <c r="R584" s="22"/>
      <c r="S584" s="22"/>
      <c r="U584" s="22"/>
      <c r="V584" s="22"/>
      <c r="W584" s="22"/>
    </row>
    <row r="585" spans="18:23" ht="15.75" customHeight="1" x14ac:dyDescent="0.3">
      <c r="R585" s="22"/>
      <c r="S585" s="22"/>
      <c r="U585" s="22"/>
      <c r="V585" s="22"/>
      <c r="W585" s="22"/>
    </row>
    <row r="586" spans="18:23" ht="15.75" customHeight="1" x14ac:dyDescent="0.3">
      <c r="R586" s="22"/>
      <c r="S586" s="22"/>
      <c r="U586" s="22"/>
      <c r="V586" s="22"/>
      <c r="W586" s="22"/>
    </row>
    <row r="587" spans="18:23" ht="15.75" customHeight="1" x14ac:dyDescent="0.3">
      <c r="R587" s="22"/>
      <c r="S587" s="22"/>
      <c r="U587" s="22"/>
      <c r="V587" s="22"/>
      <c r="W587" s="22"/>
    </row>
    <row r="588" spans="18:23" ht="15.75" customHeight="1" x14ac:dyDescent="0.3">
      <c r="R588" s="22"/>
      <c r="S588" s="22"/>
      <c r="U588" s="22"/>
      <c r="V588" s="22"/>
      <c r="W588" s="22"/>
    </row>
    <row r="589" spans="18:23" ht="15.75" customHeight="1" x14ac:dyDescent="0.3">
      <c r="R589" s="22"/>
      <c r="S589" s="22"/>
      <c r="U589" s="22"/>
      <c r="V589" s="22"/>
      <c r="W589" s="22"/>
    </row>
    <row r="590" spans="18:23" ht="15.75" customHeight="1" x14ac:dyDescent="0.3">
      <c r="R590" s="22"/>
      <c r="S590" s="22"/>
      <c r="U590" s="22"/>
      <c r="V590" s="22"/>
      <c r="W590" s="22"/>
    </row>
    <row r="591" spans="18:23" ht="15.75" customHeight="1" x14ac:dyDescent="0.3">
      <c r="R591" s="22"/>
      <c r="S591" s="22"/>
      <c r="U591" s="22"/>
      <c r="V591" s="22"/>
      <c r="W591" s="22"/>
    </row>
    <row r="592" spans="18:23" ht="15.75" customHeight="1" x14ac:dyDescent="0.3">
      <c r="R592" s="22"/>
      <c r="S592" s="22"/>
      <c r="U592" s="22"/>
      <c r="V592" s="22"/>
      <c r="W592" s="22"/>
    </row>
    <row r="593" spans="18:23" ht="15.75" customHeight="1" x14ac:dyDescent="0.3">
      <c r="R593" s="22"/>
      <c r="S593" s="22"/>
      <c r="U593" s="22"/>
      <c r="V593" s="22"/>
      <c r="W593" s="22"/>
    </row>
    <row r="594" spans="18:23" ht="15.75" customHeight="1" x14ac:dyDescent="0.3">
      <c r="R594" s="22"/>
      <c r="S594" s="22"/>
      <c r="U594" s="22"/>
      <c r="V594" s="22"/>
      <c r="W594" s="22"/>
    </row>
    <row r="595" spans="18:23" ht="15.75" customHeight="1" x14ac:dyDescent="0.3">
      <c r="R595" s="22"/>
      <c r="S595" s="22"/>
      <c r="U595" s="22"/>
      <c r="V595" s="22"/>
      <c r="W595" s="22"/>
    </row>
    <row r="596" spans="18:23" ht="15.75" customHeight="1" x14ac:dyDescent="0.3">
      <c r="R596" s="22"/>
      <c r="S596" s="22"/>
      <c r="U596" s="22"/>
      <c r="V596" s="22"/>
      <c r="W596" s="22"/>
    </row>
    <row r="597" spans="18:23" ht="15.75" customHeight="1" x14ac:dyDescent="0.3">
      <c r="R597" s="22"/>
      <c r="S597" s="22"/>
      <c r="U597" s="22"/>
      <c r="V597" s="22"/>
      <c r="W597" s="22"/>
    </row>
    <row r="598" spans="18:23" ht="15.75" customHeight="1" x14ac:dyDescent="0.3">
      <c r="R598" s="22"/>
      <c r="S598" s="22"/>
      <c r="U598" s="22"/>
      <c r="V598" s="22"/>
      <c r="W598" s="22"/>
    </row>
    <row r="599" spans="18:23" ht="15.75" customHeight="1" x14ac:dyDescent="0.3">
      <c r="R599" s="22"/>
      <c r="S599" s="22"/>
      <c r="U599" s="22"/>
      <c r="V599" s="22"/>
      <c r="W599" s="22"/>
    </row>
    <row r="600" spans="18:23" ht="15.75" customHeight="1" x14ac:dyDescent="0.3">
      <c r="R600" s="22"/>
      <c r="S600" s="22"/>
      <c r="U600" s="22"/>
      <c r="V600" s="22"/>
      <c r="W600" s="22"/>
    </row>
    <row r="601" spans="18:23" ht="15.75" customHeight="1" x14ac:dyDescent="0.3">
      <c r="R601" s="22"/>
      <c r="S601" s="22"/>
      <c r="U601" s="22"/>
      <c r="V601" s="22"/>
      <c r="W601" s="22"/>
    </row>
    <row r="602" spans="18:23" ht="15.75" customHeight="1" x14ac:dyDescent="0.3">
      <c r="R602" s="22"/>
      <c r="S602" s="22"/>
      <c r="U602" s="22"/>
      <c r="V602" s="22"/>
      <c r="W602" s="22"/>
    </row>
    <row r="603" spans="18:23" ht="15.75" customHeight="1" x14ac:dyDescent="0.3">
      <c r="R603" s="22"/>
      <c r="S603" s="22"/>
      <c r="U603" s="22"/>
      <c r="V603" s="22"/>
      <c r="W603" s="22"/>
    </row>
    <row r="604" spans="18:23" ht="15.75" customHeight="1" x14ac:dyDescent="0.3">
      <c r="R604" s="22"/>
      <c r="S604" s="22"/>
      <c r="U604" s="22"/>
      <c r="V604" s="22"/>
      <c r="W604" s="22"/>
    </row>
    <row r="605" spans="18:23" ht="15.75" customHeight="1" x14ac:dyDescent="0.3">
      <c r="R605" s="22"/>
      <c r="S605" s="22"/>
      <c r="U605" s="22"/>
      <c r="V605" s="22"/>
      <c r="W605" s="22"/>
    </row>
    <row r="606" spans="18:23" ht="15.75" customHeight="1" x14ac:dyDescent="0.3">
      <c r="R606" s="22"/>
      <c r="S606" s="22"/>
      <c r="U606" s="22"/>
      <c r="V606" s="22"/>
      <c r="W606" s="22"/>
    </row>
    <row r="607" spans="18:23" ht="15.75" customHeight="1" x14ac:dyDescent="0.3">
      <c r="R607" s="22"/>
      <c r="S607" s="22"/>
      <c r="U607" s="22"/>
      <c r="V607" s="22"/>
      <c r="W607" s="22"/>
    </row>
    <row r="608" spans="18:23" ht="15.75" customHeight="1" x14ac:dyDescent="0.3">
      <c r="R608" s="22"/>
      <c r="S608" s="22"/>
      <c r="U608" s="22"/>
      <c r="V608" s="22"/>
      <c r="W608" s="22"/>
    </row>
    <row r="609" spans="18:23" ht="15.75" customHeight="1" x14ac:dyDescent="0.3">
      <c r="R609" s="22"/>
      <c r="S609" s="22"/>
      <c r="U609" s="22"/>
      <c r="V609" s="22"/>
      <c r="W609" s="22"/>
    </row>
    <row r="610" spans="18:23" ht="15.75" customHeight="1" x14ac:dyDescent="0.3">
      <c r="R610" s="22"/>
      <c r="S610" s="22"/>
      <c r="U610" s="22"/>
      <c r="V610" s="22"/>
      <c r="W610" s="22"/>
    </row>
    <row r="611" spans="18:23" ht="15.75" customHeight="1" x14ac:dyDescent="0.3">
      <c r="R611" s="22"/>
      <c r="S611" s="22"/>
      <c r="U611" s="22"/>
      <c r="V611" s="22"/>
      <c r="W611" s="22"/>
    </row>
    <row r="612" spans="18:23" ht="15.75" customHeight="1" x14ac:dyDescent="0.3">
      <c r="R612" s="22"/>
      <c r="S612" s="22"/>
      <c r="U612" s="22"/>
      <c r="V612" s="22"/>
      <c r="W612" s="22"/>
    </row>
    <row r="613" spans="18:23" ht="15.75" customHeight="1" x14ac:dyDescent="0.3">
      <c r="R613" s="22"/>
      <c r="S613" s="22"/>
      <c r="U613" s="22"/>
      <c r="V613" s="22"/>
      <c r="W613" s="22"/>
    </row>
    <row r="614" spans="18:23" ht="15.75" customHeight="1" x14ac:dyDescent="0.3">
      <c r="R614" s="22"/>
      <c r="S614" s="22"/>
      <c r="U614" s="22"/>
      <c r="V614" s="22"/>
      <c r="W614" s="22"/>
    </row>
    <row r="615" spans="18:23" ht="15.75" customHeight="1" x14ac:dyDescent="0.3">
      <c r="R615" s="22"/>
      <c r="S615" s="22"/>
      <c r="U615" s="22"/>
      <c r="V615" s="22"/>
      <c r="W615" s="22"/>
    </row>
    <row r="616" spans="18:23" ht="15.75" customHeight="1" x14ac:dyDescent="0.3">
      <c r="R616" s="22"/>
      <c r="S616" s="22"/>
      <c r="U616" s="22"/>
      <c r="V616" s="22"/>
      <c r="W616" s="22"/>
    </row>
    <row r="617" spans="18:23" ht="15.75" customHeight="1" x14ac:dyDescent="0.3">
      <c r="R617" s="22"/>
      <c r="S617" s="22"/>
      <c r="U617" s="22"/>
      <c r="V617" s="22"/>
      <c r="W617" s="22"/>
    </row>
    <row r="618" spans="18:23" ht="15.75" customHeight="1" x14ac:dyDescent="0.3">
      <c r="R618" s="22"/>
      <c r="S618" s="22"/>
      <c r="U618" s="22"/>
      <c r="V618" s="22"/>
      <c r="W618" s="22"/>
    </row>
    <row r="619" spans="18:23" ht="15.75" customHeight="1" x14ac:dyDescent="0.3">
      <c r="R619" s="22"/>
      <c r="S619" s="22"/>
      <c r="U619" s="22"/>
      <c r="V619" s="22"/>
      <c r="W619" s="22"/>
    </row>
    <row r="620" spans="18:23" ht="15.75" customHeight="1" x14ac:dyDescent="0.3">
      <c r="R620" s="22"/>
      <c r="S620" s="22"/>
      <c r="U620" s="22"/>
      <c r="V620" s="22"/>
      <c r="W620" s="22"/>
    </row>
    <row r="621" spans="18:23" ht="15.75" customHeight="1" x14ac:dyDescent="0.3">
      <c r="R621" s="22"/>
      <c r="S621" s="22"/>
      <c r="U621" s="22"/>
      <c r="V621" s="22"/>
      <c r="W621" s="22"/>
    </row>
    <row r="622" spans="18:23" ht="15.75" customHeight="1" x14ac:dyDescent="0.3">
      <c r="R622" s="22"/>
      <c r="S622" s="22"/>
      <c r="U622" s="22"/>
      <c r="V622" s="22"/>
      <c r="W622" s="22"/>
    </row>
    <row r="623" spans="18:23" ht="15.75" customHeight="1" x14ac:dyDescent="0.3">
      <c r="R623" s="22"/>
      <c r="S623" s="22"/>
      <c r="U623" s="22"/>
      <c r="V623" s="22"/>
      <c r="W623" s="22"/>
    </row>
    <row r="624" spans="18:23" ht="15.75" customHeight="1" x14ac:dyDescent="0.3">
      <c r="R624" s="22"/>
      <c r="S624" s="22"/>
      <c r="U624" s="22"/>
      <c r="V624" s="22"/>
      <c r="W624" s="22"/>
    </row>
    <row r="625" spans="18:23" ht="15.75" customHeight="1" x14ac:dyDescent="0.3">
      <c r="R625" s="22"/>
      <c r="S625" s="22"/>
      <c r="U625" s="22"/>
      <c r="V625" s="22"/>
      <c r="W625" s="22"/>
    </row>
    <row r="626" spans="18:23" ht="15.75" customHeight="1" x14ac:dyDescent="0.3">
      <c r="R626" s="22"/>
      <c r="S626" s="22"/>
      <c r="U626" s="22"/>
      <c r="V626" s="22"/>
      <c r="W626" s="22"/>
    </row>
    <row r="627" spans="18:23" ht="15.75" customHeight="1" x14ac:dyDescent="0.3">
      <c r="R627" s="22"/>
      <c r="S627" s="22"/>
      <c r="U627" s="22"/>
      <c r="V627" s="22"/>
      <c r="W627" s="22"/>
    </row>
    <row r="628" spans="18:23" ht="15.75" customHeight="1" x14ac:dyDescent="0.3">
      <c r="R628" s="22"/>
      <c r="S628" s="22"/>
      <c r="U628" s="22"/>
      <c r="V628" s="22"/>
      <c r="W628" s="22"/>
    </row>
    <row r="629" spans="18:23" ht="15.75" customHeight="1" x14ac:dyDescent="0.3">
      <c r="R629" s="22"/>
      <c r="S629" s="22"/>
      <c r="U629" s="22"/>
      <c r="V629" s="22"/>
      <c r="W629" s="22"/>
    </row>
    <row r="630" spans="18:23" ht="15.75" customHeight="1" x14ac:dyDescent="0.3">
      <c r="R630" s="22"/>
      <c r="S630" s="22"/>
      <c r="U630" s="22"/>
      <c r="V630" s="22"/>
      <c r="W630" s="22"/>
    </row>
    <row r="631" spans="18:23" ht="15.75" customHeight="1" x14ac:dyDescent="0.3">
      <c r="R631" s="22"/>
      <c r="S631" s="22"/>
      <c r="U631" s="22"/>
      <c r="V631" s="22"/>
      <c r="W631" s="22"/>
    </row>
    <row r="632" spans="18:23" ht="15.75" customHeight="1" x14ac:dyDescent="0.3">
      <c r="R632" s="22"/>
      <c r="S632" s="22"/>
      <c r="U632" s="22"/>
      <c r="V632" s="22"/>
      <c r="W632" s="22"/>
    </row>
    <row r="633" spans="18:23" ht="15.75" customHeight="1" x14ac:dyDescent="0.3">
      <c r="R633" s="22"/>
      <c r="S633" s="22"/>
      <c r="U633" s="22"/>
      <c r="V633" s="22"/>
      <c r="W633" s="22"/>
    </row>
    <row r="634" spans="18:23" ht="15.75" customHeight="1" x14ac:dyDescent="0.3">
      <c r="R634" s="22"/>
      <c r="S634" s="22"/>
      <c r="U634" s="22"/>
      <c r="V634" s="22"/>
      <c r="W634" s="22"/>
    </row>
    <row r="635" spans="18:23" ht="15.75" customHeight="1" x14ac:dyDescent="0.3">
      <c r="R635" s="22"/>
      <c r="S635" s="22"/>
      <c r="U635" s="22"/>
      <c r="V635" s="22"/>
      <c r="W635" s="22"/>
    </row>
    <row r="636" spans="18:23" ht="15.75" customHeight="1" x14ac:dyDescent="0.3">
      <c r="R636" s="22"/>
      <c r="S636" s="22"/>
      <c r="U636" s="22"/>
      <c r="V636" s="22"/>
      <c r="W636" s="22"/>
    </row>
    <row r="637" spans="18:23" ht="15.75" customHeight="1" x14ac:dyDescent="0.3">
      <c r="R637" s="22"/>
      <c r="S637" s="22"/>
      <c r="U637" s="22"/>
      <c r="V637" s="22"/>
      <c r="W637" s="22"/>
    </row>
    <row r="638" spans="18:23" ht="15.75" customHeight="1" x14ac:dyDescent="0.3">
      <c r="R638" s="22"/>
      <c r="S638" s="22"/>
      <c r="U638" s="22"/>
      <c r="V638" s="22"/>
      <c r="W638" s="22"/>
    </row>
    <row r="639" spans="18:23" ht="15.75" customHeight="1" x14ac:dyDescent="0.3">
      <c r="R639" s="22"/>
      <c r="S639" s="22"/>
      <c r="U639" s="22"/>
      <c r="V639" s="22"/>
      <c r="W639" s="22"/>
    </row>
    <row r="640" spans="18:23" ht="15.75" customHeight="1" x14ac:dyDescent="0.3">
      <c r="R640" s="22"/>
      <c r="S640" s="22"/>
      <c r="U640" s="22"/>
      <c r="V640" s="22"/>
      <c r="W640" s="22"/>
    </row>
    <row r="641" spans="18:23" ht="15.75" customHeight="1" x14ac:dyDescent="0.3">
      <c r="R641" s="22"/>
      <c r="S641" s="22"/>
      <c r="U641" s="22"/>
      <c r="V641" s="22"/>
      <c r="W641" s="22"/>
    </row>
    <row r="642" spans="18:23" ht="15.75" customHeight="1" x14ac:dyDescent="0.3">
      <c r="R642" s="22"/>
      <c r="S642" s="22"/>
      <c r="U642" s="22"/>
      <c r="V642" s="22"/>
      <c r="W642" s="22"/>
    </row>
    <row r="643" spans="18:23" ht="15.75" customHeight="1" x14ac:dyDescent="0.3">
      <c r="R643" s="22"/>
      <c r="S643" s="22"/>
      <c r="U643" s="22"/>
      <c r="V643" s="22"/>
      <c r="W643" s="22"/>
    </row>
    <row r="644" spans="18:23" ht="15.75" customHeight="1" x14ac:dyDescent="0.3">
      <c r="R644" s="22"/>
      <c r="S644" s="22"/>
      <c r="U644" s="22"/>
      <c r="V644" s="22"/>
      <c r="W644" s="22"/>
    </row>
    <row r="645" spans="18:23" ht="15.75" customHeight="1" x14ac:dyDescent="0.3">
      <c r="R645" s="22"/>
      <c r="S645" s="22"/>
      <c r="U645" s="22"/>
      <c r="V645" s="22"/>
      <c r="W645" s="22"/>
    </row>
    <row r="646" spans="18:23" ht="15.75" customHeight="1" x14ac:dyDescent="0.3">
      <c r="R646" s="22"/>
      <c r="S646" s="22"/>
      <c r="U646" s="22"/>
      <c r="V646" s="22"/>
      <c r="W646" s="22"/>
    </row>
    <row r="647" spans="18:23" ht="15.75" customHeight="1" x14ac:dyDescent="0.3">
      <c r="R647" s="22"/>
      <c r="S647" s="22"/>
      <c r="U647" s="22"/>
      <c r="V647" s="22"/>
      <c r="W647" s="22"/>
    </row>
    <row r="648" spans="18:23" ht="15.75" customHeight="1" x14ac:dyDescent="0.3">
      <c r="R648" s="22"/>
      <c r="S648" s="22"/>
      <c r="U648" s="22"/>
      <c r="V648" s="22"/>
      <c r="W648" s="22"/>
    </row>
    <row r="649" spans="18:23" ht="15.75" customHeight="1" x14ac:dyDescent="0.3">
      <c r="R649" s="22"/>
      <c r="S649" s="22"/>
      <c r="U649" s="22"/>
      <c r="V649" s="22"/>
      <c r="W649" s="22"/>
    </row>
    <row r="650" spans="18:23" ht="15.75" customHeight="1" x14ac:dyDescent="0.3">
      <c r="R650" s="22"/>
      <c r="S650" s="22"/>
      <c r="U650" s="22"/>
      <c r="V650" s="22"/>
      <c r="W650" s="22"/>
    </row>
    <row r="651" spans="18:23" ht="15.75" customHeight="1" x14ac:dyDescent="0.3">
      <c r="R651" s="22"/>
      <c r="S651" s="22"/>
      <c r="U651" s="22"/>
      <c r="V651" s="22"/>
      <c r="W651" s="22"/>
    </row>
    <row r="652" spans="18:23" ht="15.75" customHeight="1" x14ac:dyDescent="0.3">
      <c r="R652" s="22"/>
      <c r="S652" s="22"/>
      <c r="U652" s="22"/>
      <c r="V652" s="22"/>
      <c r="W652" s="22"/>
    </row>
    <row r="653" spans="18:23" ht="15.75" customHeight="1" x14ac:dyDescent="0.3">
      <c r="R653" s="22"/>
      <c r="S653" s="22"/>
      <c r="U653" s="22"/>
      <c r="V653" s="22"/>
      <c r="W653" s="22"/>
    </row>
    <row r="654" spans="18:23" ht="15.75" customHeight="1" x14ac:dyDescent="0.3">
      <c r="R654" s="22"/>
      <c r="S654" s="22"/>
      <c r="U654" s="22"/>
      <c r="V654" s="22"/>
      <c r="W654" s="22"/>
    </row>
    <row r="655" spans="18:23" ht="15.75" customHeight="1" x14ac:dyDescent="0.3">
      <c r="R655" s="22"/>
      <c r="S655" s="22"/>
      <c r="U655" s="22"/>
      <c r="V655" s="22"/>
      <c r="W655" s="22"/>
    </row>
    <row r="656" spans="18:23" ht="15.75" customHeight="1" x14ac:dyDescent="0.3">
      <c r="R656" s="22"/>
      <c r="S656" s="22"/>
      <c r="U656" s="22"/>
      <c r="V656" s="22"/>
      <c r="W656" s="22"/>
    </row>
    <row r="657" spans="18:23" ht="15.75" customHeight="1" x14ac:dyDescent="0.3">
      <c r="R657" s="22"/>
      <c r="S657" s="22"/>
      <c r="U657" s="22"/>
      <c r="V657" s="22"/>
      <c r="W657" s="22"/>
    </row>
    <row r="658" spans="18:23" ht="15.75" customHeight="1" x14ac:dyDescent="0.3">
      <c r="R658" s="22"/>
      <c r="S658" s="22"/>
      <c r="U658" s="22"/>
      <c r="V658" s="22"/>
      <c r="W658" s="22"/>
    </row>
    <row r="659" spans="18:23" ht="15.75" customHeight="1" x14ac:dyDescent="0.3">
      <c r="R659" s="22"/>
      <c r="S659" s="22"/>
      <c r="U659" s="22"/>
      <c r="V659" s="22"/>
      <c r="W659" s="22"/>
    </row>
    <row r="660" spans="18:23" ht="15.75" customHeight="1" x14ac:dyDescent="0.3">
      <c r="R660" s="22"/>
      <c r="S660" s="22"/>
      <c r="U660" s="22"/>
      <c r="V660" s="22"/>
      <c r="W660" s="22"/>
    </row>
    <row r="661" spans="18:23" ht="15.75" customHeight="1" x14ac:dyDescent="0.3">
      <c r="R661" s="22"/>
      <c r="S661" s="22"/>
      <c r="U661" s="22"/>
      <c r="V661" s="22"/>
      <c r="W661" s="22"/>
    </row>
    <row r="662" spans="18:23" ht="15.75" customHeight="1" x14ac:dyDescent="0.3">
      <c r="R662" s="22"/>
      <c r="S662" s="22"/>
      <c r="U662" s="22"/>
      <c r="V662" s="22"/>
      <c r="W662" s="22"/>
    </row>
    <row r="663" spans="18:23" ht="15.75" customHeight="1" x14ac:dyDescent="0.3">
      <c r="R663" s="22"/>
      <c r="S663" s="22"/>
      <c r="U663" s="22"/>
      <c r="V663" s="22"/>
      <c r="W663" s="22"/>
    </row>
    <row r="664" spans="18:23" ht="15.75" customHeight="1" x14ac:dyDescent="0.3">
      <c r="R664" s="22"/>
      <c r="S664" s="22"/>
      <c r="U664" s="22"/>
      <c r="V664" s="22"/>
      <c r="W664" s="22"/>
    </row>
    <row r="665" spans="18:23" ht="15.75" customHeight="1" x14ac:dyDescent="0.3">
      <c r="R665" s="22"/>
      <c r="S665" s="22"/>
      <c r="U665" s="22"/>
      <c r="V665" s="22"/>
      <c r="W665" s="22"/>
    </row>
    <row r="666" spans="18:23" ht="15.75" customHeight="1" x14ac:dyDescent="0.3">
      <c r="R666" s="22"/>
      <c r="S666" s="22"/>
      <c r="U666" s="22"/>
      <c r="V666" s="22"/>
      <c r="W666" s="22"/>
    </row>
    <row r="667" spans="18:23" ht="15.75" customHeight="1" x14ac:dyDescent="0.3">
      <c r="R667" s="22"/>
      <c r="S667" s="22"/>
      <c r="U667" s="22"/>
      <c r="V667" s="22"/>
      <c r="W667" s="22"/>
    </row>
    <row r="668" spans="18:23" ht="15.75" customHeight="1" x14ac:dyDescent="0.3">
      <c r="R668" s="22"/>
      <c r="S668" s="22"/>
      <c r="U668" s="22"/>
      <c r="V668" s="22"/>
      <c r="W668" s="22"/>
    </row>
    <row r="669" spans="18:23" ht="15.75" customHeight="1" x14ac:dyDescent="0.3">
      <c r="R669" s="22"/>
      <c r="S669" s="22"/>
      <c r="U669" s="22"/>
      <c r="V669" s="22"/>
      <c r="W669" s="22"/>
    </row>
    <row r="670" spans="18:23" ht="15.75" customHeight="1" x14ac:dyDescent="0.3">
      <c r="R670" s="22"/>
      <c r="S670" s="22"/>
      <c r="U670" s="22"/>
      <c r="V670" s="22"/>
      <c r="W670" s="22"/>
    </row>
    <row r="671" spans="18:23" ht="15.75" customHeight="1" x14ac:dyDescent="0.3">
      <c r="R671" s="22"/>
      <c r="S671" s="22"/>
      <c r="U671" s="22"/>
      <c r="V671" s="22"/>
      <c r="W671" s="22"/>
    </row>
    <row r="672" spans="18:23" ht="15.75" customHeight="1" x14ac:dyDescent="0.3">
      <c r="R672" s="22"/>
      <c r="S672" s="22"/>
      <c r="U672" s="22"/>
      <c r="V672" s="22"/>
      <c r="W672" s="22"/>
    </row>
    <row r="673" spans="18:23" ht="15.75" customHeight="1" x14ac:dyDescent="0.3">
      <c r="R673" s="22"/>
      <c r="S673" s="22"/>
      <c r="U673" s="22"/>
      <c r="V673" s="22"/>
      <c r="W673" s="22"/>
    </row>
    <row r="674" spans="18:23" ht="15.75" customHeight="1" x14ac:dyDescent="0.3">
      <c r="R674" s="22"/>
      <c r="S674" s="22"/>
      <c r="U674" s="22"/>
      <c r="V674" s="22"/>
      <c r="W674" s="22"/>
    </row>
    <row r="675" spans="18:23" ht="15.75" customHeight="1" x14ac:dyDescent="0.3">
      <c r="R675" s="22"/>
      <c r="S675" s="22"/>
      <c r="U675" s="22"/>
      <c r="V675" s="22"/>
      <c r="W675" s="22"/>
    </row>
    <row r="676" spans="18:23" ht="15.75" customHeight="1" x14ac:dyDescent="0.3">
      <c r="R676" s="22"/>
      <c r="S676" s="22"/>
      <c r="U676" s="22"/>
      <c r="V676" s="22"/>
      <c r="W676" s="22"/>
    </row>
    <row r="677" spans="18:23" ht="15.75" customHeight="1" x14ac:dyDescent="0.3">
      <c r="R677" s="22"/>
      <c r="S677" s="22"/>
      <c r="U677" s="22"/>
      <c r="V677" s="22"/>
      <c r="W677" s="22"/>
    </row>
    <row r="678" spans="18:23" ht="15.75" customHeight="1" x14ac:dyDescent="0.3">
      <c r="R678" s="22"/>
      <c r="S678" s="22"/>
      <c r="U678" s="22"/>
      <c r="V678" s="22"/>
      <c r="W678" s="22"/>
    </row>
    <row r="679" spans="18:23" ht="15.75" customHeight="1" x14ac:dyDescent="0.3">
      <c r="R679" s="22"/>
      <c r="S679" s="22"/>
      <c r="U679" s="22"/>
      <c r="V679" s="22"/>
      <c r="W679" s="22"/>
    </row>
    <row r="680" spans="18:23" ht="15.75" customHeight="1" x14ac:dyDescent="0.3">
      <c r="R680" s="22"/>
      <c r="S680" s="22"/>
      <c r="U680" s="22"/>
      <c r="V680" s="22"/>
      <c r="W680" s="22"/>
    </row>
    <row r="681" spans="18:23" ht="15.75" customHeight="1" x14ac:dyDescent="0.3">
      <c r="R681" s="22"/>
      <c r="S681" s="22"/>
      <c r="U681" s="22"/>
      <c r="V681" s="22"/>
      <c r="W681" s="22"/>
    </row>
    <row r="682" spans="18:23" ht="15.75" customHeight="1" x14ac:dyDescent="0.3">
      <c r="R682" s="22"/>
      <c r="S682" s="22"/>
      <c r="U682" s="22"/>
      <c r="V682" s="22"/>
      <c r="W682" s="22"/>
    </row>
    <row r="683" spans="18:23" ht="15.75" customHeight="1" x14ac:dyDescent="0.3">
      <c r="R683" s="22"/>
      <c r="S683" s="22"/>
      <c r="U683" s="22"/>
      <c r="V683" s="22"/>
      <c r="W683" s="22"/>
    </row>
    <row r="684" spans="18:23" ht="15.75" customHeight="1" x14ac:dyDescent="0.3">
      <c r="R684" s="22"/>
      <c r="S684" s="22"/>
      <c r="U684" s="22"/>
      <c r="V684" s="22"/>
      <c r="W684" s="22"/>
    </row>
    <row r="685" spans="18:23" ht="15.75" customHeight="1" x14ac:dyDescent="0.3">
      <c r="R685" s="22"/>
      <c r="S685" s="22"/>
      <c r="U685" s="22"/>
      <c r="V685" s="22"/>
      <c r="W685" s="22"/>
    </row>
    <row r="686" spans="18:23" ht="15.75" customHeight="1" x14ac:dyDescent="0.3">
      <c r="R686" s="22"/>
      <c r="S686" s="22"/>
      <c r="U686" s="22"/>
      <c r="V686" s="22"/>
      <c r="W686" s="22"/>
    </row>
    <row r="687" spans="18:23" ht="15.75" customHeight="1" x14ac:dyDescent="0.3">
      <c r="R687" s="22"/>
      <c r="S687" s="22"/>
      <c r="U687" s="22"/>
      <c r="V687" s="22"/>
      <c r="W687" s="22"/>
    </row>
    <row r="688" spans="18:23" ht="15.75" customHeight="1" x14ac:dyDescent="0.3">
      <c r="R688" s="22"/>
      <c r="S688" s="22"/>
      <c r="U688" s="22"/>
      <c r="V688" s="22"/>
      <c r="W688" s="22"/>
    </row>
    <row r="689" spans="18:23" ht="15.75" customHeight="1" x14ac:dyDescent="0.3">
      <c r="R689" s="22"/>
      <c r="S689" s="22"/>
      <c r="U689" s="22"/>
      <c r="V689" s="22"/>
      <c r="W689" s="22"/>
    </row>
    <row r="690" spans="18:23" ht="15.75" customHeight="1" x14ac:dyDescent="0.3">
      <c r="R690" s="22"/>
      <c r="S690" s="22"/>
      <c r="U690" s="22"/>
      <c r="V690" s="22"/>
      <c r="W690" s="22"/>
    </row>
    <row r="691" spans="18:23" ht="15.75" customHeight="1" x14ac:dyDescent="0.3">
      <c r="R691" s="22"/>
      <c r="S691" s="22"/>
      <c r="U691" s="22"/>
      <c r="V691" s="22"/>
      <c r="W691" s="22"/>
    </row>
    <row r="692" spans="18:23" ht="15.75" customHeight="1" x14ac:dyDescent="0.3">
      <c r="R692" s="22"/>
      <c r="S692" s="22"/>
      <c r="U692" s="22"/>
      <c r="V692" s="22"/>
      <c r="W692" s="22"/>
    </row>
    <row r="693" spans="18:23" ht="15.75" customHeight="1" x14ac:dyDescent="0.3">
      <c r="R693" s="22"/>
      <c r="S693" s="22"/>
      <c r="U693" s="22"/>
      <c r="V693" s="22"/>
      <c r="W693" s="22"/>
    </row>
    <row r="694" spans="18:23" ht="15.75" customHeight="1" x14ac:dyDescent="0.3">
      <c r="R694" s="22"/>
      <c r="S694" s="22"/>
      <c r="U694" s="22"/>
      <c r="V694" s="22"/>
      <c r="W694" s="22"/>
    </row>
    <row r="695" spans="18:23" ht="15.75" customHeight="1" x14ac:dyDescent="0.3">
      <c r="R695" s="22"/>
      <c r="S695" s="22"/>
      <c r="U695" s="22"/>
      <c r="V695" s="22"/>
      <c r="W695" s="22"/>
    </row>
    <row r="696" spans="18:23" ht="15.75" customHeight="1" x14ac:dyDescent="0.3">
      <c r="R696" s="22"/>
      <c r="S696" s="22"/>
      <c r="U696" s="22"/>
      <c r="V696" s="22"/>
      <c r="W696" s="22"/>
    </row>
    <row r="697" spans="18:23" ht="15.75" customHeight="1" x14ac:dyDescent="0.3">
      <c r="R697" s="22"/>
      <c r="S697" s="22"/>
      <c r="U697" s="22"/>
      <c r="V697" s="22"/>
      <c r="W697" s="22"/>
    </row>
    <row r="698" spans="18:23" ht="15.75" customHeight="1" x14ac:dyDescent="0.3">
      <c r="R698" s="22"/>
      <c r="S698" s="22"/>
      <c r="U698" s="22"/>
      <c r="V698" s="22"/>
      <c r="W698" s="22"/>
    </row>
    <row r="699" spans="18:23" ht="15.75" customHeight="1" x14ac:dyDescent="0.3">
      <c r="R699" s="22"/>
      <c r="S699" s="22"/>
      <c r="U699" s="22"/>
      <c r="V699" s="22"/>
      <c r="W699" s="22"/>
    </row>
    <row r="700" spans="18:23" ht="15.75" customHeight="1" x14ac:dyDescent="0.3">
      <c r="R700" s="22"/>
      <c r="S700" s="22"/>
      <c r="U700" s="22"/>
      <c r="V700" s="22"/>
      <c r="W700" s="22"/>
    </row>
    <row r="701" spans="18:23" ht="15.75" customHeight="1" x14ac:dyDescent="0.3">
      <c r="R701" s="22"/>
      <c r="S701" s="22"/>
      <c r="U701" s="22"/>
      <c r="V701" s="22"/>
      <c r="W701" s="22"/>
    </row>
    <row r="702" spans="18:23" ht="15.75" customHeight="1" x14ac:dyDescent="0.3">
      <c r="R702" s="22"/>
      <c r="S702" s="22"/>
      <c r="U702" s="22"/>
      <c r="V702" s="22"/>
      <c r="W702" s="22"/>
    </row>
    <row r="703" spans="18:23" ht="15.75" customHeight="1" x14ac:dyDescent="0.3">
      <c r="R703" s="22"/>
      <c r="S703" s="22"/>
      <c r="U703" s="22"/>
      <c r="V703" s="22"/>
      <c r="W703" s="22"/>
    </row>
    <row r="704" spans="18:23" ht="15.75" customHeight="1" x14ac:dyDescent="0.3">
      <c r="R704" s="22"/>
      <c r="S704" s="22"/>
      <c r="U704" s="22"/>
      <c r="V704" s="22"/>
      <c r="W704" s="22"/>
    </row>
    <row r="705" spans="18:23" ht="15.75" customHeight="1" x14ac:dyDescent="0.3">
      <c r="R705" s="22"/>
      <c r="S705" s="22"/>
      <c r="U705" s="22"/>
      <c r="V705" s="22"/>
      <c r="W705" s="22"/>
    </row>
    <row r="706" spans="18:23" ht="15.75" customHeight="1" x14ac:dyDescent="0.3">
      <c r="R706" s="22"/>
      <c r="S706" s="22"/>
      <c r="U706" s="22"/>
      <c r="V706" s="22"/>
      <c r="W706" s="22"/>
    </row>
    <row r="707" spans="18:23" ht="15.75" customHeight="1" x14ac:dyDescent="0.3">
      <c r="R707" s="22"/>
      <c r="S707" s="22"/>
      <c r="U707" s="22"/>
      <c r="V707" s="22"/>
      <c r="W707" s="22"/>
    </row>
    <row r="708" spans="18:23" ht="15.75" customHeight="1" x14ac:dyDescent="0.3">
      <c r="R708" s="22"/>
      <c r="S708" s="22"/>
      <c r="U708" s="22"/>
      <c r="V708" s="22"/>
      <c r="W708" s="22"/>
    </row>
    <row r="709" spans="18:23" ht="15.75" customHeight="1" x14ac:dyDescent="0.3">
      <c r="R709" s="22"/>
      <c r="S709" s="22"/>
      <c r="U709" s="22"/>
      <c r="V709" s="22"/>
      <c r="W709" s="22"/>
    </row>
    <row r="710" spans="18:23" ht="15.75" customHeight="1" x14ac:dyDescent="0.3">
      <c r="R710" s="22"/>
      <c r="S710" s="22"/>
      <c r="U710" s="22"/>
      <c r="V710" s="22"/>
      <c r="W710" s="22"/>
    </row>
    <row r="711" spans="18:23" ht="15.75" customHeight="1" x14ac:dyDescent="0.3">
      <c r="R711" s="22"/>
      <c r="S711" s="22"/>
      <c r="U711" s="22"/>
      <c r="V711" s="22"/>
      <c r="W711" s="22"/>
    </row>
    <row r="712" spans="18:23" ht="15.75" customHeight="1" x14ac:dyDescent="0.3">
      <c r="R712" s="22"/>
      <c r="S712" s="22"/>
      <c r="U712" s="22"/>
      <c r="V712" s="22"/>
      <c r="W712" s="22"/>
    </row>
    <row r="713" spans="18:23" ht="15.75" customHeight="1" x14ac:dyDescent="0.3">
      <c r="R713" s="22"/>
      <c r="S713" s="22"/>
      <c r="U713" s="22"/>
      <c r="V713" s="22"/>
      <c r="W713" s="22"/>
    </row>
    <row r="714" spans="18:23" ht="15.75" customHeight="1" x14ac:dyDescent="0.3">
      <c r="R714" s="22"/>
      <c r="S714" s="22"/>
      <c r="U714" s="22"/>
      <c r="V714" s="22"/>
      <c r="W714" s="22"/>
    </row>
    <row r="715" spans="18:23" ht="15.75" customHeight="1" x14ac:dyDescent="0.3">
      <c r="R715" s="22"/>
      <c r="S715" s="22"/>
      <c r="U715" s="22"/>
      <c r="V715" s="22"/>
      <c r="W715" s="22"/>
    </row>
    <row r="716" spans="18:23" ht="15.75" customHeight="1" x14ac:dyDescent="0.3">
      <c r="R716" s="22"/>
      <c r="S716" s="22"/>
      <c r="U716" s="22"/>
      <c r="V716" s="22"/>
      <c r="W716" s="22"/>
    </row>
    <row r="717" spans="18:23" ht="15.75" customHeight="1" x14ac:dyDescent="0.3">
      <c r="R717" s="22"/>
      <c r="S717" s="22"/>
      <c r="U717" s="22"/>
      <c r="V717" s="22"/>
      <c r="W717" s="22"/>
    </row>
    <row r="718" spans="18:23" ht="15.75" customHeight="1" x14ac:dyDescent="0.3">
      <c r="R718" s="22"/>
      <c r="S718" s="22"/>
      <c r="U718" s="22"/>
      <c r="V718" s="22"/>
      <c r="W718" s="22"/>
    </row>
    <row r="719" spans="18:23" ht="15.75" customHeight="1" x14ac:dyDescent="0.3">
      <c r="R719" s="22"/>
      <c r="S719" s="22"/>
      <c r="U719" s="22"/>
      <c r="V719" s="22"/>
      <c r="W719" s="22"/>
    </row>
    <row r="720" spans="18:23" ht="15.75" customHeight="1" x14ac:dyDescent="0.3">
      <c r="R720" s="22"/>
      <c r="S720" s="22"/>
      <c r="U720" s="22"/>
      <c r="V720" s="22"/>
      <c r="W720" s="22"/>
    </row>
    <row r="721" spans="18:23" ht="15.75" customHeight="1" x14ac:dyDescent="0.3">
      <c r="R721" s="22"/>
      <c r="S721" s="22"/>
      <c r="U721" s="22"/>
      <c r="V721" s="22"/>
      <c r="W721" s="22"/>
    </row>
    <row r="722" spans="18:23" ht="15.75" customHeight="1" x14ac:dyDescent="0.3">
      <c r="R722" s="22"/>
      <c r="S722" s="22"/>
      <c r="U722" s="22"/>
      <c r="V722" s="22"/>
      <c r="W722" s="22"/>
    </row>
    <row r="723" spans="18:23" ht="15.75" customHeight="1" x14ac:dyDescent="0.3">
      <c r="R723" s="22"/>
      <c r="S723" s="22"/>
      <c r="U723" s="22"/>
      <c r="V723" s="22"/>
      <c r="W723" s="22"/>
    </row>
    <row r="724" spans="18:23" ht="15.75" customHeight="1" x14ac:dyDescent="0.3">
      <c r="R724" s="22"/>
      <c r="S724" s="22"/>
      <c r="U724" s="22"/>
      <c r="V724" s="22"/>
      <c r="W724" s="22"/>
    </row>
    <row r="725" spans="18:23" ht="15.75" customHeight="1" x14ac:dyDescent="0.3">
      <c r="R725" s="22"/>
      <c r="S725" s="22"/>
      <c r="U725" s="22"/>
      <c r="V725" s="22"/>
      <c r="W725" s="22"/>
    </row>
    <row r="726" spans="18:23" ht="15.75" customHeight="1" x14ac:dyDescent="0.3">
      <c r="R726" s="22"/>
      <c r="S726" s="22"/>
      <c r="U726" s="22"/>
      <c r="V726" s="22"/>
      <c r="W726" s="22"/>
    </row>
    <row r="727" spans="18:23" ht="15.75" customHeight="1" x14ac:dyDescent="0.3">
      <c r="R727" s="22"/>
      <c r="S727" s="22"/>
      <c r="U727" s="22"/>
      <c r="V727" s="22"/>
      <c r="W727" s="22"/>
    </row>
    <row r="728" spans="18:23" ht="15.75" customHeight="1" x14ac:dyDescent="0.3">
      <c r="R728" s="22"/>
      <c r="S728" s="22"/>
      <c r="U728" s="22"/>
      <c r="V728" s="22"/>
      <c r="W728" s="22"/>
    </row>
    <row r="729" spans="18:23" ht="15.75" customHeight="1" x14ac:dyDescent="0.3">
      <c r="R729" s="22"/>
      <c r="S729" s="22"/>
      <c r="U729" s="22"/>
      <c r="V729" s="22"/>
      <c r="W729" s="22"/>
    </row>
    <row r="730" spans="18:23" ht="15.75" customHeight="1" x14ac:dyDescent="0.3">
      <c r="R730" s="22"/>
      <c r="S730" s="22"/>
      <c r="U730" s="22"/>
      <c r="V730" s="22"/>
      <c r="W730" s="22"/>
    </row>
    <row r="731" spans="18:23" ht="15.75" customHeight="1" x14ac:dyDescent="0.3">
      <c r="R731" s="22"/>
      <c r="S731" s="22"/>
      <c r="U731" s="22"/>
      <c r="V731" s="22"/>
      <c r="W731" s="22"/>
    </row>
    <row r="732" spans="18:23" ht="15.75" customHeight="1" x14ac:dyDescent="0.3">
      <c r="R732" s="22"/>
      <c r="S732" s="22"/>
      <c r="U732" s="22"/>
      <c r="V732" s="22"/>
      <c r="W732" s="22"/>
    </row>
    <row r="733" spans="18:23" ht="15.75" customHeight="1" x14ac:dyDescent="0.3">
      <c r="R733" s="22"/>
      <c r="S733" s="22"/>
      <c r="U733" s="22"/>
      <c r="V733" s="22"/>
      <c r="W733" s="22"/>
    </row>
    <row r="734" spans="18:23" ht="15.75" customHeight="1" x14ac:dyDescent="0.3">
      <c r="R734" s="22"/>
      <c r="S734" s="22"/>
      <c r="U734" s="22"/>
      <c r="V734" s="22"/>
      <c r="W734" s="22"/>
    </row>
    <row r="735" spans="18:23" ht="15.75" customHeight="1" x14ac:dyDescent="0.3">
      <c r="R735" s="22"/>
      <c r="S735" s="22"/>
      <c r="U735" s="22"/>
      <c r="V735" s="22"/>
      <c r="W735" s="22"/>
    </row>
    <row r="736" spans="18:23" ht="15.75" customHeight="1" x14ac:dyDescent="0.3">
      <c r="R736" s="22"/>
      <c r="S736" s="22"/>
      <c r="U736" s="22"/>
      <c r="V736" s="22"/>
      <c r="W736" s="22"/>
    </row>
    <row r="737" spans="18:23" ht="15.75" customHeight="1" x14ac:dyDescent="0.3">
      <c r="R737" s="22"/>
      <c r="S737" s="22"/>
      <c r="U737" s="22"/>
      <c r="V737" s="22"/>
      <c r="W737" s="22"/>
    </row>
    <row r="738" spans="18:23" ht="15.75" customHeight="1" x14ac:dyDescent="0.3">
      <c r="R738" s="22"/>
      <c r="S738" s="22"/>
      <c r="U738" s="22"/>
      <c r="V738" s="22"/>
      <c r="W738" s="22"/>
    </row>
    <row r="739" spans="18:23" ht="15.75" customHeight="1" x14ac:dyDescent="0.3">
      <c r="R739" s="22"/>
      <c r="S739" s="22"/>
      <c r="U739" s="22"/>
      <c r="V739" s="22"/>
      <c r="W739" s="22"/>
    </row>
    <row r="740" spans="18:23" ht="15.75" customHeight="1" x14ac:dyDescent="0.3">
      <c r="R740" s="22"/>
      <c r="S740" s="22"/>
      <c r="U740" s="22"/>
      <c r="V740" s="22"/>
      <c r="W740" s="22"/>
    </row>
    <row r="741" spans="18:23" ht="15.75" customHeight="1" x14ac:dyDescent="0.3">
      <c r="R741" s="22"/>
      <c r="S741" s="22"/>
      <c r="U741" s="22"/>
      <c r="V741" s="22"/>
      <c r="W741" s="22"/>
    </row>
    <row r="742" spans="18:23" ht="15.75" customHeight="1" x14ac:dyDescent="0.3">
      <c r="R742" s="22"/>
      <c r="S742" s="22"/>
      <c r="U742" s="22"/>
      <c r="V742" s="22"/>
      <c r="W742" s="22"/>
    </row>
    <row r="743" spans="18:23" ht="15.75" customHeight="1" x14ac:dyDescent="0.3">
      <c r="R743" s="22"/>
      <c r="S743" s="22"/>
      <c r="U743" s="22"/>
      <c r="V743" s="22"/>
      <c r="W743" s="22"/>
    </row>
    <row r="744" spans="18:23" ht="15.75" customHeight="1" x14ac:dyDescent="0.3">
      <c r="R744" s="22"/>
      <c r="S744" s="22"/>
      <c r="U744" s="22"/>
      <c r="V744" s="22"/>
      <c r="W744" s="22"/>
    </row>
    <row r="745" spans="18:23" ht="15.75" customHeight="1" x14ac:dyDescent="0.3">
      <c r="R745" s="22"/>
      <c r="S745" s="22"/>
      <c r="U745" s="22"/>
      <c r="V745" s="22"/>
      <c r="W745" s="22"/>
    </row>
    <row r="746" spans="18:23" ht="15.75" customHeight="1" x14ac:dyDescent="0.3">
      <c r="R746" s="22"/>
      <c r="S746" s="22"/>
      <c r="U746" s="22"/>
      <c r="V746" s="22"/>
      <c r="W746" s="22"/>
    </row>
    <row r="747" spans="18:23" ht="15.75" customHeight="1" x14ac:dyDescent="0.3">
      <c r="R747" s="22"/>
      <c r="S747" s="22"/>
      <c r="U747" s="22"/>
      <c r="V747" s="22"/>
      <c r="W747" s="22"/>
    </row>
    <row r="748" spans="18:23" ht="15.75" customHeight="1" x14ac:dyDescent="0.3">
      <c r="R748" s="22"/>
      <c r="S748" s="22"/>
      <c r="U748" s="22"/>
      <c r="V748" s="22"/>
      <c r="W748" s="22"/>
    </row>
    <row r="749" spans="18:23" ht="15.75" customHeight="1" x14ac:dyDescent="0.3">
      <c r="R749" s="22"/>
      <c r="S749" s="22"/>
      <c r="U749" s="22"/>
      <c r="V749" s="22"/>
      <c r="W749" s="22"/>
    </row>
    <row r="750" spans="18:23" ht="15.75" customHeight="1" x14ac:dyDescent="0.3">
      <c r="R750" s="22"/>
      <c r="S750" s="22"/>
      <c r="U750" s="22"/>
      <c r="V750" s="22"/>
      <c r="W750" s="22"/>
    </row>
    <row r="751" spans="18:23" ht="15.75" customHeight="1" x14ac:dyDescent="0.3">
      <c r="R751" s="22"/>
      <c r="S751" s="22"/>
      <c r="U751" s="22"/>
      <c r="V751" s="22"/>
      <c r="W751" s="22"/>
    </row>
    <row r="752" spans="18:23" ht="15.75" customHeight="1" x14ac:dyDescent="0.3">
      <c r="R752" s="22"/>
      <c r="S752" s="22"/>
      <c r="U752" s="22"/>
      <c r="V752" s="22"/>
      <c r="W752" s="22"/>
    </row>
    <row r="753" spans="18:23" ht="15.75" customHeight="1" x14ac:dyDescent="0.3">
      <c r="R753" s="22"/>
      <c r="S753" s="22"/>
      <c r="U753" s="22"/>
      <c r="V753" s="22"/>
      <c r="W753" s="22"/>
    </row>
    <row r="754" spans="18:23" ht="15.75" customHeight="1" x14ac:dyDescent="0.3">
      <c r="R754" s="22"/>
      <c r="S754" s="22"/>
      <c r="U754" s="22"/>
      <c r="V754" s="22"/>
      <c r="W754" s="22"/>
    </row>
    <row r="755" spans="18:23" ht="15.75" customHeight="1" x14ac:dyDescent="0.3">
      <c r="R755" s="22"/>
      <c r="S755" s="22"/>
      <c r="U755" s="22"/>
      <c r="V755" s="22"/>
      <c r="W755" s="22"/>
    </row>
    <row r="756" spans="18:23" ht="15.75" customHeight="1" x14ac:dyDescent="0.3">
      <c r="R756" s="22"/>
      <c r="S756" s="22"/>
      <c r="U756" s="22"/>
      <c r="V756" s="22"/>
      <c r="W756" s="22"/>
    </row>
    <row r="757" spans="18:23" ht="15.75" customHeight="1" x14ac:dyDescent="0.3">
      <c r="R757" s="22"/>
      <c r="S757" s="22"/>
      <c r="U757" s="22"/>
      <c r="V757" s="22"/>
      <c r="W757" s="22"/>
    </row>
    <row r="758" spans="18:23" ht="15.75" customHeight="1" x14ac:dyDescent="0.3">
      <c r="R758" s="22"/>
      <c r="S758" s="22"/>
      <c r="U758" s="22"/>
      <c r="V758" s="22"/>
      <c r="W758" s="22"/>
    </row>
    <row r="759" spans="18:23" ht="15.75" customHeight="1" x14ac:dyDescent="0.3">
      <c r="R759" s="22"/>
      <c r="S759" s="22"/>
      <c r="U759" s="22"/>
      <c r="V759" s="22"/>
      <c r="W759" s="22"/>
    </row>
    <row r="760" spans="18:23" ht="15.75" customHeight="1" x14ac:dyDescent="0.3">
      <c r="R760" s="22"/>
      <c r="S760" s="22"/>
      <c r="U760" s="22"/>
      <c r="V760" s="22"/>
      <c r="W760" s="22"/>
    </row>
    <row r="761" spans="18:23" ht="15.75" customHeight="1" x14ac:dyDescent="0.3">
      <c r="R761" s="22"/>
      <c r="S761" s="22"/>
      <c r="U761" s="22"/>
      <c r="V761" s="22"/>
      <c r="W761" s="22"/>
    </row>
    <row r="762" spans="18:23" ht="15.75" customHeight="1" x14ac:dyDescent="0.3">
      <c r="R762" s="22"/>
      <c r="S762" s="22"/>
      <c r="U762" s="22"/>
      <c r="V762" s="22"/>
      <c r="W762" s="22"/>
    </row>
    <row r="763" spans="18:23" ht="15.75" customHeight="1" x14ac:dyDescent="0.3">
      <c r="R763" s="22"/>
      <c r="S763" s="22"/>
      <c r="U763" s="22"/>
      <c r="V763" s="22"/>
      <c r="W763" s="22"/>
    </row>
    <row r="764" spans="18:23" ht="15.75" customHeight="1" x14ac:dyDescent="0.3">
      <c r="R764" s="22"/>
      <c r="S764" s="22"/>
      <c r="U764" s="22"/>
      <c r="V764" s="22"/>
      <c r="W764" s="22"/>
    </row>
    <row r="765" spans="18:23" ht="15.75" customHeight="1" x14ac:dyDescent="0.3">
      <c r="R765" s="22"/>
      <c r="S765" s="22"/>
      <c r="U765" s="22"/>
      <c r="V765" s="22"/>
      <c r="W765" s="22"/>
    </row>
    <row r="766" spans="18:23" ht="15.75" customHeight="1" x14ac:dyDescent="0.3">
      <c r="R766" s="22"/>
      <c r="S766" s="22"/>
      <c r="U766" s="22"/>
      <c r="V766" s="22"/>
      <c r="W766" s="22"/>
    </row>
    <row r="767" spans="18:23" ht="15.75" customHeight="1" x14ac:dyDescent="0.3">
      <c r="R767" s="22"/>
      <c r="S767" s="22"/>
      <c r="U767" s="22"/>
      <c r="V767" s="22"/>
      <c r="W767" s="22"/>
    </row>
    <row r="768" spans="18:23" ht="15.75" customHeight="1" x14ac:dyDescent="0.3">
      <c r="R768" s="22"/>
      <c r="S768" s="22"/>
      <c r="U768" s="22"/>
      <c r="V768" s="22"/>
      <c r="W768" s="22"/>
    </row>
    <row r="769" spans="18:23" ht="15.75" customHeight="1" x14ac:dyDescent="0.3">
      <c r="R769" s="22"/>
      <c r="S769" s="22"/>
      <c r="U769" s="22"/>
      <c r="V769" s="22"/>
      <c r="W769" s="22"/>
    </row>
    <row r="770" spans="18:23" ht="15.75" customHeight="1" x14ac:dyDescent="0.3">
      <c r="R770" s="22"/>
      <c r="S770" s="22"/>
      <c r="U770" s="22"/>
      <c r="V770" s="22"/>
      <c r="W770" s="22"/>
    </row>
    <row r="771" spans="18:23" ht="15.75" customHeight="1" x14ac:dyDescent="0.3">
      <c r="R771" s="22"/>
      <c r="S771" s="22"/>
      <c r="U771" s="22"/>
      <c r="V771" s="22"/>
      <c r="W771" s="22"/>
    </row>
    <row r="772" spans="18:23" ht="15.75" customHeight="1" x14ac:dyDescent="0.3">
      <c r="R772" s="22"/>
      <c r="S772" s="22"/>
      <c r="U772" s="22"/>
      <c r="V772" s="22"/>
      <c r="W772" s="22"/>
    </row>
    <row r="773" spans="18:23" ht="15.75" customHeight="1" x14ac:dyDescent="0.3">
      <c r="R773" s="22"/>
      <c r="S773" s="22"/>
      <c r="U773" s="22"/>
      <c r="V773" s="22"/>
      <c r="W773" s="22"/>
    </row>
    <row r="774" spans="18:23" ht="15.75" customHeight="1" x14ac:dyDescent="0.3">
      <c r="R774" s="22"/>
      <c r="S774" s="22"/>
      <c r="U774" s="22"/>
      <c r="V774" s="22"/>
      <c r="W774" s="22"/>
    </row>
    <row r="775" spans="18:23" ht="15.75" customHeight="1" x14ac:dyDescent="0.3">
      <c r="R775" s="22"/>
      <c r="S775" s="22"/>
      <c r="U775" s="22"/>
      <c r="V775" s="22"/>
      <c r="W775" s="22"/>
    </row>
    <row r="776" spans="18:23" ht="15.75" customHeight="1" x14ac:dyDescent="0.3">
      <c r="R776" s="22"/>
      <c r="S776" s="22"/>
      <c r="U776" s="22"/>
      <c r="V776" s="22"/>
      <c r="W776" s="22"/>
    </row>
    <row r="777" spans="18:23" ht="15.75" customHeight="1" x14ac:dyDescent="0.3">
      <c r="R777" s="22"/>
      <c r="S777" s="22"/>
      <c r="U777" s="22"/>
      <c r="V777" s="22"/>
      <c r="W777" s="22"/>
    </row>
    <row r="778" spans="18:23" ht="15.75" customHeight="1" x14ac:dyDescent="0.3">
      <c r="R778" s="22"/>
      <c r="S778" s="22"/>
      <c r="U778" s="22"/>
      <c r="V778" s="22"/>
      <c r="W778" s="22"/>
    </row>
    <row r="779" spans="18:23" ht="15.75" customHeight="1" x14ac:dyDescent="0.3">
      <c r="R779" s="22"/>
      <c r="S779" s="22"/>
      <c r="U779" s="22"/>
      <c r="V779" s="22"/>
      <c r="W779" s="22"/>
    </row>
    <row r="780" spans="18:23" ht="15.75" customHeight="1" x14ac:dyDescent="0.3">
      <c r="R780" s="22"/>
      <c r="S780" s="22"/>
      <c r="U780" s="22"/>
      <c r="V780" s="22"/>
      <c r="W780" s="22"/>
    </row>
    <row r="781" spans="18:23" ht="15.75" customHeight="1" x14ac:dyDescent="0.3">
      <c r="R781" s="22"/>
      <c r="S781" s="22"/>
      <c r="U781" s="22"/>
      <c r="V781" s="22"/>
      <c r="W781" s="22"/>
    </row>
    <row r="782" spans="18:23" ht="15.75" customHeight="1" x14ac:dyDescent="0.3">
      <c r="R782" s="22"/>
      <c r="S782" s="22"/>
      <c r="U782" s="22"/>
      <c r="V782" s="22"/>
      <c r="W782" s="22"/>
    </row>
    <row r="783" spans="18:23" ht="15.75" customHeight="1" x14ac:dyDescent="0.3">
      <c r="R783" s="22"/>
      <c r="S783" s="22"/>
      <c r="U783" s="22"/>
      <c r="V783" s="22"/>
      <c r="W783" s="22"/>
    </row>
    <row r="784" spans="18:23" ht="15.75" customHeight="1" x14ac:dyDescent="0.3">
      <c r="R784" s="22"/>
      <c r="S784" s="22"/>
      <c r="U784" s="22"/>
      <c r="V784" s="22"/>
      <c r="W784" s="22"/>
    </row>
    <row r="785" spans="18:23" ht="15.75" customHeight="1" x14ac:dyDescent="0.3">
      <c r="R785" s="22"/>
      <c r="S785" s="22"/>
      <c r="U785" s="22"/>
      <c r="V785" s="22"/>
      <c r="W785" s="22"/>
    </row>
    <row r="786" spans="18:23" ht="15.75" customHeight="1" x14ac:dyDescent="0.3">
      <c r="R786" s="22"/>
      <c r="S786" s="22"/>
      <c r="U786" s="22"/>
      <c r="V786" s="22"/>
      <c r="W786" s="22"/>
    </row>
    <row r="787" spans="18:23" ht="15.75" customHeight="1" x14ac:dyDescent="0.3">
      <c r="R787" s="22"/>
      <c r="S787" s="22"/>
      <c r="U787" s="22"/>
      <c r="V787" s="22"/>
      <c r="W787" s="22"/>
    </row>
    <row r="788" spans="18:23" ht="15.75" customHeight="1" x14ac:dyDescent="0.3">
      <c r="R788" s="22"/>
      <c r="S788" s="22"/>
      <c r="U788" s="22"/>
      <c r="V788" s="22"/>
      <c r="W788" s="22"/>
    </row>
    <row r="789" spans="18:23" ht="15.75" customHeight="1" x14ac:dyDescent="0.3">
      <c r="R789" s="22"/>
      <c r="S789" s="22"/>
      <c r="U789" s="22"/>
      <c r="V789" s="22"/>
      <c r="W789" s="22"/>
    </row>
    <row r="790" spans="18:23" ht="15.75" customHeight="1" x14ac:dyDescent="0.3">
      <c r="R790" s="22"/>
      <c r="S790" s="22"/>
      <c r="U790" s="22"/>
      <c r="V790" s="22"/>
      <c r="W790" s="22"/>
    </row>
    <row r="791" spans="18:23" ht="15.75" customHeight="1" x14ac:dyDescent="0.3">
      <c r="R791" s="22"/>
      <c r="S791" s="22"/>
      <c r="U791" s="22"/>
      <c r="V791" s="22"/>
      <c r="W791" s="22"/>
    </row>
    <row r="792" spans="18:23" ht="15.75" customHeight="1" x14ac:dyDescent="0.3">
      <c r="R792" s="22"/>
      <c r="S792" s="22"/>
      <c r="U792" s="22"/>
      <c r="V792" s="22"/>
      <c r="W792" s="22"/>
    </row>
    <row r="793" spans="18:23" ht="15.75" customHeight="1" x14ac:dyDescent="0.3">
      <c r="R793" s="22"/>
      <c r="S793" s="22"/>
      <c r="U793" s="22"/>
      <c r="V793" s="22"/>
      <c r="W793" s="22"/>
    </row>
    <row r="794" spans="18:23" ht="15.75" customHeight="1" x14ac:dyDescent="0.3">
      <c r="R794" s="22"/>
      <c r="S794" s="22"/>
      <c r="U794" s="22"/>
      <c r="V794" s="22"/>
      <c r="W794" s="22"/>
    </row>
    <row r="795" spans="18:23" ht="15.75" customHeight="1" x14ac:dyDescent="0.3">
      <c r="R795" s="22"/>
      <c r="S795" s="22"/>
      <c r="U795" s="22"/>
      <c r="V795" s="22"/>
      <c r="W795" s="22"/>
    </row>
    <row r="796" spans="18:23" ht="15.75" customHeight="1" x14ac:dyDescent="0.3">
      <c r="R796" s="22"/>
      <c r="S796" s="22"/>
      <c r="U796" s="22"/>
      <c r="V796" s="22"/>
      <c r="W796" s="22"/>
    </row>
    <row r="797" spans="18:23" ht="15.75" customHeight="1" x14ac:dyDescent="0.3">
      <c r="R797" s="22"/>
      <c r="S797" s="22"/>
      <c r="U797" s="22"/>
      <c r="V797" s="22"/>
      <c r="W797" s="22"/>
    </row>
    <row r="798" spans="18:23" ht="15.75" customHeight="1" x14ac:dyDescent="0.3">
      <c r="R798" s="22"/>
      <c r="S798" s="22"/>
      <c r="U798" s="22"/>
      <c r="V798" s="22"/>
      <c r="W798" s="22"/>
    </row>
    <row r="799" spans="18:23" ht="15.75" customHeight="1" x14ac:dyDescent="0.3">
      <c r="R799" s="22"/>
      <c r="S799" s="22"/>
      <c r="U799" s="22"/>
      <c r="V799" s="22"/>
      <c r="W799" s="22"/>
    </row>
    <row r="800" spans="18:23" ht="15.75" customHeight="1" x14ac:dyDescent="0.3">
      <c r="R800" s="22"/>
      <c r="S800" s="22"/>
      <c r="U800" s="22"/>
      <c r="V800" s="22"/>
      <c r="W800" s="22"/>
    </row>
    <row r="801" spans="18:23" ht="15.75" customHeight="1" x14ac:dyDescent="0.3">
      <c r="R801" s="22"/>
      <c r="S801" s="22"/>
      <c r="U801" s="22"/>
      <c r="V801" s="22"/>
      <c r="W801" s="22"/>
    </row>
    <row r="802" spans="18:23" ht="15.75" customHeight="1" x14ac:dyDescent="0.3">
      <c r="R802" s="22"/>
      <c r="S802" s="22"/>
      <c r="U802" s="22"/>
      <c r="V802" s="22"/>
      <c r="W802" s="22"/>
    </row>
    <row r="803" spans="18:23" ht="15.75" customHeight="1" x14ac:dyDescent="0.3">
      <c r="R803" s="22"/>
      <c r="S803" s="22"/>
      <c r="U803" s="22"/>
      <c r="V803" s="22"/>
      <c r="W803" s="22"/>
    </row>
    <row r="804" spans="18:23" ht="15.75" customHeight="1" x14ac:dyDescent="0.3">
      <c r="R804" s="22"/>
      <c r="S804" s="22"/>
      <c r="U804" s="22"/>
      <c r="V804" s="22"/>
      <c r="W804" s="22"/>
    </row>
    <row r="805" spans="18:23" ht="15.75" customHeight="1" x14ac:dyDescent="0.3">
      <c r="R805" s="22"/>
      <c r="S805" s="22"/>
      <c r="U805" s="22"/>
      <c r="V805" s="22"/>
      <c r="W805" s="22"/>
    </row>
    <row r="806" spans="18:23" ht="15.75" customHeight="1" x14ac:dyDescent="0.3">
      <c r="R806" s="22"/>
      <c r="S806" s="22"/>
      <c r="U806" s="22"/>
      <c r="V806" s="22"/>
      <c r="W806" s="22"/>
    </row>
    <row r="807" spans="18:23" ht="15.75" customHeight="1" x14ac:dyDescent="0.3">
      <c r="R807" s="22"/>
      <c r="S807" s="22"/>
      <c r="U807" s="22"/>
      <c r="V807" s="22"/>
      <c r="W807" s="22"/>
    </row>
    <row r="808" spans="18:23" ht="15.75" customHeight="1" x14ac:dyDescent="0.3">
      <c r="R808" s="22"/>
      <c r="S808" s="22"/>
      <c r="U808" s="22"/>
      <c r="V808" s="22"/>
      <c r="W808" s="22"/>
    </row>
    <row r="809" spans="18:23" ht="15.75" customHeight="1" x14ac:dyDescent="0.3">
      <c r="R809" s="22"/>
      <c r="S809" s="22"/>
      <c r="U809" s="22"/>
      <c r="V809" s="22"/>
      <c r="W809" s="22"/>
    </row>
    <row r="810" spans="18:23" ht="15.75" customHeight="1" x14ac:dyDescent="0.3">
      <c r="R810" s="22"/>
      <c r="S810" s="22"/>
      <c r="U810" s="22"/>
      <c r="V810" s="22"/>
      <c r="W810" s="22"/>
    </row>
    <row r="811" spans="18:23" ht="15.75" customHeight="1" x14ac:dyDescent="0.3">
      <c r="R811" s="22"/>
      <c r="S811" s="22"/>
      <c r="U811" s="22"/>
      <c r="V811" s="22"/>
      <c r="W811" s="22"/>
    </row>
    <row r="812" spans="18:23" ht="15.75" customHeight="1" x14ac:dyDescent="0.3">
      <c r="R812" s="22"/>
      <c r="S812" s="22"/>
      <c r="U812" s="22"/>
      <c r="V812" s="22"/>
      <c r="W812" s="22"/>
    </row>
    <row r="813" spans="18:23" ht="15.75" customHeight="1" x14ac:dyDescent="0.3">
      <c r="R813" s="22"/>
      <c r="S813" s="22"/>
      <c r="U813" s="22"/>
      <c r="V813" s="22"/>
      <c r="W813" s="22"/>
    </row>
    <row r="814" spans="18:23" ht="15.75" customHeight="1" x14ac:dyDescent="0.3">
      <c r="R814" s="22"/>
      <c r="S814" s="22"/>
      <c r="U814" s="22"/>
      <c r="V814" s="22"/>
      <c r="W814" s="22"/>
    </row>
    <row r="815" spans="18:23" ht="15.75" customHeight="1" x14ac:dyDescent="0.3">
      <c r="R815" s="22"/>
      <c r="S815" s="22"/>
      <c r="U815" s="22"/>
      <c r="V815" s="22"/>
      <c r="W815" s="22"/>
    </row>
    <row r="816" spans="18:23" ht="15.75" customHeight="1" x14ac:dyDescent="0.3">
      <c r="R816" s="22"/>
      <c r="S816" s="22"/>
      <c r="U816" s="22"/>
      <c r="V816" s="22"/>
      <c r="W816" s="22"/>
    </row>
    <row r="817" spans="18:23" ht="15.75" customHeight="1" x14ac:dyDescent="0.3">
      <c r="R817" s="22"/>
      <c r="S817" s="22"/>
      <c r="U817" s="22"/>
      <c r="V817" s="22"/>
      <c r="W817" s="22"/>
    </row>
    <row r="818" spans="18:23" ht="15.75" customHeight="1" x14ac:dyDescent="0.3">
      <c r="R818" s="22"/>
      <c r="S818" s="22"/>
      <c r="U818" s="22"/>
      <c r="V818" s="22"/>
      <c r="W818" s="22"/>
    </row>
    <row r="819" spans="18:23" ht="15.75" customHeight="1" x14ac:dyDescent="0.3">
      <c r="R819" s="22"/>
      <c r="S819" s="22"/>
      <c r="U819" s="22"/>
      <c r="V819" s="22"/>
      <c r="W819" s="22"/>
    </row>
    <row r="820" spans="18:23" ht="15.75" customHeight="1" x14ac:dyDescent="0.3">
      <c r="R820" s="22"/>
      <c r="S820" s="22"/>
      <c r="U820" s="22"/>
      <c r="V820" s="22"/>
      <c r="W820" s="22"/>
    </row>
    <row r="821" spans="18:23" ht="15.75" customHeight="1" x14ac:dyDescent="0.3">
      <c r="R821" s="22"/>
      <c r="S821" s="22"/>
      <c r="U821" s="22"/>
      <c r="V821" s="22"/>
      <c r="W821" s="22"/>
    </row>
    <row r="822" spans="18:23" ht="15.75" customHeight="1" x14ac:dyDescent="0.3">
      <c r="R822" s="22"/>
      <c r="S822" s="22"/>
      <c r="U822" s="22"/>
      <c r="V822" s="22"/>
      <c r="W822" s="22"/>
    </row>
    <row r="823" spans="18:23" ht="15.75" customHeight="1" x14ac:dyDescent="0.3">
      <c r="R823" s="22"/>
      <c r="S823" s="22"/>
      <c r="U823" s="22"/>
      <c r="V823" s="22"/>
      <c r="W823" s="22"/>
    </row>
    <row r="824" spans="18:23" ht="15.75" customHeight="1" x14ac:dyDescent="0.3">
      <c r="R824" s="22"/>
      <c r="S824" s="22"/>
      <c r="U824" s="22"/>
      <c r="V824" s="22"/>
      <c r="W824" s="22"/>
    </row>
    <row r="825" spans="18:23" ht="15.75" customHeight="1" x14ac:dyDescent="0.3">
      <c r="R825" s="22"/>
      <c r="S825" s="22"/>
      <c r="U825" s="22"/>
      <c r="V825" s="22"/>
      <c r="W825" s="22"/>
    </row>
    <row r="826" spans="18:23" ht="15.75" customHeight="1" x14ac:dyDescent="0.3">
      <c r="R826" s="22"/>
      <c r="S826" s="22"/>
      <c r="U826" s="22"/>
      <c r="V826" s="22"/>
      <c r="W826" s="22"/>
    </row>
    <row r="827" spans="18:23" ht="15.75" customHeight="1" x14ac:dyDescent="0.3">
      <c r="R827" s="22"/>
      <c r="S827" s="22"/>
      <c r="U827" s="22"/>
      <c r="V827" s="22"/>
      <c r="W827" s="22"/>
    </row>
    <row r="828" spans="18:23" ht="15.75" customHeight="1" x14ac:dyDescent="0.3">
      <c r="R828" s="22"/>
      <c r="S828" s="22"/>
      <c r="U828" s="22"/>
      <c r="V828" s="22"/>
      <c r="W828" s="22"/>
    </row>
    <row r="829" spans="18:23" ht="15.75" customHeight="1" x14ac:dyDescent="0.3">
      <c r="R829" s="22"/>
      <c r="S829" s="22"/>
      <c r="U829" s="22"/>
      <c r="V829" s="22"/>
      <c r="W829" s="22"/>
    </row>
    <row r="830" spans="18:23" ht="15.75" customHeight="1" x14ac:dyDescent="0.3">
      <c r="R830" s="22"/>
      <c r="S830" s="22"/>
      <c r="U830" s="22"/>
      <c r="V830" s="22"/>
      <c r="W830" s="22"/>
    </row>
    <row r="831" spans="18:23" ht="15.75" customHeight="1" x14ac:dyDescent="0.3">
      <c r="R831" s="22"/>
      <c r="S831" s="22"/>
      <c r="U831" s="22"/>
      <c r="V831" s="22"/>
      <c r="W831" s="22"/>
    </row>
    <row r="832" spans="18:23" ht="15.75" customHeight="1" x14ac:dyDescent="0.3">
      <c r="R832" s="22"/>
      <c r="S832" s="22"/>
      <c r="U832" s="22"/>
      <c r="V832" s="22"/>
      <c r="W832" s="22"/>
    </row>
    <row r="833" spans="18:23" ht="15.75" customHeight="1" x14ac:dyDescent="0.3">
      <c r="R833" s="22"/>
      <c r="S833" s="22"/>
      <c r="U833" s="22"/>
      <c r="V833" s="22"/>
      <c r="W833" s="22"/>
    </row>
    <row r="834" spans="18:23" ht="15.75" customHeight="1" x14ac:dyDescent="0.3">
      <c r="R834" s="22"/>
      <c r="S834" s="22"/>
      <c r="U834" s="22"/>
      <c r="V834" s="22"/>
      <c r="W834" s="22"/>
    </row>
    <row r="835" spans="18:23" ht="15.75" customHeight="1" x14ac:dyDescent="0.3">
      <c r="R835" s="22"/>
      <c r="S835" s="22"/>
      <c r="U835" s="22"/>
      <c r="V835" s="22"/>
      <c r="W835" s="22"/>
    </row>
    <row r="836" spans="18:23" ht="15.75" customHeight="1" x14ac:dyDescent="0.3">
      <c r="R836" s="22"/>
      <c r="S836" s="22"/>
      <c r="U836" s="22"/>
      <c r="V836" s="22"/>
      <c r="W836" s="22"/>
    </row>
    <row r="837" spans="18:23" ht="15.75" customHeight="1" x14ac:dyDescent="0.3">
      <c r="R837" s="22"/>
      <c r="S837" s="22"/>
      <c r="U837" s="22"/>
      <c r="V837" s="22"/>
      <c r="W837" s="22"/>
    </row>
    <row r="838" spans="18:23" ht="15.75" customHeight="1" x14ac:dyDescent="0.3">
      <c r="R838" s="22"/>
      <c r="S838" s="22"/>
      <c r="U838" s="22"/>
      <c r="V838" s="22"/>
      <c r="W838" s="22"/>
    </row>
    <row r="839" spans="18:23" ht="15.75" customHeight="1" x14ac:dyDescent="0.3">
      <c r="R839" s="22"/>
      <c r="S839" s="22"/>
      <c r="U839" s="22"/>
      <c r="V839" s="22"/>
      <c r="W839" s="22"/>
    </row>
    <row r="840" spans="18:23" ht="15.75" customHeight="1" x14ac:dyDescent="0.3">
      <c r="R840" s="22"/>
      <c r="S840" s="22"/>
      <c r="U840" s="22"/>
      <c r="V840" s="22"/>
      <c r="W840" s="22"/>
    </row>
    <row r="841" spans="18:23" ht="15.75" customHeight="1" x14ac:dyDescent="0.3">
      <c r="R841" s="22"/>
      <c r="S841" s="22"/>
      <c r="U841" s="22"/>
      <c r="V841" s="22"/>
      <c r="W841" s="22"/>
    </row>
    <row r="842" spans="18:23" ht="15.75" customHeight="1" x14ac:dyDescent="0.3">
      <c r="R842" s="22"/>
      <c r="S842" s="22"/>
      <c r="U842" s="22"/>
      <c r="V842" s="22"/>
      <c r="W842" s="22"/>
    </row>
    <row r="843" spans="18:23" ht="15.75" customHeight="1" x14ac:dyDescent="0.3">
      <c r="R843" s="22"/>
      <c r="S843" s="22"/>
      <c r="U843" s="22"/>
      <c r="V843" s="22"/>
      <c r="W843" s="22"/>
    </row>
    <row r="844" spans="18:23" ht="15.75" customHeight="1" x14ac:dyDescent="0.3">
      <c r="R844" s="22"/>
      <c r="S844" s="22"/>
      <c r="U844" s="22"/>
      <c r="V844" s="22"/>
      <c r="W844" s="22"/>
    </row>
    <row r="845" spans="18:23" ht="15.75" customHeight="1" x14ac:dyDescent="0.3">
      <c r="R845" s="22"/>
      <c r="S845" s="22"/>
      <c r="U845" s="22"/>
      <c r="V845" s="22"/>
      <c r="W845" s="22"/>
    </row>
    <row r="846" spans="18:23" ht="15.75" customHeight="1" x14ac:dyDescent="0.3">
      <c r="R846" s="22"/>
      <c r="S846" s="22"/>
      <c r="U846" s="22"/>
      <c r="V846" s="22"/>
      <c r="W846" s="22"/>
    </row>
    <row r="847" spans="18:23" ht="15.75" customHeight="1" x14ac:dyDescent="0.3">
      <c r="R847" s="22"/>
      <c r="S847" s="22"/>
      <c r="U847" s="22"/>
      <c r="V847" s="22"/>
      <c r="W847" s="22"/>
    </row>
    <row r="848" spans="18:23" ht="15.75" customHeight="1" x14ac:dyDescent="0.3">
      <c r="R848" s="22"/>
      <c r="S848" s="22"/>
      <c r="U848" s="22"/>
      <c r="V848" s="22"/>
      <c r="W848" s="22"/>
    </row>
    <row r="849" spans="18:23" ht="15.75" customHeight="1" x14ac:dyDescent="0.3">
      <c r="R849" s="22"/>
      <c r="S849" s="22"/>
      <c r="U849" s="22"/>
      <c r="V849" s="22"/>
      <c r="W849" s="22"/>
    </row>
    <row r="850" spans="18:23" ht="15.75" customHeight="1" x14ac:dyDescent="0.3">
      <c r="R850" s="22"/>
      <c r="S850" s="22"/>
      <c r="U850" s="22"/>
      <c r="V850" s="22"/>
      <c r="W850" s="22"/>
    </row>
    <row r="851" spans="18:23" ht="15.75" customHeight="1" x14ac:dyDescent="0.3">
      <c r="R851" s="22"/>
      <c r="S851" s="22"/>
      <c r="U851" s="22"/>
      <c r="V851" s="22"/>
      <c r="W851" s="22"/>
    </row>
    <row r="852" spans="18:23" ht="15.75" customHeight="1" x14ac:dyDescent="0.3">
      <c r="R852" s="22"/>
      <c r="S852" s="22"/>
      <c r="U852" s="22"/>
      <c r="V852" s="22"/>
      <c r="W852" s="22"/>
    </row>
    <row r="853" spans="18:23" ht="15.75" customHeight="1" x14ac:dyDescent="0.3">
      <c r="R853" s="22"/>
      <c r="S853" s="22"/>
      <c r="U853" s="22"/>
      <c r="V853" s="22"/>
      <c r="W853" s="22"/>
    </row>
    <row r="854" spans="18:23" ht="15.75" customHeight="1" x14ac:dyDescent="0.3">
      <c r="R854" s="22"/>
      <c r="S854" s="22"/>
      <c r="U854" s="22"/>
      <c r="V854" s="22"/>
      <c r="W854" s="22"/>
    </row>
    <row r="855" spans="18:23" ht="15.75" customHeight="1" x14ac:dyDescent="0.3">
      <c r="R855" s="22"/>
      <c r="S855" s="22"/>
      <c r="U855" s="22"/>
      <c r="V855" s="22"/>
      <c r="W855" s="22"/>
    </row>
    <row r="856" spans="18:23" ht="15.75" customHeight="1" x14ac:dyDescent="0.3">
      <c r="R856" s="22"/>
      <c r="S856" s="22"/>
      <c r="U856" s="22"/>
      <c r="V856" s="22"/>
      <c r="W856" s="22"/>
    </row>
    <row r="857" spans="18:23" ht="15.75" customHeight="1" x14ac:dyDescent="0.3">
      <c r="R857" s="22"/>
      <c r="S857" s="22"/>
      <c r="U857" s="22"/>
      <c r="V857" s="22"/>
      <c r="W857" s="22"/>
    </row>
    <row r="858" spans="18:23" ht="15.75" customHeight="1" x14ac:dyDescent="0.3">
      <c r="R858" s="22"/>
      <c r="S858" s="22"/>
      <c r="U858" s="22"/>
      <c r="V858" s="22"/>
      <c r="W858" s="22"/>
    </row>
    <row r="859" spans="18:23" ht="15.75" customHeight="1" x14ac:dyDescent="0.3">
      <c r="R859" s="22"/>
      <c r="S859" s="22"/>
      <c r="U859" s="22"/>
      <c r="V859" s="22"/>
      <c r="W859" s="22"/>
    </row>
    <row r="860" spans="18:23" ht="15.75" customHeight="1" x14ac:dyDescent="0.3">
      <c r="R860" s="22"/>
      <c r="S860" s="22"/>
      <c r="U860" s="22"/>
      <c r="V860" s="22"/>
      <c r="W860" s="22"/>
    </row>
    <row r="861" spans="18:23" ht="15.75" customHeight="1" x14ac:dyDescent="0.3">
      <c r="R861" s="22"/>
      <c r="S861" s="22"/>
      <c r="U861" s="22"/>
      <c r="V861" s="22"/>
      <c r="W861" s="22"/>
    </row>
    <row r="862" spans="18:23" ht="15.75" customHeight="1" x14ac:dyDescent="0.3">
      <c r="R862" s="22"/>
      <c r="S862" s="22"/>
      <c r="U862" s="22"/>
      <c r="V862" s="22"/>
      <c r="W862" s="22"/>
    </row>
    <row r="863" spans="18:23" ht="15.75" customHeight="1" x14ac:dyDescent="0.3">
      <c r="R863" s="22"/>
      <c r="S863" s="22"/>
      <c r="U863" s="22"/>
      <c r="V863" s="22"/>
      <c r="W863" s="22"/>
    </row>
    <row r="864" spans="18:23" ht="15.75" customHeight="1" x14ac:dyDescent="0.3">
      <c r="R864" s="22"/>
      <c r="S864" s="22"/>
      <c r="U864" s="22"/>
      <c r="V864" s="22"/>
      <c r="W864" s="22"/>
    </row>
    <row r="865" spans="18:23" ht="15.75" customHeight="1" x14ac:dyDescent="0.3">
      <c r="R865" s="22"/>
      <c r="S865" s="22"/>
      <c r="U865" s="22"/>
      <c r="V865" s="22"/>
      <c r="W865" s="22"/>
    </row>
    <row r="866" spans="18:23" ht="15.75" customHeight="1" x14ac:dyDescent="0.3">
      <c r="R866" s="22"/>
      <c r="S866" s="22"/>
      <c r="U866" s="22"/>
      <c r="V866" s="22"/>
      <c r="W866" s="22"/>
    </row>
    <row r="867" spans="18:23" ht="15.75" customHeight="1" x14ac:dyDescent="0.3">
      <c r="R867" s="22"/>
      <c r="S867" s="22"/>
      <c r="U867" s="22"/>
      <c r="V867" s="22"/>
      <c r="W867" s="22"/>
    </row>
    <row r="868" spans="18:23" ht="15.75" customHeight="1" x14ac:dyDescent="0.3">
      <c r="R868" s="22"/>
      <c r="S868" s="22"/>
      <c r="U868" s="22"/>
      <c r="V868" s="22"/>
      <c r="W868" s="22"/>
    </row>
    <row r="869" spans="18:23" ht="15.75" customHeight="1" x14ac:dyDescent="0.3">
      <c r="R869" s="22"/>
      <c r="S869" s="22"/>
      <c r="U869" s="22"/>
      <c r="V869" s="22"/>
      <c r="W869" s="22"/>
    </row>
    <row r="870" spans="18:23" ht="15.75" customHeight="1" x14ac:dyDescent="0.3">
      <c r="R870" s="22"/>
      <c r="S870" s="22"/>
      <c r="U870" s="22"/>
      <c r="V870" s="22"/>
      <c r="W870" s="22"/>
    </row>
    <row r="871" spans="18:23" ht="15.75" customHeight="1" x14ac:dyDescent="0.3">
      <c r="R871" s="22"/>
      <c r="S871" s="22"/>
      <c r="U871" s="22"/>
      <c r="V871" s="22"/>
      <c r="W871" s="22"/>
    </row>
    <row r="872" spans="18:23" ht="15.75" customHeight="1" x14ac:dyDescent="0.3">
      <c r="R872" s="22"/>
      <c r="S872" s="22"/>
      <c r="U872" s="22"/>
      <c r="V872" s="22"/>
      <c r="W872" s="22"/>
    </row>
    <row r="873" spans="18:23" ht="15.75" customHeight="1" x14ac:dyDescent="0.3">
      <c r="R873" s="22"/>
      <c r="S873" s="22"/>
      <c r="U873" s="22"/>
      <c r="V873" s="22"/>
      <c r="W873" s="22"/>
    </row>
    <row r="874" spans="18:23" ht="15.75" customHeight="1" x14ac:dyDescent="0.3">
      <c r="R874" s="22"/>
      <c r="S874" s="22"/>
      <c r="U874" s="22"/>
      <c r="V874" s="22"/>
      <c r="W874" s="22"/>
    </row>
    <row r="875" spans="18:23" ht="15.75" customHeight="1" x14ac:dyDescent="0.3">
      <c r="R875" s="22"/>
      <c r="S875" s="22"/>
      <c r="U875" s="22"/>
      <c r="V875" s="22"/>
      <c r="W875" s="22"/>
    </row>
    <row r="876" spans="18:23" ht="15.75" customHeight="1" x14ac:dyDescent="0.3">
      <c r="R876" s="22"/>
      <c r="S876" s="22"/>
      <c r="U876" s="22"/>
      <c r="V876" s="22"/>
      <c r="W876" s="22"/>
    </row>
    <row r="877" spans="18:23" ht="15.75" customHeight="1" x14ac:dyDescent="0.3">
      <c r="R877" s="22"/>
      <c r="S877" s="22"/>
      <c r="U877" s="22"/>
      <c r="V877" s="22"/>
      <c r="W877" s="22"/>
    </row>
    <row r="878" spans="18:23" ht="15.75" customHeight="1" x14ac:dyDescent="0.3">
      <c r="R878" s="22"/>
      <c r="S878" s="22"/>
      <c r="U878" s="22"/>
      <c r="V878" s="22"/>
      <c r="W878" s="22"/>
    </row>
    <row r="879" spans="18:23" ht="15.75" customHeight="1" x14ac:dyDescent="0.3">
      <c r="R879" s="22"/>
      <c r="S879" s="22"/>
      <c r="U879" s="22"/>
      <c r="V879" s="22"/>
      <c r="W879" s="22"/>
    </row>
    <row r="880" spans="18:23" ht="15.75" customHeight="1" x14ac:dyDescent="0.3">
      <c r="R880" s="22"/>
      <c r="S880" s="22"/>
      <c r="U880" s="22"/>
      <c r="V880" s="22"/>
      <c r="W880" s="22"/>
    </row>
    <row r="881" spans="18:23" ht="15.75" customHeight="1" x14ac:dyDescent="0.3">
      <c r="R881" s="22"/>
      <c r="S881" s="22"/>
      <c r="U881" s="22"/>
      <c r="V881" s="22"/>
      <c r="W881" s="22"/>
    </row>
    <row r="882" spans="18:23" ht="15.75" customHeight="1" x14ac:dyDescent="0.3">
      <c r="R882" s="22"/>
      <c r="S882" s="22"/>
      <c r="U882" s="22"/>
      <c r="V882" s="22"/>
      <c r="W882" s="22"/>
    </row>
    <row r="883" spans="18:23" ht="15.75" customHeight="1" x14ac:dyDescent="0.3">
      <c r="R883" s="22"/>
      <c r="S883" s="22"/>
      <c r="U883" s="22"/>
      <c r="V883" s="22"/>
      <c r="W883" s="22"/>
    </row>
    <row r="884" spans="18:23" ht="15.75" customHeight="1" x14ac:dyDescent="0.3">
      <c r="R884" s="22"/>
      <c r="S884" s="22"/>
      <c r="U884" s="22"/>
      <c r="V884" s="22"/>
      <c r="W884" s="22"/>
    </row>
    <row r="885" spans="18:23" ht="15.75" customHeight="1" x14ac:dyDescent="0.3">
      <c r="R885" s="22"/>
      <c r="S885" s="22"/>
      <c r="U885" s="22"/>
      <c r="V885" s="22"/>
      <c r="W885" s="22"/>
    </row>
    <row r="886" spans="18:23" ht="15.75" customHeight="1" x14ac:dyDescent="0.3">
      <c r="R886" s="22"/>
      <c r="S886" s="22"/>
      <c r="U886" s="22"/>
      <c r="V886" s="22"/>
      <c r="W886" s="22"/>
    </row>
    <row r="887" spans="18:23" ht="15.75" customHeight="1" x14ac:dyDescent="0.3">
      <c r="R887" s="22"/>
      <c r="S887" s="22"/>
      <c r="U887" s="22"/>
      <c r="V887" s="22"/>
      <c r="W887" s="22"/>
    </row>
    <row r="888" spans="18:23" ht="15.75" customHeight="1" x14ac:dyDescent="0.3">
      <c r="R888" s="22"/>
      <c r="S888" s="22"/>
      <c r="U888" s="22"/>
      <c r="V888" s="22"/>
      <c r="W888" s="22"/>
    </row>
    <row r="889" spans="18:23" ht="15.75" customHeight="1" x14ac:dyDescent="0.3">
      <c r="R889" s="22"/>
      <c r="S889" s="22"/>
      <c r="U889" s="22"/>
      <c r="V889" s="22"/>
      <c r="W889" s="22"/>
    </row>
    <row r="890" spans="18:23" ht="15.75" customHeight="1" x14ac:dyDescent="0.3">
      <c r="R890" s="22"/>
      <c r="S890" s="22"/>
      <c r="U890" s="22"/>
      <c r="V890" s="22"/>
      <c r="W890" s="22"/>
    </row>
    <row r="891" spans="18:23" ht="15.75" customHeight="1" x14ac:dyDescent="0.3">
      <c r="R891" s="22"/>
      <c r="S891" s="22"/>
      <c r="U891" s="22"/>
      <c r="V891" s="22"/>
      <c r="W891" s="22"/>
    </row>
    <row r="892" spans="18:23" ht="15.75" customHeight="1" x14ac:dyDescent="0.3">
      <c r="R892" s="22"/>
      <c r="S892" s="22"/>
      <c r="U892" s="22"/>
      <c r="V892" s="22"/>
      <c r="W892" s="22"/>
    </row>
    <row r="893" spans="18:23" ht="15.75" customHeight="1" x14ac:dyDescent="0.3">
      <c r="R893" s="22"/>
      <c r="S893" s="22"/>
      <c r="U893" s="22"/>
      <c r="V893" s="22"/>
      <c r="W893" s="22"/>
    </row>
    <row r="894" spans="18:23" ht="15.75" customHeight="1" x14ac:dyDescent="0.3">
      <c r="R894" s="22"/>
      <c r="S894" s="22"/>
      <c r="U894" s="22"/>
      <c r="V894" s="22"/>
      <c r="W894" s="22"/>
    </row>
    <row r="895" spans="18:23" ht="15.75" customHeight="1" x14ac:dyDescent="0.3">
      <c r="R895" s="22"/>
      <c r="S895" s="22"/>
      <c r="U895" s="22"/>
      <c r="V895" s="22"/>
      <c r="W895" s="22"/>
    </row>
    <row r="896" spans="18:23" ht="15.75" customHeight="1" x14ac:dyDescent="0.3">
      <c r="R896" s="22"/>
      <c r="S896" s="22"/>
      <c r="U896" s="22"/>
      <c r="V896" s="22"/>
      <c r="W896" s="22"/>
    </row>
    <row r="897" spans="18:23" ht="15.75" customHeight="1" x14ac:dyDescent="0.3">
      <c r="R897" s="22"/>
      <c r="S897" s="22"/>
      <c r="U897" s="22"/>
      <c r="V897" s="22"/>
      <c r="W897" s="22"/>
    </row>
    <row r="898" spans="18:23" ht="15.75" customHeight="1" x14ac:dyDescent="0.3">
      <c r="R898" s="22"/>
      <c r="S898" s="22"/>
      <c r="U898" s="22"/>
      <c r="V898" s="22"/>
      <c r="W898" s="22"/>
    </row>
    <row r="899" spans="18:23" ht="15.75" customHeight="1" x14ac:dyDescent="0.3">
      <c r="R899" s="22"/>
      <c r="S899" s="22"/>
      <c r="U899" s="22"/>
      <c r="V899" s="22"/>
      <c r="W899" s="22"/>
    </row>
    <row r="900" spans="18:23" ht="15.75" customHeight="1" x14ac:dyDescent="0.3">
      <c r="R900" s="22"/>
      <c r="S900" s="22"/>
      <c r="U900" s="22"/>
      <c r="V900" s="22"/>
      <c r="W900" s="22"/>
    </row>
    <row r="901" spans="18:23" ht="15.75" customHeight="1" x14ac:dyDescent="0.3">
      <c r="R901" s="22"/>
      <c r="S901" s="22"/>
      <c r="U901" s="22"/>
      <c r="V901" s="22"/>
      <c r="W901" s="22"/>
    </row>
    <row r="902" spans="18:23" ht="15.75" customHeight="1" x14ac:dyDescent="0.3">
      <c r="R902" s="22"/>
      <c r="S902" s="22"/>
      <c r="U902" s="22"/>
      <c r="V902" s="22"/>
      <c r="W902" s="22"/>
    </row>
    <row r="903" spans="18:23" ht="15.75" customHeight="1" x14ac:dyDescent="0.3">
      <c r="R903" s="22"/>
      <c r="S903" s="22"/>
      <c r="U903" s="22"/>
      <c r="V903" s="22"/>
      <c r="W903" s="22"/>
    </row>
    <row r="904" spans="18:23" ht="15.75" customHeight="1" x14ac:dyDescent="0.3">
      <c r="R904" s="22"/>
      <c r="S904" s="22"/>
      <c r="U904" s="22"/>
      <c r="V904" s="22"/>
      <c r="W904" s="22"/>
    </row>
    <row r="905" spans="18:23" ht="15.75" customHeight="1" x14ac:dyDescent="0.3">
      <c r="R905" s="22"/>
      <c r="S905" s="22"/>
      <c r="U905" s="22"/>
      <c r="V905" s="22"/>
      <c r="W905" s="22"/>
    </row>
    <row r="906" spans="18:23" ht="15.75" customHeight="1" x14ac:dyDescent="0.3">
      <c r="R906" s="22"/>
      <c r="S906" s="22"/>
      <c r="U906" s="22"/>
      <c r="V906" s="22"/>
      <c r="W906" s="22"/>
    </row>
    <row r="907" spans="18:23" ht="15.75" customHeight="1" x14ac:dyDescent="0.3">
      <c r="R907" s="22"/>
      <c r="S907" s="22"/>
      <c r="U907" s="22"/>
      <c r="V907" s="22"/>
      <c r="W907" s="22"/>
    </row>
    <row r="908" spans="18:23" ht="15.75" customHeight="1" x14ac:dyDescent="0.3">
      <c r="R908" s="22"/>
      <c r="S908" s="22"/>
      <c r="U908" s="22"/>
      <c r="V908" s="22"/>
      <c r="W908" s="22"/>
    </row>
    <row r="909" spans="18:23" ht="15.75" customHeight="1" x14ac:dyDescent="0.3">
      <c r="R909" s="22"/>
      <c r="S909" s="22"/>
      <c r="U909" s="22"/>
      <c r="V909" s="22"/>
      <c r="W909" s="22"/>
    </row>
    <row r="910" spans="18:23" ht="15.75" customHeight="1" x14ac:dyDescent="0.3">
      <c r="R910" s="22"/>
      <c r="S910" s="22"/>
      <c r="U910" s="22"/>
      <c r="V910" s="22"/>
      <c r="W910" s="22"/>
    </row>
    <row r="911" spans="18:23" ht="15.75" customHeight="1" x14ac:dyDescent="0.3">
      <c r="R911" s="22"/>
      <c r="S911" s="22"/>
      <c r="U911" s="22"/>
      <c r="V911" s="22"/>
      <c r="W911" s="22"/>
    </row>
    <row r="912" spans="18:23" ht="15.75" customHeight="1" x14ac:dyDescent="0.3">
      <c r="R912" s="22"/>
      <c r="S912" s="22"/>
      <c r="U912" s="22"/>
      <c r="V912" s="22"/>
      <c r="W912" s="22"/>
    </row>
    <row r="913" spans="18:23" ht="15.75" customHeight="1" x14ac:dyDescent="0.3">
      <c r="R913" s="22"/>
      <c r="S913" s="22"/>
      <c r="U913" s="22"/>
      <c r="V913" s="22"/>
      <c r="W913" s="22"/>
    </row>
    <row r="914" spans="18:23" ht="15.75" customHeight="1" x14ac:dyDescent="0.3">
      <c r="R914" s="22"/>
      <c r="S914" s="22"/>
      <c r="U914" s="22"/>
      <c r="V914" s="22"/>
      <c r="W914" s="22"/>
    </row>
    <row r="915" spans="18:23" ht="15.75" customHeight="1" x14ac:dyDescent="0.3">
      <c r="R915" s="22"/>
      <c r="S915" s="22"/>
      <c r="U915" s="22"/>
      <c r="V915" s="22"/>
      <c r="W915" s="22"/>
    </row>
    <row r="916" spans="18:23" ht="15.75" customHeight="1" x14ac:dyDescent="0.3">
      <c r="R916" s="22"/>
      <c r="S916" s="22"/>
      <c r="U916" s="22"/>
      <c r="V916" s="22"/>
      <c r="W916" s="22"/>
    </row>
    <row r="917" spans="18:23" ht="15.75" customHeight="1" x14ac:dyDescent="0.3">
      <c r="R917" s="22"/>
      <c r="S917" s="22"/>
      <c r="U917" s="22"/>
      <c r="V917" s="22"/>
      <c r="W917" s="22"/>
    </row>
    <row r="918" spans="18:23" ht="15.75" customHeight="1" x14ac:dyDescent="0.3">
      <c r="R918" s="22"/>
      <c r="S918" s="22"/>
      <c r="U918" s="22"/>
      <c r="V918" s="22"/>
      <c r="W918" s="22"/>
    </row>
    <row r="919" spans="18:23" ht="15.75" customHeight="1" x14ac:dyDescent="0.3">
      <c r="R919" s="22"/>
      <c r="S919" s="22"/>
      <c r="U919" s="22"/>
      <c r="V919" s="22"/>
      <c r="W919" s="22"/>
    </row>
    <row r="920" spans="18:23" ht="15.75" customHeight="1" x14ac:dyDescent="0.3">
      <c r="R920" s="22"/>
      <c r="S920" s="22"/>
      <c r="U920" s="22"/>
      <c r="V920" s="22"/>
      <c r="W920" s="22"/>
    </row>
    <row r="921" spans="18:23" ht="15.75" customHeight="1" x14ac:dyDescent="0.3">
      <c r="R921" s="22"/>
      <c r="S921" s="22"/>
      <c r="U921" s="22"/>
      <c r="V921" s="22"/>
      <c r="W921" s="22"/>
    </row>
    <row r="922" spans="18:23" ht="15.75" customHeight="1" x14ac:dyDescent="0.3">
      <c r="R922" s="22"/>
      <c r="S922" s="22"/>
      <c r="U922" s="22"/>
      <c r="V922" s="22"/>
      <c r="W922" s="22"/>
    </row>
    <row r="923" spans="18:23" ht="15.75" customHeight="1" x14ac:dyDescent="0.3">
      <c r="R923" s="22"/>
      <c r="S923" s="22"/>
      <c r="U923" s="22"/>
      <c r="V923" s="22"/>
      <c r="W923" s="22"/>
    </row>
    <row r="924" spans="18:23" ht="15.75" customHeight="1" x14ac:dyDescent="0.3">
      <c r="R924" s="22"/>
      <c r="S924" s="22"/>
      <c r="U924" s="22"/>
      <c r="V924" s="22"/>
      <c r="W924" s="22"/>
    </row>
    <row r="925" spans="18:23" ht="15.75" customHeight="1" x14ac:dyDescent="0.3">
      <c r="R925" s="22"/>
      <c r="S925" s="22"/>
      <c r="U925" s="22"/>
      <c r="V925" s="22"/>
      <c r="W925" s="22"/>
    </row>
    <row r="926" spans="18:23" ht="15.75" customHeight="1" x14ac:dyDescent="0.3">
      <c r="R926" s="22"/>
      <c r="S926" s="22"/>
      <c r="U926" s="22"/>
      <c r="V926" s="22"/>
      <c r="W926" s="22"/>
    </row>
    <row r="927" spans="18:23" ht="15.75" customHeight="1" x14ac:dyDescent="0.3">
      <c r="R927" s="22"/>
      <c r="S927" s="22"/>
      <c r="U927" s="22"/>
      <c r="V927" s="22"/>
      <c r="W927" s="22"/>
    </row>
    <row r="928" spans="18:23" ht="15.75" customHeight="1" x14ac:dyDescent="0.3">
      <c r="R928" s="22"/>
      <c r="S928" s="22"/>
      <c r="U928" s="22"/>
      <c r="V928" s="22"/>
      <c r="W928" s="22"/>
    </row>
    <row r="929" spans="18:23" ht="15.75" customHeight="1" x14ac:dyDescent="0.3">
      <c r="R929" s="22"/>
      <c r="S929" s="22"/>
      <c r="U929" s="22"/>
      <c r="V929" s="22"/>
      <c r="W929" s="22"/>
    </row>
    <row r="930" spans="18:23" ht="15.75" customHeight="1" x14ac:dyDescent="0.3">
      <c r="R930" s="22"/>
      <c r="S930" s="22"/>
      <c r="U930" s="22"/>
      <c r="V930" s="22"/>
      <c r="W930" s="22"/>
    </row>
    <row r="931" spans="18:23" ht="15.75" customHeight="1" x14ac:dyDescent="0.3">
      <c r="R931" s="22"/>
      <c r="S931" s="22"/>
      <c r="U931" s="22"/>
      <c r="V931" s="22"/>
      <c r="W931" s="22"/>
    </row>
    <row r="932" spans="18:23" ht="15.75" customHeight="1" x14ac:dyDescent="0.3">
      <c r="R932" s="22"/>
      <c r="S932" s="22"/>
      <c r="U932" s="22"/>
      <c r="V932" s="22"/>
      <c r="W932" s="22"/>
    </row>
    <row r="933" spans="18:23" ht="15.75" customHeight="1" x14ac:dyDescent="0.3">
      <c r="R933" s="22"/>
      <c r="S933" s="22"/>
      <c r="U933" s="22"/>
      <c r="V933" s="22"/>
      <c r="W933" s="22"/>
    </row>
    <row r="934" spans="18:23" ht="15.75" customHeight="1" x14ac:dyDescent="0.3">
      <c r="R934" s="22"/>
      <c r="S934" s="22"/>
      <c r="U934" s="22"/>
      <c r="V934" s="22"/>
      <c r="W934" s="22"/>
    </row>
    <row r="935" spans="18:23" ht="15.75" customHeight="1" x14ac:dyDescent="0.3">
      <c r="R935" s="22"/>
      <c r="S935" s="22"/>
      <c r="U935" s="22"/>
      <c r="V935" s="22"/>
      <c r="W935" s="22"/>
    </row>
    <row r="936" spans="18:23" ht="15.75" customHeight="1" x14ac:dyDescent="0.3">
      <c r="R936" s="22"/>
      <c r="S936" s="22"/>
      <c r="U936" s="22"/>
      <c r="V936" s="22"/>
      <c r="W936" s="22"/>
    </row>
    <row r="937" spans="18:23" ht="15.75" customHeight="1" x14ac:dyDescent="0.3">
      <c r="R937" s="22"/>
      <c r="S937" s="22"/>
      <c r="U937" s="22"/>
      <c r="V937" s="22"/>
      <c r="W937" s="22"/>
    </row>
    <row r="938" spans="18:23" ht="15.75" customHeight="1" x14ac:dyDescent="0.3">
      <c r="R938" s="22"/>
      <c r="S938" s="22"/>
      <c r="U938" s="22"/>
      <c r="V938" s="22"/>
      <c r="W938" s="22"/>
    </row>
    <row r="939" spans="18:23" ht="15.75" customHeight="1" x14ac:dyDescent="0.3">
      <c r="R939" s="22"/>
      <c r="S939" s="22"/>
      <c r="U939" s="22"/>
      <c r="V939" s="22"/>
      <c r="W939" s="22"/>
    </row>
    <row r="940" spans="18:23" ht="15.75" customHeight="1" x14ac:dyDescent="0.3">
      <c r="R940" s="22"/>
      <c r="S940" s="22"/>
      <c r="U940" s="22"/>
      <c r="V940" s="22"/>
      <c r="W940" s="22"/>
    </row>
    <row r="941" spans="18:23" ht="15.75" customHeight="1" x14ac:dyDescent="0.3">
      <c r="R941" s="22"/>
      <c r="S941" s="22"/>
      <c r="U941" s="22"/>
      <c r="V941" s="22"/>
      <c r="W941" s="22"/>
    </row>
    <row r="942" spans="18:23" ht="15.75" customHeight="1" x14ac:dyDescent="0.3">
      <c r="R942" s="22"/>
      <c r="S942" s="22"/>
      <c r="U942" s="22"/>
      <c r="V942" s="22"/>
      <c r="W942" s="22"/>
    </row>
    <row r="943" spans="18:23" ht="15.75" customHeight="1" x14ac:dyDescent="0.3">
      <c r="R943" s="22"/>
      <c r="S943" s="22"/>
      <c r="U943" s="22"/>
      <c r="V943" s="22"/>
      <c r="W943" s="22"/>
    </row>
    <row r="944" spans="18:23" ht="15.75" customHeight="1" x14ac:dyDescent="0.3">
      <c r="R944" s="22"/>
      <c r="S944" s="22"/>
      <c r="U944" s="22"/>
      <c r="V944" s="22"/>
      <c r="W944" s="22"/>
    </row>
    <row r="945" spans="18:23" ht="15.75" customHeight="1" x14ac:dyDescent="0.3">
      <c r="R945" s="22"/>
      <c r="S945" s="22"/>
      <c r="U945" s="22"/>
      <c r="V945" s="22"/>
      <c r="W945" s="22"/>
    </row>
    <row r="946" spans="18:23" ht="15.75" customHeight="1" x14ac:dyDescent="0.3">
      <c r="R946" s="22"/>
      <c r="S946" s="22"/>
      <c r="U946" s="22"/>
      <c r="V946" s="22"/>
      <c r="W946" s="22"/>
    </row>
    <row r="947" spans="18:23" ht="15.75" customHeight="1" x14ac:dyDescent="0.3">
      <c r="R947" s="22"/>
      <c r="S947" s="22"/>
      <c r="U947" s="22"/>
      <c r="V947" s="22"/>
      <c r="W947" s="22"/>
    </row>
    <row r="948" spans="18:23" ht="15.75" customHeight="1" x14ac:dyDescent="0.3">
      <c r="R948" s="22"/>
      <c r="S948" s="22"/>
      <c r="U948" s="22"/>
      <c r="V948" s="22"/>
      <c r="W948" s="22"/>
    </row>
    <row r="949" spans="18:23" ht="15.75" customHeight="1" x14ac:dyDescent="0.3">
      <c r="R949" s="22"/>
      <c r="S949" s="22"/>
      <c r="U949" s="22"/>
      <c r="V949" s="22"/>
      <c r="W949" s="22"/>
    </row>
    <row r="950" spans="18:23" ht="15.75" customHeight="1" x14ac:dyDescent="0.3">
      <c r="R950" s="22"/>
      <c r="S950" s="22"/>
      <c r="U950" s="22"/>
      <c r="V950" s="22"/>
      <c r="W950" s="22"/>
    </row>
    <row r="951" spans="18:23" ht="15.75" customHeight="1" x14ac:dyDescent="0.3">
      <c r="R951" s="22"/>
      <c r="S951" s="22"/>
      <c r="U951" s="22"/>
      <c r="V951" s="22"/>
      <c r="W951" s="22"/>
    </row>
    <row r="952" spans="18:23" ht="15.75" customHeight="1" x14ac:dyDescent="0.3">
      <c r="R952" s="22"/>
      <c r="S952" s="22"/>
      <c r="U952" s="22"/>
      <c r="V952" s="22"/>
      <c r="W952" s="22"/>
    </row>
    <row r="953" spans="18:23" ht="15.75" customHeight="1" x14ac:dyDescent="0.3">
      <c r="R953" s="22"/>
      <c r="S953" s="22"/>
      <c r="U953" s="22"/>
      <c r="V953" s="22"/>
      <c r="W953" s="22"/>
    </row>
    <row r="954" spans="18:23" ht="15.75" customHeight="1" x14ac:dyDescent="0.3">
      <c r="R954" s="22"/>
      <c r="S954" s="22"/>
      <c r="U954" s="22"/>
      <c r="V954" s="22"/>
      <c r="W954" s="22"/>
    </row>
    <row r="955" spans="18:23" ht="15.75" customHeight="1" x14ac:dyDescent="0.3">
      <c r="R955" s="22"/>
      <c r="S955" s="22"/>
      <c r="U955" s="22"/>
      <c r="V955" s="22"/>
      <c r="W955" s="22"/>
    </row>
    <row r="956" spans="18:23" ht="15.75" customHeight="1" x14ac:dyDescent="0.3">
      <c r="R956" s="22"/>
      <c r="S956" s="22"/>
      <c r="U956" s="22"/>
      <c r="V956" s="22"/>
      <c r="W956" s="22"/>
    </row>
    <row r="957" spans="18:23" ht="15.75" customHeight="1" x14ac:dyDescent="0.3">
      <c r="R957" s="22"/>
      <c r="S957" s="22"/>
      <c r="U957" s="22"/>
      <c r="V957" s="22"/>
      <c r="W957" s="22"/>
    </row>
    <row r="958" spans="18:23" ht="15.75" customHeight="1" x14ac:dyDescent="0.3">
      <c r="R958" s="22"/>
      <c r="S958" s="22"/>
      <c r="U958" s="22"/>
      <c r="V958" s="22"/>
      <c r="W958" s="22"/>
    </row>
    <row r="959" spans="18:23" ht="15.75" customHeight="1" x14ac:dyDescent="0.3">
      <c r="R959" s="22"/>
      <c r="S959" s="22"/>
      <c r="U959" s="22"/>
      <c r="V959" s="22"/>
      <c r="W959" s="22"/>
    </row>
    <row r="960" spans="18:23" ht="15.75" customHeight="1" x14ac:dyDescent="0.3">
      <c r="R960" s="22"/>
      <c r="S960" s="22"/>
      <c r="U960" s="22"/>
      <c r="V960" s="22"/>
      <c r="W960" s="22"/>
    </row>
    <row r="961" spans="18:23" ht="15.75" customHeight="1" x14ac:dyDescent="0.3">
      <c r="R961" s="22"/>
      <c r="S961" s="22"/>
      <c r="U961" s="22"/>
      <c r="V961" s="22"/>
      <c r="W961" s="22"/>
    </row>
    <row r="962" spans="18:23" ht="15.75" customHeight="1" x14ac:dyDescent="0.3">
      <c r="R962" s="22"/>
      <c r="S962" s="22"/>
      <c r="U962" s="22"/>
      <c r="V962" s="22"/>
      <c r="W962" s="22"/>
    </row>
    <row r="963" spans="18:23" ht="15.75" customHeight="1" x14ac:dyDescent="0.3">
      <c r="R963" s="22"/>
      <c r="S963" s="22"/>
      <c r="U963" s="22"/>
      <c r="V963" s="22"/>
      <c r="W963" s="22"/>
    </row>
    <row r="964" spans="18:23" ht="15.75" customHeight="1" x14ac:dyDescent="0.3">
      <c r="R964" s="22"/>
      <c r="S964" s="22"/>
      <c r="U964" s="22"/>
      <c r="V964" s="22"/>
      <c r="W964" s="22"/>
    </row>
    <row r="965" spans="18:23" ht="15.75" customHeight="1" x14ac:dyDescent="0.3">
      <c r="R965" s="22"/>
      <c r="S965" s="22"/>
      <c r="U965" s="22"/>
      <c r="V965" s="22"/>
      <c r="W965" s="22"/>
    </row>
    <row r="966" spans="18:23" ht="15.75" customHeight="1" x14ac:dyDescent="0.3">
      <c r="R966" s="22"/>
      <c r="S966" s="22"/>
      <c r="U966" s="22"/>
      <c r="V966" s="22"/>
      <c r="W966" s="22"/>
    </row>
    <row r="967" spans="18:23" ht="15.75" customHeight="1" x14ac:dyDescent="0.3">
      <c r="R967" s="22"/>
      <c r="S967" s="22"/>
      <c r="U967" s="22"/>
      <c r="V967" s="22"/>
      <c r="W967" s="22"/>
    </row>
    <row r="968" spans="18:23" ht="15.75" customHeight="1" x14ac:dyDescent="0.3">
      <c r="R968" s="22"/>
      <c r="S968" s="22"/>
      <c r="U968" s="22"/>
      <c r="V968" s="22"/>
      <c r="W968" s="22"/>
    </row>
    <row r="969" spans="18:23" ht="15.75" customHeight="1" x14ac:dyDescent="0.3">
      <c r="R969" s="22"/>
      <c r="S969" s="22"/>
      <c r="U969" s="22"/>
      <c r="V969" s="22"/>
      <c r="W969" s="22"/>
    </row>
    <row r="970" spans="18:23" ht="15.75" customHeight="1" x14ac:dyDescent="0.3">
      <c r="R970" s="22"/>
      <c r="S970" s="22"/>
      <c r="U970" s="22"/>
      <c r="V970" s="22"/>
      <c r="W970" s="22"/>
    </row>
    <row r="971" spans="18:23" ht="15.75" customHeight="1" x14ac:dyDescent="0.3">
      <c r="R971" s="22"/>
      <c r="S971" s="22"/>
      <c r="U971" s="22"/>
      <c r="V971" s="22"/>
      <c r="W971" s="22"/>
    </row>
    <row r="972" spans="18:23" ht="15.75" customHeight="1" x14ac:dyDescent="0.3">
      <c r="R972" s="22"/>
      <c r="S972" s="22"/>
      <c r="U972" s="22"/>
      <c r="V972" s="22"/>
      <c r="W972" s="22"/>
    </row>
    <row r="973" spans="18:23" ht="15.75" customHeight="1" x14ac:dyDescent="0.3">
      <c r="R973" s="22"/>
      <c r="S973" s="22"/>
      <c r="U973" s="22"/>
      <c r="V973" s="22"/>
      <c r="W973" s="22"/>
    </row>
    <row r="974" spans="18:23" ht="15.75" customHeight="1" x14ac:dyDescent="0.3">
      <c r="R974" s="22"/>
      <c r="S974" s="22"/>
      <c r="U974" s="22"/>
      <c r="V974" s="22"/>
      <c r="W974" s="22"/>
    </row>
    <row r="975" spans="18:23" ht="15.75" customHeight="1" x14ac:dyDescent="0.3">
      <c r="R975" s="22"/>
      <c r="S975" s="22"/>
      <c r="U975" s="22"/>
      <c r="V975" s="22"/>
      <c r="W975" s="22"/>
    </row>
    <row r="976" spans="18:23" ht="15.75" customHeight="1" x14ac:dyDescent="0.3">
      <c r="R976" s="22"/>
      <c r="S976" s="22"/>
      <c r="U976" s="22"/>
      <c r="V976" s="22"/>
      <c r="W976" s="22"/>
    </row>
    <row r="977" spans="18:23" ht="15.75" customHeight="1" x14ac:dyDescent="0.3">
      <c r="R977" s="22"/>
      <c r="S977" s="22"/>
      <c r="U977" s="22"/>
      <c r="V977" s="22"/>
      <c r="W977" s="22"/>
    </row>
    <row r="978" spans="18:23" ht="15.75" customHeight="1" x14ac:dyDescent="0.3">
      <c r="R978" s="22"/>
      <c r="S978" s="22"/>
      <c r="U978" s="22"/>
      <c r="V978" s="22"/>
      <c r="W978" s="22"/>
    </row>
    <row r="979" spans="18:23" ht="15.75" customHeight="1" x14ac:dyDescent="0.3">
      <c r="R979" s="22"/>
      <c r="S979" s="22"/>
      <c r="U979" s="22"/>
      <c r="V979" s="22"/>
      <c r="W979" s="22"/>
    </row>
    <row r="980" spans="18:23" ht="15.75" customHeight="1" x14ac:dyDescent="0.3">
      <c r="R980" s="22"/>
      <c r="S980" s="22"/>
      <c r="U980" s="22"/>
      <c r="V980" s="22"/>
      <c r="W980" s="22"/>
    </row>
    <row r="981" spans="18:23" ht="15.75" customHeight="1" x14ac:dyDescent="0.3">
      <c r="R981" s="22"/>
      <c r="S981" s="22"/>
      <c r="U981" s="22"/>
      <c r="V981" s="22"/>
      <c r="W981" s="22"/>
    </row>
    <row r="982" spans="18:23" ht="15.75" customHeight="1" x14ac:dyDescent="0.3">
      <c r="R982" s="22"/>
      <c r="S982" s="22"/>
      <c r="U982" s="22"/>
      <c r="V982" s="22"/>
      <c r="W982" s="22"/>
    </row>
    <row r="983" spans="18:23" ht="15.75" customHeight="1" x14ac:dyDescent="0.3">
      <c r="R983" s="22"/>
      <c r="S983" s="22"/>
      <c r="U983" s="22"/>
      <c r="V983" s="22"/>
      <c r="W983" s="22"/>
    </row>
    <row r="984" spans="18:23" ht="15.75" customHeight="1" x14ac:dyDescent="0.3">
      <c r="R984" s="22"/>
      <c r="S984" s="22"/>
      <c r="U984" s="22"/>
      <c r="V984" s="22"/>
      <c r="W984" s="22"/>
    </row>
    <row r="985" spans="18:23" ht="15.75" customHeight="1" x14ac:dyDescent="0.3">
      <c r="R985" s="22"/>
      <c r="S985" s="22"/>
      <c r="U985" s="22"/>
      <c r="V985" s="22"/>
      <c r="W985" s="22"/>
    </row>
    <row r="986" spans="18:23" ht="15.75" customHeight="1" x14ac:dyDescent="0.3">
      <c r="R986" s="22"/>
      <c r="S986" s="22"/>
      <c r="U986" s="22"/>
      <c r="V986" s="22"/>
      <c r="W986" s="22"/>
    </row>
    <row r="987" spans="18:23" ht="15.75" customHeight="1" x14ac:dyDescent="0.3">
      <c r="R987" s="22"/>
      <c r="S987" s="22"/>
      <c r="U987" s="22"/>
      <c r="V987" s="22"/>
      <c r="W987" s="22"/>
    </row>
    <row r="988" spans="18:23" ht="15.75" customHeight="1" x14ac:dyDescent="0.3">
      <c r="R988" s="22"/>
      <c r="S988" s="22"/>
      <c r="U988" s="22"/>
      <c r="V988" s="22"/>
      <c r="W988" s="22"/>
    </row>
    <row r="989" spans="18:23" ht="15.75" customHeight="1" x14ac:dyDescent="0.3">
      <c r="R989" s="22"/>
      <c r="S989" s="22"/>
      <c r="U989" s="22"/>
      <c r="V989" s="22"/>
      <c r="W989" s="22"/>
    </row>
    <row r="990" spans="18:23" ht="15.75" customHeight="1" x14ac:dyDescent="0.3">
      <c r="R990" s="22"/>
      <c r="S990" s="22"/>
      <c r="U990" s="22"/>
      <c r="V990" s="22"/>
      <c r="W990" s="22"/>
    </row>
    <row r="991" spans="18:23" ht="15.75" customHeight="1" x14ac:dyDescent="0.3">
      <c r="R991" s="22"/>
      <c r="S991" s="22"/>
      <c r="U991" s="22"/>
      <c r="V991" s="22"/>
      <c r="W991" s="22"/>
    </row>
    <row r="992" spans="18:23" ht="15.75" customHeight="1" x14ac:dyDescent="0.3">
      <c r="R992" s="22"/>
      <c r="S992" s="22"/>
      <c r="U992" s="22"/>
      <c r="V992" s="22"/>
      <c r="W992" s="22"/>
    </row>
    <row r="993" spans="18:23" ht="15.75" customHeight="1" x14ac:dyDescent="0.3">
      <c r="R993" s="22"/>
      <c r="S993" s="22"/>
      <c r="U993" s="22"/>
      <c r="V993" s="22"/>
      <c r="W993" s="22"/>
    </row>
    <row r="994" spans="18:23" ht="15.75" customHeight="1" x14ac:dyDescent="0.3">
      <c r="R994" s="22"/>
      <c r="S994" s="22"/>
      <c r="U994" s="22"/>
      <c r="V994" s="22"/>
      <c r="W994" s="22"/>
    </row>
    <row r="995" spans="18:23" ht="15.75" customHeight="1" x14ac:dyDescent="0.3">
      <c r="R995" s="22"/>
      <c r="S995" s="22"/>
      <c r="U995" s="22"/>
      <c r="V995" s="22"/>
      <c r="W995" s="22"/>
    </row>
    <row r="996" spans="18:23" ht="15.75" customHeight="1" x14ac:dyDescent="0.3">
      <c r="R996" s="22"/>
      <c r="S996" s="22"/>
      <c r="U996" s="22"/>
      <c r="V996" s="22"/>
      <c r="W996" s="22"/>
    </row>
    <row r="997" spans="18:23" ht="15.75" customHeight="1" x14ac:dyDescent="0.3">
      <c r="R997" s="22"/>
      <c r="S997" s="22"/>
      <c r="U997" s="22"/>
      <c r="V997" s="22"/>
      <c r="W997" s="22"/>
    </row>
    <row r="998" spans="18:23" ht="15.75" customHeight="1" x14ac:dyDescent="0.3">
      <c r="R998" s="22"/>
      <c r="S998" s="22"/>
      <c r="U998" s="22"/>
      <c r="V998" s="22"/>
      <c r="W998" s="22"/>
    </row>
    <row r="999" spans="18:23" ht="15.75" customHeight="1" x14ac:dyDescent="0.3">
      <c r="R999" s="22"/>
      <c r="S999" s="22"/>
      <c r="U999" s="22"/>
      <c r="V999" s="22"/>
      <c r="W999" s="22"/>
    </row>
    <row r="1000" spans="18:23" ht="15.75" customHeight="1" x14ac:dyDescent="0.3">
      <c r="R1000" s="22"/>
      <c r="S1000" s="22"/>
      <c r="U1000" s="22"/>
      <c r="V1000" s="22"/>
      <c r="W1000" s="22"/>
    </row>
  </sheetData>
  <mergeCells count="29">
    <mergeCell ref="L118:L128"/>
    <mergeCell ref="B129:B130"/>
    <mergeCell ref="L129:L130"/>
    <mergeCell ref="B92:B101"/>
    <mergeCell ref="B102:B107"/>
    <mergeCell ref="B109:B117"/>
    <mergeCell ref="B118:B128"/>
    <mergeCell ref="B30:B34"/>
    <mergeCell ref="B36:B40"/>
    <mergeCell ref="B42:B46"/>
    <mergeCell ref="L102:L108"/>
    <mergeCell ref="L109:L117"/>
    <mergeCell ref="L92:L101"/>
    <mergeCell ref="W6:X6"/>
    <mergeCell ref="B72:B91"/>
    <mergeCell ref="L72:L91"/>
    <mergeCell ref="N6:N7"/>
    <mergeCell ref="S6:T6"/>
    <mergeCell ref="U6:V6"/>
    <mergeCell ref="B6:B7"/>
    <mergeCell ref="B50:B51"/>
    <mergeCell ref="L50:L51"/>
    <mergeCell ref="B8:B17"/>
    <mergeCell ref="L52:L71"/>
    <mergeCell ref="B18:B24"/>
    <mergeCell ref="B25:B29"/>
    <mergeCell ref="B52:B71"/>
    <mergeCell ref="N41:Q41"/>
    <mergeCell ref="S41:V41"/>
  </mergeCells>
  <pageMargins left="0.511811024" right="0.511811024" top="0.78740157499999996" bottom="0.78740157499999996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U1000"/>
  <sheetViews>
    <sheetView topLeftCell="E4" zoomScale="70" zoomScaleNormal="70" workbookViewId="0">
      <selection activeCell="O57" sqref="O57"/>
    </sheetView>
  </sheetViews>
  <sheetFormatPr defaultColWidth="14.44140625" defaultRowHeight="15" customHeight="1" x14ac:dyDescent="0.3"/>
  <cols>
    <col min="1" max="1" width="8.6640625" customWidth="1"/>
    <col min="2" max="2" width="14.5546875" customWidth="1"/>
    <col min="3" max="3" width="15.44140625" customWidth="1"/>
    <col min="4" max="4" width="8.6640625" customWidth="1"/>
    <col min="5" max="5" width="11.44140625" bestFit="1" customWidth="1"/>
    <col min="6" max="6" width="11" customWidth="1"/>
    <col min="7" max="9" width="8.6640625" customWidth="1"/>
    <col min="10" max="10" width="11.5546875" customWidth="1"/>
    <col min="11" max="11" width="10.109375" bestFit="1" customWidth="1"/>
    <col min="12" max="12" width="10.109375" customWidth="1"/>
    <col min="13" max="13" width="9.5546875" customWidth="1"/>
    <col min="14" max="14" width="22.44140625" customWidth="1"/>
    <col min="15" max="15" width="23.6640625" bestFit="1" customWidth="1"/>
    <col min="16" max="16" width="28.21875" bestFit="1" customWidth="1"/>
    <col min="17" max="17" width="10" customWidth="1"/>
    <col min="18" max="23" width="8.6640625" customWidth="1"/>
    <col min="24" max="24" width="14.5546875" customWidth="1"/>
    <col min="25" max="25" width="5.5546875" customWidth="1"/>
    <col min="26" max="26" width="7.88671875" customWidth="1"/>
    <col min="27" max="27" width="11.109375" customWidth="1"/>
    <col min="28" max="28" width="7.109375" customWidth="1"/>
    <col min="29" max="30" width="8.6640625" customWidth="1"/>
  </cols>
  <sheetData>
    <row r="2" spans="2:21" ht="14.4" x14ac:dyDescent="0.3"/>
    <row r="3" spans="2:21" ht="14.4" x14ac:dyDescent="0.3"/>
    <row r="4" spans="2:21" ht="9" customHeight="1" x14ac:dyDescent="0.3"/>
    <row r="5" spans="2:21" ht="19.8" customHeight="1" x14ac:dyDescent="0.3">
      <c r="B5" s="2"/>
      <c r="C5" s="2"/>
      <c r="D5" s="277" t="s">
        <v>363</v>
      </c>
      <c r="E5" s="278"/>
      <c r="F5" s="278"/>
      <c r="G5" s="279"/>
      <c r="H5" s="2"/>
      <c r="I5" s="2"/>
      <c r="J5" s="2"/>
      <c r="K5" s="2"/>
      <c r="L5" s="283" t="s">
        <v>371</v>
      </c>
      <c r="M5" s="284"/>
      <c r="N5" s="257" t="s">
        <v>372</v>
      </c>
      <c r="O5" s="268" t="s">
        <v>373</v>
      </c>
      <c r="P5" s="257" t="s">
        <v>374</v>
      </c>
      <c r="Q5" s="2"/>
      <c r="R5" s="2"/>
      <c r="S5" s="2"/>
      <c r="T5" s="2"/>
      <c r="U5" s="2"/>
    </row>
    <row r="6" spans="2:21" ht="14.4" x14ac:dyDescent="0.3">
      <c r="B6" s="2"/>
      <c r="C6" s="2"/>
      <c r="D6" s="280"/>
      <c r="E6" s="281"/>
      <c r="F6" s="281"/>
      <c r="G6" s="282"/>
      <c r="H6" s="2"/>
      <c r="I6" s="2"/>
      <c r="J6" s="2"/>
      <c r="K6" s="2"/>
      <c r="L6" s="285"/>
      <c r="M6" s="286"/>
      <c r="N6" s="275"/>
      <c r="O6" s="276"/>
      <c r="P6" s="275"/>
      <c r="Q6" s="2"/>
      <c r="R6" s="2"/>
      <c r="S6" s="2"/>
      <c r="T6" s="2"/>
      <c r="U6" s="2"/>
    </row>
    <row r="7" spans="2:21" ht="14.4" x14ac:dyDescent="0.3">
      <c r="B7" s="165"/>
      <c r="C7" s="163" t="s">
        <v>155</v>
      </c>
      <c r="D7" s="49" t="s">
        <v>375</v>
      </c>
      <c r="E7" s="49" t="s">
        <v>369</v>
      </c>
      <c r="F7" s="49" t="s">
        <v>376</v>
      </c>
      <c r="G7" s="49" t="s">
        <v>168</v>
      </c>
      <c r="H7" s="49" t="s">
        <v>377</v>
      </c>
      <c r="I7" s="49" t="s">
        <v>123</v>
      </c>
      <c r="J7" s="49" t="s">
        <v>378</v>
      </c>
      <c r="K7" s="49" t="s">
        <v>182</v>
      </c>
      <c r="L7" s="49" t="s">
        <v>379</v>
      </c>
      <c r="M7" s="49" t="s">
        <v>64</v>
      </c>
      <c r="N7" s="49" t="s">
        <v>380</v>
      </c>
      <c r="O7" s="49" t="s">
        <v>381</v>
      </c>
      <c r="P7" s="49" t="s">
        <v>382</v>
      </c>
      <c r="Q7" s="49" t="s">
        <v>383</v>
      </c>
      <c r="R7" s="49" t="s">
        <v>384</v>
      </c>
      <c r="S7" s="49" t="s">
        <v>385</v>
      </c>
      <c r="T7" s="49" t="s">
        <v>386</v>
      </c>
      <c r="U7" s="2"/>
    </row>
    <row r="8" spans="2:21" ht="14.4" x14ac:dyDescent="0.3">
      <c r="B8" s="167"/>
      <c r="C8" s="164" t="s">
        <v>164</v>
      </c>
      <c r="D8" s="137" t="s">
        <v>30</v>
      </c>
      <c r="E8" s="137" t="s">
        <v>30</v>
      </c>
      <c r="F8" s="137" t="s">
        <v>30</v>
      </c>
      <c r="G8" s="137" t="s">
        <v>30</v>
      </c>
      <c r="H8" s="137" t="s">
        <v>15</v>
      </c>
      <c r="I8" s="137" t="s">
        <v>15</v>
      </c>
      <c r="J8" s="137" t="s">
        <v>15</v>
      </c>
      <c r="K8" s="137" t="s">
        <v>3</v>
      </c>
      <c r="L8" s="137" t="s">
        <v>387</v>
      </c>
      <c r="M8" s="137" t="s">
        <v>15</v>
      </c>
      <c r="N8" s="137" t="s">
        <v>387</v>
      </c>
      <c r="O8" s="137" t="s">
        <v>387</v>
      </c>
      <c r="P8" s="137" t="s">
        <v>387</v>
      </c>
      <c r="Q8" s="137" t="s">
        <v>3</v>
      </c>
      <c r="R8" s="137" t="s">
        <v>3</v>
      </c>
      <c r="S8" s="137" t="s">
        <v>3</v>
      </c>
      <c r="T8" s="137" t="s">
        <v>3</v>
      </c>
      <c r="U8" s="2"/>
    </row>
    <row r="9" spans="2:21" ht="14.4" customHeight="1" x14ac:dyDescent="0.3">
      <c r="B9" s="166" t="s">
        <v>286</v>
      </c>
      <c r="C9" s="1">
        <v>1</v>
      </c>
      <c r="D9" s="4">
        <f>'Bottom structures'!Q6</f>
        <v>18</v>
      </c>
      <c r="E9" s="4">
        <v>15</v>
      </c>
      <c r="F9" s="4">
        <f t="shared" ref="F9:F47" si="0">IF(D9&gt;=E9,0,E9-D9)</f>
        <v>0</v>
      </c>
      <c r="G9" s="4">
        <f>'Material Proprieties'!N6</f>
        <v>1</v>
      </c>
      <c r="H9" s="4">
        <v>0.9</v>
      </c>
      <c r="I9" s="39">
        <f t="shared" ref="I9:I47" si="1">8.4/(J9+1.1)</f>
        <v>4</v>
      </c>
      <c r="J9" s="4">
        <v>1</v>
      </c>
      <c r="K9" s="4">
        <f>'Bottom structures'!Q12</f>
        <v>0.75</v>
      </c>
      <c r="L9" s="31">
        <f t="shared" ref="L9:L47" si="2">0.9*I9*$K$50*(((E9-G9)/(1000*K9))^2)</f>
        <v>258.40640000000008</v>
      </c>
      <c r="M9" s="4">
        <f>'Bottom structures'!N6</f>
        <v>1.39</v>
      </c>
      <c r="N9" s="4">
        <f>IF(M9='Material Proprieties'!$E$5,'Material Proprieties'!$C$5,IF(M9='Material Proprieties'!$E$6,'Material Proprieties'!$C$6,IF(M9='Material Proprieties'!$E$7,'Material Proprieties'!$C$7,IF(M9='Material Proprieties'!$E$8,'Material Proprieties'!$C$8,IF(M9='Material Proprieties'!$E$9,'Material Proprieties'!$C$9,0)))))</f>
        <v>355</v>
      </c>
      <c r="O9" s="30">
        <f t="shared" ref="O9:O47" si="3">IF(N9/2&gt;=L9,L9,N9*(1-N9/(4*L9)))</f>
        <v>233.07480774469985</v>
      </c>
      <c r="P9" s="30">
        <f t="shared" ref="P9:P47" si="4">($K$53+$K$54)*(R9-S9)*10^5/($K$52*10^8)</f>
        <v>162.25487331564142</v>
      </c>
      <c r="Q9" s="4">
        <f>'Neutral Axis Correction'!H8</f>
        <v>1.7999999999999999E-2</v>
      </c>
      <c r="R9" s="39">
        <f t="shared" ref="R9:R47" si="5">IF(Q9&lt;=$K$51,$K$51,T9)</f>
        <v>7.5571599071246149</v>
      </c>
      <c r="S9" s="4">
        <f>F71/1000</f>
        <v>1.6E-2</v>
      </c>
      <c r="T9" s="39">
        <f t="shared" ref="T9:T47" si="6">D-$K$51</f>
        <v>10.542840092875387</v>
      </c>
      <c r="U9" s="4" t="str">
        <f t="shared" ref="U9:U47" si="7">IF(O9&gt;=P9/H9,"OK","NOT OK")</f>
        <v>OK</v>
      </c>
    </row>
    <row r="10" spans="2:21" ht="14.4" x14ac:dyDescent="0.3">
      <c r="B10" s="169"/>
      <c r="C10" s="1">
        <v>2</v>
      </c>
      <c r="D10" s="31">
        <f>'Bottom structures'!M12</f>
        <v>15</v>
      </c>
      <c r="E10" s="4">
        <v>15</v>
      </c>
      <c r="F10" s="4">
        <f t="shared" si="0"/>
        <v>0</v>
      </c>
      <c r="G10" s="4">
        <f>'Material Proprieties'!N7</f>
        <v>1</v>
      </c>
      <c r="H10" s="4">
        <v>0.9</v>
      </c>
      <c r="I10" s="39">
        <f t="shared" si="1"/>
        <v>4</v>
      </c>
      <c r="J10" s="4">
        <v>1</v>
      </c>
      <c r="K10" s="4">
        <f>'Bottom structures'!Q12</f>
        <v>0.75</v>
      </c>
      <c r="L10" s="31">
        <f t="shared" si="2"/>
        <v>258.40640000000008</v>
      </c>
      <c r="M10" s="4">
        <f>'Bottom structures'!AC12</f>
        <v>1.39</v>
      </c>
      <c r="N10" s="4">
        <f>IF(M10='Material Proprieties'!$E$5,'Material Proprieties'!$C$5,IF(M10='Material Proprieties'!$E$6,'Material Proprieties'!$C$6,IF(M10='Material Proprieties'!$E$7,'Material Proprieties'!$C$7,IF(M10='Material Proprieties'!$E$8,'Material Proprieties'!$C$8,IF(M10='Material Proprieties'!$E$9,'Material Proprieties'!$C$9,0)))))</f>
        <v>355</v>
      </c>
      <c r="O10" s="30">
        <f t="shared" si="3"/>
        <v>233.07480774469985</v>
      </c>
      <c r="P10" s="30">
        <f t="shared" si="4"/>
        <v>162.27638921973497</v>
      </c>
      <c r="Q10" s="9">
        <f>'Neutral Axis Correction'!H9</f>
        <v>1.4999999999999999E-2</v>
      </c>
      <c r="R10" s="39">
        <f t="shared" si="5"/>
        <v>7.5571599071246149</v>
      </c>
      <c r="S10" s="9">
        <f t="shared" ref="S10:S47" si="8">IF(Q10&lt;=$K$51,Q10,IF(Q10&lt;=D,D-Q10,Q10-D))</f>
        <v>1.4999999999999999E-2</v>
      </c>
      <c r="T10" s="39">
        <f t="shared" si="6"/>
        <v>10.542840092875387</v>
      </c>
      <c r="U10" s="4" t="str">
        <f t="shared" si="7"/>
        <v>OK</v>
      </c>
    </row>
    <row r="11" spans="2:21" ht="14.4" x14ac:dyDescent="0.3">
      <c r="B11" s="169"/>
      <c r="C11" s="1">
        <v>3</v>
      </c>
      <c r="D11" s="31">
        <f>'Bottom structures'!M13</f>
        <v>15</v>
      </c>
      <c r="E11" s="4">
        <v>15</v>
      </c>
      <c r="F11" s="4">
        <f t="shared" si="0"/>
        <v>0</v>
      </c>
      <c r="G11" s="4">
        <f>'Material Proprieties'!N8</f>
        <v>1</v>
      </c>
      <c r="H11" s="4">
        <v>0.9</v>
      </c>
      <c r="I11" s="39">
        <f t="shared" si="1"/>
        <v>4</v>
      </c>
      <c r="J11" s="4">
        <v>1</v>
      </c>
      <c r="K11" s="4">
        <f>'Bottom structures'!Q13</f>
        <v>0.75</v>
      </c>
      <c r="L11" s="31">
        <f t="shared" si="2"/>
        <v>258.40640000000008</v>
      </c>
      <c r="M11" s="4">
        <f>'Bottom structures'!AC13</f>
        <v>1.39</v>
      </c>
      <c r="N11" s="4">
        <f>IF(M11='Material Proprieties'!$E$5,'Material Proprieties'!$C$5,IF(M11='Material Proprieties'!$E$6,'Material Proprieties'!$C$6,IF(M11='Material Proprieties'!$E$7,'Material Proprieties'!$C$7,IF(M11='Material Proprieties'!$E$8,'Material Proprieties'!$C$8,IF(M11='Material Proprieties'!$E$9,'Material Proprieties'!$C$9,0)))))</f>
        <v>355</v>
      </c>
      <c r="O11" s="30">
        <f t="shared" si="3"/>
        <v>233.07480774469985</v>
      </c>
      <c r="P11" s="30">
        <f t="shared" si="4"/>
        <v>162.27638921973497</v>
      </c>
      <c r="Q11" s="9">
        <f>'Neutral Axis Correction'!H10</f>
        <v>1.4999999999999999E-2</v>
      </c>
      <c r="R11" s="39">
        <f t="shared" si="5"/>
        <v>7.5571599071246149</v>
      </c>
      <c r="S11" s="9">
        <f t="shared" si="8"/>
        <v>1.4999999999999999E-2</v>
      </c>
      <c r="T11" s="39">
        <f t="shared" si="6"/>
        <v>10.542840092875387</v>
      </c>
      <c r="U11" s="4" t="str">
        <f t="shared" si="7"/>
        <v>OK</v>
      </c>
    </row>
    <row r="12" spans="2:21" ht="14.4" x14ac:dyDescent="0.3">
      <c r="B12" s="169"/>
      <c r="C12" s="1">
        <v>4</v>
      </c>
      <c r="D12" s="31">
        <f>'Bottom structures'!M14</f>
        <v>15</v>
      </c>
      <c r="E12" s="4">
        <v>15</v>
      </c>
      <c r="F12" s="4">
        <f t="shared" si="0"/>
        <v>0</v>
      </c>
      <c r="G12" s="4">
        <f>'Material Proprieties'!N9</f>
        <v>1</v>
      </c>
      <c r="H12" s="4">
        <v>0.9</v>
      </c>
      <c r="I12" s="39">
        <f t="shared" si="1"/>
        <v>4</v>
      </c>
      <c r="J12" s="4">
        <v>1</v>
      </c>
      <c r="K12" s="4">
        <f>'Bottom structures'!Q14</f>
        <v>0.75</v>
      </c>
      <c r="L12" s="31">
        <f t="shared" si="2"/>
        <v>258.40640000000008</v>
      </c>
      <c r="M12" s="4">
        <f>'Bottom structures'!AC14</f>
        <v>1.39</v>
      </c>
      <c r="N12" s="4">
        <f>IF(M12='Material Proprieties'!$E$5,'Material Proprieties'!$C$5,IF(M12='Material Proprieties'!$E$6,'Material Proprieties'!$C$6,IF(M12='Material Proprieties'!$E$7,'Material Proprieties'!$C$7,IF(M12='Material Proprieties'!$E$8,'Material Proprieties'!$C$8,IF(M12='Material Proprieties'!$E$9,'Material Proprieties'!$C$9,0)))))</f>
        <v>355</v>
      </c>
      <c r="O12" s="30">
        <f t="shared" si="3"/>
        <v>233.07480774469985</v>
      </c>
      <c r="P12" s="30">
        <f t="shared" si="4"/>
        <v>162.27638921973497</v>
      </c>
      <c r="Q12" s="9">
        <f>'Neutral Axis Correction'!H11</f>
        <v>1.4999999999999999E-2</v>
      </c>
      <c r="R12" s="39">
        <f t="shared" si="5"/>
        <v>7.5571599071246149</v>
      </c>
      <c r="S12" s="9">
        <f t="shared" si="8"/>
        <v>1.4999999999999999E-2</v>
      </c>
      <c r="T12" s="39">
        <f t="shared" si="6"/>
        <v>10.542840092875387</v>
      </c>
      <c r="U12" s="4" t="str">
        <f t="shared" si="7"/>
        <v>OK</v>
      </c>
    </row>
    <row r="13" spans="2:21" ht="15" customHeight="1" x14ac:dyDescent="0.3">
      <c r="B13" s="169"/>
      <c r="C13" s="1">
        <v>5</v>
      </c>
      <c r="D13" s="31">
        <f>'Bottom structures'!M15</f>
        <v>15</v>
      </c>
      <c r="E13" s="4">
        <v>15</v>
      </c>
      <c r="F13" s="4">
        <f t="shared" si="0"/>
        <v>0</v>
      </c>
      <c r="G13" s="4">
        <f>'Material Proprieties'!N10</f>
        <v>1</v>
      </c>
      <c r="H13" s="4">
        <v>0.9</v>
      </c>
      <c r="I13" s="39">
        <f t="shared" si="1"/>
        <v>4</v>
      </c>
      <c r="J13" s="4">
        <v>1</v>
      </c>
      <c r="K13" s="4">
        <f>'Bottom structures'!Q15</f>
        <v>0.75</v>
      </c>
      <c r="L13" s="31">
        <f t="shared" si="2"/>
        <v>258.40640000000008</v>
      </c>
      <c r="M13" s="4">
        <f>'Bottom structures'!AC15</f>
        <v>1.39</v>
      </c>
      <c r="N13" s="4">
        <f>IF(M13='Material Proprieties'!$E$5,'Material Proprieties'!$C$5,IF(M13='Material Proprieties'!$E$6,'Material Proprieties'!$C$6,IF(M13='Material Proprieties'!$E$7,'Material Proprieties'!$C$7,IF(M13='Material Proprieties'!$E$8,'Material Proprieties'!$C$8,IF(M13='Material Proprieties'!$E$9,'Material Proprieties'!$C$9,0)))))</f>
        <v>355</v>
      </c>
      <c r="O13" s="30">
        <f t="shared" si="3"/>
        <v>233.07480774469985</v>
      </c>
      <c r="P13" s="30">
        <f t="shared" si="4"/>
        <v>162.27638921973497</v>
      </c>
      <c r="Q13" s="9">
        <f>'Neutral Axis Correction'!H12</f>
        <v>1.4999999999999999E-2</v>
      </c>
      <c r="R13" s="39">
        <f t="shared" si="5"/>
        <v>7.5571599071246149</v>
      </c>
      <c r="S13" s="9">
        <f t="shared" si="8"/>
        <v>1.4999999999999999E-2</v>
      </c>
      <c r="T13" s="39">
        <f t="shared" si="6"/>
        <v>10.542840092875387</v>
      </c>
      <c r="U13" s="4" t="str">
        <f t="shared" si="7"/>
        <v>OK</v>
      </c>
    </row>
    <row r="14" spans="2:21" ht="14.4" x14ac:dyDescent="0.3">
      <c r="B14" s="169"/>
      <c r="C14" s="1">
        <v>6</v>
      </c>
      <c r="D14" s="31">
        <f>'Bottom structures'!M16</f>
        <v>15</v>
      </c>
      <c r="E14" s="4">
        <v>15</v>
      </c>
      <c r="F14" s="4">
        <f t="shared" si="0"/>
        <v>0</v>
      </c>
      <c r="G14" s="4">
        <f>'Material Proprieties'!N11</f>
        <v>1</v>
      </c>
      <c r="H14" s="4">
        <v>0.9</v>
      </c>
      <c r="I14" s="39">
        <f t="shared" si="1"/>
        <v>4</v>
      </c>
      <c r="J14" s="4">
        <v>1</v>
      </c>
      <c r="K14" s="4">
        <f>'Bottom structures'!Q16</f>
        <v>0.75</v>
      </c>
      <c r="L14" s="31">
        <f t="shared" si="2"/>
        <v>258.40640000000008</v>
      </c>
      <c r="M14" s="4">
        <f>'Bottom structures'!AC16</f>
        <v>1.39</v>
      </c>
      <c r="N14" s="4">
        <f>IF(M14='Material Proprieties'!$E$5,'Material Proprieties'!$C$5,IF(M14='Material Proprieties'!$E$6,'Material Proprieties'!$C$6,IF(M14='Material Proprieties'!$E$7,'Material Proprieties'!$C$7,IF(M14='Material Proprieties'!$E$8,'Material Proprieties'!$C$8,IF(M14='Material Proprieties'!$E$9,'Material Proprieties'!$C$9,0)))))</f>
        <v>355</v>
      </c>
      <c r="O14" s="30">
        <f t="shared" si="3"/>
        <v>233.07480774469985</v>
      </c>
      <c r="P14" s="30">
        <f t="shared" si="4"/>
        <v>162.27638921973497</v>
      </c>
      <c r="Q14" s="9">
        <f>'Neutral Axis Correction'!H13</f>
        <v>1.4999999999999999E-2</v>
      </c>
      <c r="R14" s="39">
        <f t="shared" si="5"/>
        <v>7.5571599071246149</v>
      </c>
      <c r="S14" s="9">
        <f t="shared" si="8"/>
        <v>1.4999999999999999E-2</v>
      </c>
      <c r="T14" s="39">
        <f t="shared" si="6"/>
        <v>10.542840092875387</v>
      </c>
      <c r="U14" s="4" t="str">
        <f t="shared" si="7"/>
        <v>OK</v>
      </c>
    </row>
    <row r="15" spans="2:21" ht="14.4" x14ac:dyDescent="0.3">
      <c r="B15" s="169"/>
      <c r="C15" s="1">
        <v>7</v>
      </c>
      <c r="D15" s="31">
        <f>'Bottom structures'!M17</f>
        <v>17</v>
      </c>
      <c r="E15" s="4">
        <v>16</v>
      </c>
      <c r="F15" s="4">
        <f t="shared" si="0"/>
        <v>0</v>
      </c>
      <c r="G15" s="4">
        <f>'Material Proprieties'!N12</f>
        <v>1</v>
      </c>
      <c r="H15" s="4">
        <v>0.9</v>
      </c>
      <c r="I15" s="39">
        <f t="shared" si="1"/>
        <v>4</v>
      </c>
      <c r="J15" s="4">
        <v>1</v>
      </c>
      <c r="K15" s="4">
        <f>'Bottom structures'!Q17</f>
        <v>0.83</v>
      </c>
      <c r="L15" s="31">
        <f t="shared" si="2"/>
        <v>242.21222238350992</v>
      </c>
      <c r="M15" s="4">
        <f>'Bottom structures'!AC17</f>
        <v>1.39</v>
      </c>
      <c r="N15" s="4">
        <f>IF(M15='Material Proprieties'!$E$5,'Material Proprieties'!$C$5,IF(M15='Material Proprieties'!$E$6,'Material Proprieties'!$C$6,IF(M15='Material Proprieties'!$E$7,'Material Proprieties'!$C$7,IF(M15='Material Proprieties'!$E$8,'Material Proprieties'!$C$8,IF(M15='Material Proprieties'!$E$9,'Material Proprieties'!$C$9,0)))))</f>
        <v>355</v>
      </c>
      <c r="O15" s="30">
        <f t="shared" si="3"/>
        <v>224.92295562147908</v>
      </c>
      <c r="P15" s="30">
        <f t="shared" si="4"/>
        <v>162.2333574115479</v>
      </c>
      <c r="Q15" s="9">
        <f>'Neutral Axis Correction'!H14</f>
        <v>1.7000000000000001E-2</v>
      </c>
      <c r="R15" s="39">
        <f t="shared" si="5"/>
        <v>7.5571599071246149</v>
      </c>
      <c r="S15" s="9">
        <f t="shared" si="8"/>
        <v>1.7000000000000001E-2</v>
      </c>
      <c r="T15" s="39">
        <f t="shared" si="6"/>
        <v>10.542840092875387</v>
      </c>
      <c r="U15" s="4" t="str">
        <f t="shared" si="7"/>
        <v>OK</v>
      </c>
    </row>
    <row r="16" spans="2:21" ht="14.4" x14ac:dyDescent="0.3">
      <c r="B16" s="169"/>
      <c r="C16" s="1">
        <v>8</v>
      </c>
      <c r="D16" s="31">
        <f>'Bottom structures'!M18</f>
        <v>17</v>
      </c>
      <c r="E16" s="4">
        <v>15</v>
      </c>
      <c r="F16" s="4">
        <f t="shared" si="0"/>
        <v>0</v>
      </c>
      <c r="G16" s="4">
        <f>'Material Proprieties'!N13</f>
        <v>1</v>
      </c>
      <c r="H16" s="4">
        <v>0.9</v>
      </c>
      <c r="I16" s="39">
        <f t="shared" si="1"/>
        <v>4</v>
      </c>
      <c r="J16" s="4">
        <v>1</v>
      </c>
      <c r="K16" s="4">
        <f>'Bottom structures'!Q18</f>
        <v>0.83</v>
      </c>
      <c r="L16" s="31">
        <f t="shared" si="2"/>
        <v>210.99375816519091</v>
      </c>
      <c r="M16" s="4">
        <f>'Bottom structures'!AC18</f>
        <v>1.39</v>
      </c>
      <c r="N16" s="4">
        <f>IF(M16='Material Proprieties'!$E$5,'Material Proprieties'!$C$5,IF(M16='Material Proprieties'!$E$6,'Material Proprieties'!$C$6,IF(M16='Material Proprieties'!$E$7,'Material Proprieties'!$C$7,IF(M16='Material Proprieties'!$E$8,'Material Proprieties'!$C$8,IF(M16='Material Proprieties'!$E$9,'Material Proprieties'!$C$9,0)))))</f>
        <v>355</v>
      </c>
      <c r="O16" s="30">
        <f t="shared" si="3"/>
        <v>205.67686232057548</v>
      </c>
      <c r="P16" s="30">
        <f t="shared" si="4"/>
        <v>139.79226944199965</v>
      </c>
      <c r="Q16" s="4">
        <f>'Neutral Axis Correction'!H15</f>
        <v>1.06</v>
      </c>
      <c r="R16" s="39">
        <f t="shared" si="5"/>
        <v>7.5571599071246149</v>
      </c>
      <c r="S16" s="4">
        <f t="shared" si="8"/>
        <v>1.06</v>
      </c>
      <c r="T16" s="39">
        <f t="shared" si="6"/>
        <v>10.542840092875387</v>
      </c>
      <c r="U16" s="4" t="str">
        <f t="shared" si="7"/>
        <v>OK</v>
      </c>
    </row>
    <row r="17" spans="2:21" ht="14.4" x14ac:dyDescent="0.3">
      <c r="B17" s="169"/>
      <c r="C17" s="1">
        <v>9</v>
      </c>
      <c r="D17" s="31">
        <f>'Bottom structures'!M19</f>
        <v>17</v>
      </c>
      <c r="E17" s="4">
        <v>15</v>
      </c>
      <c r="F17" s="4">
        <f t="shared" si="0"/>
        <v>0</v>
      </c>
      <c r="G17" s="4">
        <f>'Material Proprieties'!N14</f>
        <v>1</v>
      </c>
      <c r="H17" s="4">
        <v>0.9</v>
      </c>
      <c r="I17" s="39">
        <f t="shared" si="1"/>
        <v>4</v>
      </c>
      <c r="J17" s="4">
        <v>1</v>
      </c>
      <c r="K17" s="4">
        <f>'Bottom structures'!Q19</f>
        <v>0.88</v>
      </c>
      <c r="L17" s="31">
        <f t="shared" si="2"/>
        <v>187.69834710743797</v>
      </c>
      <c r="M17" s="4">
        <f>'Bottom structures'!AC19</f>
        <v>1.47</v>
      </c>
      <c r="N17" s="4">
        <f>IF(M17='Material Proprieties'!$E$5,'Material Proprieties'!$C$5,IF(M17='Material Proprieties'!$E$6,'Material Proprieties'!$C$6,IF(M17='Material Proprieties'!$E$7,'Material Proprieties'!$C$7,IF(M17='Material Proprieties'!$E$8,'Material Proprieties'!$C$8,IF(M17='Material Proprieties'!$E$9,'Material Proprieties'!$C$9,0)))))</f>
        <v>390</v>
      </c>
      <c r="O17" s="30">
        <f t="shared" si="3"/>
        <v>187.69834710743797</v>
      </c>
      <c r="P17" s="30">
        <f t="shared" si="4"/>
        <v>50.716426494799357</v>
      </c>
      <c r="Q17" s="4">
        <f>'Neutral Axis Correction'!H16</f>
        <v>5.2</v>
      </c>
      <c r="R17" s="39">
        <f t="shared" si="5"/>
        <v>7.5571599071246149</v>
      </c>
      <c r="S17" s="4">
        <f t="shared" si="8"/>
        <v>5.2</v>
      </c>
      <c r="T17" s="39">
        <f t="shared" si="6"/>
        <v>10.542840092875387</v>
      </c>
      <c r="U17" s="4" t="str">
        <f t="shared" si="7"/>
        <v>OK</v>
      </c>
    </row>
    <row r="18" spans="2:21" ht="14.4" x14ac:dyDescent="0.3">
      <c r="B18" s="168"/>
      <c r="C18" s="1">
        <v>10</v>
      </c>
      <c r="D18" s="31">
        <f>'Bottom structures'!M20</f>
        <v>17</v>
      </c>
      <c r="E18" s="4">
        <v>15</v>
      </c>
      <c r="F18" s="4">
        <f t="shared" si="0"/>
        <v>0</v>
      </c>
      <c r="G18" s="4">
        <f>'Material Proprieties'!N15</f>
        <v>1</v>
      </c>
      <c r="H18" s="4">
        <v>0.9</v>
      </c>
      <c r="I18" s="39">
        <f t="shared" si="1"/>
        <v>4</v>
      </c>
      <c r="J18" s="4">
        <v>1</v>
      </c>
      <c r="K18" s="4">
        <f>'Bottom structures'!Q20</f>
        <v>0.88</v>
      </c>
      <c r="L18" s="31">
        <f t="shared" si="2"/>
        <v>187.69834710743797</v>
      </c>
      <c r="M18" s="4">
        <f>'Bottom structures'!AC20</f>
        <v>1.47</v>
      </c>
      <c r="N18" s="4">
        <f>IF(M18='Material Proprieties'!$E$5,'Material Proprieties'!$C$5,IF(M18='Material Proprieties'!$E$6,'Material Proprieties'!$C$6,IF(M18='Material Proprieties'!$E$7,'Material Proprieties'!$C$7,IF(M18='Material Proprieties'!$E$8,'Material Proprieties'!$C$8,IF(M18='Material Proprieties'!$E$9,'Material Proprieties'!$C$9,0)))))</f>
        <v>390</v>
      </c>
      <c r="O18" s="30">
        <f t="shared" si="3"/>
        <v>187.69834710743797</v>
      </c>
      <c r="P18" s="30">
        <f t="shared" si="4"/>
        <v>21.885115009473672</v>
      </c>
      <c r="Q18" s="4">
        <f>'Neutral Axis Correction'!H17</f>
        <v>6.54</v>
      </c>
      <c r="R18" s="39">
        <f t="shared" si="5"/>
        <v>7.5571599071246149</v>
      </c>
      <c r="S18" s="4">
        <f t="shared" si="8"/>
        <v>6.54</v>
      </c>
      <c r="T18" s="39">
        <f t="shared" si="6"/>
        <v>10.542840092875387</v>
      </c>
      <c r="U18" s="4" t="str">
        <f t="shared" si="7"/>
        <v>OK</v>
      </c>
    </row>
    <row r="19" spans="2:21" ht="14.4" x14ac:dyDescent="0.3">
      <c r="B19" s="166" t="s">
        <v>53</v>
      </c>
      <c r="C19" s="1">
        <v>28</v>
      </c>
      <c r="D19" s="4">
        <f>'Bottom structures'!M26</f>
        <v>15</v>
      </c>
      <c r="E19" s="4">
        <v>15</v>
      </c>
      <c r="F19" s="4">
        <f t="shared" si="0"/>
        <v>0</v>
      </c>
      <c r="G19" s="4">
        <f>'Material Proprieties'!N33</f>
        <v>1.5</v>
      </c>
      <c r="H19" s="4">
        <v>0.9</v>
      </c>
      <c r="I19" s="39">
        <f t="shared" si="1"/>
        <v>4</v>
      </c>
      <c r="J19" s="4">
        <v>1</v>
      </c>
      <c r="K19" s="4">
        <f>'Bottom structures'!Q26</f>
        <v>0.83</v>
      </c>
      <c r="L19" s="31">
        <f t="shared" si="2"/>
        <v>196.19190013064303</v>
      </c>
      <c r="M19" s="4">
        <f>'Bottom structures'!AG26</f>
        <v>1.47</v>
      </c>
      <c r="N19" s="4">
        <f>IF(M19='Material Proprieties'!$E$5,'Material Proprieties'!$C$5,IF(M19='Material Proprieties'!$E$6,'Material Proprieties'!$C$6,IF(M19='Material Proprieties'!$E$7,'Material Proprieties'!$C$7,IF(M19='Material Proprieties'!$E$8,'Material Proprieties'!$C$8,IF(M19='Material Proprieties'!$E$9,'Material Proprieties'!$C$9,0)))))</f>
        <v>390</v>
      </c>
      <c r="O19" s="30">
        <f t="shared" si="3"/>
        <v>196.18465912874396</v>
      </c>
      <c r="P19" s="30">
        <f t="shared" si="4"/>
        <v>33.503703219978057</v>
      </c>
      <c r="Q19" s="4">
        <f>'Neutral Axis Correction'!H18</f>
        <v>6</v>
      </c>
      <c r="R19" s="39">
        <f t="shared" si="5"/>
        <v>7.5571599071246149</v>
      </c>
      <c r="S19" s="4">
        <f t="shared" si="8"/>
        <v>6</v>
      </c>
      <c r="T19" s="39">
        <f t="shared" si="6"/>
        <v>10.542840092875387</v>
      </c>
      <c r="U19" s="4" t="str">
        <f t="shared" si="7"/>
        <v>OK</v>
      </c>
    </row>
    <row r="20" spans="2:21" ht="14.4" x14ac:dyDescent="0.3">
      <c r="B20" s="169"/>
      <c r="C20" s="1">
        <v>29</v>
      </c>
      <c r="D20" s="4">
        <f>'Bottom structures'!M27</f>
        <v>15</v>
      </c>
      <c r="E20" s="4">
        <v>15</v>
      </c>
      <c r="F20" s="4">
        <f t="shared" si="0"/>
        <v>0</v>
      </c>
      <c r="G20" s="4">
        <f>'Material Proprieties'!N34</f>
        <v>1.5</v>
      </c>
      <c r="H20" s="4">
        <v>0.9</v>
      </c>
      <c r="I20" s="39">
        <f t="shared" si="1"/>
        <v>4</v>
      </c>
      <c r="J20" s="4">
        <v>1</v>
      </c>
      <c r="K20" s="4">
        <f>'Bottom structures'!Q27</f>
        <v>0.83</v>
      </c>
      <c r="L20" s="31">
        <f t="shared" si="2"/>
        <v>196.19190013064303</v>
      </c>
      <c r="M20" s="4">
        <f>'Bottom structures'!AG27</f>
        <v>1.47</v>
      </c>
      <c r="N20" s="4">
        <f>IF(M20='Material Proprieties'!$E$5,'Material Proprieties'!$C$5,IF(M20='Material Proprieties'!$E$6,'Material Proprieties'!$C$6,IF(M20='Material Proprieties'!$E$7,'Material Proprieties'!$C$7,IF(M20='Material Proprieties'!$E$8,'Material Proprieties'!$C$8,IF(M20='Material Proprieties'!$E$9,'Material Proprieties'!$C$9,0)))))</f>
        <v>390</v>
      </c>
      <c r="O20" s="30">
        <f t="shared" si="3"/>
        <v>196.18465912874396</v>
      </c>
      <c r="P20" s="30">
        <f t="shared" si="4"/>
        <v>91.166326190629462</v>
      </c>
      <c r="Q20" s="4">
        <f>'Neutral Axis Correction'!H19</f>
        <v>3.32</v>
      </c>
      <c r="R20" s="39">
        <f t="shared" si="5"/>
        <v>7.5571599071246149</v>
      </c>
      <c r="S20" s="4">
        <f t="shared" si="8"/>
        <v>3.32</v>
      </c>
      <c r="T20" s="39">
        <f t="shared" si="6"/>
        <v>10.542840092875387</v>
      </c>
      <c r="U20" s="4" t="str">
        <f t="shared" si="7"/>
        <v>OK</v>
      </c>
    </row>
    <row r="21" spans="2:21" ht="15.75" customHeight="1" x14ac:dyDescent="0.3">
      <c r="B21" s="169"/>
      <c r="C21" s="1">
        <v>30</v>
      </c>
      <c r="D21" s="4">
        <f>'Bottom structures'!M28</f>
        <v>14</v>
      </c>
      <c r="E21" s="4">
        <v>14</v>
      </c>
      <c r="F21" s="4">
        <f t="shared" si="0"/>
        <v>0</v>
      </c>
      <c r="G21" s="4">
        <f>'Material Proprieties'!N35</f>
        <v>1.5</v>
      </c>
      <c r="H21" s="4">
        <v>0.9</v>
      </c>
      <c r="I21" s="39">
        <f t="shared" si="1"/>
        <v>4</v>
      </c>
      <c r="J21" s="4">
        <v>1</v>
      </c>
      <c r="K21" s="4">
        <f>'Bottom structures'!Q28</f>
        <v>0.75</v>
      </c>
      <c r="L21" s="31">
        <f t="shared" si="2"/>
        <v>206</v>
      </c>
      <c r="M21" s="4">
        <f>'Bottom structures'!AG28</f>
        <v>1.47</v>
      </c>
      <c r="N21" s="4">
        <f>IF(M21='Material Proprieties'!$E$5,'Material Proprieties'!$C$5,IF(M21='Material Proprieties'!$E$6,'Material Proprieties'!$C$6,IF(M21='Material Proprieties'!$E$7,'Material Proprieties'!$C$7,IF(M21='Material Proprieties'!$E$8,'Material Proprieties'!$C$8,IF(M21='Material Proprieties'!$E$9,'Material Proprieties'!$C$9,0)))))</f>
        <v>390</v>
      </c>
      <c r="O21" s="30">
        <f t="shared" si="3"/>
        <v>205.41262135922329</v>
      </c>
      <c r="P21" s="30">
        <f t="shared" si="4"/>
        <v>119.56731959408459</v>
      </c>
      <c r="Q21" s="4">
        <f>'Neutral Axis Correction'!H20</f>
        <v>2</v>
      </c>
      <c r="R21" s="39">
        <f t="shared" si="5"/>
        <v>7.5571599071246149</v>
      </c>
      <c r="S21" s="4">
        <f t="shared" si="8"/>
        <v>2</v>
      </c>
      <c r="T21" s="39">
        <f t="shared" si="6"/>
        <v>10.542840092875387</v>
      </c>
      <c r="U21" s="4" t="str">
        <f t="shared" si="7"/>
        <v>OK</v>
      </c>
    </row>
    <row r="22" spans="2:21" ht="15.75" customHeight="1" x14ac:dyDescent="0.3">
      <c r="B22" s="169"/>
      <c r="C22" s="1">
        <v>31</v>
      </c>
      <c r="D22" s="4">
        <f>'Bottom structures'!M29</f>
        <v>14</v>
      </c>
      <c r="E22" s="4">
        <v>14</v>
      </c>
      <c r="F22" s="4">
        <f t="shared" si="0"/>
        <v>0</v>
      </c>
      <c r="G22" s="4">
        <f>'Material Proprieties'!N36</f>
        <v>1.5</v>
      </c>
      <c r="H22" s="4">
        <v>0.9</v>
      </c>
      <c r="I22" s="39">
        <f t="shared" si="1"/>
        <v>4</v>
      </c>
      <c r="J22" s="4">
        <v>1</v>
      </c>
      <c r="K22" s="4">
        <f>'Bottom structures'!Q29</f>
        <v>0.75</v>
      </c>
      <c r="L22" s="31">
        <f t="shared" si="2"/>
        <v>206</v>
      </c>
      <c r="M22" s="4">
        <f>'Bottom structures'!AG29</f>
        <v>1.47</v>
      </c>
      <c r="N22" s="4">
        <f>IF(M22='Material Proprieties'!$E$5,'Material Proprieties'!$C$5,IF(M22='Material Proprieties'!$E$6,'Material Proprieties'!$C$6,IF(M22='Material Proprieties'!$E$7,'Material Proprieties'!$C$7,IF(M22='Material Proprieties'!$E$8,'Material Proprieties'!$C$8,IF(M22='Material Proprieties'!$E$9,'Material Proprieties'!$C$9,0)))))</f>
        <v>390</v>
      </c>
      <c r="O22" s="30">
        <f t="shared" si="3"/>
        <v>205.41262135922329</v>
      </c>
      <c r="P22" s="30">
        <f t="shared" si="4"/>
        <v>119.56731959408459</v>
      </c>
      <c r="Q22" s="4">
        <f>'Neutral Axis Correction'!H21</f>
        <v>2</v>
      </c>
      <c r="R22" s="39">
        <f t="shared" si="5"/>
        <v>7.5571599071246149</v>
      </c>
      <c r="S22" s="4">
        <f t="shared" si="8"/>
        <v>2</v>
      </c>
      <c r="T22" s="39">
        <f t="shared" si="6"/>
        <v>10.542840092875387</v>
      </c>
      <c r="U22" s="4" t="str">
        <f t="shared" si="7"/>
        <v>OK</v>
      </c>
    </row>
    <row r="23" spans="2:21" ht="15.75" customHeight="1" x14ac:dyDescent="0.3">
      <c r="B23" s="169"/>
      <c r="C23" s="1">
        <v>32</v>
      </c>
      <c r="D23" s="4">
        <f>'Bottom structures'!M30</f>
        <v>14</v>
      </c>
      <c r="E23" s="4">
        <v>14</v>
      </c>
      <c r="F23" s="4">
        <f t="shared" si="0"/>
        <v>0</v>
      </c>
      <c r="G23" s="4">
        <f>'Material Proprieties'!N37</f>
        <v>1.5</v>
      </c>
      <c r="H23" s="4">
        <v>0.9</v>
      </c>
      <c r="I23" s="39">
        <f t="shared" si="1"/>
        <v>4</v>
      </c>
      <c r="J23" s="4">
        <v>1</v>
      </c>
      <c r="K23" s="4">
        <f>'Bottom structures'!Q30</f>
        <v>0.75</v>
      </c>
      <c r="L23" s="31">
        <f t="shared" si="2"/>
        <v>206</v>
      </c>
      <c r="M23" s="4">
        <f>'Bottom structures'!AG30</f>
        <v>1.47</v>
      </c>
      <c r="N23" s="4">
        <f>IF(M23='Material Proprieties'!$E$5,'Material Proprieties'!$C$5,IF(M23='Material Proprieties'!$E$6,'Material Proprieties'!$C$6,IF(M23='Material Proprieties'!$E$7,'Material Proprieties'!$C$7,IF(M23='Material Proprieties'!$E$8,'Material Proprieties'!$C$8,IF(M23='Material Proprieties'!$E$9,'Material Proprieties'!$C$9,0)))))</f>
        <v>390</v>
      </c>
      <c r="O23" s="30">
        <f t="shared" si="3"/>
        <v>205.41262135922329</v>
      </c>
      <c r="P23" s="30">
        <f t="shared" si="4"/>
        <v>119.56731959408459</v>
      </c>
      <c r="Q23" s="4">
        <f>'Neutral Axis Correction'!H22</f>
        <v>2</v>
      </c>
      <c r="R23" s="39">
        <f t="shared" si="5"/>
        <v>7.5571599071246149</v>
      </c>
      <c r="S23" s="4">
        <f t="shared" si="8"/>
        <v>2</v>
      </c>
      <c r="T23" s="39">
        <f t="shared" si="6"/>
        <v>10.542840092875387</v>
      </c>
      <c r="U23" s="4" t="str">
        <f t="shared" si="7"/>
        <v>OK</v>
      </c>
    </row>
    <row r="24" spans="2:21" ht="15.75" customHeight="1" x14ac:dyDescent="0.3">
      <c r="B24" s="169"/>
      <c r="C24" s="1">
        <v>33</v>
      </c>
      <c r="D24" s="4">
        <f>'Bottom structures'!M31</f>
        <v>14</v>
      </c>
      <c r="E24" s="4">
        <v>14</v>
      </c>
      <c r="F24" s="4">
        <f t="shared" si="0"/>
        <v>0</v>
      </c>
      <c r="G24" s="4">
        <f>'Material Proprieties'!N38</f>
        <v>1.5</v>
      </c>
      <c r="H24" s="4">
        <v>0.9</v>
      </c>
      <c r="I24" s="39">
        <f t="shared" si="1"/>
        <v>4</v>
      </c>
      <c r="J24" s="4">
        <v>1</v>
      </c>
      <c r="K24" s="4">
        <f>'Bottom structures'!Q31</f>
        <v>0.75</v>
      </c>
      <c r="L24" s="31">
        <f t="shared" si="2"/>
        <v>206</v>
      </c>
      <c r="M24" s="4">
        <f>'Bottom structures'!AG31</f>
        <v>1.47</v>
      </c>
      <c r="N24" s="4">
        <f>IF(M24='Material Proprieties'!$E$5,'Material Proprieties'!$C$5,IF(M24='Material Proprieties'!$E$6,'Material Proprieties'!$C$6,IF(M24='Material Proprieties'!$E$7,'Material Proprieties'!$C$7,IF(M24='Material Proprieties'!$E$8,'Material Proprieties'!$C$8,IF(M24='Material Proprieties'!$E$9,'Material Proprieties'!$C$9,0)))))</f>
        <v>390</v>
      </c>
      <c r="O24" s="30">
        <f t="shared" si="3"/>
        <v>205.41262135922329</v>
      </c>
      <c r="P24" s="30">
        <f t="shared" si="4"/>
        <v>119.56731959408459</v>
      </c>
      <c r="Q24" s="4">
        <f>'Neutral Axis Correction'!H23</f>
        <v>2</v>
      </c>
      <c r="R24" s="39">
        <f t="shared" si="5"/>
        <v>7.5571599071246149</v>
      </c>
      <c r="S24" s="4">
        <f t="shared" si="8"/>
        <v>2</v>
      </c>
      <c r="T24" s="39">
        <f t="shared" si="6"/>
        <v>10.542840092875387</v>
      </c>
      <c r="U24" s="4" t="str">
        <f t="shared" si="7"/>
        <v>OK</v>
      </c>
    </row>
    <row r="25" spans="2:21" ht="15.75" customHeight="1" x14ac:dyDescent="0.3">
      <c r="B25" s="168"/>
      <c r="C25" s="1">
        <v>34</v>
      </c>
      <c r="D25" s="4">
        <f>'Bottom structures'!M32</f>
        <v>14</v>
      </c>
      <c r="E25" s="4">
        <v>14</v>
      </c>
      <c r="F25" s="4">
        <f t="shared" si="0"/>
        <v>0</v>
      </c>
      <c r="G25" s="4">
        <f>'Material Proprieties'!N39</f>
        <v>1.5</v>
      </c>
      <c r="H25" s="4">
        <v>0.9</v>
      </c>
      <c r="I25" s="39">
        <f t="shared" si="1"/>
        <v>4</v>
      </c>
      <c r="J25" s="4">
        <v>1</v>
      </c>
      <c r="K25" s="4">
        <f>'Bottom structures'!Q32</f>
        <v>0.75</v>
      </c>
      <c r="L25" s="31">
        <f t="shared" si="2"/>
        <v>206</v>
      </c>
      <c r="M25" s="4">
        <f>'Bottom structures'!AG32</f>
        <v>1.47</v>
      </c>
      <c r="N25" s="4">
        <f>IF(M25='Material Proprieties'!$E$5,'Material Proprieties'!$C$5,IF(M25='Material Proprieties'!$E$6,'Material Proprieties'!$C$6,IF(M25='Material Proprieties'!$E$7,'Material Proprieties'!$C$7,IF(M25='Material Proprieties'!$E$8,'Material Proprieties'!$C$8,IF(M25='Material Proprieties'!$E$9,'Material Proprieties'!$C$9,0)))))</f>
        <v>390</v>
      </c>
      <c r="O25" s="30">
        <f t="shared" si="3"/>
        <v>205.41262135922329</v>
      </c>
      <c r="P25" s="30">
        <f t="shared" si="4"/>
        <v>119.56731959408459</v>
      </c>
      <c r="Q25" s="4">
        <f>'Neutral Axis Correction'!H24</f>
        <v>2</v>
      </c>
      <c r="R25" s="39">
        <f t="shared" si="5"/>
        <v>7.5571599071246149</v>
      </c>
      <c r="S25" s="4">
        <f t="shared" si="8"/>
        <v>2</v>
      </c>
      <c r="T25" s="39">
        <f t="shared" si="6"/>
        <v>10.542840092875387</v>
      </c>
      <c r="U25" s="4" t="str">
        <f t="shared" si="7"/>
        <v>OK</v>
      </c>
    </row>
    <row r="26" spans="2:21" ht="15.75" customHeight="1" x14ac:dyDescent="0.3">
      <c r="B26" s="165" t="s">
        <v>289</v>
      </c>
      <c r="C26" s="1">
        <v>35</v>
      </c>
      <c r="D26" s="4">
        <f>'Bottom structures'!M38</f>
        <v>16</v>
      </c>
      <c r="E26" s="4">
        <v>14</v>
      </c>
      <c r="F26" s="4">
        <f t="shared" si="0"/>
        <v>0</v>
      </c>
      <c r="G26" s="4">
        <f>'Material Proprieties'!N40</f>
        <v>1.5</v>
      </c>
      <c r="H26" s="4">
        <v>0.9</v>
      </c>
      <c r="I26" s="39">
        <f t="shared" si="1"/>
        <v>4</v>
      </c>
      <c r="J26" s="4">
        <v>1</v>
      </c>
      <c r="K26" s="4">
        <f>'Bottom structures'!Q38</f>
        <v>0.8</v>
      </c>
      <c r="L26" s="31">
        <f t="shared" si="2"/>
        <v>181.0546875</v>
      </c>
      <c r="M26" s="4">
        <f>'Bottom structures'!Z38</f>
        <v>1.39</v>
      </c>
      <c r="N26" s="4">
        <f>IF(M26='Material Proprieties'!$E$5,'Material Proprieties'!$C$5,IF(M26='Material Proprieties'!$E$6,'Material Proprieties'!$C$6,IF(M26='Material Proprieties'!$E$7,'Material Proprieties'!$C$7,IF(M26='Material Proprieties'!$E$8,'Material Proprieties'!$C$8,IF(M26='Material Proprieties'!$E$9,'Material Proprieties'!$C$9,0)))))</f>
        <v>355</v>
      </c>
      <c r="O26" s="30">
        <f t="shared" si="3"/>
        <v>180.98489751887809</v>
      </c>
      <c r="P26" s="30">
        <f t="shared" si="4"/>
        <v>141.08322368761122</v>
      </c>
      <c r="Q26" s="4">
        <f>'Neutral Axis Correction'!H25</f>
        <v>1</v>
      </c>
      <c r="R26" s="39">
        <f t="shared" si="5"/>
        <v>7.5571599071246149</v>
      </c>
      <c r="S26" s="4">
        <f t="shared" si="8"/>
        <v>1</v>
      </c>
      <c r="T26" s="39">
        <f t="shared" si="6"/>
        <v>10.542840092875387</v>
      </c>
      <c r="U26" s="4" t="str">
        <f t="shared" si="7"/>
        <v>OK</v>
      </c>
    </row>
    <row r="27" spans="2:21" ht="15.75" customHeight="1" x14ac:dyDescent="0.3">
      <c r="B27" s="170"/>
      <c r="C27" s="1">
        <v>36</v>
      </c>
      <c r="D27" s="4">
        <f>'Bottom structures'!M39</f>
        <v>16</v>
      </c>
      <c r="E27" s="4">
        <v>14</v>
      </c>
      <c r="F27" s="4">
        <f t="shared" si="0"/>
        <v>0</v>
      </c>
      <c r="G27" s="4">
        <f>'Material Proprieties'!N41</f>
        <v>1.5</v>
      </c>
      <c r="H27" s="4">
        <v>0.9</v>
      </c>
      <c r="I27" s="39">
        <f t="shared" si="1"/>
        <v>4</v>
      </c>
      <c r="J27" s="4">
        <v>1</v>
      </c>
      <c r="K27" s="4">
        <f>'Bottom structures'!Q39</f>
        <v>0.8</v>
      </c>
      <c r="L27" s="31">
        <f t="shared" si="2"/>
        <v>181.0546875</v>
      </c>
      <c r="M27" s="4">
        <f>'Bottom structures'!Z39</f>
        <v>1.39</v>
      </c>
      <c r="N27" s="4">
        <f>IF(M27='Material Proprieties'!$E$5,'Material Proprieties'!$C$5,IF(M27='Material Proprieties'!$E$6,'Material Proprieties'!$C$6,IF(M27='Material Proprieties'!$E$7,'Material Proprieties'!$C$7,IF(M27='Material Proprieties'!$E$8,'Material Proprieties'!$C$8,IF(M27='Material Proprieties'!$E$9,'Material Proprieties'!$C$9,0)))))</f>
        <v>355</v>
      </c>
      <c r="O27" s="30">
        <f t="shared" si="3"/>
        <v>180.98489751887809</v>
      </c>
      <c r="P27" s="30">
        <f t="shared" si="4"/>
        <v>141.08322368761122</v>
      </c>
      <c r="Q27" s="4">
        <f>'Neutral Axis Correction'!H26</f>
        <v>1</v>
      </c>
      <c r="R27" s="39">
        <f t="shared" si="5"/>
        <v>7.5571599071246149</v>
      </c>
      <c r="S27" s="4">
        <f t="shared" si="8"/>
        <v>1</v>
      </c>
      <c r="T27" s="39">
        <f t="shared" si="6"/>
        <v>10.542840092875387</v>
      </c>
      <c r="U27" s="4" t="str">
        <f t="shared" si="7"/>
        <v>OK</v>
      </c>
    </row>
    <row r="28" spans="2:21" ht="15.75" customHeight="1" x14ac:dyDescent="0.3">
      <c r="B28" s="170"/>
      <c r="C28" s="1">
        <v>37</v>
      </c>
      <c r="D28" s="4">
        <f>'Bottom structures'!M40</f>
        <v>16</v>
      </c>
      <c r="E28" s="4">
        <v>14</v>
      </c>
      <c r="F28" s="4">
        <f t="shared" si="0"/>
        <v>0</v>
      </c>
      <c r="G28" s="4">
        <f>'Material Proprieties'!N42</f>
        <v>1.5</v>
      </c>
      <c r="H28" s="4">
        <v>0.9</v>
      </c>
      <c r="I28" s="39">
        <f t="shared" si="1"/>
        <v>4</v>
      </c>
      <c r="J28" s="4">
        <v>1</v>
      </c>
      <c r="K28" s="4">
        <f>'Bottom structures'!Q40</f>
        <v>0.8</v>
      </c>
      <c r="L28" s="31">
        <f t="shared" si="2"/>
        <v>181.0546875</v>
      </c>
      <c r="M28" s="4">
        <f>'Bottom structures'!Z40</f>
        <v>1.39</v>
      </c>
      <c r="N28" s="4">
        <f>IF(M28='Material Proprieties'!$E$5,'Material Proprieties'!$C$5,IF(M28='Material Proprieties'!$E$6,'Material Proprieties'!$C$6,IF(M28='Material Proprieties'!$E$7,'Material Proprieties'!$C$7,IF(M28='Material Proprieties'!$E$8,'Material Proprieties'!$C$8,IF(M28='Material Proprieties'!$E$9,'Material Proprieties'!$C$9,0)))))</f>
        <v>355</v>
      </c>
      <c r="O28" s="30">
        <f t="shared" si="3"/>
        <v>180.98489751887809</v>
      </c>
      <c r="P28" s="30">
        <f t="shared" si="4"/>
        <v>141.08322368761122</v>
      </c>
      <c r="Q28" s="4">
        <f>'Neutral Axis Correction'!H27</f>
        <v>1</v>
      </c>
      <c r="R28" s="39">
        <f t="shared" si="5"/>
        <v>7.5571599071246149</v>
      </c>
      <c r="S28" s="4">
        <f t="shared" si="8"/>
        <v>1</v>
      </c>
      <c r="T28" s="39">
        <f t="shared" si="6"/>
        <v>10.542840092875387</v>
      </c>
      <c r="U28" s="4" t="str">
        <f t="shared" si="7"/>
        <v>OK</v>
      </c>
    </row>
    <row r="29" spans="2:21" ht="15.75" customHeight="1" x14ac:dyDescent="0.3">
      <c r="B29" s="170"/>
      <c r="C29" s="1">
        <v>38</v>
      </c>
      <c r="D29" s="4">
        <f>'Bottom structures'!M41</f>
        <v>16</v>
      </c>
      <c r="E29" s="4">
        <v>14</v>
      </c>
      <c r="F29" s="4">
        <f t="shared" si="0"/>
        <v>0</v>
      </c>
      <c r="G29" s="4">
        <f>'Material Proprieties'!N43</f>
        <v>1.5</v>
      </c>
      <c r="H29" s="4">
        <v>0.9</v>
      </c>
      <c r="I29" s="39">
        <f t="shared" si="1"/>
        <v>4</v>
      </c>
      <c r="J29" s="4">
        <v>1</v>
      </c>
      <c r="K29" s="4">
        <f>'Bottom structures'!Q41</f>
        <v>0.8</v>
      </c>
      <c r="L29" s="31">
        <f t="shared" si="2"/>
        <v>181.0546875</v>
      </c>
      <c r="M29" s="4">
        <f>'Bottom structures'!Z41</f>
        <v>1.39</v>
      </c>
      <c r="N29" s="4">
        <f>IF(M29='Material Proprieties'!$E$5,'Material Proprieties'!$C$5,IF(M29='Material Proprieties'!$E$6,'Material Proprieties'!$C$6,IF(M29='Material Proprieties'!$E$7,'Material Proprieties'!$C$7,IF(M29='Material Proprieties'!$E$8,'Material Proprieties'!$C$8,IF(M29='Material Proprieties'!$E$9,'Material Proprieties'!$C$9,0)))))</f>
        <v>355</v>
      </c>
      <c r="O29" s="30">
        <f t="shared" si="3"/>
        <v>180.98489751887809</v>
      </c>
      <c r="P29" s="30">
        <f t="shared" si="4"/>
        <v>141.08322368761122</v>
      </c>
      <c r="Q29" s="4">
        <f>'Neutral Axis Correction'!H28</f>
        <v>1</v>
      </c>
      <c r="R29" s="39">
        <f t="shared" si="5"/>
        <v>7.5571599071246149</v>
      </c>
      <c r="S29" s="4">
        <f t="shared" si="8"/>
        <v>1</v>
      </c>
      <c r="T29" s="39">
        <f t="shared" si="6"/>
        <v>10.542840092875387</v>
      </c>
      <c r="U29" s="4" t="str">
        <f t="shared" si="7"/>
        <v>OK</v>
      </c>
    </row>
    <row r="30" spans="2:21" ht="15.75" customHeight="1" x14ac:dyDescent="0.3">
      <c r="B30" s="167"/>
      <c r="C30" s="1">
        <v>39</v>
      </c>
      <c r="D30" s="4">
        <f>'Bottom structures'!M42</f>
        <v>16</v>
      </c>
      <c r="E30" s="4">
        <v>14</v>
      </c>
      <c r="F30" s="4">
        <f t="shared" si="0"/>
        <v>0</v>
      </c>
      <c r="G30" s="4">
        <f>'Material Proprieties'!N44</f>
        <v>1.5</v>
      </c>
      <c r="H30" s="4">
        <v>0.9</v>
      </c>
      <c r="I30" s="39">
        <f t="shared" si="1"/>
        <v>4</v>
      </c>
      <c r="J30" s="4">
        <v>1</v>
      </c>
      <c r="K30" s="4">
        <f>'Bottom structures'!Q42</f>
        <v>0.8</v>
      </c>
      <c r="L30" s="31">
        <f t="shared" si="2"/>
        <v>181.0546875</v>
      </c>
      <c r="M30" s="4">
        <f>'Bottom structures'!Z42</f>
        <v>1.39</v>
      </c>
      <c r="N30" s="4">
        <f>IF(M30='Material Proprieties'!$E$5,'Material Proprieties'!$C$5,IF(M30='Material Proprieties'!$E$6,'Material Proprieties'!$C$6,IF(M30='Material Proprieties'!$E$7,'Material Proprieties'!$C$7,IF(M30='Material Proprieties'!$E$8,'Material Proprieties'!$C$8,IF(M30='Material Proprieties'!$E$9,'Material Proprieties'!$C$9,0)))))</f>
        <v>355</v>
      </c>
      <c r="O30" s="30">
        <f t="shared" si="3"/>
        <v>180.98489751887809</v>
      </c>
      <c r="P30" s="30">
        <f t="shared" si="4"/>
        <v>141.08322368761122</v>
      </c>
      <c r="Q30" s="4">
        <f>'Neutral Axis Correction'!H29</f>
        <v>1</v>
      </c>
      <c r="R30" s="39">
        <f t="shared" si="5"/>
        <v>7.5571599071246149</v>
      </c>
      <c r="S30" s="4">
        <f t="shared" si="8"/>
        <v>1</v>
      </c>
      <c r="T30" s="39">
        <f t="shared" si="6"/>
        <v>10.542840092875387</v>
      </c>
      <c r="U30" s="4" t="str">
        <f t="shared" si="7"/>
        <v>OK</v>
      </c>
    </row>
    <row r="31" spans="2:21" ht="15.75" customHeight="1" x14ac:dyDescent="0.3">
      <c r="B31" s="165" t="s">
        <v>57</v>
      </c>
      <c r="C31" s="1">
        <v>11</v>
      </c>
      <c r="D31" s="4">
        <f>'Side structures'!J7</f>
        <v>14</v>
      </c>
      <c r="E31" s="4">
        <v>16</v>
      </c>
      <c r="F31" s="4">
        <f t="shared" si="0"/>
        <v>2</v>
      </c>
      <c r="G31" s="4">
        <f>'Material Proprieties'!N16</f>
        <v>0.5</v>
      </c>
      <c r="H31" s="4">
        <v>0.9</v>
      </c>
      <c r="I31" s="39">
        <f t="shared" si="1"/>
        <v>4</v>
      </c>
      <c r="J31" s="4">
        <v>1</v>
      </c>
      <c r="K31" s="9">
        <f>'Side structures'!O7</f>
        <v>0.91800000000000004</v>
      </c>
      <c r="L31" s="31">
        <f t="shared" si="2"/>
        <v>211.42082105173228</v>
      </c>
      <c r="M31" s="4">
        <f>'Side structures'!AC7</f>
        <v>1.28</v>
      </c>
      <c r="N31" s="4">
        <f>IF(M31='Material Proprieties'!$E$5,'Material Proprieties'!$C$5,IF(M31='Material Proprieties'!$E$6,'Material Proprieties'!$C$6,IF(M31='Material Proprieties'!$E$7,'Material Proprieties'!$C$7,IF(M31='Material Proprieties'!$E$8,'Material Proprieties'!$C$8,IF(M31='Material Proprieties'!$E$9,'Material Proprieties'!$C$9,0)))))</f>
        <v>315</v>
      </c>
      <c r="O31" s="30">
        <f t="shared" si="3"/>
        <v>197.6688408615621</v>
      </c>
      <c r="P31" s="30">
        <f t="shared" si="4"/>
        <v>22.437647423191201</v>
      </c>
      <c r="Q31" s="4">
        <f>'Neutral Axis Correction'!H30</f>
        <v>8.6</v>
      </c>
      <c r="R31" s="39">
        <f t="shared" si="5"/>
        <v>10.542840092875387</v>
      </c>
      <c r="S31" s="4">
        <f t="shared" si="8"/>
        <v>9.5000000000000018</v>
      </c>
      <c r="T31" s="39">
        <f t="shared" si="6"/>
        <v>10.542840092875387</v>
      </c>
      <c r="U31" s="4" t="str">
        <f t="shared" si="7"/>
        <v>OK</v>
      </c>
    </row>
    <row r="32" spans="2:21" ht="15.75" customHeight="1" x14ac:dyDescent="0.3">
      <c r="B32" s="170"/>
      <c r="C32" s="1">
        <v>12</v>
      </c>
      <c r="D32" s="4">
        <f>'Side structures'!J8</f>
        <v>13</v>
      </c>
      <c r="E32" s="4">
        <v>16</v>
      </c>
      <c r="F32" s="4">
        <f t="shared" si="0"/>
        <v>3</v>
      </c>
      <c r="G32" s="4">
        <f>'Material Proprieties'!N17</f>
        <v>0.5</v>
      </c>
      <c r="H32" s="4">
        <v>0.9</v>
      </c>
      <c r="I32" s="39">
        <f t="shared" si="1"/>
        <v>4</v>
      </c>
      <c r="J32" s="4">
        <v>1</v>
      </c>
      <c r="K32" s="9">
        <f>'Side structures'!O8</f>
        <v>0.91800000000000004</v>
      </c>
      <c r="L32" s="31">
        <f t="shared" si="2"/>
        <v>211.42082105173228</v>
      </c>
      <c r="M32" s="4">
        <f>'Side structures'!AC8</f>
        <v>1.28</v>
      </c>
      <c r="N32" s="4">
        <f>IF(M32='Material Proprieties'!$E$5,'Material Proprieties'!$C$5,IF(M32='Material Proprieties'!$E$6,'Material Proprieties'!$C$6,IF(M32='Material Proprieties'!$E$7,'Material Proprieties'!$C$7,IF(M32='Material Proprieties'!$E$8,'Material Proprieties'!$C$8,IF(M32='Material Proprieties'!$E$9,'Material Proprieties'!$C$9,0)))))</f>
        <v>315</v>
      </c>
      <c r="O32" s="30">
        <f t="shared" si="3"/>
        <v>197.6688408615621</v>
      </c>
      <c r="P32" s="30">
        <f t="shared" si="4"/>
        <v>61.166274791539166</v>
      </c>
      <c r="Q32" s="4">
        <f>'Neutral Axis Correction'!H31</f>
        <v>10.4</v>
      </c>
      <c r="R32" s="39">
        <f t="shared" si="5"/>
        <v>10.542840092875387</v>
      </c>
      <c r="S32" s="4">
        <f t="shared" si="8"/>
        <v>7.7000000000000011</v>
      </c>
      <c r="T32" s="39">
        <f t="shared" si="6"/>
        <v>10.542840092875387</v>
      </c>
      <c r="U32" s="4" t="str">
        <f t="shared" si="7"/>
        <v>OK</v>
      </c>
    </row>
    <row r="33" spans="2:21" ht="15.75" customHeight="1" x14ac:dyDescent="0.3">
      <c r="B33" s="170"/>
      <c r="C33" s="1">
        <v>13</v>
      </c>
      <c r="D33" s="4">
        <f>'Side structures'!J9</f>
        <v>13</v>
      </c>
      <c r="E33" s="4">
        <v>18</v>
      </c>
      <c r="F33" s="4">
        <f t="shared" si="0"/>
        <v>5</v>
      </c>
      <c r="G33" s="4">
        <f>'Material Proprieties'!N18</f>
        <v>0.5</v>
      </c>
      <c r="H33" s="4">
        <v>0.9</v>
      </c>
      <c r="I33" s="39">
        <f t="shared" si="1"/>
        <v>4</v>
      </c>
      <c r="J33" s="4">
        <v>1</v>
      </c>
      <c r="K33" s="9">
        <f>'Side structures'!O9</f>
        <v>0.91800000000000004</v>
      </c>
      <c r="L33" s="31">
        <f t="shared" si="2"/>
        <v>269.50104660600618</v>
      </c>
      <c r="M33" s="4">
        <f>'Side structures'!AC9</f>
        <v>1.28</v>
      </c>
      <c r="N33" s="4">
        <f>IF(M33='Material Proprieties'!$E$5,'Material Proprieties'!$C$5,IF(M33='Material Proprieties'!$E$6,'Material Proprieties'!$C$6,IF(M33='Material Proprieties'!$E$7,'Material Proprieties'!$C$7,IF(M33='Material Proprieties'!$E$8,'Material Proprieties'!$C$8,IF(M33='Material Proprieties'!$E$9,'Material Proprieties'!$C$9,0)))))</f>
        <v>315</v>
      </c>
      <c r="O33" s="30">
        <f t="shared" si="3"/>
        <v>222.95490291262132</v>
      </c>
      <c r="P33" s="30">
        <f t="shared" si="4"/>
        <v>99.894902159887081</v>
      </c>
      <c r="Q33" s="4">
        <f>'Neutral Axis Correction'!H32</f>
        <v>12.2</v>
      </c>
      <c r="R33" s="39">
        <f t="shared" si="5"/>
        <v>10.542840092875387</v>
      </c>
      <c r="S33" s="4">
        <f t="shared" si="8"/>
        <v>5.9000000000000021</v>
      </c>
      <c r="T33" s="39">
        <f t="shared" si="6"/>
        <v>10.542840092875387</v>
      </c>
      <c r="U33" s="4" t="str">
        <f t="shared" si="7"/>
        <v>OK</v>
      </c>
    </row>
    <row r="34" spans="2:21" ht="15.75" customHeight="1" x14ac:dyDescent="0.3">
      <c r="B34" s="170"/>
      <c r="C34" s="1">
        <v>14</v>
      </c>
      <c r="D34" s="4">
        <f>'Side structures'!J10</f>
        <v>11</v>
      </c>
      <c r="E34" s="4">
        <v>18</v>
      </c>
      <c r="F34" s="4">
        <f t="shared" si="0"/>
        <v>7</v>
      </c>
      <c r="G34" s="4">
        <f>'Material Proprieties'!N19</f>
        <v>1</v>
      </c>
      <c r="H34" s="4">
        <v>0.9</v>
      </c>
      <c r="I34" s="39">
        <f t="shared" si="1"/>
        <v>4</v>
      </c>
      <c r="J34" s="4">
        <v>1</v>
      </c>
      <c r="K34" s="9">
        <f>'Side structures'!O10</f>
        <v>0.72499999999999998</v>
      </c>
      <c r="L34" s="31">
        <f t="shared" si="2"/>
        <v>407.74772889417358</v>
      </c>
      <c r="M34" s="4">
        <v>1.39</v>
      </c>
      <c r="N34" s="4">
        <f>IF(M34='Material Proprieties'!$E$5,'Material Proprieties'!$C$5,IF(M34='Material Proprieties'!$E$6,'Material Proprieties'!$C$6,IF(M34='Material Proprieties'!$E$7,'Material Proprieties'!$C$7,IF(M34='Material Proprieties'!$E$8,'Material Proprieties'!$C$8,IF(M34='Material Proprieties'!$E$9,'Material Proprieties'!$C$9,0)))))</f>
        <v>355</v>
      </c>
      <c r="O34" s="30">
        <f t="shared" si="3"/>
        <v>277.73102271974369</v>
      </c>
      <c r="P34" s="30">
        <f t="shared" si="4"/>
        <v>138.62352952823505</v>
      </c>
      <c r="Q34" s="4">
        <f>'Neutral Axis Correction'!H33</f>
        <v>14</v>
      </c>
      <c r="R34" s="39">
        <f t="shared" si="5"/>
        <v>10.542840092875387</v>
      </c>
      <c r="S34" s="4">
        <f t="shared" si="8"/>
        <v>4.1000000000000014</v>
      </c>
      <c r="T34" s="39">
        <f t="shared" si="6"/>
        <v>10.542840092875387</v>
      </c>
      <c r="U34" s="4" t="str">
        <f t="shared" si="7"/>
        <v>OK</v>
      </c>
    </row>
    <row r="35" spans="2:21" ht="15.75" customHeight="1" x14ac:dyDescent="0.3">
      <c r="B35" s="167"/>
      <c r="C35" s="1">
        <v>15</v>
      </c>
      <c r="D35" s="4">
        <f>'Side structures'!J11</f>
        <v>10</v>
      </c>
      <c r="E35" s="4">
        <v>25</v>
      </c>
      <c r="F35" s="4">
        <f t="shared" si="0"/>
        <v>15</v>
      </c>
      <c r="G35" s="4">
        <f>'Material Proprieties'!N20</f>
        <v>1</v>
      </c>
      <c r="H35" s="4">
        <v>0.9</v>
      </c>
      <c r="I35" s="39">
        <f t="shared" si="1"/>
        <v>4</v>
      </c>
      <c r="J35" s="4">
        <v>1</v>
      </c>
      <c r="K35" s="9">
        <f>'Side structures'!O11</f>
        <v>0.72499999999999998</v>
      </c>
      <c r="L35" s="31">
        <f t="shared" si="2"/>
        <v>812.67367419738412</v>
      </c>
      <c r="M35" s="4">
        <v>1.39</v>
      </c>
      <c r="N35" s="4">
        <f>IF(M35='Material Proprieties'!$E$5,'Material Proprieties'!$C$5,IF(M35='Material Proprieties'!$E$6,'Material Proprieties'!$C$6,IF(M35='Material Proprieties'!$E$7,'Material Proprieties'!$C$7,IF(M35='Material Proprieties'!$E$8,'Material Proprieties'!$C$8,IF(M35='Material Proprieties'!$E$9,'Material Proprieties'!$C$9,0)))))</f>
        <v>355</v>
      </c>
      <c r="O35" s="30">
        <f t="shared" si="3"/>
        <v>316.23136382987144</v>
      </c>
      <c r="P35" s="30">
        <f t="shared" si="4"/>
        <v>177.35215689658301</v>
      </c>
      <c r="Q35" s="4">
        <f>'Neutral Axis Correction'!H34</f>
        <v>15.8</v>
      </c>
      <c r="R35" s="39">
        <f t="shared" si="5"/>
        <v>10.542840092875387</v>
      </c>
      <c r="S35" s="4">
        <f t="shared" si="8"/>
        <v>2.3000000000000007</v>
      </c>
      <c r="T35" s="39">
        <f t="shared" si="6"/>
        <v>10.542840092875387</v>
      </c>
      <c r="U35" s="4" t="str">
        <f t="shared" si="7"/>
        <v>OK</v>
      </c>
    </row>
    <row r="36" spans="2:21" ht="15.75" customHeight="1" x14ac:dyDescent="0.3">
      <c r="B36" s="49" t="s">
        <v>252</v>
      </c>
      <c r="C36" s="1">
        <v>16</v>
      </c>
      <c r="D36" s="4">
        <f>'Side structures'!J17</f>
        <v>11</v>
      </c>
      <c r="E36" s="4">
        <v>25</v>
      </c>
      <c r="F36" s="4">
        <f t="shared" si="0"/>
        <v>14</v>
      </c>
      <c r="G36" s="4">
        <f>'Material Proprieties'!N21</f>
        <v>2</v>
      </c>
      <c r="H36" s="4">
        <v>0.9</v>
      </c>
      <c r="I36" s="39">
        <f t="shared" si="1"/>
        <v>4</v>
      </c>
      <c r="J36" s="4">
        <v>1</v>
      </c>
      <c r="K36" s="9">
        <f>K35</f>
        <v>0.72499999999999998</v>
      </c>
      <c r="L36" s="31">
        <f t="shared" si="2"/>
        <v>746.36175980975042</v>
      </c>
      <c r="M36" s="4">
        <v>1.47</v>
      </c>
      <c r="N36" s="4">
        <f>IF(M36='Material Proprieties'!$E$5,'Material Proprieties'!$C$5,IF(M36='Material Proprieties'!$E$6,'Material Proprieties'!$C$6,IF(M36='Material Proprieties'!$E$7,'Material Proprieties'!$C$7,IF(M36='Material Proprieties'!$E$8,'Material Proprieties'!$C$8,IF(M36='Material Proprieties'!$E$9,'Material Proprieties'!$C$9,0)))))</f>
        <v>390</v>
      </c>
      <c r="O36" s="30">
        <f t="shared" si="3"/>
        <v>339.05285607117298</v>
      </c>
      <c r="P36" s="30">
        <f t="shared" si="4"/>
        <v>211.77760344622556</v>
      </c>
      <c r="Q36" s="4">
        <f>'Neutral Axis Correction'!H35</f>
        <v>17.399999999999999</v>
      </c>
      <c r="R36" s="39">
        <f t="shared" si="5"/>
        <v>10.542840092875387</v>
      </c>
      <c r="S36" s="4">
        <f t="shared" si="8"/>
        <v>0.70000000000000284</v>
      </c>
      <c r="T36" s="39">
        <f t="shared" si="6"/>
        <v>10.542840092875387</v>
      </c>
      <c r="U36" s="4" t="str">
        <f t="shared" si="7"/>
        <v>OK</v>
      </c>
    </row>
    <row r="37" spans="2:21" ht="15.75" customHeight="1" x14ac:dyDescent="0.3">
      <c r="B37" s="165" t="s">
        <v>278</v>
      </c>
      <c r="C37" s="1">
        <v>17</v>
      </c>
      <c r="D37" s="4">
        <f>'Deck structures'!L7</f>
        <v>12</v>
      </c>
      <c r="E37" s="4">
        <v>25</v>
      </c>
      <c r="F37" s="4">
        <f t="shared" si="0"/>
        <v>13</v>
      </c>
      <c r="G37" s="4">
        <f>'Material Proprieties'!N22</f>
        <v>2</v>
      </c>
      <c r="H37" s="4">
        <v>1</v>
      </c>
      <c r="I37" s="39">
        <f t="shared" si="1"/>
        <v>4</v>
      </c>
      <c r="J37" s="4">
        <v>1</v>
      </c>
      <c r="K37" s="4">
        <f>'Deck structures'!Q7</f>
        <v>0.86499999999999999</v>
      </c>
      <c r="L37" s="31">
        <f t="shared" si="2"/>
        <v>524.31608139262926</v>
      </c>
      <c r="M37" s="4">
        <v>1.47</v>
      </c>
      <c r="N37" s="4">
        <f>IF(M37='Material Proprieties'!$E$5,'Material Proprieties'!$C$5,IF(M37='Material Proprieties'!$E$6,'Material Proprieties'!$C$6,IF(M37='Material Proprieties'!$E$7,'Material Proprieties'!$C$7,IF(M37='Material Proprieties'!$E$8,'Material Proprieties'!$C$8,IF(M37='Material Proprieties'!$E$9,'Material Proprieties'!$C$9,0)))))</f>
        <v>390</v>
      </c>
      <c r="O37" s="30">
        <f t="shared" si="3"/>
        <v>317.47695264466756</v>
      </c>
      <c r="P37" s="30">
        <f t="shared" si="4"/>
        <v>226.83873631169428</v>
      </c>
      <c r="Q37" s="4">
        <f>'Neutral Axis Correction'!H36</f>
        <v>18.100000000000001</v>
      </c>
      <c r="R37" s="39">
        <f t="shared" si="5"/>
        <v>10.542840092875387</v>
      </c>
      <c r="S37" s="4">
        <f t="shared" si="8"/>
        <v>0</v>
      </c>
      <c r="T37" s="39">
        <f t="shared" si="6"/>
        <v>10.542840092875387</v>
      </c>
      <c r="U37" s="4" t="str">
        <f t="shared" si="7"/>
        <v>OK</v>
      </c>
    </row>
    <row r="38" spans="2:21" ht="15.75" customHeight="1" x14ac:dyDescent="0.3">
      <c r="B38" s="170"/>
      <c r="C38" s="1">
        <v>18</v>
      </c>
      <c r="D38" s="4">
        <f>'Deck structures'!L8</f>
        <v>12</v>
      </c>
      <c r="E38" s="4">
        <v>25</v>
      </c>
      <c r="F38" s="4">
        <f t="shared" si="0"/>
        <v>13</v>
      </c>
      <c r="G38" s="4">
        <f>'Material Proprieties'!N23</f>
        <v>2</v>
      </c>
      <c r="H38" s="4">
        <v>1</v>
      </c>
      <c r="I38" s="39">
        <f t="shared" si="1"/>
        <v>4</v>
      </c>
      <c r="J38" s="4">
        <v>1</v>
      </c>
      <c r="K38" s="4">
        <f>'Deck structures'!Q8</f>
        <v>0.86499999999999999</v>
      </c>
      <c r="L38" s="31">
        <f t="shared" si="2"/>
        <v>524.31608139262926</v>
      </c>
      <c r="M38" s="4">
        <v>1.47</v>
      </c>
      <c r="N38" s="4">
        <f>IF(M38='Material Proprieties'!$E$5,'Material Proprieties'!$C$5,IF(M38='Material Proprieties'!$E$6,'Material Proprieties'!$C$6,IF(M38='Material Proprieties'!$E$7,'Material Proprieties'!$C$7,IF(M38='Material Proprieties'!$E$8,'Material Proprieties'!$C$8,IF(M38='Material Proprieties'!$E$9,'Material Proprieties'!$C$9,0)))))</f>
        <v>390</v>
      </c>
      <c r="O38" s="30">
        <f t="shared" si="3"/>
        <v>317.47695264466756</v>
      </c>
      <c r="P38" s="30">
        <f t="shared" si="4"/>
        <v>226.83873631169428</v>
      </c>
      <c r="Q38" s="4">
        <f>'Neutral Axis Correction'!H37</f>
        <v>18.100000000000001</v>
      </c>
      <c r="R38" s="39">
        <f t="shared" si="5"/>
        <v>10.542840092875387</v>
      </c>
      <c r="S38" s="4">
        <f t="shared" si="8"/>
        <v>0</v>
      </c>
      <c r="T38" s="39">
        <f t="shared" si="6"/>
        <v>10.542840092875387</v>
      </c>
      <c r="U38" s="4" t="str">
        <f t="shared" si="7"/>
        <v>OK</v>
      </c>
    </row>
    <row r="39" spans="2:21" ht="15.75" customHeight="1" x14ac:dyDescent="0.3">
      <c r="B39" s="170"/>
      <c r="C39" s="1">
        <v>19</v>
      </c>
      <c r="D39" s="4">
        <f>'Deck structures'!L9</f>
        <v>12</v>
      </c>
      <c r="E39" s="4">
        <v>25</v>
      </c>
      <c r="F39" s="4">
        <f t="shared" si="0"/>
        <v>13</v>
      </c>
      <c r="G39" s="4">
        <f>'Material Proprieties'!N24</f>
        <v>2</v>
      </c>
      <c r="H39" s="4">
        <v>1</v>
      </c>
      <c r="I39" s="39">
        <f t="shared" si="1"/>
        <v>4</v>
      </c>
      <c r="J39" s="4">
        <v>1</v>
      </c>
      <c r="K39" s="4">
        <f>'Deck structures'!Q9</f>
        <v>0.86499999999999999</v>
      </c>
      <c r="L39" s="31">
        <f t="shared" si="2"/>
        <v>524.31608139262926</v>
      </c>
      <c r="M39" s="4">
        <v>1.47</v>
      </c>
      <c r="N39" s="4">
        <f>IF(M39='Material Proprieties'!$E$5,'Material Proprieties'!$C$5,IF(M39='Material Proprieties'!$E$6,'Material Proprieties'!$C$6,IF(M39='Material Proprieties'!$E$7,'Material Proprieties'!$C$7,IF(M39='Material Proprieties'!$E$8,'Material Proprieties'!$C$8,IF(M39='Material Proprieties'!$E$9,'Material Proprieties'!$C$9,0)))))</f>
        <v>390</v>
      </c>
      <c r="O39" s="30">
        <f t="shared" si="3"/>
        <v>317.47695264466756</v>
      </c>
      <c r="P39" s="30">
        <f t="shared" si="4"/>
        <v>226.83873631169428</v>
      </c>
      <c r="Q39" s="4">
        <f>'Neutral Axis Correction'!H38</f>
        <v>18.100000000000001</v>
      </c>
      <c r="R39" s="39">
        <f t="shared" si="5"/>
        <v>10.542840092875387</v>
      </c>
      <c r="S39" s="4">
        <f t="shared" si="8"/>
        <v>0</v>
      </c>
      <c r="T39" s="39">
        <f t="shared" si="6"/>
        <v>10.542840092875387</v>
      </c>
      <c r="U39" s="4" t="str">
        <f t="shared" si="7"/>
        <v>OK</v>
      </c>
    </row>
    <row r="40" spans="2:21" ht="15.75" customHeight="1" x14ac:dyDescent="0.3">
      <c r="B40" s="170"/>
      <c r="C40" s="1">
        <v>20</v>
      </c>
      <c r="D40" s="4">
        <f>'Deck structures'!L10</f>
        <v>12</v>
      </c>
      <c r="E40" s="4">
        <v>25</v>
      </c>
      <c r="F40" s="4">
        <f t="shared" si="0"/>
        <v>13</v>
      </c>
      <c r="G40" s="4">
        <f>'Material Proprieties'!N25</f>
        <v>2</v>
      </c>
      <c r="H40" s="4">
        <v>1</v>
      </c>
      <c r="I40" s="39">
        <f t="shared" si="1"/>
        <v>4</v>
      </c>
      <c r="J40" s="4">
        <v>1</v>
      </c>
      <c r="K40" s="4">
        <f>'Deck structures'!Q10</f>
        <v>0.86499999999999999</v>
      </c>
      <c r="L40" s="31">
        <f t="shared" si="2"/>
        <v>524.31608139262926</v>
      </c>
      <c r="M40" s="4">
        <v>1.47</v>
      </c>
      <c r="N40" s="4">
        <f>IF(M40='Material Proprieties'!$E$5,'Material Proprieties'!$C$5,IF(M40='Material Proprieties'!$E$6,'Material Proprieties'!$C$6,IF(M40='Material Proprieties'!$E$7,'Material Proprieties'!$C$7,IF(M40='Material Proprieties'!$E$8,'Material Proprieties'!$C$8,IF(M40='Material Proprieties'!$E$9,'Material Proprieties'!$C$9,0)))))</f>
        <v>390</v>
      </c>
      <c r="O40" s="30">
        <f t="shared" si="3"/>
        <v>317.47695264466756</v>
      </c>
      <c r="P40" s="30">
        <f t="shared" si="4"/>
        <v>226.83873631169428</v>
      </c>
      <c r="Q40" s="4">
        <f>'Neutral Axis Correction'!H39</f>
        <v>18.100000000000001</v>
      </c>
      <c r="R40" s="39">
        <f t="shared" si="5"/>
        <v>10.542840092875387</v>
      </c>
      <c r="S40" s="4">
        <f t="shared" si="8"/>
        <v>0</v>
      </c>
      <c r="T40" s="39">
        <f t="shared" si="6"/>
        <v>10.542840092875387</v>
      </c>
      <c r="U40" s="4" t="str">
        <f t="shared" si="7"/>
        <v>OK</v>
      </c>
    </row>
    <row r="41" spans="2:21" ht="15.75" customHeight="1" x14ac:dyDescent="0.3">
      <c r="B41" s="167"/>
      <c r="C41" s="1">
        <v>21</v>
      </c>
      <c r="D41" s="4">
        <f>'Deck structures'!L11</f>
        <v>12</v>
      </c>
      <c r="E41" s="4">
        <v>25</v>
      </c>
      <c r="F41" s="4">
        <f t="shared" si="0"/>
        <v>13</v>
      </c>
      <c r="G41" s="4">
        <f>'Material Proprieties'!N26</f>
        <v>2</v>
      </c>
      <c r="H41" s="4">
        <v>1</v>
      </c>
      <c r="I41" s="39">
        <f t="shared" si="1"/>
        <v>4</v>
      </c>
      <c r="J41" s="4">
        <v>1</v>
      </c>
      <c r="K41" s="4">
        <f>'Deck structures'!Q11</f>
        <v>0.86499999999999999</v>
      </c>
      <c r="L41" s="31">
        <f t="shared" si="2"/>
        <v>524.31608139262926</v>
      </c>
      <c r="M41" s="4">
        <v>1.47</v>
      </c>
      <c r="N41" s="4">
        <f>IF(M41='Material Proprieties'!$E$5,'Material Proprieties'!$C$5,IF(M41='Material Proprieties'!$E$6,'Material Proprieties'!$C$6,IF(M41='Material Proprieties'!$E$7,'Material Proprieties'!$C$7,IF(M41='Material Proprieties'!$E$8,'Material Proprieties'!$C$8,IF(M41='Material Proprieties'!$E$9,'Material Proprieties'!$C$9,0)))))</f>
        <v>390</v>
      </c>
      <c r="O41" s="30">
        <f t="shared" si="3"/>
        <v>317.47695264466756</v>
      </c>
      <c r="P41" s="30">
        <f t="shared" si="4"/>
        <v>226.83873631169428</v>
      </c>
      <c r="Q41" s="4">
        <f>'Neutral Axis Correction'!H40</f>
        <v>18.100000000000001</v>
      </c>
      <c r="R41" s="39">
        <f t="shared" si="5"/>
        <v>10.542840092875387</v>
      </c>
      <c r="S41" s="4">
        <f t="shared" si="8"/>
        <v>0</v>
      </c>
      <c r="T41" s="39">
        <f t="shared" si="6"/>
        <v>10.542840092875387</v>
      </c>
      <c r="U41" s="4" t="str">
        <f t="shared" si="7"/>
        <v>OK</v>
      </c>
    </row>
    <row r="42" spans="2:21" ht="15.75" customHeight="1" x14ac:dyDescent="0.3">
      <c r="B42" s="49" t="s">
        <v>281</v>
      </c>
      <c r="C42" s="1">
        <v>22</v>
      </c>
      <c r="D42" s="4">
        <f>'Deck structures'!L17</f>
        <v>12</v>
      </c>
      <c r="E42" s="4">
        <v>24</v>
      </c>
      <c r="F42" s="4">
        <f t="shared" si="0"/>
        <v>12</v>
      </c>
      <c r="G42" s="4">
        <f>'Material Proprieties'!N27</f>
        <v>2</v>
      </c>
      <c r="H42" s="4">
        <v>1</v>
      </c>
      <c r="I42" s="39">
        <f t="shared" si="1"/>
        <v>4</v>
      </c>
      <c r="J42" s="4">
        <v>1</v>
      </c>
      <c r="K42" s="4">
        <f>'Deck structures'!Q17</f>
        <v>0.75</v>
      </c>
      <c r="L42" s="31">
        <f t="shared" si="2"/>
        <v>638.10559999999998</v>
      </c>
      <c r="M42" s="4">
        <v>1.47</v>
      </c>
      <c r="N42" s="4">
        <f>IF(M42='Material Proprieties'!$E$5,'Material Proprieties'!$C$5,IF(M42='Material Proprieties'!$E$6,'Material Proprieties'!$C$6,IF(M42='Material Proprieties'!$E$7,'Material Proprieties'!$C$7,IF(M42='Material Proprieties'!$E$8,'Material Proprieties'!$C$8,IF(M42='Material Proprieties'!$E$9,'Material Proprieties'!$C$9,0)))))</f>
        <v>390</v>
      </c>
      <c r="O42" s="30">
        <f t="shared" si="3"/>
        <v>330.4095497673112</v>
      </c>
      <c r="P42" s="30">
        <f t="shared" si="4"/>
        <v>210.70180824154934</v>
      </c>
      <c r="Q42" s="4">
        <f>'Neutral Axis Correction'!H41</f>
        <v>18.850000000000001</v>
      </c>
      <c r="R42" s="39">
        <f t="shared" si="5"/>
        <v>10.542840092875387</v>
      </c>
      <c r="S42" s="4">
        <f t="shared" si="8"/>
        <v>0.75</v>
      </c>
      <c r="T42" s="39">
        <f t="shared" si="6"/>
        <v>10.542840092875387</v>
      </c>
      <c r="U42" s="4" t="str">
        <f t="shared" si="7"/>
        <v>OK</v>
      </c>
    </row>
    <row r="43" spans="2:21" ht="15.75" customHeight="1" x14ac:dyDescent="0.3">
      <c r="B43" s="165" t="s">
        <v>280</v>
      </c>
      <c r="C43" s="1">
        <v>23</v>
      </c>
      <c r="D43" s="4">
        <f>'Deck structures'!L18</f>
        <v>12</v>
      </c>
      <c r="E43" s="4">
        <v>24</v>
      </c>
      <c r="F43" s="4">
        <f t="shared" si="0"/>
        <v>12</v>
      </c>
      <c r="G43" s="4">
        <f>'Material Proprieties'!N28</f>
        <v>2</v>
      </c>
      <c r="H43" s="4">
        <v>1</v>
      </c>
      <c r="I43" s="39">
        <f t="shared" si="1"/>
        <v>4</v>
      </c>
      <c r="J43" s="4">
        <v>1</v>
      </c>
      <c r="K43" s="4">
        <f>'Deck structures'!Q18</f>
        <v>0.4</v>
      </c>
      <c r="L43" s="31">
        <f t="shared" si="2"/>
        <v>2243.34</v>
      </c>
      <c r="M43" s="4">
        <v>1.47</v>
      </c>
      <c r="N43" s="4">
        <f>IF(M43='Material Proprieties'!$E$5,'Material Proprieties'!$C$5,IF(M43='Material Proprieties'!$E$6,'Material Proprieties'!$C$6,IF(M43='Material Proprieties'!$E$7,'Material Proprieties'!$C$7,IF(M43='Material Proprieties'!$E$8,'Material Proprieties'!$C$8,IF(M43='Material Proprieties'!$E$9,'Material Proprieties'!$C$9,0)))))</f>
        <v>390</v>
      </c>
      <c r="O43" s="30">
        <f t="shared" si="3"/>
        <v>373.04982748936851</v>
      </c>
      <c r="P43" s="30">
        <f t="shared" si="4"/>
        <v>218.23237467428356</v>
      </c>
      <c r="Q43" s="4">
        <f>'Neutral Axis Correction'!H42</f>
        <v>17.7</v>
      </c>
      <c r="R43" s="39">
        <f t="shared" si="5"/>
        <v>10.542840092875387</v>
      </c>
      <c r="S43" s="4">
        <f t="shared" si="8"/>
        <v>0.40000000000000213</v>
      </c>
      <c r="T43" s="39">
        <f t="shared" si="6"/>
        <v>10.542840092875387</v>
      </c>
      <c r="U43" s="4" t="str">
        <f t="shared" si="7"/>
        <v>OK</v>
      </c>
    </row>
    <row r="44" spans="2:21" ht="15.75" customHeight="1" x14ac:dyDescent="0.3">
      <c r="B44" s="171"/>
      <c r="C44" s="1">
        <v>24</v>
      </c>
      <c r="D44" s="4">
        <f>'Deck structures'!L19</f>
        <v>12</v>
      </c>
      <c r="E44" s="4">
        <v>24</v>
      </c>
      <c r="F44" s="4">
        <f t="shared" si="0"/>
        <v>12</v>
      </c>
      <c r="G44" s="4">
        <f>'Material Proprieties'!N29</f>
        <v>2</v>
      </c>
      <c r="H44" s="4">
        <v>1</v>
      </c>
      <c r="I44" s="39">
        <f t="shared" si="1"/>
        <v>4</v>
      </c>
      <c r="J44" s="4">
        <v>1</v>
      </c>
      <c r="K44" s="4">
        <f>'Deck structures'!Q19</f>
        <v>0.91</v>
      </c>
      <c r="L44" s="31">
        <f t="shared" si="2"/>
        <v>433.44330394879847</v>
      </c>
      <c r="M44" s="4">
        <v>1.47</v>
      </c>
      <c r="N44" s="4">
        <f>IF(M44='Material Proprieties'!$E$5,'Material Proprieties'!$C$5,IF(M44='Material Proprieties'!$E$6,'Material Proprieties'!$C$6,IF(M44='Material Proprieties'!$E$7,'Material Proprieties'!$C$7,IF(M44='Material Proprieties'!$E$8,'Material Proprieties'!$C$8,IF(M44='Material Proprieties'!$E$9,'Material Proprieties'!$C$9,0)))))</f>
        <v>390</v>
      </c>
      <c r="O44" s="30">
        <f t="shared" si="3"/>
        <v>302.27226339966302</v>
      </c>
      <c r="P44" s="30">
        <f t="shared" si="4"/>
        <v>196.17857297841883</v>
      </c>
      <c r="Q44" s="4">
        <f>'Neutral Axis Correction'!H43</f>
        <v>16.675000000000001</v>
      </c>
      <c r="R44" s="39">
        <f t="shared" si="5"/>
        <v>10.542840092875387</v>
      </c>
      <c r="S44" s="4">
        <f t="shared" si="8"/>
        <v>1.4250000000000007</v>
      </c>
      <c r="T44" s="39">
        <f t="shared" si="6"/>
        <v>10.542840092875387</v>
      </c>
      <c r="U44" s="4" t="str">
        <f t="shared" si="7"/>
        <v>OK</v>
      </c>
    </row>
    <row r="45" spans="2:21" ht="15.75" customHeight="1" x14ac:dyDescent="0.3">
      <c r="B45" s="171"/>
      <c r="C45" s="1">
        <v>25</v>
      </c>
      <c r="D45" s="4">
        <f>'Deck structures'!L20</f>
        <v>12</v>
      </c>
      <c r="E45" s="4">
        <v>24</v>
      </c>
      <c r="F45" s="4">
        <f t="shared" si="0"/>
        <v>12</v>
      </c>
      <c r="G45" s="4">
        <f>'Material Proprieties'!N30</f>
        <v>1.5</v>
      </c>
      <c r="H45" s="4">
        <v>1</v>
      </c>
      <c r="I45" s="39">
        <f t="shared" si="1"/>
        <v>4</v>
      </c>
      <c r="J45" s="4">
        <v>1</v>
      </c>
      <c r="K45" s="4">
        <f>'Deck structures'!Q20</f>
        <v>0.91</v>
      </c>
      <c r="L45" s="31">
        <f t="shared" si="2"/>
        <v>453.36915831421322</v>
      </c>
      <c r="M45" s="4">
        <v>1.47</v>
      </c>
      <c r="N45" s="4">
        <f>IF(M45='Material Proprieties'!$E$5,'Material Proprieties'!$C$5,IF(M45='Material Proprieties'!$E$6,'Material Proprieties'!$C$6,IF(M45='Material Proprieties'!$E$7,'Material Proprieties'!$C$7,IF(M45='Material Proprieties'!$E$8,'Material Proprieties'!$C$8,IF(M45='Material Proprieties'!$E$9,'Material Proprieties'!$C$9,0)))))</f>
        <v>390</v>
      </c>
      <c r="O45" s="30">
        <f t="shared" si="3"/>
        <v>306.1279515761716</v>
      </c>
      <c r="P45" s="30">
        <f t="shared" si="4"/>
        <v>169.3912723819781</v>
      </c>
      <c r="Q45" s="4">
        <f>'Neutral Axis Correction'!H44</f>
        <v>15.43</v>
      </c>
      <c r="R45" s="39">
        <f t="shared" si="5"/>
        <v>10.542840092875387</v>
      </c>
      <c r="S45" s="4">
        <f t="shared" si="8"/>
        <v>2.6700000000000017</v>
      </c>
      <c r="T45" s="39">
        <f t="shared" si="6"/>
        <v>10.542840092875387</v>
      </c>
      <c r="U45" s="4" t="str">
        <f t="shared" si="7"/>
        <v>OK</v>
      </c>
    </row>
    <row r="46" spans="2:21" ht="15.75" customHeight="1" x14ac:dyDescent="0.3">
      <c r="B46" s="171"/>
      <c r="C46" s="1">
        <v>26</v>
      </c>
      <c r="D46" s="4">
        <f>'Deck structures'!L21</f>
        <v>12</v>
      </c>
      <c r="E46" s="4">
        <v>24</v>
      </c>
      <c r="F46" s="4">
        <f t="shared" si="0"/>
        <v>12</v>
      </c>
      <c r="G46" s="4">
        <f>'Material Proprieties'!N31</f>
        <v>1.5</v>
      </c>
      <c r="H46" s="4">
        <v>1</v>
      </c>
      <c r="I46" s="39">
        <f t="shared" si="1"/>
        <v>4</v>
      </c>
      <c r="J46" s="4">
        <v>1</v>
      </c>
      <c r="K46" s="4">
        <f>'Deck structures'!Q21</f>
        <v>0.91</v>
      </c>
      <c r="L46" s="31">
        <f t="shared" si="2"/>
        <v>453.36915831421322</v>
      </c>
      <c r="M46" s="4">
        <v>1.47</v>
      </c>
      <c r="N46" s="4">
        <f>IF(M46='Material Proprieties'!$E$5,'Material Proprieties'!$C$5,IF(M46='Material Proprieties'!$E$6,'Material Proprieties'!$C$6,IF(M46='Material Proprieties'!$E$7,'Material Proprieties'!$C$7,IF(M46='Material Proprieties'!$E$8,'Material Proprieties'!$C$8,IF(M46='Material Proprieties'!$E$9,'Material Proprieties'!$C$9,0)))))</f>
        <v>390</v>
      </c>
      <c r="O46" s="30">
        <f t="shared" si="3"/>
        <v>306.1279515761716</v>
      </c>
      <c r="P46" s="30">
        <f t="shared" si="4"/>
        <v>142.92671034694035</v>
      </c>
      <c r="Q46" s="4">
        <f>'Neutral Axis Correction'!H45</f>
        <v>14.2</v>
      </c>
      <c r="R46" s="39">
        <f t="shared" si="5"/>
        <v>10.542840092875387</v>
      </c>
      <c r="S46" s="4">
        <f t="shared" si="8"/>
        <v>3.9000000000000021</v>
      </c>
      <c r="T46" s="39">
        <f t="shared" si="6"/>
        <v>10.542840092875387</v>
      </c>
      <c r="U46" s="4" t="str">
        <f t="shared" si="7"/>
        <v>OK</v>
      </c>
    </row>
    <row r="47" spans="2:21" ht="15.75" customHeight="1" x14ac:dyDescent="0.3">
      <c r="B47" s="172"/>
      <c r="C47" s="1">
        <v>27</v>
      </c>
      <c r="D47" s="4">
        <f>'Deck structures'!L22</f>
        <v>12</v>
      </c>
      <c r="E47" s="4">
        <v>24</v>
      </c>
      <c r="F47" s="4">
        <f t="shared" si="0"/>
        <v>12</v>
      </c>
      <c r="G47" s="4">
        <f>'Material Proprieties'!N32</f>
        <v>1.5</v>
      </c>
      <c r="H47" s="4">
        <v>1</v>
      </c>
      <c r="I47" s="39">
        <f t="shared" si="1"/>
        <v>4</v>
      </c>
      <c r="J47" s="4">
        <v>1</v>
      </c>
      <c r="K47" s="4">
        <f>'Deck structures'!Q22</f>
        <v>0.91</v>
      </c>
      <c r="L47" s="31">
        <f t="shared" si="2"/>
        <v>453.36915831421322</v>
      </c>
      <c r="M47" s="4">
        <v>1.47</v>
      </c>
      <c r="N47" s="4">
        <f>IF(M47='Material Proprieties'!$E$5,'Material Proprieties'!$C$5,IF(M47='Material Proprieties'!$E$6,'Material Proprieties'!$C$6,IF(M47='Material Proprieties'!$E$7,'Material Proprieties'!$C$7,IF(M47='Material Proprieties'!$E$8,'Material Proprieties'!$C$8,IF(M47='Material Proprieties'!$E$9,'Material Proprieties'!$C$9,0)))))</f>
        <v>390</v>
      </c>
      <c r="O47" s="30">
        <f t="shared" si="3"/>
        <v>306.1279515761716</v>
      </c>
      <c r="P47" s="30">
        <f t="shared" si="4"/>
        <v>115.60151214816153</v>
      </c>
      <c r="Q47" s="4">
        <f>'Neutral Axis Correction'!H46</f>
        <v>12.93</v>
      </c>
      <c r="R47" s="39">
        <f t="shared" si="5"/>
        <v>10.542840092875387</v>
      </c>
      <c r="S47" s="4">
        <f t="shared" si="8"/>
        <v>5.1700000000000017</v>
      </c>
      <c r="T47" s="39">
        <f t="shared" si="6"/>
        <v>10.542840092875387</v>
      </c>
      <c r="U47" s="4" t="str">
        <f t="shared" si="7"/>
        <v>OK</v>
      </c>
    </row>
    <row r="48" spans="2:21" ht="15.75" customHeight="1" x14ac:dyDescent="0.3"/>
    <row r="49" spans="2:18" ht="15.75" customHeight="1" x14ac:dyDescent="0.3">
      <c r="B49" s="287" t="s">
        <v>550</v>
      </c>
      <c r="C49" s="288"/>
      <c r="D49" s="288"/>
      <c r="E49" s="288"/>
      <c r="F49" s="288"/>
      <c r="G49" s="289"/>
      <c r="J49" s="201" t="s">
        <v>548</v>
      </c>
      <c r="K49" s="293"/>
      <c r="L49" s="293"/>
      <c r="M49" s="294"/>
    </row>
    <row r="50" spans="2:18" ht="15.75" customHeight="1" x14ac:dyDescent="0.3">
      <c r="B50" s="174"/>
      <c r="C50" s="176"/>
      <c r="D50" s="290" t="s">
        <v>363</v>
      </c>
      <c r="E50" s="291"/>
      <c r="F50" s="292"/>
      <c r="G50" s="295" t="s">
        <v>157</v>
      </c>
      <c r="J50" s="50" t="s">
        <v>69</v>
      </c>
      <c r="K50" s="5">
        <f>'Material Proprieties'!C13</f>
        <v>206000</v>
      </c>
      <c r="L50" s="5" t="str">
        <f>'Material Proprieties'!D13</f>
        <v>N/mm^2</v>
      </c>
      <c r="M50" s="5"/>
    </row>
    <row r="51" spans="2:18" ht="15.75" customHeight="1" x14ac:dyDescent="0.3">
      <c r="B51" s="175"/>
      <c r="C51" s="177"/>
      <c r="D51" s="280"/>
      <c r="E51" s="281"/>
      <c r="F51" s="282"/>
      <c r="G51" s="275"/>
      <c r="J51" s="50" t="s">
        <v>200</v>
      </c>
      <c r="K51" s="33">
        <f>'Neutral Axis Correction partII'!T41</f>
        <v>7.5571599071246149</v>
      </c>
      <c r="L51" s="5" t="s">
        <v>247</v>
      </c>
      <c r="M51" s="5"/>
    </row>
    <row r="52" spans="2:18" ht="15.75" customHeight="1" x14ac:dyDescent="0.3">
      <c r="B52" s="165"/>
      <c r="C52" s="4" t="s">
        <v>155</v>
      </c>
      <c r="D52" s="4" t="s">
        <v>367</v>
      </c>
      <c r="E52" s="4" t="s">
        <v>368</v>
      </c>
      <c r="F52" s="4" t="s">
        <v>369</v>
      </c>
      <c r="G52" s="4" t="s">
        <v>64</v>
      </c>
      <c r="H52" s="11"/>
      <c r="I52" s="11"/>
      <c r="J52" s="50" t="s">
        <v>315</v>
      </c>
      <c r="K52" s="37">
        <f>'Neutral Axis Correction partII'!T42</f>
        <v>226.17952909864951</v>
      </c>
      <c r="L52" s="5" t="s">
        <v>316</v>
      </c>
      <c r="M52" s="5"/>
      <c r="N52" s="11"/>
      <c r="O52" s="11"/>
      <c r="P52" s="11"/>
      <c r="R52" s="11"/>
    </row>
    <row r="53" spans="2:18" ht="15.75" customHeight="1" x14ac:dyDescent="0.3">
      <c r="B53" s="172"/>
      <c r="C53" s="4" t="s">
        <v>164</v>
      </c>
      <c r="D53" s="4" t="s">
        <v>30</v>
      </c>
      <c r="E53" s="4" t="s">
        <v>30</v>
      </c>
      <c r="F53" s="4" t="s">
        <v>30</v>
      </c>
      <c r="G53" s="4" t="s">
        <v>37</v>
      </c>
      <c r="H53" s="11"/>
      <c r="J53" s="50" t="s">
        <v>364</v>
      </c>
      <c r="K53" s="37">
        <f>'Longitudinal design strenght'!G28</f>
        <v>2081866.5706772818</v>
      </c>
      <c r="L53" s="5" t="s">
        <v>365</v>
      </c>
      <c r="M53" s="173" t="s">
        <v>366</v>
      </c>
      <c r="P53" s="11"/>
    </row>
    <row r="54" spans="2:18" ht="15.75" customHeight="1" x14ac:dyDescent="0.3">
      <c r="B54" s="166" t="s">
        <v>286</v>
      </c>
      <c r="C54" s="5">
        <f t="shared" ref="C54:E73" si="9">C9</f>
        <v>1</v>
      </c>
      <c r="D54" s="5">
        <f t="shared" si="9"/>
        <v>18</v>
      </c>
      <c r="E54" s="5">
        <f t="shared" si="9"/>
        <v>15</v>
      </c>
      <c r="F54" s="5">
        <f t="shared" ref="F54:F92" si="10">LARGE(D54:E54,1)</f>
        <v>18</v>
      </c>
      <c r="G54" s="5">
        <f t="shared" ref="G54:G92" si="11">M9</f>
        <v>1.39</v>
      </c>
      <c r="J54" s="50" t="s">
        <v>370</v>
      </c>
      <c r="K54" s="37">
        <f>'Longitudinal design strenght'!R28</f>
        <v>2784590.485328278</v>
      </c>
      <c r="L54" s="5" t="s">
        <v>365</v>
      </c>
      <c r="M54" s="60" t="s">
        <v>549</v>
      </c>
    </row>
    <row r="55" spans="2:18" ht="15.75" customHeight="1" x14ac:dyDescent="0.3">
      <c r="B55" s="171"/>
      <c r="C55" s="5">
        <f t="shared" si="9"/>
        <v>2</v>
      </c>
      <c r="D55" s="32">
        <f t="shared" si="9"/>
        <v>15</v>
      </c>
      <c r="E55" s="5">
        <f t="shared" si="9"/>
        <v>15</v>
      </c>
      <c r="F55" s="5">
        <f t="shared" si="10"/>
        <v>15</v>
      </c>
      <c r="G55" s="5">
        <f t="shared" si="11"/>
        <v>1.39</v>
      </c>
    </row>
    <row r="56" spans="2:18" ht="15.75" customHeight="1" x14ac:dyDescent="0.3">
      <c r="B56" s="171"/>
      <c r="C56" s="5">
        <f t="shared" si="9"/>
        <v>3</v>
      </c>
      <c r="D56" s="32">
        <f t="shared" si="9"/>
        <v>15</v>
      </c>
      <c r="E56" s="5">
        <f t="shared" si="9"/>
        <v>15</v>
      </c>
      <c r="F56" s="5">
        <f t="shared" si="10"/>
        <v>15</v>
      </c>
      <c r="G56" s="5">
        <f t="shared" si="11"/>
        <v>1.39</v>
      </c>
    </row>
    <row r="57" spans="2:18" ht="15.75" customHeight="1" x14ac:dyDescent="0.3">
      <c r="B57" s="171"/>
      <c r="C57" s="5">
        <f t="shared" si="9"/>
        <v>4</v>
      </c>
      <c r="D57" s="32">
        <f t="shared" si="9"/>
        <v>15</v>
      </c>
      <c r="E57" s="5">
        <f t="shared" si="9"/>
        <v>15</v>
      </c>
      <c r="F57" s="5">
        <f t="shared" si="10"/>
        <v>15</v>
      </c>
      <c r="G57" s="5">
        <f t="shared" si="11"/>
        <v>1.39</v>
      </c>
    </row>
    <row r="58" spans="2:18" ht="15.75" customHeight="1" x14ac:dyDescent="0.3">
      <c r="B58" s="171"/>
      <c r="C58" s="5">
        <f t="shared" si="9"/>
        <v>5</v>
      </c>
      <c r="D58" s="32">
        <f t="shared" si="9"/>
        <v>15</v>
      </c>
      <c r="E58" s="5">
        <f t="shared" si="9"/>
        <v>15</v>
      </c>
      <c r="F58" s="5">
        <f t="shared" si="10"/>
        <v>15</v>
      </c>
      <c r="G58" s="5">
        <f t="shared" si="11"/>
        <v>1.39</v>
      </c>
    </row>
    <row r="59" spans="2:18" ht="15.75" customHeight="1" x14ac:dyDescent="0.3">
      <c r="B59" s="171"/>
      <c r="C59" s="5">
        <f t="shared" si="9"/>
        <v>6</v>
      </c>
      <c r="D59" s="32">
        <f t="shared" si="9"/>
        <v>15</v>
      </c>
      <c r="E59" s="5">
        <f t="shared" si="9"/>
        <v>15</v>
      </c>
      <c r="F59" s="5">
        <f t="shared" si="10"/>
        <v>15</v>
      </c>
      <c r="G59" s="5">
        <f t="shared" si="11"/>
        <v>1.39</v>
      </c>
    </row>
    <row r="60" spans="2:18" ht="15.75" customHeight="1" x14ac:dyDescent="0.3">
      <c r="B60" s="171"/>
      <c r="C60" s="5">
        <f t="shared" si="9"/>
        <v>7</v>
      </c>
      <c r="D60" s="32">
        <f t="shared" si="9"/>
        <v>17</v>
      </c>
      <c r="E60" s="5">
        <f t="shared" si="9"/>
        <v>16</v>
      </c>
      <c r="F60" s="5">
        <f t="shared" si="10"/>
        <v>17</v>
      </c>
      <c r="G60" s="5">
        <f t="shared" si="11"/>
        <v>1.39</v>
      </c>
    </row>
    <row r="61" spans="2:18" ht="15.75" customHeight="1" x14ac:dyDescent="0.3">
      <c r="B61" s="171"/>
      <c r="C61" s="5">
        <f t="shared" si="9"/>
        <v>8</v>
      </c>
      <c r="D61" s="32">
        <f t="shared" si="9"/>
        <v>17</v>
      </c>
      <c r="E61" s="5">
        <f t="shared" si="9"/>
        <v>15</v>
      </c>
      <c r="F61" s="5">
        <f t="shared" si="10"/>
        <v>17</v>
      </c>
      <c r="G61" s="5">
        <f t="shared" si="11"/>
        <v>1.39</v>
      </c>
    </row>
    <row r="62" spans="2:18" ht="15.75" customHeight="1" x14ac:dyDescent="0.3">
      <c r="B62" s="171"/>
      <c r="C62" s="5">
        <f t="shared" si="9"/>
        <v>9</v>
      </c>
      <c r="D62" s="32">
        <f t="shared" si="9"/>
        <v>17</v>
      </c>
      <c r="E62" s="5">
        <f t="shared" si="9"/>
        <v>15</v>
      </c>
      <c r="F62" s="5">
        <f t="shared" si="10"/>
        <v>17</v>
      </c>
      <c r="G62" s="5">
        <f t="shared" si="11"/>
        <v>1.47</v>
      </c>
    </row>
    <row r="63" spans="2:18" ht="15.75" customHeight="1" x14ac:dyDescent="0.3">
      <c r="B63" s="172"/>
      <c r="C63" s="5">
        <f t="shared" si="9"/>
        <v>10</v>
      </c>
      <c r="D63" s="32">
        <f t="shared" si="9"/>
        <v>17</v>
      </c>
      <c r="E63" s="5">
        <f t="shared" si="9"/>
        <v>15</v>
      </c>
      <c r="F63" s="5">
        <f t="shared" si="10"/>
        <v>17</v>
      </c>
      <c r="G63" s="5">
        <f t="shared" si="11"/>
        <v>1.47</v>
      </c>
    </row>
    <row r="64" spans="2:18" ht="15.75" customHeight="1" x14ac:dyDescent="0.3">
      <c r="B64" s="166" t="s">
        <v>53</v>
      </c>
      <c r="C64" s="5">
        <f t="shared" si="9"/>
        <v>28</v>
      </c>
      <c r="D64" s="5">
        <f t="shared" si="9"/>
        <v>15</v>
      </c>
      <c r="E64" s="5">
        <f t="shared" si="9"/>
        <v>15</v>
      </c>
      <c r="F64" s="5">
        <f t="shared" si="10"/>
        <v>15</v>
      </c>
      <c r="G64" s="5">
        <f t="shared" si="11"/>
        <v>1.47</v>
      </c>
    </row>
    <row r="65" spans="2:7" ht="15.75" customHeight="1" x14ac:dyDescent="0.3">
      <c r="B65" s="171"/>
      <c r="C65" s="5">
        <f t="shared" si="9"/>
        <v>29</v>
      </c>
      <c r="D65" s="5">
        <f t="shared" si="9"/>
        <v>15</v>
      </c>
      <c r="E65" s="5">
        <f t="shared" si="9"/>
        <v>15</v>
      </c>
      <c r="F65" s="5">
        <f t="shared" si="10"/>
        <v>15</v>
      </c>
      <c r="G65" s="5">
        <f t="shared" si="11"/>
        <v>1.47</v>
      </c>
    </row>
    <row r="66" spans="2:7" ht="15.75" customHeight="1" x14ac:dyDescent="0.3">
      <c r="B66" s="171"/>
      <c r="C66" s="5">
        <f t="shared" si="9"/>
        <v>30</v>
      </c>
      <c r="D66" s="5">
        <f t="shared" si="9"/>
        <v>14</v>
      </c>
      <c r="E66" s="5">
        <f t="shared" si="9"/>
        <v>14</v>
      </c>
      <c r="F66" s="5">
        <f t="shared" si="10"/>
        <v>14</v>
      </c>
      <c r="G66" s="5">
        <f t="shared" si="11"/>
        <v>1.47</v>
      </c>
    </row>
    <row r="67" spans="2:7" ht="15.75" customHeight="1" x14ac:dyDescent="0.3">
      <c r="B67" s="171"/>
      <c r="C67" s="5">
        <f t="shared" si="9"/>
        <v>31</v>
      </c>
      <c r="D67" s="5">
        <f t="shared" si="9"/>
        <v>14</v>
      </c>
      <c r="E67" s="5">
        <f t="shared" si="9"/>
        <v>14</v>
      </c>
      <c r="F67" s="5">
        <f t="shared" si="10"/>
        <v>14</v>
      </c>
      <c r="G67" s="5">
        <f t="shared" si="11"/>
        <v>1.47</v>
      </c>
    </row>
    <row r="68" spans="2:7" ht="15.75" customHeight="1" x14ac:dyDescent="0.3">
      <c r="B68" s="171"/>
      <c r="C68" s="5">
        <f t="shared" si="9"/>
        <v>32</v>
      </c>
      <c r="D68" s="5">
        <f t="shared" si="9"/>
        <v>14</v>
      </c>
      <c r="E68" s="5">
        <f t="shared" si="9"/>
        <v>14</v>
      </c>
      <c r="F68" s="5">
        <f t="shared" si="10"/>
        <v>14</v>
      </c>
      <c r="G68" s="5">
        <f t="shared" si="11"/>
        <v>1.47</v>
      </c>
    </row>
    <row r="69" spans="2:7" ht="15.75" customHeight="1" x14ac:dyDescent="0.3">
      <c r="B69" s="171"/>
      <c r="C69" s="5">
        <f t="shared" si="9"/>
        <v>33</v>
      </c>
      <c r="D69" s="5">
        <f t="shared" si="9"/>
        <v>14</v>
      </c>
      <c r="E69" s="5">
        <f t="shared" si="9"/>
        <v>14</v>
      </c>
      <c r="F69" s="5">
        <f t="shared" si="10"/>
        <v>14</v>
      </c>
      <c r="G69" s="5">
        <f t="shared" si="11"/>
        <v>1.47</v>
      </c>
    </row>
    <row r="70" spans="2:7" ht="15.75" customHeight="1" x14ac:dyDescent="0.3">
      <c r="B70" s="172"/>
      <c r="C70" s="5">
        <f t="shared" si="9"/>
        <v>34</v>
      </c>
      <c r="D70" s="5">
        <f t="shared" si="9"/>
        <v>14</v>
      </c>
      <c r="E70" s="5">
        <f t="shared" si="9"/>
        <v>14</v>
      </c>
      <c r="F70" s="5">
        <f t="shared" si="10"/>
        <v>14</v>
      </c>
      <c r="G70" s="5">
        <f t="shared" si="11"/>
        <v>1.47</v>
      </c>
    </row>
    <row r="71" spans="2:7" ht="15.75" customHeight="1" x14ac:dyDescent="0.3">
      <c r="B71" s="165" t="s">
        <v>289</v>
      </c>
      <c r="C71" s="5">
        <f t="shared" si="9"/>
        <v>35</v>
      </c>
      <c r="D71" s="5">
        <f t="shared" si="9"/>
        <v>16</v>
      </c>
      <c r="E71" s="5">
        <f t="shared" si="9"/>
        <v>14</v>
      </c>
      <c r="F71" s="5">
        <f t="shared" si="10"/>
        <v>16</v>
      </c>
      <c r="G71" s="5">
        <f t="shared" si="11"/>
        <v>1.39</v>
      </c>
    </row>
    <row r="72" spans="2:7" ht="15.75" customHeight="1" x14ac:dyDescent="0.3">
      <c r="B72" s="171"/>
      <c r="C72" s="5">
        <f t="shared" si="9"/>
        <v>36</v>
      </c>
      <c r="D72" s="5">
        <f t="shared" si="9"/>
        <v>16</v>
      </c>
      <c r="E72" s="5">
        <f t="shared" si="9"/>
        <v>14</v>
      </c>
      <c r="F72" s="5">
        <f t="shared" si="10"/>
        <v>16</v>
      </c>
      <c r="G72" s="5">
        <f t="shared" si="11"/>
        <v>1.39</v>
      </c>
    </row>
    <row r="73" spans="2:7" ht="15.75" customHeight="1" x14ac:dyDescent="0.3">
      <c r="B73" s="171"/>
      <c r="C73" s="5">
        <f t="shared" si="9"/>
        <v>37</v>
      </c>
      <c r="D73" s="5">
        <f t="shared" si="9"/>
        <v>16</v>
      </c>
      <c r="E73" s="5">
        <f t="shared" si="9"/>
        <v>14</v>
      </c>
      <c r="F73" s="5">
        <f t="shared" si="10"/>
        <v>16</v>
      </c>
      <c r="G73" s="5">
        <f t="shared" si="11"/>
        <v>1.39</v>
      </c>
    </row>
    <row r="74" spans="2:7" ht="15.75" customHeight="1" x14ac:dyDescent="0.3">
      <c r="B74" s="171"/>
      <c r="C74" s="5">
        <f t="shared" ref="C74:E92" si="12">C29</f>
        <v>38</v>
      </c>
      <c r="D74" s="5">
        <f t="shared" si="12"/>
        <v>16</v>
      </c>
      <c r="E74" s="5">
        <f t="shared" si="12"/>
        <v>14</v>
      </c>
      <c r="F74" s="5">
        <f t="shared" si="10"/>
        <v>16</v>
      </c>
      <c r="G74" s="5">
        <f t="shared" si="11"/>
        <v>1.39</v>
      </c>
    </row>
    <row r="75" spans="2:7" ht="15.75" customHeight="1" x14ac:dyDescent="0.3">
      <c r="B75" s="172"/>
      <c r="C75" s="5">
        <f t="shared" si="12"/>
        <v>39</v>
      </c>
      <c r="D75" s="5">
        <f t="shared" si="12"/>
        <v>16</v>
      </c>
      <c r="E75" s="5">
        <f t="shared" si="12"/>
        <v>14</v>
      </c>
      <c r="F75" s="5">
        <f t="shared" si="10"/>
        <v>16</v>
      </c>
      <c r="G75" s="5">
        <f t="shared" si="11"/>
        <v>1.39</v>
      </c>
    </row>
    <row r="76" spans="2:7" ht="15.75" customHeight="1" x14ac:dyDescent="0.3">
      <c r="B76" s="165" t="s">
        <v>57</v>
      </c>
      <c r="C76" s="5">
        <f t="shared" si="12"/>
        <v>11</v>
      </c>
      <c r="D76" s="5">
        <f t="shared" si="12"/>
        <v>14</v>
      </c>
      <c r="E76" s="5">
        <f t="shared" si="12"/>
        <v>16</v>
      </c>
      <c r="F76" s="5">
        <f t="shared" si="10"/>
        <v>16</v>
      </c>
      <c r="G76" s="5">
        <f t="shared" si="11"/>
        <v>1.28</v>
      </c>
    </row>
    <row r="77" spans="2:7" ht="15.75" customHeight="1" x14ac:dyDescent="0.3">
      <c r="B77" s="171"/>
      <c r="C77" s="5">
        <f t="shared" si="12"/>
        <v>12</v>
      </c>
      <c r="D77" s="5">
        <f t="shared" si="12"/>
        <v>13</v>
      </c>
      <c r="E77" s="5">
        <f t="shared" si="12"/>
        <v>16</v>
      </c>
      <c r="F77" s="5">
        <f t="shared" si="10"/>
        <v>16</v>
      </c>
      <c r="G77" s="5">
        <f t="shared" si="11"/>
        <v>1.28</v>
      </c>
    </row>
    <row r="78" spans="2:7" ht="15.75" customHeight="1" x14ac:dyDescent="0.3">
      <c r="B78" s="171"/>
      <c r="C78" s="5">
        <f t="shared" si="12"/>
        <v>13</v>
      </c>
      <c r="D78" s="5">
        <f t="shared" si="12"/>
        <v>13</v>
      </c>
      <c r="E78" s="5">
        <f t="shared" si="12"/>
        <v>18</v>
      </c>
      <c r="F78" s="5">
        <f t="shared" si="10"/>
        <v>18</v>
      </c>
      <c r="G78" s="5">
        <f t="shared" si="11"/>
        <v>1.28</v>
      </c>
    </row>
    <row r="79" spans="2:7" ht="15.75" customHeight="1" x14ac:dyDescent="0.3">
      <c r="B79" s="171"/>
      <c r="C79" s="5">
        <f t="shared" si="12"/>
        <v>14</v>
      </c>
      <c r="D79" s="5">
        <f t="shared" si="12"/>
        <v>11</v>
      </c>
      <c r="E79" s="5">
        <f t="shared" si="12"/>
        <v>18</v>
      </c>
      <c r="F79" s="5">
        <f t="shared" si="10"/>
        <v>18</v>
      </c>
      <c r="G79" s="5">
        <f t="shared" si="11"/>
        <v>1.39</v>
      </c>
    </row>
    <row r="80" spans="2:7" ht="15.75" customHeight="1" x14ac:dyDescent="0.3">
      <c r="B80" s="172"/>
      <c r="C80" s="5">
        <f t="shared" si="12"/>
        <v>15</v>
      </c>
      <c r="D80" s="5">
        <f t="shared" si="12"/>
        <v>10</v>
      </c>
      <c r="E80" s="5">
        <f t="shared" si="12"/>
        <v>25</v>
      </c>
      <c r="F80" s="5">
        <f t="shared" si="10"/>
        <v>25</v>
      </c>
      <c r="G80" s="5">
        <f t="shared" si="11"/>
        <v>1.39</v>
      </c>
    </row>
    <row r="81" spans="2:7" ht="15.75" customHeight="1" x14ac:dyDescent="0.3">
      <c r="B81" s="49" t="s">
        <v>252</v>
      </c>
      <c r="C81" s="5">
        <f t="shared" si="12"/>
        <v>16</v>
      </c>
      <c r="D81" s="5">
        <f t="shared" si="12"/>
        <v>11</v>
      </c>
      <c r="E81" s="5">
        <f t="shared" si="12"/>
        <v>25</v>
      </c>
      <c r="F81" s="5">
        <f t="shared" si="10"/>
        <v>25</v>
      </c>
      <c r="G81" s="5">
        <f t="shared" si="11"/>
        <v>1.47</v>
      </c>
    </row>
    <row r="82" spans="2:7" ht="15.75" customHeight="1" x14ac:dyDescent="0.3">
      <c r="B82" s="165" t="s">
        <v>278</v>
      </c>
      <c r="C82" s="5">
        <f t="shared" si="12"/>
        <v>17</v>
      </c>
      <c r="D82" s="5">
        <f t="shared" si="12"/>
        <v>12</v>
      </c>
      <c r="E82" s="5">
        <f t="shared" si="12"/>
        <v>25</v>
      </c>
      <c r="F82" s="5">
        <f t="shared" si="10"/>
        <v>25</v>
      </c>
      <c r="G82" s="5">
        <f t="shared" si="11"/>
        <v>1.47</v>
      </c>
    </row>
    <row r="83" spans="2:7" ht="15.75" customHeight="1" x14ac:dyDescent="0.3">
      <c r="B83" s="171"/>
      <c r="C83" s="5">
        <f t="shared" si="12"/>
        <v>18</v>
      </c>
      <c r="D83" s="5">
        <f t="shared" si="12"/>
        <v>12</v>
      </c>
      <c r="E83" s="5">
        <f t="shared" si="12"/>
        <v>25</v>
      </c>
      <c r="F83" s="5">
        <f t="shared" si="10"/>
        <v>25</v>
      </c>
      <c r="G83" s="5">
        <f t="shared" si="11"/>
        <v>1.47</v>
      </c>
    </row>
    <row r="84" spans="2:7" ht="15.75" customHeight="1" x14ac:dyDescent="0.3">
      <c r="B84" s="171"/>
      <c r="C84" s="5">
        <f t="shared" si="12"/>
        <v>19</v>
      </c>
      <c r="D84" s="5">
        <f t="shared" si="12"/>
        <v>12</v>
      </c>
      <c r="E84" s="5">
        <f t="shared" si="12"/>
        <v>25</v>
      </c>
      <c r="F84" s="5">
        <f t="shared" si="10"/>
        <v>25</v>
      </c>
      <c r="G84" s="5">
        <f t="shared" si="11"/>
        <v>1.47</v>
      </c>
    </row>
    <row r="85" spans="2:7" ht="15.75" customHeight="1" x14ac:dyDescent="0.3">
      <c r="B85" s="171"/>
      <c r="C85" s="5">
        <f t="shared" si="12"/>
        <v>20</v>
      </c>
      <c r="D85" s="5">
        <f t="shared" si="12"/>
        <v>12</v>
      </c>
      <c r="E85" s="5">
        <f t="shared" si="12"/>
        <v>25</v>
      </c>
      <c r="F85" s="5">
        <f t="shared" si="10"/>
        <v>25</v>
      </c>
      <c r="G85" s="5">
        <f t="shared" si="11"/>
        <v>1.47</v>
      </c>
    </row>
    <row r="86" spans="2:7" ht="15.75" customHeight="1" x14ac:dyDescent="0.3">
      <c r="B86" s="172"/>
      <c r="C86" s="5">
        <f t="shared" si="12"/>
        <v>21</v>
      </c>
      <c r="D86" s="5">
        <f t="shared" si="12"/>
        <v>12</v>
      </c>
      <c r="E86" s="5">
        <f t="shared" si="12"/>
        <v>25</v>
      </c>
      <c r="F86" s="5">
        <f t="shared" si="10"/>
        <v>25</v>
      </c>
      <c r="G86" s="5">
        <f t="shared" si="11"/>
        <v>1.47</v>
      </c>
    </row>
    <row r="87" spans="2:7" ht="15.75" customHeight="1" x14ac:dyDescent="0.3">
      <c r="B87" s="49" t="s">
        <v>281</v>
      </c>
      <c r="C87" s="5">
        <f t="shared" si="12"/>
        <v>22</v>
      </c>
      <c r="D87" s="5">
        <f t="shared" si="12"/>
        <v>12</v>
      </c>
      <c r="E87" s="5">
        <f t="shared" si="12"/>
        <v>24</v>
      </c>
      <c r="F87" s="5">
        <f t="shared" si="10"/>
        <v>24</v>
      </c>
      <c r="G87" s="5">
        <f t="shared" si="11"/>
        <v>1.47</v>
      </c>
    </row>
    <row r="88" spans="2:7" ht="15.75" customHeight="1" x14ac:dyDescent="0.3">
      <c r="B88" s="165" t="s">
        <v>280</v>
      </c>
      <c r="C88" s="5">
        <f t="shared" si="12"/>
        <v>23</v>
      </c>
      <c r="D88" s="5">
        <f t="shared" si="12"/>
        <v>12</v>
      </c>
      <c r="E88" s="5">
        <f t="shared" si="12"/>
        <v>24</v>
      </c>
      <c r="F88" s="5">
        <f t="shared" si="10"/>
        <v>24</v>
      </c>
      <c r="G88" s="5">
        <f t="shared" si="11"/>
        <v>1.47</v>
      </c>
    </row>
    <row r="89" spans="2:7" ht="15.75" customHeight="1" x14ac:dyDescent="0.3">
      <c r="B89" s="171"/>
      <c r="C89" s="5">
        <f t="shared" si="12"/>
        <v>24</v>
      </c>
      <c r="D89" s="5">
        <f t="shared" si="12"/>
        <v>12</v>
      </c>
      <c r="E89" s="5">
        <f t="shared" si="12"/>
        <v>24</v>
      </c>
      <c r="F89" s="5">
        <f t="shared" si="10"/>
        <v>24</v>
      </c>
      <c r="G89" s="5">
        <f t="shared" si="11"/>
        <v>1.47</v>
      </c>
    </row>
    <row r="90" spans="2:7" ht="15.75" customHeight="1" x14ac:dyDescent="0.3">
      <c r="B90" s="171"/>
      <c r="C90" s="5">
        <f t="shared" si="12"/>
        <v>25</v>
      </c>
      <c r="D90" s="5">
        <f t="shared" si="12"/>
        <v>12</v>
      </c>
      <c r="E90" s="5">
        <f t="shared" si="12"/>
        <v>24</v>
      </c>
      <c r="F90" s="5">
        <f t="shared" si="10"/>
        <v>24</v>
      </c>
      <c r="G90" s="5">
        <f t="shared" si="11"/>
        <v>1.47</v>
      </c>
    </row>
    <row r="91" spans="2:7" ht="15.75" customHeight="1" x14ac:dyDescent="0.3">
      <c r="B91" s="171"/>
      <c r="C91" s="5">
        <f t="shared" si="12"/>
        <v>26</v>
      </c>
      <c r="D91" s="5">
        <f t="shared" si="12"/>
        <v>12</v>
      </c>
      <c r="E91" s="5">
        <f t="shared" si="12"/>
        <v>24</v>
      </c>
      <c r="F91" s="5">
        <f t="shared" si="10"/>
        <v>24</v>
      </c>
      <c r="G91" s="5">
        <f t="shared" si="11"/>
        <v>1.47</v>
      </c>
    </row>
    <row r="92" spans="2:7" ht="15.75" customHeight="1" x14ac:dyDescent="0.3">
      <c r="B92" s="172"/>
      <c r="C92" s="5">
        <f t="shared" si="12"/>
        <v>27</v>
      </c>
      <c r="D92" s="5">
        <f t="shared" si="12"/>
        <v>12</v>
      </c>
      <c r="E92" s="5">
        <f t="shared" si="12"/>
        <v>24</v>
      </c>
      <c r="F92" s="5">
        <f t="shared" si="10"/>
        <v>24</v>
      </c>
      <c r="G92" s="5">
        <f t="shared" si="11"/>
        <v>1.47</v>
      </c>
    </row>
    <row r="93" spans="2:7" ht="15.75" customHeight="1" x14ac:dyDescent="0.3"/>
    <row r="94" spans="2:7" ht="15.75" customHeight="1" x14ac:dyDescent="0.3"/>
    <row r="95" spans="2:7" ht="15.75" customHeight="1" x14ac:dyDescent="0.3"/>
    <row r="96" spans="2:7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9">
    <mergeCell ref="B49:G49"/>
    <mergeCell ref="D50:F51"/>
    <mergeCell ref="J49:M49"/>
    <mergeCell ref="G50:G51"/>
    <mergeCell ref="N5:N6"/>
    <mergeCell ref="O5:O6"/>
    <mergeCell ref="P5:P6"/>
    <mergeCell ref="D5:G6"/>
    <mergeCell ref="L5:M6"/>
  </mergeCells>
  <conditionalFormatting sqref="U9:U47">
    <cfRule type="cellIs" dxfId="3" priority="1" operator="equal">
      <formula>"NOT OK"</formula>
    </cfRule>
  </conditionalFormatting>
  <conditionalFormatting sqref="U9:U47">
    <cfRule type="cellIs" dxfId="2" priority="2" operator="equal">
      <formula>"OK"</formula>
    </cfRule>
  </conditionalFormatting>
  <pageMargins left="0.511811024" right="0.511811024" top="0.78740157499999996" bottom="0.78740157499999996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W1000"/>
  <sheetViews>
    <sheetView topLeftCell="V28" zoomScale="80" zoomScaleNormal="80" workbookViewId="0">
      <selection activeCell="W57" sqref="W57"/>
    </sheetView>
  </sheetViews>
  <sheetFormatPr defaultColWidth="14.44140625" defaultRowHeight="15" customHeight="1" x14ac:dyDescent="0.3"/>
  <cols>
    <col min="1" max="1" width="8.6640625" customWidth="1"/>
    <col min="2" max="2" width="14.109375" bestFit="1" customWidth="1"/>
    <col min="3" max="3" width="5.44140625" bestFit="1" customWidth="1"/>
    <col min="4" max="5" width="6" bestFit="1" customWidth="1"/>
    <col min="6" max="6" width="8.21875" bestFit="1" customWidth="1"/>
    <col min="7" max="7" width="9" bestFit="1" customWidth="1"/>
    <col min="8" max="8" width="7" bestFit="1" customWidth="1"/>
    <col min="9" max="9" width="11" bestFit="1" customWidth="1"/>
    <col min="10" max="11" width="8.5546875" bestFit="1" customWidth="1"/>
    <col min="12" max="12" width="9.33203125" customWidth="1"/>
    <col min="13" max="14" width="11.21875" bestFit="1" customWidth="1"/>
    <col min="15" max="15" width="14.109375" bestFit="1" customWidth="1"/>
    <col min="16" max="16" width="11.6640625" bestFit="1" customWidth="1"/>
    <col min="17" max="17" width="6.5546875" bestFit="1" customWidth="1"/>
    <col min="18" max="18" width="9.5546875" bestFit="1" customWidth="1"/>
    <col min="19" max="19" width="27.21875" bestFit="1" customWidth="1"/>
    <col min="20" max="20" width="11.6640625" bestFit="1" customWidth="1"/>
    <col min="21" max="21" width="18.109375" customWidth="1"/>
    <col min="22" max="22" width="31.88671875" bestFit="1" customWidth="1"/>
    <col min="23" max="23" width="17.5546875" customWidth="1"/>
    <col min="24" max="24" width="6.5546875" bestFit="1" customWidth="1"/>
    <col min="25" max="25" width="11.21875" bestFit="1" customWidth="1"/>
    <col min="26" max="26" width="8.6640625" customWidth="1"/>
    <col min="27" max="27" width="11.5546875" customWidth="1"/>
    <col min="28" max="28" width="9" customWidth="1"/>
    <col min="29" max="30" width="5.88671875" customWidth="1"/>
    <col min="31" max="31" width="9.88671875" customWidth="1"/>
    <col min="32" max="33" width="8.6640625" customWidth="1"/>
    <col min="34" max="34" width="10" customWidth="1"/>
    <col min="35" max="35" width="12.6640625" customWidth="1"/>
    <col min="36" max="37" width="10.6640625" customWidth="1"/>
    <col min="38" max="43" width="8.6640625" customWidth="1"/>
    <col min="44" max="44" width="10.33203125" customWidth="1"/>
    <col min="45" max="45" width="10.6640625" customWidth="1"/>
    <col min="46" max="46" width="8.33203125" customWidth="1"/>
    <col min="47" max="47" width="32.88671875" customWidth="1"/>
    <col min="48" max="48" width="6.44140625" customWidth="1"/>
    <col min="49" max="49" width="29.33203125" customWidth="1"/>
    <col min="50" max="51" width="8.6640625" customWidth="1"/>
    <col min="52" max="52" width="14" customWidth="1"/>
    <col min="53" max="54" width="8.6640625" customWidth="1"/>
    <col min="55" max="55" width="22.33203125" customWidth="1"/>
    <col min="56" max="56" width="12.6640625" customWidth="1"/>
  </cols>
  <sheetData>
    <row r="1" spans="2:49" ht="14.4" x14ac:dyDescent="0.3">
      <c r="R1" s="22"/>
      <c r="S1" s="22"/>
      <c r="U1" s="22"/>
      <c r="V1" s="22"/>
      <c r="W1" s="22"/>
      <c r="X1" s="22"/>
    </row>
    <row r="2" spans="2:49" ht="14.4" x14ac:dyDescent="0.3">
      <c r="B2" s="313"/>
      <c r="C2" s="314"/>
      <c r="D2" s="314"/>
      <c r="E2" s="314"/>
      <c r="F2" s="314"/>
      <c r="G2" s="314"/>
      <c r="H2" s="314"/>
      <c r="I2" s="314"/>
      <c r="J2" s="314"/>
      <c r="K2" s="314"/>
      <c r="R2" s="22"/>
      <c r="S2" s="22"/>
      <c r="U2" s="22"/>
      <c r="V2" s="22"/>
      <c r="W2" s="22"/>
      <c r="X2" s="22"/>
    </row>
    <row r="3" spans="2:49" ht="14.4" x14ac:dyDescent="0.3">
      <c r="R3" s="22"/>
      <c r="S3" s="22"/>
      <c r="U3" s="22"/>
      <c r="V3" s="22"/>
      <c r="W3" s="22"/>
      <c r="X3" s="22"/>
    </row>
    <row r="4" spans="2:49" ht="14.4" x14ac:dyDescent="0.3">
      <c r="R4" s="22"/>
      <c r="S4" s="22"/>
      <c r="U4" s="22"/>
      <c r="V4" s="22"/>
      <c r="W4" s="22"/>
      <c r="X4" s="22"/>
    </row>
    <row r="5" spans="2:49" ht="14.4" x14ac:dyDescent="0.3">
      <c r="B5" s="104" t="s">
        <v>66</v>
      </c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2:49" ht="14.4" x14ac:dyDescent="0.3">
      <c r="B6" s="265" t="s">
        <v>284</v>
      </c>
      <c r="C6" s="49" t="s">
        <v>155</v>
      </c>
      <c r="D6" s="49" t="s">
        <v>60</v>
      </c>
      <c r="E6" s="49" t="s">
        <v>166</v>
      </c>
      <c r="F6" s="49" t="s">
        <v>318</v>
      </c>
      <c r="G6" s="49" t="s">
        <v>26</v>
      </c>
      <c r="H6" s="49" t="s">
        <v>191</v>
      </c>
      <c r="I6" s="49" t="s">
        <v>319</v>
      </c>
      <c r="J6" s="49" t="s">
        <v>320</v>
      </c>
      <c r="K6" s="49" t="s">
        <v>177</v>
      </c>
      <c r="L6" s="49" t="s">
        <v>157</v>
      </c>
      <c r="N6" s="264" t="s">
        <v>297</v>
      </c>
      <c r="O6" s="160" t="s">
        <v>26</v>
      </c>
      <c r="P6" s="160" t="s">
        <v>60</v>
      </c>
      <c r="Q6" s="160" t="s">
        <v>298</v>
      </c>
      <c r="R6" s="160" t="s">
        <v>299</v>
      </c>
      <c r="S6" s="259" t="s">
        <v>300</v>
      </c>
      <c r="T6" s="205"/>
      <c r="U6" s="259" t="s">
        <v>301</v>
      </c>
      <c r="V6" s="205"/>
      <c r="W6" s="259" t="s">
        <v>302</v>
      </c>
      <c r="X6" s="205"/>
      <c r="Z6" s="2"/>
    </row>
    <row r="7" spans="2:49" ht="14.4" x14ac:dyDescent="0.3">
      <c r="B7" s="312"/>
      <c r="C7" s="137" t="s">
        <v>164</v>
      </c>
      <c r="D7" s="137" t="s">
        <v>3</v>
      </c>
      <c r="E7" s="137" t="s">
        <v>30</v>
      </c>
      <c r="F7" s="137" t="s">
        <v>329</v>
      </c>
      <c r="G7" s="137" t="s">
        <v>330</v>
      </c>
      <c r="H7" s="137" t="s">
        <v>3</v>
      </c>
      <c r="I7" s="137" t="s">
        <v>331</v>
      </c>
      <c r="J7" s="137" t="s">
        <v>329</v>
      </c>
      <c r="K7" s="137" t="s">
        <v>329</v>
      </c>
      <c r="L7" s="137" t="s">
        <v>64</v>
      </c>
      <c r="N7" s="205"/>
      <c r="O7" s="161" t="s">
        <v>228</v>
      </c>
      <c r="P7" s="161" t="s">
        <v>30</v>
      </c>
      <c r="Q7" s="161" t="s">
        <v>30</v>
      </c>
      <c r="R7" s="161" t="s">
        <v>228</v>
      </c>
      <c r="S7" s="161" t="s">
        <v>304</v>
      </c>
      <c r="T7" s="161" t="s">
        <v>190</v>
      </c>
      <c r="U7" s="161" t="s">
        <v>305</v>
      </c>
      <c r="V7" s="161" t="s">
        <v>306</v>
      </c>
      <c r="W7" s="161" t="s">
        <v>307</v>
      </c>
      <c r="X7" s="161" t="s">
        <v>308</v>
      </c>
      <c r="Z7" s="2"/>
    </row>
    <row r="8" spans="2:49" ht="14.4" x14ac:dyDescent="0.3">
      <c r="B8" s="268" t="s">
        <v>286</v>
      </c>
      <c r="C8" s="4">
        <v>1</v>
      </c>
      <c r="D8" s="4">
        <f>'Buckling '!F54/1000</f>
        <v>1.7999999999999999E-2</v>
      </c>
      <c r="E8" s="4">
        <f>'Bottom structures'!M6/2</f>
        <v>1</v>
      </c>
      <c r="F8" s="38">
        <f t="shared" ref="F8:F14" si="0">(E8*D8^3)/12</f>
        <v>4.8599999999999988E-7</v>
      </c>
      <c r="G8" s="4">
        <f t="shared" ref="G8:G14" si="1">D8*E8</f>
        <v>1.7999999999999999E-2</v>
      </c>
      <c r="H8" s="4">
        <f>'Bottom structures'!Q6/1000</f>
        <v>1.7999999999999999E-2</v>
      </c>
      <c r="I8" s="4">
        <f t="shared" ref="I8:I46" si="2">G8*H8</f>
        <v>3.2399999999999996E-4</v>
      </c>
      <c r="J8" s="39">
        <f t="shared" ref="J8:J46" si="3">G8*(H8-$T$41)^2</f>
        <v>1.0231007778935142</v>
      </c>
      <c r="K8" s="39">
        <f t="shared" ref="K8:K46" si="4">F8+J8</f>
        <v>1.0231012638935142</v>
      </c>
      <c r="L8" s="5">
        <f>'Buckling '!M9</f>
        <v>1.39</v>
      </c>
      <c r="N8" s="109" t="s">
        <v>312</v>
      </c>
      <c r="O8" s="80">
        <v>16.63</v>
      </c>
      <c r="P8" s="109">
        <v>140</v>
      </c>
      <c r="Q8" s="109">
        <v>10</v>
      </c>
      <c r="R8" s="109">
        <v>60</v>
      </c>
      <c r="S8" s="109">
        <v>79.2</v>
      </c>
      <c r="T8" s="71">
        <v>7</v>
      </c>
      <c r="U8" s="109">
        <v>316</v>
      </c>
      <c r="V8" s="71">
        <v>5.56</v>
      </c>
      <c r="W8" s="71">
        <v>39.799999999999997</v>
      </c>
      <c r="X8" s="71">
        <v>7.94</v>
      </c>
      <c r="Z8" s="2"/>
    </row>
    <row r="9" spans="2:49" ht="14.4" x14ac:dyDescent="0.3">
      <c r="B9" s="311"/>
      <c r="C9" s="4">
        <v>2</v>
      </c>
      <c r="D9" s="4">
        <f>'Buckling '!F55/1000</f>
        <v>1.4999999999999999E-2</v>
      </c>
      <c r="E9" s="39">
        <f>'Bottom structures'!L12</f>
        <v>2.25</v>
      </c>
      <c r="F9" s="38">
        <f t="shared" si="0"/>
        <v>6.3281250000000003E-7</v>
      </c>
      <c r="G9" s="4">
        <f t="shared" si="1"/>
        <v>3.3750000000000002E-2</v>
      </c>
      <c r="H9" s="9">
        <f>'Bottom structures'!M12/1000</f>
        <v>1.4999999999999999E-2</v>
      </c>
      <c r="I9" s="4">
        <f t="shared" si="2"/>
        <v>5.0624999999999997E-4</v>
      </c>
      <c r="J9" s="39">
        <f t="shared" si="3"/>
        <v>1.9198409421815321</v>
      </c>
      <c r="K9" s="39">
        <f t="shared" si="4"/>
        <v>1.9198415749940321</v>
      </c>
      <c r="L9" s="5">
        <f>'Buckling '!M10</f>
        <v>1.39</v>
      </c>
      <c r="N9" s="109" t="s">
        <v>314</v>
      </c>
      <c r="O9" s="80">
        <v>17.8</v>
      </c>
      <c r="P9" s="109">
        <v>160</v>
      </c>
      <c r="Q9" s="109">
        <v>9</v>
      </c>
      <c r="R9" s="109">
        <v>60</v>
      </c>
      <c r="S9" s="109">
        <v>93.6</v>
      </c>
      <c r="T9" s="71">
        <v>7.1</v>
      </c>
      <c r="U9" s="109">
        <v>448</v>
      </c>
      <c r="V9" s="71">
        <v>7.32</v>
      </c>
      <c r="W9" s="71">
        <v>47.9</v>
      </c>
      <c r="X9" s="71">
        <v>10.3</v>
      </c>
      <c r="Z9" s="2"/>
    </row>
    <row r="10" spans="2:49" ht="14.4" x14ac:dyDescent="0.3">
      <c r="B10" s="311"/>
      <c r="C10" s="4">
        <v>3</v>
      </c>
      <c r="D10" s="4">
        <f>'Buckling '!F56/1000</f>
        <v>1.4999999999999999E-2</v>
      </c>
      <c r="E10" s="39">
        <f>'Bottom structures'!L13</f>
        <v>2.25</v>
      </c>
      <c r="F10" s="38">
        <f t="shared" si="0"/>
        <v>6.3281250000000003E-7</v>
      </c>
      <c r="G10" s="4">
        <f t="shared" si="1"/>
        <v>3.3750000000000002E-2</v>
      </c>
      <c r="H10" s="9">
        <f>'Bottom structures'!M13/1000</f>
        <v>1.4999999999999999E-2</v>
      </c>
      <c r="I10" s="4">
        <f t="shared" si="2"/>
        <v>5.0624999999999997E-4</v>
      </c>
      <c r="J10" s="39">
        <f t="shared" si="3"/>
        <v>1.9198409421815321</v>
      </c>
      <c r="K10" s="39">
        <f t="shared" si="4"/>
        <v>1.9198415749940321</v>
      </c>
      <c r="L10" s="5">
        <f>'Buckling '!M11</f>
        <v>1.39</v>
      </c>
      <c r="N10" s="109" t="s">
        <v>324</v>
      </c>
      <c r="O10" s="109">
        <v>22.46</v>
      </c>
      <c r="P10" s="109">
        <v>180</v>
      </c>
      <c r="Q10" s="109">
        <v>10</v>
      </c>
      <c r="R10" s="109">
        <v>60</v>
      </c>
      <c r="S10" s="109">
        <v>106</v>
      </c>
      <c r="T10" s="71">
        <v>8.1</v>
      </c>
      <c r="U10" s="109">
        <v>717</v>
      </c>
      <c r="V10" s="71">
        <v>12.05</v>
      </c>
      <c r="W10" s="71">
        <v>67.8</v>
      </c>
      <c r="X10" s="71">
        <v>14.9</v>
      </c>
      <c r="Z10" s="2"/>
      <c r="AU10" s="41"/>
      <c r="AV10" s="34"/>
      <c r="AW10" s="3"/>
    </row>
    <row r="11" spans="2:49" ht="14.4" x14ac:dyDescent="0.3">
      <c r="B11" s="311"/>
      <c r="C11" s="4">
        <v>4</v>
      </c>
      <c r="D11" s="4">
        <f>'Buckling '!F57/1000</f>
        <v>1.4999999999999999E-2</v>
      </c>
      <c r="E11" s="39">
        <f>'Bottom structures'!L14</f>
        <v>2.25</v>
      </c>
      <c r="F11" s="38">
        <f t="shared" si="0"/>
        <v>6.3281250000000003E-7</v>
      </c>
      <c r="G11" s="4">
        <f t="shared" si="1"/>
        <v>3.3750000000000002E-2</v>
      </c>
      <c r="H11" s="9">
        <f>'Bottom structures'!M14/1000</f>
        <v>1.4999999999999999E-2</v>
      </c>
      <c r="I11" s="4">
        <f t="shared" si="2"/>
        <v>5.0624999999999997E-4</v>
      </c>
      <c r="J11" s="39">
        <f t="shared" si="3"/>
        <v>1.9198409421815321</v>
      </c>
      <c r="K11" s="39">
        <f t="shared" si="4"/>
        <v>1.9198415749940321</v>
      </c>
      <c r="L11" s="5">
        <f>'Buckling '!M12</f>
        <v>1.39</v>
      </c>
      <c r="N11" s="109" t="s">
        <v>332</v>
      </c>
      <c r="O11" s="109">
        <v>23.66</v>
      </c>
      <c r="P11" s="109">
        <v>200</v>
      </c>
      <c r="Q11" s="109">
        <v>9</v>
      </c>
      <c r="R11" s="109">
        <v>100</v>
      </c>
      <c r="S11" s="109">
        <v>121</v>
      </c>
      <c r="T11" s="71">
        <v>8.4</v>
      </c>
      <c r="U11" s="109">
        <v>941</v>
      </c>
      <c r="V11" s="71">
        <v>15.76</v>
      </c>
      <c r="W11" s="71">
        <v>77.7</v>
      </c>
      <c r="X11" s="71">
        <v>18.8</v>
      </c>
      <c r="Z11" s="2"/>
      <c r="AU11" s="15"/>
    </row>
    <row r="12" spans="2:49" ht="14.4" x14ac:dyDescent="0.3">
      <c r="B12" s="311"/>
      <c r="C12" s="4">
        <v>5</v>
      </c>
      <c r="D12" s="4">
        <f>'Buckling '!F58/1000</f>
        <v>1.4999999999999999E-2</v>
      </c>
      <c r="E12" s="39">
        <f>'Bottom structures'!L15</f>
        <v>2.25</v>
      </c>
      <c r="F12" s="38">
        <f t="shared" si="0"/>
        <v>6.3281250000000003E-7</v>
      </c>
      <c r="G12" s="4">
        <f t="shared" si="1"/>
        <v>3.3750000000000002E-2</v>
      </c>
      <c r="H12" s="9">
        <f>'Bottom structures'!M15/1000</f>
        <v>1.4999999999999999E-2</v>
      </c>
      <c r="I12" s="4">
        <f t="shared" si="2"/>
        <v>5.0624999999999997E-4</v>
      </c>
      <c r="J12" s="39">
        <f t="shared" si="3"/>
        <v>1.9198409421815321</v>
      </c>
      <c r="K12" s="39">
        <f t="shared" si="4"/>
        <v>1.9198415749940321</v>
      </c>
      <c r="L12" s="5">
        <f>'Buckling '!M13</f>
        <v>1.39</v>
      </c>
      <c r="N12" s="109" t="s">
        <v>335</v>
      </c>
      <c r="O12" s="80">
        <v>25.66</v>
      </c>
      <c r="P12" s="109">
        <v>200</v>
      </c>
      <c r="Q12" s="109">
        <v>10</v>
      </c>
      <c r="R12" s="109">
        <v>100</v>
      </c>
      <c r="S12" s="109">
        <v>119</v>
      </c>
      <c r="T12" s="71">
        <v>8.6999999999999993</v>
      </c>
      <c r="U12" s="109">
        <v>1020</v>
      </c>
      <c r="V12" s="71">
        <v>17.21</v>
      </c>
      <c r="W12" s="71">
        <v>85</v>
      </c>
      <c r="X12" s="71">
        <v>19.8</v>
      </c>
      <c r="Z12" s="2"/>
      <c r="AU12" s="18"/>
    </row>
    <row r="13" spans="2:49" ht="14.4" x14ac:dyDescent="0.3">
      <c r="B13" s="311"/>
      <c r="C13" s="4">
        <v>6</v>
      </c>
      <c r="D13" s="4">
        <f>'Buckling '!F59/1000</f>
        <v>1.4999999999999999E-2</v>
      </c>
      <c r="E13" s="39">
        <f>'Bottom structures'!L16</f>
        <v>2.25</v>
      </c>
      <c r="F13" s="38">
        <f t="shared" si="0"/>
        <v>6.3281250000000003E-7</v>
      </c>
      <c r="G13" s="4">
        <f t="shared" si="1"/>
        <v>3.3750000000000002E-2</v>
      </c>
      <c r="H13" s="9">
        <f>'Bottom structures'!M16/1000</f>
        <v>1.4999999999999999E-2</v>
      </c>
      <c r="I13" s="4">
        <f t="shared" si="2"/>
        <v>5.0624999999999997E-4</v>
      </c>
      <c r="J13" s="39">
        <f t="shared" si="3"/>
        <v>1.9198409421815321</v>
      </c>
      <c r="K13" s="39">
        <f t="shared" si="4"/>
        <v>1.9198415749940321</v>
      </c>
      <c r="L13" s="5">
        <f>'Buckling '!M14</f>
        <v>1.39</v>
      </c>
      <c r="N13" s="109" t="s">
        <v>338</v>
      </c>
      <c r="O13" s="80">
        <v>29.66</v>
      </c>
      <c r="P13" s="109">
        <v>200</v>
      </c>
      <c r="Q13" s="109">
        <v>12</v>
      </c>
      <c r="R13" s="109">
        <v>100</v>
      </c>
      <c r="S13" s="109">
        <v>117</v>
      </c>
      <c r="T13" s="71">
        <v>9.4</v>
      </c>
      <c r="U13" s="109">
        <v>1160</v>
      </c>
      <c r="V13" s="71">
        <v>20.46</v>
      </c>
      <c r="W13" s="71">
        <v>99.6</v>
      </c>
      <c r="X13" s="71">
        <v>21.8</v>
      </c>
      <c r="Z13" s="2"/>
      <c r="AU13" s="14"/>
    </row>
    <row r="14" spans="2:49" ht="14.4" x14ac:dyDescent="0.3">
      <c r="B14" s="311"/>
      <c r="C14" s="4">
        <v>7</v>
      </c>
      <c r="D14" s="4">
        <f>'Buckling '!F60/1000</f>
        <v>1.7000000000000001E-2</v>
      </c>
      <c r="E14" s="39">
        <f>'Bottom structures'!L17</f>
        <v>2</v>
      </c>
      <c r="F14" s="38">
        <f t="shared" si="0"/>
        <v>8.1883333333333351E-7</v>
      </c>
      <c r="G14" s="4">
        <f t="shared" si="1"/>
        <v>3.4000000000000002E-2</v>
      </c>
      <c r="H14" s="9">
        <f>'Bottom structures'!M17/1000</f>
        <v>1.7000000000000001E-2</v>
      </c>
      <c r="I14" s="4">
        <f t="shared" si="2"/>
        <v>5.7800000000000006E-4</v>
      </c>
      <c r="J14" s="39">
        <f t="shared" si="3"/>
        <v>1.9330363884503223</v>
      </c>
      <c r="K14" s="39">
        <f t="shared" si="4"/>
        <v>1.9330372072836557</v>
      </c>
      <c r="L14" s="5">
        <f>'Buckling '!M15</f>
        <v>1.39</v>
      </c>
      <c r="N14" s="109" t="s">
        <v>339</v>
      </c>
      <c r="O14" s="109">
        <v>29</v>
      </c>
      <c r="P14" s="109">
        <v>220</v>
      </c>
      <c r="Q14" s="109">
        <v>10</v>
      </c>
      <c r="R14" s="109">
        <v>100</v>
      </c>
      <c r="S14" s="109">
        <v>134</v>
      </c>
      <c r="T14" s="71">
        <v>9.3000000000000007</v>
      </c>
      <c r="U14" s="109">
        <v>1400</v>
      </c>
      <c r="V14" s="71">
        <v>23.89</v>
      </c>
      <c r="W14" s="71">
        <v>105</v>
      </c>
      <c r="X14" s="71">
        <v>25.7</v>
      </c>
      <c r="Z14" s="2"/>
    </row>
    <row r="15" spans="2:49" ht="14.4" x14ac:dyDescent="0.3">
      <c r="B15" s="311"/>
      <c r="C15" s="136">
        <v>8</v>
      </c>
      <c r="D15" s="4" t="s">
        <v>37</v>
      </c>
      <c r="E15" s="4" t="s">
        <v>37</v>
      </c>
      <c r="F15" s="38">
        <f>('Ship Characteristics'!H14^2)*G15*(0.5-4/(PI()^2))</f>
        <v>6.2781113175848002E-2</v>
      </c>
      <c r="G15" s="9">
        <f>83351*10^-6</f>
        <v>8.3350999999999995E-2</v>
      </c>
      <c r="H15" s="4">
        <v>1.06</v>
      </c>
      <c r="I15" s="4">
        <f t="shared" si="2"/>
        <v>8.8352059999999996E-2</v>
      </c>
      <c r="J15" s="39">
        <f t="shared" si="3"/>
        <v>3.5185030027634658</v>
      </c>
      <c r="K15" s="39">
        <f t="shared" si="4"/>
        <v>3.5812841159393138</v>
      </c>
      <c r="L15" s="5">
        <f>'Buckling '!M16</f>
        <v>1.39</v>
      </c>
      <c r="N15" s="109" t="s">
        <v>340</v>
      </c>
      <c r="O15" s="80">
        <v>33.4</v>
      </c>
      <c r="P15" s="109">
        <v>220</v>
      </c>
      <c r="Q15" s="109">
        <v>12</v>
      </c>
      <c r="R15" s="109">
        <v>100</v>
      </c>
      <c r="S15" s="109">
        <v>130</v>
      </c>
      <c r="T15" s="71">
        <v>10</v>
      </c>
      <c r="U15" s="109">
        <v>1590</v>
      </c>
      <c r="V15" s="71">
        <v>27.98</v>
      </c>
      <c r="W15" s="71">
        <v>122</v>
      </c>
      <c r="X15" s="71">
        <v>29</v>
      </c>
      <c r="Z15" s="2"/>
      <c r="AU15" s="19"/>
    </row>
    <row r="16" spans="2:49" ht="14.4" x14ac:dyDescent="0.3">
      <c r="B16" s="311"/>
      <c r="C16" s="4">
        <v>9</v>
      </c>
      <c r="D16" s="39">
        <f>'Bottom structures'!L19</f>
        <v>2.3250000000000002</v>
      </c>
      <c r="E16" s="4">
        <f>'Buckling '!F62/1000</f>
        <v>1.7000000000000001E-2</v>
      </c>
      <c r="F16" s="38">
        <f t="shared" ref="F16:F17" si="5">(E16*D16^3)/12</f>
        <v>1.7804777343750005E-2</v>
      </c>
      <c r="G16" s="4">
        <f t="shared" ref="G16:G46" si="6">D16*E16</f>
        <v>3.9525000000000005E-2</v>
      </c>
      <c r="H16" s="4">
        <v>5.2</v>
      </c>
      <c r="I16" s="4">
        <f t="shared" si="2"/>
        <v>0.20553000000000002</v>
      </c>
      <c r="J16" s="39">
        <f t="shared" si="3"/>
        <v>0.21960891676704497</v>
      </c>
      <c r="K16" s="39">
        <f t="shared" si="4"/>
        <v>0.23741369411079496</v>
      </c>
      <c r="L16" s="5">
        <f>'Buckling '!M17</f>
        <v>1.47</v>
      </c>
      <c r="N16" s="109" t="s">
        <v>341</v>
      </c>
      <c r="O16" s="80">
        <v>32.49</v>
      </c>
      <c r="P16" s="109">
        <v>240</v>
      </c>
      <c r="Q16" s="109">
        <v>10</v>
      </c>
      <c r="R16" s="109">
        <v>100</v>
      </c>
      <c r="S16" s="109">
        <v>147</v>
      </c>
      <c r="T16" s="71">
        <v>10</v>
      </c>
      <c r="U16" s="109">
        <v>1860</v>
      </c>
      <c r="V16" s="71">
        <v>32.340000000000003</v>
      </c>
      <c r="W16" s="71">
        <v>126</v>
      </c>
      <c r="X16" s="71">
        <v>32.299999999999997</v>
      </c>
      <c r="Z16" s="2"/>
      <c r="AU16" s="19"/>
    </row>
    <row r="17" spans="2:26" ht="14.4" x14ac:dyDescent="0.3">
      <c r="B17" s="312"/>
      <c r="C17" s="4">
        <v>10</v>
      </c>
      <c r="D17" s="39">
        <f>'Bottom structures'!L20</f>
        <v>2.3250000000000002</v>
      </c>
      <c r="E17" s="4">
        <f>'Buckling '!F63/1000</f>
        <v>1.7000000000000001E-2</v>
      </c>
      <c r="F17" s="38">
        <f t="shared" si="5"/>
        <v>1.7804777343750005E-2</v>
      </c>
      <c r="G17" s="4">
        <f t="shared" si="6"/>
        <v>3.9525000000000005E-2</v>
      </c>
      <c r="H17" s="4">
        <v>6.54</v>
      </c>
      <c r="I17" s="4">
        <f t="shared" si="2"/>
        <v>0.25849350000000004</v>
      </c>
      <c r="J17" s="39">
        <f t="shared" si="3"/>
        <v>4.0893129285055882E-2</v>
      </c>
      <c r="K17" s="39">
        <f t="shared" si="4"/>
        <v>5.869790662880589E-2</v>
      </c>
      <c r="L17" s="5">
        <f>'Buckling '!M18</f>
        <v>1.47</v>
      </c>
      <c r="N17" s="109" t="s">
        <v>342</v>
      </c>
      <c r="O17" s="109">
        <v>34.89</v>
      </c>
      <c r="P17" s="109">
        <v>240</v>
      </c>
      <c r="Q17" s="109">
        <v>11</v>
      </c>
      <c r="R17" s="109">
        <v>100</v>
      </c>
      <c r="S17" s="109">
        <v>146</v>
      </c>
      <c r="T17" s="71">
        <v>10.3</v>
      </c>
      <c r="U17" s="109">
        <v>2000</v>
      </c>
      <c r="V17" s="71">
        <v>34.81</v>
      </c>
      <c r="W17" s="71">
        <v>137</v>
      </c>
      <c r="X17" s="71">
        <v>33.799999999999997</v>
      </c>
      <c r="Z17" s="2"/>
    </row>
    <row r="18" spans="2:26" ht="14.4" x14ac:dyDescent="0.3">
      <c r="B18" s="268" t="s">
        <v>53</v>
      </c>
      <c r="C18" s="136">
        <v>28</v>
      </c>
      <c r="D18" s="4">
        <f>'Buckling '!F64/1000</f>
        <v>1.4999999999999999E-2</v>
      </c>
      <c r="E18" s="4">
        <f>'Bottom structures'!L26</f>
        <v>3.73</v>
      </c>
      <c r="F18" s="38">
        <f t="shared" ref="F18:F19" si="7">(1/12)*E18*(D18^3)*(COS(3*PI()/4)^2)</f>
        <v>5.2453124999999977E-7</v>
      </c>
      <c r="G18" s="4">
        <f t="shared" si="6"/>
        <v>5.595E-2</v>
      </c>
      <c r="H18" s="4">
        <v>6</v>
      </c>
      <c r="I18" s="4">
        <f t="shared" si="2"/>
        <v>0.3357</v>
      </c>
      <c r="J18" s="39">
        <f t="shared" si="3"/>
        <v>0.13566459332713721</v>
      </c>
      <c r="K18" s="39">
        <f t="shared" si="4"/>
        <v>0.1356651178583872</v>
      </c>
      <c r="L18" s="5">
        <f>'Buckling '!M19</f>
        <v>1.47</v>
      </c>
      <c r="N18" s="109" t="s">
        <v>343</v>
      </c>
      <c r="O18" s="80">
        <v>37.29</v>
      </c>
      <c r="P18" s="109">
        <v>240</v>
      </c>
      <c r="Q18" s="109">
        <v>12</v>
      </c>
      <c r="R18" s="109">
        <v>100</v>
      </c>
      <c r="S18" s="109">
        <v>144</v>
      </c>
      <c r="T18" s="71">
        <v>10.6</v>
      </c>
      <c r="U18" s="109">
        <v>2130</v>
      </c>
      <c r="V18" s="71">
        <v>37.43</v>
      </c>
      <c r="W18" s="71">
        <v>148</v>
      </c>
      <c r="X18" s="71">
        <v>35.299999999999997</v>
      </c>
      <c r="Z18" s="2"/>
    </row>
    <row r="19" spans="2:26" ht="14.4" x14ac:dyDescent="0.3">
      <c r="B19" s="311"/>
      <c r="C19" s="136">
        <v>29</v>
      </c>
      <c r="D19" s="4">
        <f>'Buckling '!F65/1000</f>
        <v>1.4999999999999999E-2</v>
      </c>
      <c r="E19" s="4">
        <f>'Bottom structures'!L27</f>
        <v>3.73</v>
      </c>
      <c r="F19" s="38">
        <f t="shared" si="7"/>
        <v>5.2453124999999977E-7</v>
      </c>
      <c r="G19" s="4">
        <f t="shared" si="6"/>
        <v>5.595E-2</v>
      </c>
      <c r="H19" s="4">
        <v>3.32</v>
      </c>
      <c r="I19" s="4">
        <f t="shared" si="2"/>
        <v>0.185754</v>
      </c>
      <c r="J19" s="39">
        <f t="shared" si="3"/>
        <v>1.0044996721945525</v>
      </c>
      <c r="K19" s="39">
        <f t="shared" si="4"/>
        <v>1.0045001967258025</v>
      </c>
      <c r="L19" s="5">
        <f>'Buckling '!M20</f>
        <v>1.47</v>
      </c>
      <c r="N19" s="109" t="s">
        <v>344</v>
      </c>
      <c r="O19" s="80">
        <v>36.11</v>
      </c>
      <c r="P19" s="109">
        <v>260</v>
      </c>
      <c r="Q19" s="109">
        <v>10</v>
      </c>
      <c r="R19" s="109">
        <v>100</v>
      </c>
      <c r="S19" s="109">
        <v>162</v>
      </c>
      <c r="T19" s="71">
        <v>10.7</v>
      </c>
      <c r="U19" s="109">
        <v>2477</v>
      </c>
      <c r="V19" s="71">
        <v>42.84</v>
      </c>
      <c r="W19" s="71">
        <v>153</v>
      </c>
      <c r="X19" s="71">
        <v>40</v>
      </c>
      <c r="Z19" s="2"/>
    </row>
    <row r="20" spans="2:26" ht="14.4" x14ac:dyDescent="0.3">
      <c r="B20" s="311"/>
      <c r="C20" s="4">
        <v>30</v>
      </c>
      <c r="D20" s="4">
        <f>'Buckling '!F66/1000</f>
        <v>1.4E-2</v>
      </c>
      <c r="E20" s="4">
        <f>'Bottom structures'!L28</f>
        <v>3.0249999999999999</v>
      </c>
      <c r="F20" s="38">
        <f t="shared" ref="F20:F42" si="8">(E20*D20^3)/12</f>
        <v>6.9171666666666679E-7</v>
      </c>
      <c r="G20" s="4">
        <f t="shared" si="6"/>
        <v>4.2349999999999999E-2</v>
      </c>
      <c r="H20" s="4">
        <f t="shared" ref="H20:H24" si="9">2-0.5*D20</f>
        <v>1.9930000000000001</v>
      </c>
      <c r="I20" s="4">
        <f t="shared" si="2"/>
        <v>8.4403550000000008E-2</v>
      </c>
      <c r="J20" s="39">
        <f t="shared" si="3"/>
        <v>1.3111507262414446</v>
      </c>
      <c r="K20" s="39">
        <f t="shared" si="4"/>
        <v>1.3111514179581112</v>
      </c>
      <c r="L20" s="5">
        <f>'Buckling '!M21</f>
        <v>1.47</v>
      </c>
      <c r="N20" s="109" t="s">
        <v>345</v>
      </c>
      <c r="O20" s="80">
        <v>38.71</v>
      </c>
      <c r="P20" s="109">
        <v>260</v>
      </c>
      <c r="Q20" s="109">
        <v>11</v>
      </c>
      <c r="R20" s="182" t="s">
        <v>404</v>
      </c>
      <c r="S20" s="109">
        <v>160</v>
      </c>
      <c r="T20" s="71">
        <v>11</v>
      </c>
      <c r="U20" s="109">
        <v>2610</v>
      </c>
      <c r="V20" s="71">
        <v>45.9</v>
      </c>
      <c r="W20" s="71">
        <v>162</v>
      </c>
      <c r="X20" s="71">
        <v>41.7</v>
      </c>
      <c r="Z20" s="2"/>
    </row>
    <row r="21" spans="2:26" ht="15.75" customHeight="1" x14ac:dyDescent="0.3">
      <c r="B21" s="311"/>
      <c r="C21" s="4">
        <v>31</v>
      </c>
      <c r="D21" s="4">
        <f>'Buckling '!F67/1000</f>
        <v>1.4E-2</v>
      </c>
      <c r="E21" s="4">
        <f>'Bottom structures'!L29</f>
        <v>3.0249999999999999</v>
      </c>
      <c r="F21" s="38">
        <f t="shared" si="8"/>
        <v>6.9171666666666679E-7</v>
      </c>
      <c r="G21" s="4">
        <f t="shared" si="6"/>
        <v>4.2349999999999999E-2</v>
      </c>
      <c r="H21" s="4">
        <f t="shared" si="9"/>
        <v>1.9930000000000001</v>
      </c>
      <c r="I21" s="4">
        <f t="shared" si="2"/>
        <v>8.4403550000000008E-2</v>
      </c>
      <c r="J21" s="39">
        <f t="shared" si="3"/>
        <v>1.3111507262414446</v>
      </c>
      <c r="K21" s="39">
        <f t="shared" si="4"/>
        <v>1.3111514179581112</v>
      </c>
      <c r="L21" s="5">
        <f>'Buckling '!M22</f>
        <v>1.47</v>
      </c>
      <c r="N21" s="109" t="s">
        <v>346</v>
      </c>
      <c r="O21" s="80">
        <v>41.31</v>
      </c>
      <c r="P21" s="109">
        <v>260</v>
      </c>
      <c r="Q21" s="109">
        <v>12</v>
      </c>
      <c r="R21" s="109">
        <v>100</v>
      </c>
      <c r="S21" s="109">
        <v>158</v>
      </c>
      <c r="T21" s="71">
        <v>11.3</v>
      </c>
      <c r="U21" s="109">
        <v>2770</v>
      </c>
      <c r="V21" s="71">
        <v>49.11</v>
      </c>
      <c r="W21" s="71">
        <v>175</v>
      </c>
      <c r="X21" s="71">
        <v>43.5</v>
      </c>
      <c r="Z21" s="2"/>
    </row>
    <row r="22" spans="2:26" ht="15.75" customHeight="1" x14ac:dyDescent="0.3">
      <c r="B22" s="311"/>
      <c r="C22" s="4">
        <v>32</v>
      </c>
      <c r="D22" s="4">
        <f>'Buckling '!F68/1000</f>
        <v>1.4E-2</v>
      </c>
      <c r="E22" s="4">
        <f>'Bottom structures'!L30</f>
        <v>2.5249999999999999</v>
      </c>
      <c r="F22" s="38">
        <f t="shared" si="8"/>
        <v>5.7738333333333337E-7</v>
      </c>
      <c r="G22" s="4">
        <f t="shared" si="6"/>
        <v>3.5349999999999999E-2</v>
      </c>
      <c r="H22" s="4">
        <f t="shared" si="9"/>
        <v>1.9930000000000001</v>
      </c>
      <c r="I22" s="4">
        <f t="shared" si="2"/>
        <v>7.0452550000000003E-2</v>
      </c>
      <c r="J22" s="39">
        <f t="shared" si="3"/>
        <v>1.0944315979370736</v>
      </c>
      <c r="K22" s="39">
        <f t="shared" si="4"/>
        <v>1.0944321753204069</v>
      </c>
      <c r="L22" s="5">
        <f>'Buckling '!M23</f>
        <v>1.47</v>
      </c>
      <c r="N22" s="109" t="s">
        <v>347</v>
      </c>
      <c r="O22" s="80">
        <v>42.68</v>
      </c>
      <c r="P22" s="109">
        <v>280</v>
      </c>
      <c r="Q22" s="109">
        <v>11</v>
      </c>
      <c r="R22" s="109">
        <v>100</v>
      </c>
      <c r="S22" s="109">
        <v>174</v>
      </c>
      <c r="T22" s="71">
        <v>11.7</v>
      </c>
      <c r="U22" s="109">
        <v>3330</v>
      </c>
      <c r="V22" s="71">
        <v>59.44</v>
      </c>
      <c r="W22" s="71">
        <v>191</v>
      </c>
      <c r="X22" s="71">
        <v>50.8</v>
      </c>
      <c r="Z22" s="2"/>
    </row>
    <row r="23" spans="2:26" ht="15.75" customHeight="1" x14ac:dyDescent="0.3">
      <c r="B23" s="311"/>
      <c r="C23" s="4">
        <v>33</v>
      </c>
      <c r="D23" s="4">
        <f>'Buckling '!F69/1000</f>
        <v>1.4E-2</v>
      </c>
      <c r="E23" s="4">
        <f>'Bottom structures'!L31</f>
        <v>2.5249999999999999</v>
      </c>
      <c r="F23" s="38">
        <f t="shared" si="8"/>
        <v>5.7738333333333337E-7</v>
      </c>
      <c r="G23" s="4">
        <f t="shared" si="6"/>
        <v>3.5349999999999999E-2</v>
      </c>
      <c r="H23" s="4">
        <f t="shared" si="9"/>
        <v>1.9930000000000001</v>
      </c>
      <c r="I23" s="4">
        <f t="shared" si="2"/>
        <v>7.0452550000000003E-2</v>
      </c>
      <c r="J23" s="39">
        <f t="shared" si="3"/>
        <v>1.0944315979370736</v>
      </c>
      <c r="K23" s="39">
        <f t="shared" si="4"/>
        <v>1.0944321753204069</v>
      </c>
      <c r="L23" s="5">
        <f>'Buckling '!M24</f>
        <v>1.47</v>
      </c>
      <c r="N23" s="109" t="s">
        <v>348</v>
      </c>
      <c r="O23" s="80">
        <v>45.48</v>
      </c>
      <c r="P23" s="109">
        <v>280</v>
      </c>
      <c r="Q23" s="109">
        <v>12</v>
      </c>
      <c r="R23" s="109">
        <v>100</v>
      </c>
      <c r="S23" s="109">
        <v>172</v>
      </c>
      <c r="T23" s="71">
        <v>11.9</v>
      </c>
      <c r="U23" s="109">
        <v>3550</v>
      </c>
      <c r="V23" s="71">
        <v>63.34</v>
      </c>
      <c r="W23" s="71">
        <v>206</v>
      </c>
      <c r="X23" s="71">
        <v>53.2</v>
      </c>
      <c r="Z23" s="2"/>
    </row>
    <row r="24" spans="2:26" ht="15.75" customHeight="1" x14ac:dyDescent="0.3">
      <c r="B24" s="312"/>
      <c r="C24" s="4">
        <v>34</v>
      </c>
      <c r="D24" s="4">
        <f>'Buckling '!F70/1000</f>
        <v>1.4E-2</v>
      </c>
      <c r="E24" s="4">
        <f>'Bottom structures'!L32/2</f>
        <v>1</v>
      </c>
      <c r="F24" s="38">
        <f t="shared" si="8"/>
        <v>2.286666666666667E-7</v>
      </c>
      <c r="G24" s="4">
        <f t="shared" si="6"/>
        <v>1.4E-2</v>
      </c>
      <c r="H24" s="4">
        <f t="shared" si="9"/>
        <v>1.9930000000000001</v>
      </c>
      <c r="I24" s="4">
        <f t="shared" si="2"/>
        <v>2.7902000000000003E-2</v>
      </c>
      <c r="J24" s="39">
        <f t="shared" si="3"/>
        <v>0.43343825660874202</v>
      </c>
      <c r="K24" s="39">
        <f t="shared" si="4"/>
        <v>0.43343848527540868</v>
      </c>
      <c r="L24" s="5">
        <f>'Buckling '!M25</f>
        <v>1.47</v>
      </c>
      <c r="N24" s="109" t="s">
        <v>349</v>
      </c>
      <c r="O24" s="80">
        <v>46.78</v>
      </c>
      <c r="P24" s="109">
        <v>300</v>
      </c>
      <c r="Q24" s="109">
        <v>11</v>
      </c>
      <c r="R24" s="109">
        <v>100</v>
      </c>
      <c r="S24" s="109">
        <v>189</v>
      </c>
      <c r="T24" s="71">
        <v>12.4</v>
      </c>
      <c r="U24" s="109">
        <v>4190</v>
      </c>
      <c r="V24" s="71">
        <v>75.739999999999995</v>
      </c>
      <c r="W24" s="71">
        <v>222</v>
      </c>
      <c r="X24" s="71">
        <v>61.1</v>
      </c>
      <c r="Z24" s="2"/>
    </row>
    <row r="25" spans="2:26" ht="15.75" customHeight="1" x14ac:dyDescent="0.3">
      <c r="B25" s="257" t="s">
        <v>289</v>
      </c>
      <c r="C25" s="4">
        <v>35</v>
      </c>
      <c r="D25" s="4">
        <f>'Bottom structures'!L38</f>
        <v>2</v>
      </c>
      <c r="E25" s="4">
        <f>'Buckling '!F71/2000</f>
        <v>8.0000000000000002E-3</v>
      </c>
      <c r="F25" s="38">
        <f t="shared" si="8"/>
        <v>5.3333333333333332E-3</v>
      </c>
      <c r="G25" s="4">
        <f t="shared" si="6"/>
        <v>1.6E-2</v>
      </c>
      <c r="H25" s="4">
        <v>1</v>
      </c>
      <c r="I25" s="4">
        <f t="shared" si="2"/>
        <v>1.6E-2</v>
      </c>
      <c r="J25" s="39">
        <f t="shared" si="3"/>
        <v>0.68794153676163983</v>
      </c>
      <c r="K25" s="39">
        <f t="shared" si="4"/>
        <v>0.69327487009497313</v>
      </c>
      <c r="L25" s="5">
        <f>'Buckling '!M26</f>
        <v>1.39</v>
      </c>
      <c r="N25" s="109" t="s">
        <v>350</v>
      </c>
      <c r="O25" s="80">
        <v>49.79</v>
      </c>
      <c r="P25" s="109">
        <v>300</v>
      </c>
      <c r="Q25" s="109">
        <v>12</v>
      </c>
      <c r="R25" s="109">
        <v>100</v>
      </c>
      <c r="S25" s="109">
        <v>187</v>
      </c>
      <c r="T25" s="71">
        <v>12.6</v>
      </c>
      <c r="U25" s="109">
        <v>4460</v>
      </c>
      <c r="V25" s="71">
        <v>80.44</v>
      </c>
      <c r="W25" s="71">
        <v>239</v>
      </c>
      <c r="X25" s="71">
        <v>63.8</v>
      </c>
      <c r="Z25" s="2"/>
    </row>
    <row r="26" spans="2:26" ht="15.75" customHeight="1" x14ac:dyDescent="0.3">
      <c r="B26" s="311"/>
      <c r="C26" s="4">
        <v>36</v>
      </c>
      <c r="D26" s="4">
        <f>'Bottom structures'!L39</f>
        <v>2</v>
      </c>
      <c r="E26" s="4">
        <f>'Buckling '!F72/1000</f>
        <v>1.6E-2</v>
      </c>
      <c r="F26" s="38">
        <f t="shared" si="8"/>
        <v>1.0666666666666666E-2</v>
      </c>
      <c r="G26" s="4">
        <f t="shared" si="6"/>
        <v>3.2000000000000001E-2</v>
      </c>
      <c r="H26" s="4">
        <v>1</v>
      </c>
      <c r="I26" s="4">
        <f t="shared" si="2"/>
        <v>3.2000000000000001E-2</v>
      </c>
      <c r="J26" s="39">
        <f t="shared" si="3"/>
        <v>1.3758830735232797</v>
      </c>
      <c r="K26" s="39">
        <f t="shared" si="4"/>
        <v>1.3865497401899463</v>
      </c>
      <c r="L26" s="5">
        <f>'Buckling '!M27</f>
        <v>1.39</v>
      </c>
      <c r="N26" s="109" t="s">
        <v>351</v>
      </c>
      <c r="O26" s="80">
        <v>52.79</v>
      </c>
      <c r="P26" s="109">
        <v>300</v>
      </c>
      <c r="Q26" s="109">
        <v>13</v>
      </c>
      <c r="R26" s="109">
        <v>100</v>
      </c>
      <c r="S26" s="109">
        <v>185</v>
      </c>
      <c r="T26" s="71">
        <v>12.9</v>
      </c>
      <c r="U26" s="109">
        <v>4720</v>
      </c>
      <c r="V26" s="71">
        <v>85.33</v>
      </c>
      <c r="W26" s="71">
        <v>256</v>
      </c>
      <c r="X26" s="71">
        <v>66.099999999999994</v>
      </c>
      <c r="Z26" s="2"/>
    </row>
    <row r="27" spans="2:26" ht="15.75" customHeight="1" x14ac:dyDescent="0.3">
      <c r="B27" s="311"/>
      <c r="C27" s="4">
        <v>37</v>
      </c>
      <c r="D27" s="4">
        <f>'Bottom structures'!L40</f>
        <v>2</v>
      </c>
      <c r="E27" s="4">
        <f>'Buckling '!F73/1000</f>
        <v>1.6E-2</v>
      </c>
      <c r="F27" s="38">
        <f t="shared" si="8"/>
        <v>1.0666666666666666E-2</v>
      </c>
      <c r="G27" s="4">
        <f t="shared" si="6"/>
        <v>3.2000000000000001E-2</v>
      </c>
      <c r="H27" s="4">
        <v>1</v>
      </c>
      <c r="I27" s="4">
        <f t="shared" si="2"/>
        <v>3.2000000000000001E-2</v>
      </c>
      <c r="J27" s="39">
        <f t="shared" si="3"/>
        <v>1.3758830735232797</v>
      </c>
      <c r="K27" s="39">
        <f t="shared" si="4"/>
        <v>1.3865497401899463</v>
      </c>
      <c r="L27" s="5">
        <f>'Buckling '!M28</f>
        <v>1.39</v>
      </c>
      <c r="N27" s="187" t="s">
        <v>352</v>
      </c>
      <c r="O27" s="80">
        <v>54.25</v>
      </c>
      <c r="P27" s="109">
        <v>320</v>
      </c>
      <c r="Q27" s="109">
        <v>12</v>
      </c>
      <c r="R27" s="109">
        <v>100</v>
      </c>
      <c r="S27" s="109">
        <v>201</v>
      </c>
      <c r="T27" s="71">
        <v>13.4</v>
      </c>
      <c r="U27" s="109">
        <v>5530</v>
      </c>
      <c r="V27" s="71">
        <v>100.8</v>
      </c>
      <c r="W27" s="71">
        <v>274</v>
      </c>
      <c r="X27" s="71">
        <v>75.2</v>
      </c>
      <c r="Z27" s="2"/>
    </row>
    <row r="28" spans="2:26" ht="15.75" customHeight="1" x14ac:dyDescent="0.3">
      <c r="B28" s="311"/>
      <c r="C28" s="4">
        <v>38</v>
      </c>
      <c r="D28" s="4">
        <f>'Bottom structures'!L41</f>
        <v>2</v>
      </c>
      <c r="E28" s="4">
        <f>'Buckling '!F74/1000</f>
        <v>1.6E-2</v>
      </c>
      <c r="F28" s="38">
        <f t="shared" si="8"/>
        <v>1.0666666666666666E-2</v>
      </c>
      <c r="G28" s="4">
        <f t="shared" si="6"/>
        <v>3.2000000000000001E-2</v>
      </c>
      <c r="H28" s="4">
        <v>1</v>
      </c>
      <c r="I28" s="4">
        <f t="shared" si="2"/>
        <v>3.2000000000000001E-2</v>
      </c>
      <c r="J28" s="39">
        <f t="shared" si="3"/>
        <v>1.3758830735232797</v>
      </c>
      <c r="K28" s="39">
        <f t="shared" si="4"/>
        <v>1.3865497401899463</v>
      </c>
      <c r="L28" s="5">
        <f>'Buckling '!M29</f>
        <v>1.39</v>
      </c>
      <c r="N28" s="109" t="s">
        <v>353</v>
      </c>
      <c r="O28" s="80">
        <v>57.45</v>
      </c>
      <c r="P28" s="109">
        <v>320</v>
      </c>
      <c r="Q28" s="109">
        <v>13</v>
      </c>
      <c r="R28" s="109">
        <v>100</v>
      </c>
      <c r="S28" s="109">
        <v>199</v>
      </c>
      <c r="T28" s="71">
        <v>13.6</v>
      </c>
      <c r="U28" s="109">
        <v>5850</v>
      </c>
      <c r="V28" s="71">
        <v>106.6</v>
      </c>
      <c r="W28" s="71">
        <v>294</v>
      </c>
      <c r="X28" s="71">
        <v>78.599999999999994</v>
      </c>
      <c r="Z28" s="2"/>
    </row>
    <row r="29" spans="2:26" ht="15.75" customHeight="1" x14ac:dyDescent="0.3">
      <c r="B29" s="312"/>
      <c r="C29" s="4">
        <v>39</v>
      </c>
      <c r="D29" s="4">
        <f>'Bottom structures'!L42</f>
        <v>2</v>
      </c>
      <c r="E29" s="4">
        <f>'Buckling '!F75/1000</f>
        <v>1.6E-2</v>
      </c>
      <c r="F29" s="38">
        <f t="shared" si="8"/>
        <v>1.0666666666666666E-2</v>
      </c>
      <c r="G29" s="4">
        <f t="shared" si="6"/>
        <v>3.2000000000000001E-2</v>
      </c>
      <c r="H29" s="4">
        <v>1</v>
      </c>
      <c r="I29" s="4">
        <f t="shared" si="2"/>
        <v>3.2000000000000001E-2</v>
      </c>
      <c r="J29" s="39">
        <f t="shared" si="3"/>
        <v>1.3758830735232797</v>
      </c>
      <c r="K29" s="39">
        <f t="shared" si="4"/>
        <v>1.3865497401899463</v>
      </c>
      <c r="L29" s="5">
        <f>'Buckling '!M30</f>
        <v>1.39</v>
      </c>
      <c r="N29" s="184" t="s">
        <v>354</v>
      </c>
      <c r="O29" s="80">
        <v>58.84</v>
      </c>
      <c r="P29" s="109">
        <v>340</v>
      </c>
      <c r="Q29" s="109">
        <v>12</v>
      </c>
      <c r="R29" s="109">
        <v>100</v>
      </c>
      <c r="S29" s="109">
        <v>215</v>
      </c>
      <c r="T29" s="71">
        <v>14.1</v>
      </c>
      <c r="U29" s="109">
        <v>6760</v>
      </c>
      <c r="V29" s="71">
        <v>124.6</v>
      </c>
      <c r="W29" s="71">
        <v>313</v>
      </c>
      <c r="X29" s="71">
        <v>88.4</v>
      </c>
      <c r="Z29" s="2"/>
    </row>
    <row r="30" spans="2:26" ht="15.75" customHeight="1" x14ac:dyDescent="0.3">
      <c r="B30" s="257" t="s">
        <v>57</v>
      </c>
      <c r="C30" s="4">
        <v>11</v>
      </c>
      <c r="D30" s="4">
        <f>'Side structures'!I7</f>
        <v>1.8</v>
      </c>
      <c r="E30" s="4">
        <f>'Buckling '!F76/1000</f>
        <v>1.6E-2</v>
      </c>
      <c r="F30" s="38">
        <f t="shared" si="8"/>
        <v>7.7760000000000017E-3</v>
      </c>
      <c r="G30" s="4">
        <f t="shared" si="6"/>
        <v>2.8800000000000003E-2</v>
      </c>
      <c r="H30" s="4">
        <f>8.6</f>
        <v>8.6</v>
      </c>
      <c r="I30" s="4">
        <f t="shared" si="2"/>
        <v>0.24768000000000001</v>
      </c>
      <c r="J30" s="39">
        <f t="shared" si="3"/>
        <v>3.1320445228080224E-2</v>
      </c>
      <c r="K30" s="39">
        <f t="shared" si="4"/>
        <v>3.9096445228080229E-2</v>
      </c>
      <c r="L30" s="5">
        <f>'Buckling '!M31</f>
        <v>1.28</v>
      </c>
      <c r="N30" s="109" t="s">
        <v>355</v>
      </c>
      <c r="O30" s="80">
        <v>65.540000000000006</v>
      </c>
      <c r="P30" s="109">
        <v>340</v>
      </c>
      <c r="Q30" s="109">
        <v>14</v>
      </c>
      <c r="R30" s="109">
        <v>100</v>
      </c>
      <c r="S30" s="109">
        <v>211</v>
      </c>
      <c r="T30" s="71">
        <v>14.6</v>
      </c>
      <c r="U30" s="109">
        <v>7540</v>
      </c>
      <c r="V30" s="71">
        <v>138.6</v>
      </c>
      <c r="W30" s="71">
        <v>357</v>
      </c>
      <c r="X30" s="71">
        <v>94.9</v>
      </c>
      <c r="Z30" s="2"/>
    </row>
    <row r="31" spans="2:26" ht="15.75" customHeight="1" x14ac:dyDescent="0.3">
      <c r="B31" s="311"/>
      <c r="C31" s="4">
        <v>12</v>
      </c>
      <c r="D31" s="4">
        <f>'Side structures'!I8</f>
        <v>1.8</v>
      </c>
      <c r="E31" s="4">
        <f>'Buckling '!F77/1000</f>
        <v>1.6E-2</v>
      </c>
      <c r="F31" s="38">
        <f t="shared" si="8"/>
        <v>7.7760000000000017E-3</v>
      </c>
      <c r="G31" s="4">
        <f t="shared" si="6"/>
        <v>2.8800000000000003E-2</v>
      </c>
      <c r="H31" s="4">
        <v>10.4</v>
      </c>
      <c r="I31" s="4">
        <f t="shared" si="2"/>
        <v>0.29952000000000006</v>
      </c>
      <c r="J31" s="39">
        <f t="shared" si="3"/>
        <v>0.23275410605740027</v>
      </c>
      <c r="K31" s="39">
        <f t="shared" si="4"/>
        <v>0.24053010605740027</v>
      </c>
      <c r="L31" s="5">
        <f>'Buckling '!M32</f>
        <v>1.28</v>
      </c>
      <c r="N31" s="190" t="s">
        <v>356</v>
      </c>
      <c r="O31" s="80">
        <v>69.7</v>
      </c>
      <c r="P31" s="109">
        <v>370</v>
      </c>
      <c r="Q31" s="109">
        <v>13</v>
      </c>
      <c r="R31" s="109">
        <v>100</v>
      </c>
      <c r="S31" s="109">
        <v>235</v>
      </c>
      <c r="T31" s="71">
        <v>15.4</v>
      </c>
      <c r="U31" s="109">
        <v>9470</v>
      </c>
      <c r="V31" s="71">
        <v>176.7</v>
      </c>
      <c r="W31" s="71">
        <v>402</v>
      </c>
      <c r="X31" s="71">
        <v>115</v>
      </c>
      <c r="Z31" s="2"/>
    </row>
    <row r="32" spans="2:26" ht="15.75" customHeight="1" x14ac:dyDescent="0.3">
      <c r="B32" s="311"/>
      <c r="C32" s="4">
        <v>13</v>
      </c>
      <c r="D32" s="4">
        <f>'Side structures'!I9</f>
        <v>1.8</v>
      </c>
      <c r="E32" s="4">
        <f>'Buckling '!F78/1000</f>
        <v>1.7999999999999999E-2</v>
      </c>
      <c r="F32" s="38">
        <f t="shared" si="8"/>
        <v>8.7480000000000006E-3</v>
      </c>
      <c r="G32" s="4">
        <f t="shared" si="6"/>
        <v>3.2399999999999998E-2</v>
      </c>
      <c r="H32" s="4">
        <v>12.2</v>
      </c>
      <c r="I32" s="4">
        <f t="shared" si="2"/>
        <v>0.39527999999999996</v>
      </c>
      <c r="J32" s="39">
        <f t="shared" si="3"/>
        <v>0.69841323774755992</v>
      </c>
      <c r="K32" s="39">
        <f t="shared" si="4"/>
        <v>0.7071612377475599</v>
      </c>
      <c r="L32" s="5">
        <f>'Buckling '!M33</f>
        <v>1.28</v>
      </c>
      <c r="N32" s="119" t="s">
        <v>357</v>
      </c>
      <c r="O32" s="80">
        <v>77.099999999999994</v>
      </c>
      <c r="P32" s="109">
        <v>370</v>
      </c>
      <c r="Q32" s="109">
        <v>15</v>
      </c>
      <c r="R32" s="109">
        <v>100</v>
      </c>
      <c r="S32" s="109">
        <v>230</v>
      </c>
      <c r="T32" s="71">
        <v>15.9</v>
      </c>
      <c r="U32" s="109">
        <v>10490</v>
      </c>
      <c r="V32" s="71">
        <v>194.8</v>
      </c>
      <c r="W32" s="71">
        <v>455</v>
      </c>
      <c r="X32" s="71">
        <v>123</v>
      </c>
      <c r="Z32" s="2"/>
    </row>
    <row r="33" spans="2:27" ht="15.75" customHeight="1" x14ac:dyDescent="0.3">
      <c r="B33" s="311"/>
      <c r="C33" s="4">
        <v>14</v>
      </c>
      <c r="D33" s="4">
        <f>'Side structures'!I10</f>
        <v>1.8</v>
      </c>
      <c r="E33" s="4">
        <f>'Buckling '!F79/1000</f>
        <v>1.7999999999999999E-2</v>
      </c>
      <c r="F33" s="38">
        <f t="shared" si="8"/>
        <v>8.7480000000000006E-3</v>
      </c>
      <c r="G33" s="4">
        <f t="shared" si="6"/>
        <v>3.2399999999999998E-2</v>
      </c>
      <c r="H33" s="4">
        <v>14</v>
      </c>
      <c r="I33" s="4">
        <f t="shared" si="2"/>
        <v>0.4536</v>
      </c>
      <c r="J33" s="39">
        <f t="shared" si="3"/>
        <v>1.344930106180545</v>
      </c>
      <c r="K33" s="39">
        <f t="shared" si="4"/>
        <v>1.353678106180545</v>
      </c>
      <c r="L33" s="5">
        <f>'Buckling '!M34</f>
        <v>1.39</v>
      </c>
      <c r="N33" s="109" t="s">
        <v>358</v>
      </c>
      <c r="O33" s="80">
        <v>81.48</v>
      </c>
      <c r="P33" s="109">
        <v>400</v>
      </c>
      <c r="Q33" s="109">
        <v>14</v>
      </c>
      <c r="R33" s="109">
        <v>150</v>
      </c>
      <c r="S33" s="109">
        <v>255</v>
      </c>
      <c r="T33" s="71">
        <v>16.8</v>
      </c>
      <c r="U33" s="109">
        <v>12930</v>
      </c>
      <c r="V33" s="71">
        <v>243.6</v>
      </c>
      <c r="W33" s="71">
        <v>507</v>
      </c>
      <c r="X33" s="71">
        <v>145</v>
      </c>
      <c r="Z33" s="2"/>
    </row>
    <row r="34" spans="2:27" ht="15.75" customHeight="1" x14ac:dyDescent="0.3">
      <c r="B34" s="312"/>
      <c r="C34" s="4">
        <v>15</v>
      </c>
      <c r="D34" s="4">
        <f>'Side structures'!I11</f>
        <v>1.8</v>
      </c>
      <c r="E34" s="4">
        <f>'Buckling '!F80/1000</f>
        <v>2.5000000000000001E-2</v>
      </c>
      <c r="F34" s="38">
        <f t="shared" si="8"/>
        <v>1.2150000000000001E-2</v>
      </c>
      <c r="G34" s="4">
        <f t="shared" si="6"/>
        <v>4.5000000000000005E-2</v>
      </c>
      <c r="H34" s="4">
        <v>15.8</v>
      </c>
      <c r="I34" s="4">
        <f t="shared" si="2"/>
        <v>0.71100000000000008</v>
      </c>
      <c r="J34" s="39">
        <f t="shared" si="3"/>
        <v>3.0574985758521267</v>
      </c>
      <c r="K34" s="39">
        <f t="shared" si="4"/>
        <v>3.0696485758521268</v>
      </c>
      <c r="L34" s="5">
        <f>'Buckling '!M35</f>
        <v>1.39</v>
      </c>
      <c r="N34" s="185" t="s">
        <v>359</v>
      </c>
      <c r="O34" s="80">
        <v>89.48</v>
      </c>
      <c r="P34" s="109">
        <v>400</v>
      </c>
      <c r="Q34" s="109">
        <v>16</v>
      </c>
      <c r="R34" s="109">
        <v>150</v>
      </c>
      <c r="S34" s="109">
        <v>250</v>
      </c>
      <c r="T34" s="71">
        <v>17.2</v>
      </c>
      <c r="U34" s="109">
        <v>14220</v>
      </c>
      <c r="V34" s="71">
        <v>266.60000000000002</v>
      </c>
      <c r="W34" s="71">
        <v>568</v>
      </c>
      <c r="X34" s="71">
        <v>155</v>
      </c>
      <c r="Z34" s="2"/>
      <c r="AA34" s="2"/>
    </row>
    <row r="35" spans="2:27" ht="15.75" customHeight="1" x14ac:dyDescent="0.3">
      <c r="B35" s="49" t="s">
        <v>252</v>
      </c>
      <c r="C35" s="4">
        <v>16</v>
      </c>
      <c r="D35" s="4">
        <f>'Side structures'!$I$7</f>
        <v>1.8</v>
      </c>
      <c r="E35" s="4">
        <f>'Buckling '!F81/1000</f>
        <v>2.5000000000000001E-2</v>
      </c>
      <c r="F35" s="38">
        <f t="shared" si="8"/>
        <v>1.2150000000000001E-2</v>
      </c>
      <c r="G35" s="4">
        <f t="shared" si="6"/>
        <v>4.5000000000000005E-2</v>
      </c>
      <c r="H35" s="4">
        <v>17.399999999999999</v>
      </c>
      <c r="I35" s="4">
        <f t="shared" si="2"/>
        <v>0.78300000000000003</v>
      </c>
      <c r="J35" s="39">
        <f t="shared" si="3"/>
        <v>4.35966754922618</v>
      </c>
      <c r="K35" s="39">
        <f t="shared" si="4"/>
        <v>4.3718175492261802</v>
      </c>
      <c r="L35" s="5">
        <f>'Buckling '!M36</f>
        <v>1.47</v>
      </c>
      <c r="N35" s="109" t="s">
        <v>360</v>
      </c>
      <c r="O35" s="80">
        <v>89.7</v>
      </c>
      <c r="P35" s="109">
        <v>430</v>
      </c>
      <c r="Q35" s="109">
        <v>14</v>
      </c>
      <c r="R35" s="109">
        <v>150</v>
      </c>
      <c r="S35" s="109">
        <v>277</v>
      </c>
      <c r="T35" s="71">
        <v>17.899999999999999</v>
      </c>
      <c r="U35" s="109">
        <v>16460</v>
      </c>
      <c r="V35" s="71">
        <v>313.89999999999998</v>
      </c>
      <c r="W35" s="71">
        <v>594</v>
      </c>
      <c r="X35" s="71">
        <v>175</v>
      </c>
      <c r="Z35" s="2"/>
      <c r="AA35" s="2"/>
    </row>
    <row r="36" spans="2:27" ht="15.75" customHeight="1" x14ac:dyDescent="0.3">
      <c r="B36" s="257" t="s">
        <v>278</v>
      </c>
      <c r="C36" s="4">
        <v>17</v>
      </c>
      <c r="D36" s="4">
        <f>'Buckling '!F82/1000</f>
        <v>2.5000000000000001E-2</v>
      </c>
      <c r="E36" s="4">
        <f>'Deck structures'!K7</f>
        <v>1.8</v>
      </c>
      <c r="F36" s="38">
        <f t="shared" si="8"/>
        <v>2.3437500000000006E-6</v>
      </c>
      <c r="G36" s="4">
        <f t="shared" si="6"/>
        <v>4.5000000000000005E-2</v>
      </c>
      <c r="H36" s="4">
        <v>18.100000000000001</v>
      </c>
      <c r="I36" s="4">
        <f t="shared" si="2"/>
        <v>0.81450000000000011</v>
      </c>
      <c r="J36" s="39">
        <f t="shared" si="3"/>
        <v>5.001816475077332</v>
      </c>
      <c r="K36" s="39">
        <f t="shared" si="4"/>
        <v>5.0018188188273323</v>
      </c>
      <c r="L36" s="5">
        <f>'Buckling '!M37</f>
        <v>1.47</v>
      </c>
      <c r="N36" s="109" t="s">
        <v>361</v>
      </c>
      <c r="O36" s="80">
        <v>94.19</v>
      </c>
      <c r="P36" s="109">
        <v>430</v>
      </c>
      <c r="Q36" s="109">
        <v>15</v>
      </c>
      <c r="R36" s="109">
        <v>150</v>
      </c>
      <c r="S36" s="109">
        <v>274</v>
      </c>
      <c r="T36" s="71">
        <v>18.100000000000001</v>
      </c>
      <c r="U36" s="109">
        <v>17260</v>
      </c>
      <c r="V36" s="71">
        <v>327.9</v>
      </c>
      <c r="W36" s="71">
        <v>628</v>
      </c>
      <c r="X36" s="71">
        <v>181</v>
      </c>
      <c r="Z36" s="2"/>
      <c r="AA36" s="2"/>
    </row>
    <row r="37" spans="2:27" ht="15.75" customHeight="1" x14ac:dyDescent="0.3">
      <c r="B37" s="311"/>
      <c r="C37" s="4">
        <v>18</v>
      </c>
      <c r="D37" s="4">
        <f>'Buckling '!F83/1000</f>
        <v>2.5000000000000001E-2</v>
      </c>
      <c r="E37" s="4">
        <f>'Deck structures'!K8</f>
        <v>1.8</v>
      </c>
      <c r="F37" s="38">
        <f t="shared" si="8"/>
        <v>2.3437500000000006E-6</v>
      </c>
      <c r="G37" s="4">
        <f t="shared" si="6"/>
        <v>4.5000000000000005E-2</v>
      </c>
      <c r="H37" s="4">
        <v>18.100000000000001</v>
      </c>
      <c r="I37" s="4">
        <f t="shared" si="2"/>
        <v>0.81450000000000011</v>
      </c>
      <c r="J37" s="39">
        <f t="shared" si="3"/>
        <v>5.001816475077332</v>
      </c>
      <c r="K37" s="39">
        <f t="shared" si="4"/>
        <v>5.0018188188273323</v>
      </c>
      <c r="L37" s="5">
        <f>'Buckling '!M38</f>
        <v>1.47</v>
      </c>
      <c r="N37" s="109" t="s">
        <v>362</v>
      </c>
      <c r="O37" s="80">
        <v>102.7</v>
      </c>
      <c r="P37" s="109">
        <v>430</v>
      </c>
      <c r="Q37" s="109">
        <v>17</v>
      </c>
      <c r="R37" s="109">
        <v>150</v>
      </c>
      <c r="S37" s="109">
        <v>269</v>
      </c>
      <c r="T37" s="71">
        <v>18.5</v>
      </c>
      <c r="U37" s="109">
        <v>18860</v>
      </c>
      <c r="V37" s="71">
        <v>356.7</v>
      </c>
      <c r="W37" s="71">
        <v>700</v>
      </c>
      <c r="X37" s="71">
        <v>193</v>
      </c>
      <c r="Z37" s="2"/>
      <c r="AA37" s="2"/>
    </row>
    <row r="38" spans="2:27" ht="15.75" customHeight="1" x14ac:dyDescent="0.3">
      <c r="B38" s="311"/>
      <c r="C38" s="4">
        <v>19</v>
      </c>
      <c r="D38" s="4">
        <f>'Buckling '!F84/1000</f>
        <v>2.5000000000000001E-2</v>
      </c>
      <c r="E38" s="4">
        <f>'Deck structures'!K9</f>
        <v>1.8</v>
      </c>
      <c r="F38" s="38">
        <f t="shared" si="8"/>
        <v>2.3437500000000006E-6</v>
      </c>
      <c r="G38" s="4">
        <f t="shared" si="6"/>
        <v>4.5000000000000005E-2</v>
      </c>
      <c r="H38" s="4">
        <v>18.100000000000001</v>
      </c>
      <c r="I38" s="4">
        <f t="shared" si="2"/>
        <v>0.81450000000000011</v>
      </c>
      <c r="J38" s="39">
        <f t="shared" si="3"/>
        <v>5.001816475077332</v>
      </c>
      <c r="K38" s="39">
        <f t="shared" si="4"/>
        <v>5.0018188188273323</v>
      </c>
      <c r="L38" s="5">
        <f>'Buckling '!M39</f>
        <v>1.47</v>
      </c>
      <c r="Z38" s="2"/>
      <c r="AA38" s="2"/>
    </row>
    <row r="39" spans="2:27" ht="15.75" customHeight="1" x14ac:dyDescent="0.3">
      <c r="B39" s="311"/>
      <c r="C39" s="4">
        <v>20</v>
      </c>
      <c r="D39" s="4">
        <f>'Buckling '!F85/1000</f>
        <v>2.5000000000000001E-2</v>
      </c>
      <c r="E39" s="4">
        <f>'Deck structures'!K10</f>
        <v>1.8</v>
      </c>
      <c r="F39" s="38">
        <f t="shared" si="8"/>
        <v>2.3437500000000006E-6</v>
      </c>
      <c r="G39" s="4">
        <f t="shared" si="6"/>
        <v>4.5000000000000005E-2</v>
      </c>
      <c r="H39" s="4">
        <v>18.100000000000001</v>
      </c>
      <c r="I39" s="4">
        <f t="shared" si="2"/>
        <v>0.81450000000000011</v>
      </c>
      <c r="J39" s="39">
        <f t="shared" si="3"/>
        <v>5.001816475077332</v>
      </c>
      <c r="K39" s="39">
        <f t="shared" si="4"/>
        <v>5.0018188188273323</v>
      </c>
      <c r="L39" s="5">
        <f>'Buckling '!M40</f>
        <v>1.47</v>
      </c>
      <c r="N39" s="201" t="s">
        <v>0</v>
      </c>
      <c r="O39" s="202"/>
      <c r="P39" s="202"/>
      <c r="Q39" s="203"/>
      <c r="S39" s="201" t="s">
        <v>303</v>
      </c>
      <c r="T39" s="202"/>
      <c r="U39" s="202"/>
      <c r="V39" s="203"/>
      <c r="Z39" s="2"/>
      <c r="AA39" s="2"/>
    </row>
    <row r="40" spans="2:27" ht="15.75" customHeight="1" x14ac:dyDescent="0.3">
      <c r="B40" s="312"/>
      <c r="C40" s="4">
        <v>21</v>
      </c>
      <c r="D40" s="4">
        <f>'Buckling '!F86/1000</f>
        <v>2.5000000000000001E-2</v>
      </c>
      <c r="E40" s="4">
        <f>'Deck structures'!K11</f>
        <v>1.8</v>
      </c>
      <c r="F40" s="38">
        <f t="shared" si="8"/>
        <v>2.3437500000000006E-6</v>
      </c>
      <c r="G40" s="4">
        <f t="shared" si="6"/>
        <v>4.5000000000000005E-2</v>
      </c>
      <c r="H40" s="4">
        <v>18.100000000000001</v>
      </c>
      <c r="I40" s="4">
        <f t="shared" si="2"/>
        <v>0.81450000000000011</v>
      </c>
      <c r="J40" s="39">
        <f t="shared" si="3"/>
        <v>5.001816475077332</v>
      </c>
      <c r="K40" s="39">
        <f t="shared" si="4"/>
        <v>5.0018188188273323</v>
      </c>
      <c r="L40" s="5">
        <f>'Buckling '!M41</f>
        <v>1.47</v>
      </c>
      <c r="N40" s="50"/>
      <c r="O40" s="50" t="s">
        <v>26</v>
      </c>
      <c r="P40" s="50" t="s">
        <v>309</v>
      </c>
      <c r="Q40" s="50" t="s">
        <v>177</v>
      </c>
      <c r="S40" s="50" t="s">
        <v>8</v>
      </c>
      <c r="T40" s="5" t="s">
        <v>310</v>
      </c>
      <c r="U40" s="5" t="s">
        <v>11</v>
      </c>
      <c r="V40" s="51" t="s">
        <v>12</v>
      </c>
      <c r="Z40" s="2"/>
      <c r="AA40" s="2"/>
    </row>
    <row r="41" spans="2:27" ht="15.75" customHeight="1" x14ac:dyDescent="0.3">
      <c r="B41" s="49" t="s">
        <v>281</v>
      </c>
      <c r="C41" s="4">
        <v>22</v>
      </c>
      <c r="D41" s="4">
        <f>1.5</f>
        <v>1.5</v>
      </c>
      <c r="E41" s="4">
        <f>'Buckling '!F87/1000</f>
        <v>2.4E-2</v>
      </c>
      <c r="F41" s="38">
        <f t="shared" si="8"/>
        <v>6.7499999999999999E-3</v>
      </c>
      <c r="G41" s="4">
        <f t="shared" si="6"/>
        <v>3.6000000000000004E-2</v>
      </c>
      <c r="H41" s="4">
        <f>18.1+0.75</f>
        <v>18.850000000000001</v>
      </c>
      <c r="I41" s="4">
        <f t="shared" si="2"/>
        <v>0.67860000000000009</v>
      </c>
      <c r="J41" s="39">
        <f t="shared" si="3"/>
        <v>4.591016545077137</v>
      </c>
      <c r="K41" s="39">
        <f t="shared" si="4"/>
        <v>4.5977665450771372</v>
      </c>
      <c r="L41" s="5">
        <f>'Buckling '!M42</f>
        <v>1.47</v>
      </c>
      <c r="N41" s="50" t="s">
        <v>155</v>
      </c>
      <c r="O41" s="33">
        <f>SUM(G8:G46)</f>
        <v>1.5410510000000002</v>
      </c>
      <c r="P41" s="33">
        <f>SUM(I8:I46)</f>
        <v>13.093997010000002</v>
      </c>
      <c r="Q41" s="33">
        <f>SUM(K8:K46)</f>
        <v>83.508735773497634</v>
      </c>
      <c r="S41" s="50" t="s">
        <v>200</v>
      </c>
      <c r="T41" s="33">
        <f>P43/O43</f>
        <v>7.5571599071246149</v>
      </c>
      <c r="U41" s="5" t="s">
        <v>247</v>
      </c>
      <c r="V41" s="51" t="s">
        <v>313</v>
      </c>
      <c r="Z41" s="2"/>
      <c r="AA41" s="2"/>
    </row>
    <row r="42" spans="2:27" ht="15.75" customHeight="1" x14ac:dyDescent="0.3">
      <c r="B42" s="257" t="s">
        <v>280</v>
      </c>
      <c r="C42" s="4">
        <v>23</v>
      </c>
      <c r="D42" s="4">
        <v>0.8</v>
      </c>
      <c r="E42" s="4">
        <f>'Buckling '!F88/1000</f>
        <v>2.4E-2</v>
      </c>
      <c r="F42" s="38">
        <f t="shared" si="8"/>
        <v>1.0240000000000004E-3</v>
      </c>
      <c r="G42" s="4">
        <f t="shared" si="6"/>
        <v>1.9200000000000002E-2</v>
      </c>
      <c r="H42" s="4">
        <f>17.7</f>
        <v>17.7</v>
      </c>
      <c r="I42" s="4">
        <f t="shared" si="2"/>
        <v>0.33984000000000003</v>
      </c>
      <c r="J42" s="39">
        <f t="shared" si="3"/>
        <v>1.9752423388730949</v>
      </c>
      <c r="K42" s="39">
        <f t="shared" si="4"/>
        <v>1.9762663388730948</v>
      </c>
      <c r="L42" s="5">
        <f>'Buckling '!M43</f>
        <v>1.47</v>
      </c>
      <c r="N42" s="50" t="s">
        <v>217</v>
      </c>
      <c r="O42" s="33">
        <f>SUM(G51:G129)</f>
        <v>0.57834800000000031</v>
      </c>
      <c r="P42" s="33">
        <f>SUM(I51:I129)</f>
        <v>2.9226401400000013</v>
      </c>
      <c r="Q42" s="33">
        <f>SUM(K51:K129)</f>
        <v>29.581028775827125</v>
      </c>
      <c r="S42" s="50" t="s">
        <v>315</v>
      </c>
      <c r="T42" s="37">
        <f>Q43*2</f>
        <v>226.17952909864951</v>
      </c>
      <c r="U42" s="5" t="s">
        <v>316</v>
      </c>
      <c r="V42" s="51" t="s">
        <v>317</v>
      </c>
      <c r="Z42" s="2"/>
      <c r="AA42" s="2"/>
    </row>
    <row r="43" spans="2:27" ht="15.75" customHeight="1" x14ac:dyDescent="0.3">
      <c r="B43" s="311"/>
      <c r="C43" s="136">
        <v>24</v>
      </c>
      <c r="D43" s="4">
        <f>'Buckling '!F88/1000</f>
        <v>2.4E-2</v>
      </c>
      <c r="E43" s="4">
        <f>'Deck structures'!K19</f>
        <v>2.5</v>
      </c>
      <c r="F43" s="38">
        <f t="shared" ref="F43:F46" si="10">(1/12)*E43*(D43^3)*(COS(PI()/6)^2)</f>
        <v>2.1600000000000005E-6</v>
      </c>
      <c r="G43" s="4">
        <f t="shared" si="6"/>
        <v>0.06</v>
      </c>
      <c r="H43" s="4">
        <v>16.675000000000001</v>
      </c>
      <c r="I43" s="4">
        <f t="shared" si="2"/>
        <v>1.0004999999999999</v>
      </c>
      <c r="J43" s="39">
        <f t="shared" si="3"/>
        <v>4.9881004775547506</v>
      </c>
      <c r="K43" s="39">
        <f t="shared" si="4"/>
        <v>4.9881026375547508</v>
      </c>
      <c r="L43" s="5">
        <f>'Buckling '!M44</f>
        <v>1.47</v>
      </c>
      <c r="N43" s="50" t="s">
        <v>325</v>
      </c>
      <c r="O43" s="33">
        <f t="shared" ref="O43:Q43" si="11">SUM(O41:O42)</f>
        <v>2.1193990000000005</v>
      </c>
      <c r="P43" s="33">
        <f t="shared" si="11"/>
        <v>16.016637150000005</v>
      </c>
      <c r="Q43" s="33">
        <f t="shared" si="11"/>
        <v>113.08976454932476</v>
      </c>
      <c r="S43" s="50" t="s">
        <v>326</v>
      </c>
      <c r="T43" s="37">
        <f>0.01*(Lbp^2)*B*(Cb+0.7)*(10.75-((0.01*(300-Lbp))^1.5))</f>
        <v>278083.26034317492</v>
      </c>
      <c r="U43" s="5" t="s">
        <v>327</v>
      </c>
      <c r="V43" s="51" t="s">
        <v>328</v>
      </c>
      <c r="Z43" s="2"/>
      <c r="AA43" s="2"/>
    </row>
    <row r="44" spans="2:27" ht="15.75" customHeight="1" x14ac:dyDescent="0.3">
      <c r="B44" s="311"/>
      <c r="C44" s="136">
        <v>25</v>
      </c>
      <c r="D44" s="4">
        <f>'Buckling '!F89/1000</f>
        <v>2.4E-2</v>
      </c>
      <c r="E44" s="4">
        <f>'Deck structures'!K20</f>
        <v>2.5</v>
      </c>
      <c r="F44" s="38">
        <f t="shared" si="10"/>
        <v>2.1600000000000005E-6</v>
      </c>
      <c r="G44" s="4">
        <f t="shared" si="6"/>
        <v>0.06</v>
      </c>
      <c r="H44" s="4">
        <v>15.43</v>
      </c>
      <c r="I44" s="4">
        <f t="shared" si="2"/>
        <v>0.92579999999999996</v>
      </c>
      <c r="J44" s="39">
        <f t="shared" si="3"/>
        <v>3.7188966676791657</v>
      </c>
      <c r="K44" s="39">
        <f t="shared" si="4"/>
        <v>3.7188988276791659</v>
      </c>
      <c r="L44" s="5">
        <f>'Buckling '!M45</f>
        <v>1.47</v>
      </c>
      <c r="S44" s="50" t="s">
        <v>333</v>
      </c>
      <c r="T44" s="37">
        <f>T42/T41*10^4</f>
        <v>299291.70730583015</v>
      </c>
      <c r="U44" s="5" t="s">
        <v>327</v>
      </c>
      <c r="V44" s="51" t="s">
        <v>334</v>
      </c>
      <c r="Z44" s="2"/>
      <c r="AA44" s="2"/>
    </row>
    <row r="45" spans="2:27" ht="15.75" customHeight="1" x14ac:dyDescent="0.3">
      <c r="B45" s="311"/>
      <c r="C45" s="136">
        <v>26</v>
      </c>
      <c r="D45" s="4">
        <f>'Buckling '!F90/1000</f>
        <v>2.4E-2</v>
      </c>
      <c r="E45" s="4">
        <f>'Deck structures'!K21</f>
        <v>2.5</v>
      </c>
      <c r="F45" s="38">
        <f t="shared" si="10"/>
        <v>2.1600000000000005E-6</v>
      </c>
      <c r="G45" s="4">
        <f t="shared" si="6"/>
        <v>0.06</v>
      </c>
      <c r="H45" s="4">
        <v>14.2</v>
      </c>
      <c r="I45" s="4">
        <f t="shared" si="2"/>
        <v>0.85199999999999998</v>
      </c>
      <c r="J45" s="39">
        <f t="shared" si="3"/>
        <v>2.6476394699707586</v>
      </c>
      <c r="K45" s="39">
        <f t="shared" si="4"/>
        <v>2.6476416299707588</v>
      </c>
      <c r="L45" s="5">
        <f>'Buckling '!M46</f>
        <v>1.47</v>
      </c>
      <c r="S45" s="50" t="s">
        <v>336</v>
      </c>
      <c r="T45" s="37">
        <f>T42/(D-T41)*10^4</f>
        <v>214533.77562986707</v>
      </c>
      <c r="U45" s="5" t="s">
        <v>327</v>
      </c>
      <c r="V45" s="51" t="s">
        <v>337</v>
      </c>
      <c r="Z45" s="2"/>
      <c r="AA45" s="2"/>
    </row>
    <row r="46" spans="2:27" ht="15.75" customHeight="1" x14ac:dyDescent="0.3">
      <c r="B46" s="312"/>
      <c r="C46" s="136">
        <v>27</v>
      </c>
      <c r="D46" s="4">
        <f>'Buckling '!F91/1000</f>
        <v>2.4E-2</v>
      </c>
      <c r="E46" s="4">
        <f>'Deck structures'!K22</f>
        <v>2.5</v>
      </c>
      <c r="F46" s="38">
        <f t="shared" si="10"/>
        <v>2.1600000000000005E-6</v>
      </c>
      <c r="G46" s="4">
        <f t="shared" si="6"/>
        <v>0.06</v>
      </c>
      <c r="H46" s="4">
        <v>12.93</v>
      </c>
      <c r="I46" s="4">
        <f t="shared" si="2"/>
        <v>0.77579999999999993</v>
      </c>
      <c r="J46" s="39">
        <f t="shared" si="3"/>
        <v>1.7320446398165503</v>
      </c>
      <c r="K46" s="39">
        <f t="shared" si="4"/>
        <v>1.7320467998165503</v>
      </c>
      <c r="L46" s="5">
        <f>'Buckling '!M47</f>
        <v>1.47</v>
      </c>
      <c r="Z46" s="2"/>
      <c r="AA46" s="2"/>
    </row>
    <row r="47" spans="2:27" ht="15.75" customHeight="1" x14ac:dyDescent="0.3">
      <c r="Z47" s="2"/>
      <c r="AA47" s="2"/>
    </row>
    <row r="48" spans="2:27" ht="15.75" customHeight="1" x14ac:dyDescent="0.3">
      <c r="B48" s="178" t="s">
        <v>311</v>
      </c>
      <c r="F48" s="22"/>
      <c r="G48" s="22"/>
      <c r="I48" s="22"/>
      <c r="J48" s="22"/>
      <c r="K48" s="22"/>
      <c r="L48" s="22"/>
      <c r="O48" s="201" t="s">
        <v>392</v>
      </c>
      <c r="P48" s="203"/>
      <c r="S48" s="50" t="s">
        <v>388</v>
      </c>
      <c r="T48" s="192" t="s">
        <v>389</v>
      </c>
      <c r="U48" s="193" t="s">
        <v>390</v>
      </c>
      <c r="V48" s="191" t="s">
        <v>391</v>
      </c>
      <c r="W48" s="5"/>
      <c r="Z48" s="2"/>
      <c r="AA48" s="2"/>
    </row>
    <row r="49" spans="2:27" ht="15.75" customHeight="1" x14ac:dyDescent="0.3">
      <c r="B49" s="265" t="s">
        <v>284</v>
      </c>
      <c r="C49" s="49" t="s">
        <v>321</v>
      </c>
      <c r="D49" s="49" t="s">
        <v>322</v>
      </c>
      <c r="E49" s="49" t="s">
        <v>323</v>
      </c>
      <c r="F49" s="138" t="s">
        <v>318</v>
      </c>
      <c r="G49" s="138" t="s">
        <v>26</v>
      </c>
      <c r="H49" s="49" t="s">
        <v>191</v>
      </c>
      <c r="I49" s="138" t="s">
        <v>319</v>
      </c>
      <c r="J49" s="138" t="s">
        <v>320</v>
      </c>
      <c r="K49" s="138" t="s">
        <v>177</v>
      </c>
      <c r="L49" s="49" t="s">
        <v>157</v>
      </c>
      <c r="M49" s="257" t="s">
        <v>297</v>
      </c>
      <c r="O49" s="50" t="s">
        <v>284</v>
      </c>
      <c r="P49" s="50" t="s">
        <v>285</v>
      </c>
      <c r="S49" s="50" t="s">
        <v>393</v>
      </c>
      <c r="T49" s="7">
        <f>2*O43</f>
        <v>4.238798000000001</v>
      </c>
      <c r="U49" s="7">
        <f>4.23697</f>
        <v>4.2369700000000003</v>
      </c>
      <c r="V49" s="33">
        <f t="shared" ref="V49:V53" si="12">100*ABS(T49-U49)/T49</f>
        <v>4.3125433200652791E-2</v>
      </c>
      <c r="W49" s="5" t="s">
        <v>330</v>
      </c>
      <c r="Z49" s="2"/>
      <c r="AA49" s="2"/>
    </row>
    <row r="50" spans="2:27" ht="15.75" customHeight="1" x14ac:dyDescent="0.3">
      <c r="B50" s="275"/>
      <c r="C50" s="137" t="s">
        <v>164</v>
      </c>
      <c r="D50" s="137" t="s">
        <v>30</v>
      </c>
      <c r="E50" s="137" t="s">
        <v>30</v>
      </c>
      <c r="F50" s="139" t="s">
        <v>329</v>
      </c>
      <c r="G50" s="139" t="s">
        <v>330</v>
      </c>
      <c r="H50" s="137" t="s">
        <v>3</v>
      </c>
      <c r="I50" s="139" t="s">
        <v>331</v>
      </c>
      <c r="J50" s="139" t="s">
        <v>329</v>
      </c>
      <c r="K50" s="139" t="s">
        <v>329</v>
      </c>
      <c r="L50" s="137" t="s">
        <v>64</v>
      </c>
      <c r="M50" s="275"/>
      <c r="O50" s="50" t="s">
        <v>286</v>
      </c>
      <c r="P50" s="183" t="s">
        <v>395</v>
      </c>
      <c r="S50" s="50" t="s">
        <v>394</v>
      </c>
      <c r="T50" s="37">
        <f>T42</f>
        <v>226.17952909864951</v>
      </c>
      <c r="U50" s="32">
        <f>225.1546</f>
        <v>225.15459999999999</v>
      </c>
      <c r="V50" s="33">
        <f t="shared" si="12"/>
        <v>0.45314848020684212</v>
      </c>
      <c r="W50" s="5" t="s">
        <v>329</v>
      </c>
      <c r="Z50" s="2"/>
      <c r="AA50" s="2"/>
    </row>
    <row r="51" spans="2:27" ht="15.75" customHeight="1" x14ac:dyDescent="0.3">
      <c r="B51" s="257" t="s">
        <v>286</v>
      </c>
      <c r="C51" s="4">
        <v>1</v>
      </c>
      <c r="D51" s="31">
        <v>400</v>
      </c>
      <c r="E51" s="31">
        <v>16</v>
      </c>
      <c r="F51" s="38">
        <v>2.666E-6</v>
      </c>
      <c r="G51" s="38">
        <v>8.9480000000000011E-3</v>
      </c>
      <c r="H51" s="4">
        <v>0.2</v>
      </c>
      <c r="I51" s="38">
        <f>G51*H51</f>
        <v>1.7896000000000003E-3</v>
      </c>
      <c r="J51" s="38">
        <f t="shared" ref="J51:J82" si="13">G51*(H51-$T$41)^2</f>
        <v>0.48433557139226874</v>
      </c>
      <c r="K51" s="38">
        <f t="shared" ref="K51:K129" si="14">F51+J51</f>
        <v>0.48433823739226872</v>
      </c>
      <c r="L51" s="40">
        <v>1.28</v>
      </c>
      <c r="M51" s="296" t="s">
        <v>287</v>
      </c>
      <c r="O51" s="50" t="s">
        <v>53</v>
      </c>
      <c r="P51" s="59" t="s">
        <v>397</v>
      </c>
      <c r="S51" s="50" t="s">
        <v>396</v>
      </c>
      <c r="T51" s="33">
        <f>T41</f>
        <v>7.5571599071246149</v>
      </c>
      <c r="U51" s="33">
        <v>7.976</v>
      </c>
      <c r="V51" s="33">
        <f t="shared" si="12"/>
        <v>5.5422949629598</v>
      </c>
      <c r="W51" s="5" t="s">
        <v>3</v>
      </c>
      <c r="Z51" s="2"/>
      <c r="AA51" s="2"/>
    </row>
    <row r="52" spans="2:27" ht="15.75" customHeight="1" x14ac:dyDescent="0.3">
      <c r="B52" s="260"/>
      <c r="C52" s="4">
        <v>2</v>
      </c>
      <c r="D52" s="31">
        <v>400</v>
      </c>
      <c r="E52" s="31">
        <v>16</v>
      </c>
      <c r="F52" s="38">
        <v>2.6660000000000004E-6</v>
      </c>
      <c r="G52" s="38">
        <v>8.9480000000000011E-3</v>
      </c>
      <c r="H52" s="4">
        <v>0.2</v>
      </c>
      <c r="I52" s="38">
        <v>1.7896000000000003E-3</v>
      </c>
      <c r="J52" s="38">
        <f t="shared" si="13"/>
        <v>0.48433557139226874</v>
      </c>
      <c r="K52" s="38">
        <f t="shared" si="14"/>
        <v>0.48433823739226872</v>
      </c>
      <c r="L52" s="40">
        <v>1.28</v>
      </c>
      <c r="M52" s="297"/>
      <c r="O52" s="50" t="s">
        <v>289</v>
      </c>
      <c r="P52" s="60" t="s">
        <v>399</v>
      </c>
      <c r="S52" s="50" t="s">
        <v>398</v>
      </c>
      <c r="T52" s="33">
        <f>T44/10^4</f>
        <v>29.929170730583014</v>
      </c>
      <c r="U52" s="33">
        <v>28.227799999999998</v>
      </c>
      <c r="V52" s="33">
        <f t="shared" si="12"/>
        <v>5.6846571055992401</v>
      </c>
      <c r="W52" s="5" t="s">
        <v>331</v>
      </c>
      <c r="Z52" s="2"/>
      <c r="AA52" s="2"/>
    </row>
    <row r="53" spans="2:27" ht="15.75" customHeight="1" x14ac:dyDescent="0.3">
      <c r="B53" s="260"/>
      <c r="C53" s="4">
        <v>3</v>
      </c>
      <c r="D53" s="31">
        <v>400</v>
      </c>
      <c r="E53" s="31">
        <v>16</v>
      </c>
      <c r="F53" s="38">
        <v>2.6660000000000004E-6</v>
      </c>
      <c r="G53" s="38">
        <v>8.9480000000000011E-3</v>
      </c>
      <c r="H53" s="4">
        <v>0.2</v>
      </c>
      <c r="I53" s="38">
        <v>1.7896000000000003E-3</v>
      </c>
      <c r="J53" s="38">
        <f t="shared" si="13"/>
        <v>0.48433557139226874</v>
      </c>
      <c r="K53" s="38">
        <f t="shared" si="14"/>
        <v>0.48433823739226872</v>
      </c>
      <c r="L53" s="40">
        <v>1.28</v>
      </c>
      <c r="M53" s="297"/>
      <c r="O53" s="50" t="s">
        <v>57</v>
      </c>
      <c r="P53" s="186" t="s">
        <v>401</v>
      </c>
      <c r="S53" s="50" t="s">
        <v>400</v>
      </c>
      <c r="T53" s="33">
        <f>T45/10^4</f>
        <v>21.453377562986706</v>
      </c>
      <c r="U53" s="33">
        <v>22.240400000000001</v>
      </c>
      <c r="V53" s="33">
        <f t="shared" si="12"/>
        <v>3.6685246167071472</v>
      </c>
      <c r="W53" s="5" t="s">
        <v>331</v>
      </c>
      <c r="Z53" s="2"/>
      <c r="AA53" s="2"/>
    </row>
    <row r="54" spans="2:27" ht="15.75" customHeight="1" x14ac:dyDescent="0.3">
      <c r="B54" s="260"/>
      <c r="C54" s="4">
        <v>4</v>
      </c>
      <c r="D54" s="31">
        <v>400</v>
      </c>
      <c r="E54" s="31">
        <v>16</v>
      </c>
      <c r="F54" s="38">
        <v>2.6660000000000004E-6</v>
      </c>
      <c r="G54" s="38">
        <v>8.9480000000000011E-3</v>
      </c>
      <c r="H54" s="4">
        <v>0.2</v>
      </c>
      <c r="I54" s="38">
        <v>1.7896000000000003E-3</v>
      </c>
      <c r="J54" s="38">
        <f t="shared" si="13"/>
        <v>0.48433557139226874</v>
      </c>
      <c r="K54" s="38">
        <f t="shared" si="14"/>
        <v>0.48433823739226872</v>
      </c>
      <c r="L54" s="40">
        <v>1.28</v>
      </c>
      <c r="M54" s="297"/>
      <c r="O54" s="50" t="s">
        <v>252</v>
      </c>
      <c r="P54" s="5" t="s">
        <v>401</v>
      </c>
      <c r="Z54" s="2"/>
      <c r="AA54" s="2"/>
    </row>
    <row r="55" spans="2:27" ht="15.75" customHeight="1" x14ac:dyDescent="0.3">
      <c r="B55" s="260"/>
      <c r="C55" s="4">
        <v>5</v>
      </c>
      <c r="D55" s="31">
        <v>400</v>
      </c>
      <c r="E55" s="31">
        <v>16</v>
      </c>
      <c r="F55" s="38">
        <v>2.6660000000000004E-6</v>
      </c>
      <c r="G55" s="38">
        <v>8.9480000000000011E-3</v>
      </c>
      <c r="H55" s="4">
        <v>0.2</v>
      </c>
      <c r="I55" s="38">
        <v>1.7896000000000003E-3</v>
      </c>
      <c r="J55" s="38">
        <f t="shared" si="13"/>
        <v>0.48433557139226874</v>
      </c>
      <c r="K55" s="38">
        <f t="shared" si="14"/>
        <v>0.48433823739226872</v>
      </c>
      <c r="L55" s="40">
        <v>1.28</v>
      </c>
      <c r="M55" s="297"/>
      <c r="O55" s="50" t="s">
        <v>278</v>
      </c>
      <c r="P55" s="59" t="s">
        <v>397</v>
      </c>
      <c r="Z55" s="2"/>
      <c r="AA55" s="2"/>
    </row>
    <row r="56" spans="2:27" ht="15.75" customHeight="1" x14ac:dyDescent="0.3">
      <c r="B56" s="260"/>
      <c r="C56" s="4">
        <v>6</v>
      </c>
      <c r="D56" s="31">
        <v>400</v>
      </c>
      <c r="E56" s="31">
        <v>16</v>
      </c>
      <c r="F56" s="38">
        <v>2.6660000000000004E-6</v>
      </c>
      <c r="G56" s="38">
        <v>8.9480000000000011E-3</v>
      </c>
      <c r="H56" s="4">
        <v>0.2</v>
      </c>
      <c r="I56" s="38">
        <v>1.7896000000000003E-3</v>
      </c>
      <c r="J56" s="38">
        <f t="shared" si="13"/>
        <v>0.48433557139226874</v>
      </c>
      <c r="K56" s="38">
        <f t="shared" si="14"/>
        <v>0.48433823739226872</v>
      </c>
      <c r="L56" s="40">
        <v>1.28</v>
      </c>
      <c r="M56" s="297"/>
      <c r="O56" s="50" t="s">
        <v>280</v>
      </c>
      <c r="P56" s="189" t="s">
        <v>402</v>
      </c>
      <c r="Z56" s="2"/>
      <c r="AA56" s="2"/>
    </row>
    <row r="57" spans="2:27" ht="15.75" customHeight="1" x14ac:dyDescent="0.3">
      <c r="B57" s="260"/>
      <c r="C57" s="4">
        <v>7</v>
      </c>
      <c r="D57" s="31">
        <v>400</v>
      </c>
      <c r="E57" s="31">
        <v>16</v>
      </c>
      <c r="F57" s="38">
        <v>2.6660000000000004E-6</v>
      </c>
      <c r="G57" s="38">
        <v>8.9480000000000011E-3</v>
      </c>
      <c r="H57" s="4">
        <v>0.2</v>
      </c>
      <c r="I57" s="38">
        <v>1.7896000000000003E-3</v>
      </c>
      <c r="J57" s="38">
        <f t="shared" si="13"/>
        <v>0.48433557139226874</v>
      </c>
      <c r="K57" s="38">
        <f t="shared" si="14"/>
        <v>0.48433823739226872</v>
      </c>
      <c r="L57" s="40">
        <v>1.28</v>
      </c>
      <c r="M57" s="297"/>
      <c r="O57" s="50" t="s">
        <v>281</v>
      </c>
      <c r="P57" s="5" t="s">
        <v>397</v>
      </c>
      <c r="Z57" s="2"/>
      <c r="AA57" s="2"/>
    </row>
    <row r="58" spans="2:27" ht="15.75" customHeight="1" x14ac:dyDescent="0.3">
      <c r="B58" s="260"/>
      <c r="C58" s="4">
        <v>8</v>
      </c>
      <c r="D58" s="31">
        <v>400</v>
      </c>
      <c r="E58" s="31">
        <v>16</v>
      </c>
      <c r="F58" s="38">
        <v>2.6660000000000004E-6</v>
      </c>
      <c r="G58" s="38">
        <v>8.9480000000000011E-3</v>
      </c>
      <c r="H58" s="4">
        <v>0.2</v>
      </c>
      <c r="I58" s="38">
        <v>1.7896000000000003E-3</v>
      </c>
      <c r="J58" s="38">
        <f t="shared" si="13"/>
        <v>0.48433557139226874</v>
      </c>
      <c r="K58" s="38">
        <f t="shared" si="14"/>
        <v>0.48433823739226872</v>
      </c>
      <c r="L58" s="40">
        <v>1.28</v>
      </c>
      <c r="M58" s="297"/>
      <c r="O58" s="50" t="s">
        <v>295</v>
      </c>
      <c r="P58" s="5" t="s">
        <v>403</v>
      </c>
      <c r="Z58" s="2"/>
      <c r="AA58" s="2"/>
    </row>
    <row r="59" spans="2:27" ht="15.75" customHeight="1" x14ac:dyDescent="0.3">
      <c r="B59" s="260"/>
      <c r="C59" s="4">
        <v>9</v>
      </c>
      <c r="D59" s="31">
        <v>400</v>
      </c>
      <c r="E59" s="31">
        <v>16</v>
      </c>
      <c r="F59" s="38">
        <v>2.6660000000000004E-6</v>
      </c>
      <c r="G59" s="38">
        <v>8.9480000000000011E-3</v>
      </c>
      <c r="H59" s="4">
        <v>0.2</v>
      </c>
      <c r="I59" s="38">
        <v>1.7896000000000003E-3</v>
      </c>
      <c r="J59" s="38">
        <f t="shared" si="13"/>
        <v>0.48433557139226874</v>
      </c>
      <c r="K59" s="38">
        <f t="shared" si="14"/>
        <v>0.48433823739226872</v>
      </c>
      <c r="L59" s="40">
        <v>1.28</v>
      </c>
      <c r="M59" s="297"/>
      <c r="Z59" s="2"/>
      <c r="AA59" s="2"/>
    </row>
    <row r="60" spans="2:27" ht="15.75" customHeight="1" x14ac:dyDescent="0.3">
      <c r="B60" s="260"/>
      <c r="C60" s="4">
        <v>10</v>
      </c>
      <c r="D60" s="31">
        <v>400</v>
      </c>
      <c r="E60" s="31">
        <v>16</v>
      </c>
      <c r="F60" s="38">
        <v>2.6660000000000004E-6</v>
      </c>
      <c r="G60" s="38">
        <v>8.9480000000000011E-3</v>
      </c>
      <c r="H60" s="4">
        <v>0.2</v>
      </c>
      <c r="I60" s="38">
        <v>1.7896000000000003E-3</v>
      </c>
      <c r="J60" s="38">
        <f t="shared" si="13"/>
        <v>0.48433557139226874</v>
      </c>
      <c r="K60" s="38">
        <f t="shared" si="14"/>
        <v>0.48433823739226872</v>
      </c>
      <c r="L60" s="40">
        <v>1.28</v>
      </c>
      <c r="M60" s="297"/>
      <c r="Z60" s="2"/>
      <c r="AA60" s="2"/>
    </row>
    <row r="61" spans="2:27" ht="15.75" customHeight="1" x14ac:dyDescent="0.3">
      <c r="B61" s="260"/>
      <c r="C61" s="4">
        <v>11</v>
      </c>
      <c r="D61" s="31">
        <v>400</v>
      </c>
      <c r="E61" s="31">
        <v>16</v>
      </c>
      <c r="F61" s="38">
        <v>2.6660000000000004E-6</v>
      </c>
      <c r="G61" s="38">
        <v>8.9480000000000011E-3</v>
      </c>
      <c r="H61" s="4">
        <v>0.2</v>
      </c>
      <c r="I61" s="38">
        <v>1.7896000000000003E-3</v>
      </c>
      <c r="J61" s="38">
        <f t="shared" si="13"/>
        <v>0.48433557139226874</v>
      </c>
      <c r="K61" s="38">
        <f t="shared" si="14"/>
        <v>0.48433823739226872</v>
      </c>
      <c r="L61" s="40">
        <v>1.28</v>
      </c>
      <c r="M61" s="297"/>
      <c r="Z61" s="2"/>
      <c r="AA61" s="2"/>
    </row>
    <row r="62" spans="2:27" ht="15.75" customHeight="1" x14ac:dyDescent="0.3">
      <c r="B62" s="260"/>
      <c r="C62" s="4">
        <v>12</v>
      </c>
      <c r="D62" s="31">
        <v>400</v>
      </c>
      <c r="E62" s="31">
        <v>16</v>
      </c>
      <c r="F62" s="38">
        <v>2.6660000000000004E-6</v>
      </c>
      <c r="G62" s="38">
        <v>8.9480000000000011E-3</v>
      </c>
      <c r="H62" s="4">
        <v>0.2</v>
      </c>
      <c r="I62" s="38">
        <v>1.7896000000000003E-3</v>
      </c>
      <c r="J62" s="38">
        <f t="shared" si="13"/>
        <v>0.48433557139226874</v>
      </c>
      <c r="K62" s="38">
        <f t="shared" si="14"/>
        <v>0.48433823739226872</v>
      </c>
      <c r="L62" s="40">
        <v>1.28</v>
      </c>
      <c r="M62" s="297"/>
      <c r="Z62" s="2"/>
      <c r="AA62" s="2"/>
    </row>
    <row r="63" spans="2:27" ht="15.75" customHeight="1" x14ac:dyDescent="0.3">
      <c r="B63" s="260"/>
      <c r="C63" s="4">
        <v>13</v>
      </c>
      <c r="D63" s="31">
        <v>400</v>
      </c>
      <c r="E63" s="31">
        <v>16</v>
      </c>
      <c r="F63" s="38">
        <v>2.6660000000000004E-6</v>
      </c>
      <c r="G63" s="38">
        <v>8.9480000000000011E-3</v>
      </c>
      <c r="H63" s="4">
        <v>0.2</v>
      </c>
      <c r="I63" s="38">
        <v>1.7896000000000003E-3</v>
      </c>
      <c r="J63" s="38">
        <f t="shared" si="13"/>
        <v>0.48433557139226874</v>
      </c>
      <c r="K63" s="38">
        <f t="shared" si="14"/>
        <v>0.48433823739226872</v>
      </c>
      <c r="L63" s="40">
        <v>1.28</v>
      </c>
      <c r="M63" s="297"/>
      <c r="Z63" s="2"/>
      <c r="AA63" s="2"/>
    </row>
    <row r="64" spans="2:27" ht="15.75" customHeight="1" x14ac:dyDescent="0.3">
      <c r="B64" s="260"/>
      <c r="C64" s="4">
        <v>14</v>
      </c>
      <c r="D64" s="31">
        <v>400</v>
      </c>
      <c r="E64" s="31">
        <v>16</v>
      </c>
      <c r="F64" s="38">
        <v>2.6660000000000004E-6</v>
      </c>
      <c r="G64" s="38">
        <v>8.9480000000000011E-3</v>
      </c>
      <c r="H64" s="4">
        <v>0.2</v>
      </c>
      <c r="I64" s="38">
        <v>1.7896000000000003E-3</v>
      </c>
      <c r="J64" s="38">
        <f t="shared" si="13"/>
        <v>0.48433557139226874</v>
      </c>
      <c r="K64" s="38">
        <f t="shared" si="14"/>
        <v>0.48433823739226872</v>
      </c>
      <c r="L64" s="40">
        <v>1.28</v>
      </c>
      <c r="M64" s="297"/>
      <c r="Z64" s="2"/>
      <c r="AA64" s="2"/>
    </row>
    <row r="65" spans="2:27" ht="15.75" customHeight="1" x14ac:dyDescent="0.3">
      <c r="B65" s="260"/>
      <c r="C65" s="4">
        <v>15</v>
      </c>
      <c r="D65" s="31">
        <v>400</v>
      </c>
      <c r="E65" s="31">
        <v>16</v>
      </c>
      <c r="F65" s="38">
        <v>2.6660000000000004E-6</v>
      </c>
      <c r="G65" s="38">
        <v>8.9480000000000011E-3</v>
      </c>
      <c r="H65" s="4">
        <v>0.2</v>
      </c>
      <c r="I65" s="38">
        <v>1.7896000000000003E-3</v>
      </c>
      <c r="J65" s="38">
        <f t="shared" si="13"/>
        <v>0.48433557139226874</v>
      </c>
      <c r="K65" s="38">
        <f t="shared" si="14"/>
        <v>0.48433823739226872</v>
      </c>
      <c r="L65" s="40">
        <v>1.28</v>
      </c>
      <c r="M65" s="297"/>
      <c r="Z65" s="2"/>
      <c r="AA65" s="2"/>
    </row>
    <row r="66" spans="2:27" ht="15.75" customHeight="1" x14ac:dyDescent="0.3">
      <c r="B66" s="260"/>
      <c r="C66" s="4">
        <v>16</v>
      </c>
      <c r="D66" s="31">
        <v>400</v>
      </c>
      <c r="E66" s="31">
        <v>16</v>
      </c>
      <c r="F66" s="38">
        <v>1.4220000000000001E-4</v>
      </c>
      <c r="G66" s="38">
        <v>8.9480000000000011E-3</v>
      </c>
      <c r="H66" s="4">
        <v>2.82</v>
      </c>
      <c r="I66" s="38">
        <v>2.5233360000000003E-2</v>
      </c>
      <c r="J66" s="38">
        <f t="shared" si="13"/>
        <v>0.20079924030376531</v>
      </c>
      <c r="K66" s="38">
        <f t="shared" si="14"/>
        <v>0.20094144030376532</v>
      </c>
      <c r="L66" s="40">
        <v>1.28</v>
      </c>
      <c r="M66" s="297"/>
      <c r="Z66" s="2"/>
      <c r="AA66" s="2"/>
    </row>
    <row r="67" spans="2:27" ht="15.75" customHeight="1" x14ac:dyDescent="0.3">
      <c r="B67" s="260"/>
      <c r="C67" s="4">
        <v>17</v>
      </c>
      <c r="D67" s="31">
        <v>400</v>
      </c>
      <c r="E67" s="31">
        <v>16</v>
      </c>
      <c r="F67" s="38">
        <v>1.4220000000000001E-4</v>
      </c>
      <c r="G67" s="38">
        <v>8.9480000000000011E-3</v>
      </c>
      <c r="H67" s="4">
        <v>3.6999999999999997</v>
      </c>
      <c r="I67" s="38">
        <v>3.3107600000000001E-2</v>
      </c>
      <c r="J67" s="38">
        <f t="shared" si="13"/>
        <v>0.13312550344961141</v>
      </c>
      <c r="K67" s="38">
        <f t="shared" si="14"/>
        <v>0.13326770344961142</v>
      </c>
      <c r="L67" s="40">
        <v>1.28</v>
      </c>
      <c r="M67" s="297"/>
      <c r="Z67" s="2"/>
      <c r="AA67" s="2"/>
    </row>
    <row r="68" spans="2:27" ht="15.75" customHeight="1" x14ac:dyDescent="0.3">
      <c r="B68" s="260"/>
      <c r="C68" s="4">
        <v>18</v>
      </c>
      <c r="D68" s="31">
        <v>400</v>
      </c>
      <c r="E68" s="31">
        <v>16</v>
      </c>
      <c r="F68" s="38">
        <v>1.4220000000000001E-4</v>
      </c>
      <c r="G68" s="38">
        <v>8.9480000000000011E-3</v>
      </c>
      <c r="H68" s="4">
        <v>4.58</v>
      </c>
      <c r="I68" s="38">
        <v>4.0981840000000005E-2</v>
      </c>
      <c r="J68" s="38">
        <f t="shared" si="13"/>
        <v>7.9310428995457524E-2</v>
      </c>
      <c r="K68" s="38">
        <f t="shared" si="14"/>
        <v>7.9452628995457519E-2</v>
      </c>
      <c r="L68" s="40">
        <v>1.28</v>
      </c>
      <c r="M68" s="297"/>
      <c r="Z68" s="2"/>
      <c r="AA68" s="2"/>
    </row>
    <row r="69" spans="2:27" ht="15.75" customHeight="1" x14ac:dyDescent="0.3">
      <c r="B69" s="260"/>
      <c r="C69" s="4">
        <v>19</v>
      </c>
      <c r="D69" s="31">
        <v>400</v>
      </c>
      <c r="E69" s="31">
        <v>16</v>
      </c>
      <c r="F69" s="38">
        <v>1.4220000000000001E-4</v>
      </c>
      <c r="G69" s="38">
        <v>8.9480000000000011E-3</v>
      </c>
      <c r="H69" s="4">
        <v>5.46</v>
      </c>
      <c r="I69" s="38">
        <v>4.8856080000000003E-2</v>
      </c>
      <c r="J69" s="38">
        <f t="shared" si="13"/>
        <v>3.9354016941303673E-2</v>
      </c>
      <c r="K69" s="38">
        <f t="shared" si="14"/>
        <v>3.9496216941303675E-2</v>
      </c>
      <c r="L69" s="40">
        <v>1.28</v>
      </c>
      <c r="M69" s="297"/>
      <c r="Z69" s="2"/>
      <c r="AA69" s="2"/>
    </row>
    <row r="70" spans="2:27" ht="15.75" customHeight="1" x14ac:dyDescent="0.3">
      <c r="B70" s="258"/>
      <c r="C70" s="4">
        <v>20</v>
      </c>
      <c r="D70" s="31">
        <v>400</v>
      </c>
      <c r="E70" s="31">
        <v>16</v>
      </c>
      <c r="F70" s="38">
        <v>1.4220000000000001E-4</v>
      </c>
      <c r="G70" s="38">
        <v>8.9480000000000011E-3</v>
      </c>
      <c r="H70" s="4">
        <v>6.4</v>
      </c>
      <c r="I70" s="38">
        <v>5.7267200000000011E-2</v>
      </c>
      <c r="J70" s="38">
        <f t="shared" si="13"/>
        <v>1.1981542465275675E-2</v>
      </c>
      <c r="K70" s="38">
        <f t="shared" si="14"/>
        <v>1.2123742465275675E-2</v>
      </c>
      <c r="L70" s="40">
        <v>1.28</v>
      </c>
      <c r="M70" s="298"/>
      <c r="Z70" s="2"/>
      <c r="AA70" s="2"/>
    </row>
    <row r="71" spans="2:27" ht="15.75" customHeight="1" x14ac:dyDescent="0.3">
      <c r="B71" s="257" t="s">
        <v>53</v>
      </c>
      <c r="C71" s="4">
        <v>50</v>
      </c>
      <c r="D71" s="31">
        <v>370</v>
      </c>
      <c r="E71" s="31">
        <v>15</v>
      </c>
      <c r="F71" s="38">
        <v>1.9480000000000002E-6</v>
      </c>
      <c r="G71" s="38">
        <v>7.7099999999999998E-3</v>
      </c>
      <c r="H71" s="4">
        <v>6.49</v>
      </c>
      <c r="I71" s="38">
        <v>5.0037900000000003E-2</v>
      </c>
      <c r="J71" s="38">
        <f t="shared" si="13"/>
        <v>8.7803813614552081E-3</v>
      </c>
      <c r="K71" s="38">
        <f t="shared" si="14"/>
        <v>8.782329361455208E-3</v>
      </c>
      <c r="L71" s="40">
        <v>1.28</v>
      </c>
      <c r="M71" s="299" t="s">
        <v>288</v>
      </c>
      <c r="Z71" s="2"/>
      <c r="AA71" s="2"/>
    </row>
    <row r="72" spans="2:27" ht="15.75" customHeight="1" x14ac:dyDescent="0.3">
      <c r="B72" s="260"/>
      <c r="C72" s="4">
        <v>51</v>
      </c>
      <c r="D72" s="31">
        <v>370</v>
      </c>
      <c r="E72" s="31">
        <v>15</v>
      </c>
      <c r="F72" s="38">
        <v>1.9480000000000002E-6</v>
      </c>
      <c r="G72" s="38">
        <v>7.7099999999999998E-3</v>
      </c>
      <c r="H72" s="4">
        <v>5.9</v>
      </c>
      <c r="I72" s="38">
        <v>4.5489000000000002E-2</v>
      </c>
      <c r="J72" s="38">
        <f t="shared" si="13"/>
        <v>2.1173039764493525E-2</v>
      </c>
      <c r="K72" s="38">
        <f t="shared" si="14"/>
        <v>2.1174987764493527E-2</v>
      </c>
      <c r="L72" s="40">
        <v>1.28</v>
      </c>
      <c r="M72" s="300"/>
      <c r="Z72" s="2"/>
      <c r="AA72" s="2"/>
    </row>
    <row r="73" spans="2:27" ht="15.75" customHeight="1" x14ac:dyDescent="0.3">
      <c r="B73" s="260"/>
      <c r="C73" s="4">
        <v>52</v>
      </c>
      <c r="D73" s="31">
        <v>370</v>
      </c>
      <c r="E73" s="31">
        <v>15</v>
      </c>
      <c r="F73" s="38">
        <v>1.9480000000000002E-6</v>
      </c>
      <c r="G73" s="38">
        <v>7.7099999999999998E-3</v>
      </c>
      <c r="H73" s="4">
        <v>5.3100000000000005</v>
      </c>
      <c r="I73" s="38">
        <v>4.09401E-2</v>
      </c>
      <c r="J73" s="38">
        <f t="shared" si="13"/>
        <v>3.8933400167531836E-2</v>
      </c>
      <c r="K73" s="38">
        <f t="shared" si="14"/>
        <v>3.8935348167531837E-2</v>
      </c>
      <c r="L73" s="40">
        <v>1.28</v>
      </c>
      <c r="M73" s="300"/>
      <c r="Z73" s="2"/>
      <c r="AA73" s="2"/>
    </row>
    <row r="74" spans="2:27" ht="15.75" customHeight="1" x14ac:dyDescent="0.3">
      <c r="B74" s="260"/>
      <c r="C74" s="4">
        <v>53</v>
      </c>
      <c r="D74" s="31">
        <v>370</v>
      </c>
      <c r="E74" s="31">
        <v>15</v>
      </c>
      <c r="F74" s="38">
        <v>1.9480000000000002E-6</v>
      </c>
      <c r="G74" s="38">
        <v>7.7099999999999998E-3</v>
      </c>
      <c r="H74" s="4">
        <v>4.7200000000000006</v>
      </c>
      <c r="I74" s="38">
        <v>3.6391200000000005E-2</v>
      </c>
      <c r="J74" s="38">
        <f t="shared" si="13"/>
        <v>6.2061462570570144E-2</v>
      </c>
      <c r="K74" s="38">
        <f t="shared" si="14"/>
        <v>6.2063410570570146E-2</v>
      </c>
      <c r="L74" s="40">
        <v>1.28</v>
      </c>
      <c r="M74" s="300"/>
      <c r="Z74" s="2"/>
      <c r="AA74" s="2"/>
    </row>
    <row r="75" spans="2:27" ht="15.75" customHeight="1" x14ac:dyDescent="0.3">
      <c r="B75" s="260"/>
      <c r="C75" s="4">
        <v>54</v>
      </c>
      <c r="D75" s="31">
        <v>370</v>
      </c>
      <c r="E75" s="31">
        <v>15</v>
      </c>
      <c r="F75" s="38">
        <v>1.9480000000000002E-6</v>
      </c>
      <c r="G75" s="38">
        <v>7.7099999999999998E-3</v>
      </c>
      <c r="H75" s="4">
        <v>4.1300000000000008</v>
      </c>
      <c r="I75" s="38">
        <v>3.1842300000000004E-2</v>
      </c>
      <c r="J75" s="38">
        <f t="shared" si="13"/>
        <v>9.0557226973608462E-2</v>
      </c>
      <c r="K75" s="38">
        <f t="shared" si="14"/>
        <v>9.0559174973608464E-2</v>
      </c>
      <c r="L75" s="40">
        <v>1.28</v>
      </c>
      <c r="M75" s="300"/>
      <c r="Z75" s="2"/>
      <c r="AA75" s="2"/>
    </row>
    <row r="76" spans="2:27" ht="15.75" customHeight="1" x14ac:dyDescent="0.3">
      <c r="B76" s="260"/>
      <c r="C76" s="4">
        <v>55</v>
      </c>
      <c r="D76" s="31">
        <v>370</v>
      </c>
      <c r="E76" s="31">
        <v>15</v>
      </c>
      <c r="F76" s="38">
        <v>1.9480000000000002E-6</v>
      </c>
      <c r="G76" s="38">
        <v>7.7099999999999998E-3</v>
      </c>
      <c r="H76" s="4">
        <v>3.5400000000000009</v>
      </c>
      <c r="I76" s="38">
        <v>2.7293400000000006E-2</v>
      </c>
      <c r="J76" s="38">
        <f t="shared" si="13"/>
        <v>0.12442069337664677</v>
      </c>
      <c r="K76" s="38">
        <f t="shared" si="14"/>
        <v>0.12442264137664677</v>
      </c>
      <c r="L76" s="40">
        <v>1.28</v>
      </c>
      <c r="M76" s="300"/>
      <c r="Z76" s="2"/>
      <c r="AA76" s="2"/>
    </row>
    <row r="77" spans="2:27" ht="15.75" customHeight="1" x14ac:dyDescent="0.3">
      <c r="B77" s="260"/>
      <c r="C77" s="4">
        <v>56</v>
      </c>
      <c r="D77" s="31">
        <v>370</v>
      </c>
      <c r="E77" s="31">
        <v>15</v>
      </c>
      <c r="F77" s="38">
        <v>1.9480000000000002E-6</v>
      </c>
      <c r="G77" s="38">
        <v>7.7099999999999998E-3</v>
      </c>
      <c r="H77" s="4">
        <v>2.9500000000000011</v>
      </c>
      <c r="I77" s="38">
        <v>2.2744500000000008E-2</v>
      </c>
      <c r="J77" s="38">
        <f t="shared" si="13"/>
        <v>0.16365186177968505</v>
      </c>
      <c r="K77" s="38">
        <f t="shared" si="14"/>
        <v>0.16365380977968505</v>
      </c>
      <c r="L77" s="40">
        <v>1.28</v>
      </c>
      <c r="M77" s="300"/>
      <c r="Z77" s="2"/>
      <c r="AA77" s="2"/>
    </row>
    <row r="78" spans="2:27" ht="15.75" customHeight="1" x14ac:dyDescent="0.3">
      <c r="B78" s="260"/>
      <c r="C78" s="4">
        <v>57</v>
      </c>
      <c r="D78" s="31">
        <v>370</v>
      </c>
      <c r="E78" s="31">
        <v>15</v>
      </c>
      <c r="F78" s="38">
        <v>1.9480000000000002E-6</v>
      </c>
      <c r="G78" s="38">
        <v>7.7099999999999998E-3</v>
      </c>
      <c r="H78" s="4">
        <v>2.3600000000000012</v>
      </c>
      <c r="I78" s="38">
        <v>1.819560000000001E-2</v>
      </c>
      <c r="J78" s="38">
        <f t="shared" si="13"/>
        <v>0.20825073218272336</v>
      </c>
      <c r="K78" s="38">
        <f t="shared" si="14"/>
        <v>0.20825268018272336</v>
      </c>
      <c r="L78" s="40">
        <v>1.28</v>
      </c>
      <c r="M78" s="300"/>
      <c r="Z78" s="2"/>
      <c r="AA78" s="2"/>
    </row>
    <row r="79" spans="2:27" ht="15.75" customHeight="1" x14ac:dyDescent="0.3">
      <c r="B79" s="260"/>
      <c r="C79" s="4">
        <v>58</v>
      </c>
      <c r="D79" s="31">
        <v>370</v>
      </c>
      <c r="E79" s="31">
        <v>15</v>
      </c>
      <c r="F79" s="38">
        <v>1.9480000000000002E-6</v>
      </c>
      <c r="G79" s="38">
        <v>7.7099999999999998E-3</v>
      </c>
      <c r="H79" s="4">
        <v>1.8149999999999999</v>
      </c>
      <c r="I79" s="38">
        <v>1.399365E-2</v>
      </c>
      <c r="J79" s="38">
        <f t="shared" si="13"/>
        <v>0.25421720707620798</v>
      </c>
      <c r="K79" s="38">
        <f t="shared" si="14"/>
        <v>0.25421915507620796</v>
      </c>
      <c r="L79" s="40">
        <v>1.28</v>
      </c>
      <c r="M79" s="300"/>
      <c r="Z79" s="2"/>
      <c r="AA79" s="2"/>
    </row>
    <row r="80" spans="2:27" ht="15.75" customHeight="1" x14ac:dyDescent="0.3">
      <c r="B80" s="260"/>
      <c r="C80" s="4">
        <v>59</v>
      </c>
      <c r="D80" s="31">
        <v>370</v>
      </c>
      <c r="E80" s="31">
        <v>15</v>
      </c>
      <c r="F80" s="38">
        <v>1.9480000000000002E-6</v>
      </c>
      <c r="G80" s="38">
        <v>7.7099999999999998E-3</v>
      </c>
      <c r="H80" s="4">
        <v>1.8149999999999999</v>
      </c>
      <c r="I80" s="38">
        <v>1.399365E-2</v>
      </c>
      <c r="J80" s="38">
        <f t="shared" si="13"/>
        <v>0.25421720707620798</v>
      </c>
      <c r="K80" s="38">
        <f t="shared" si="14"/>
        <v>0.25421915507620796</v>
      </c>
      <c r="L80" s="40">
        <v>1.28</v>
      </c>
      <c r="M80" s="300"/>
      <c r="Z80" s="2"/>
      <c r="AA80" s="2"/>
    </row>
    <row r="81" spans="2:27" ht="15.75" customHeight="1" x14ac:dyDescent="0.3">
      <c r="B81" s="260"/>
      <c r="C81" s="4">
        <v>60</v>
      </c>
      <c r="D81" s="31">
        <v>370</v>
      </c>
      <c r="E81" s="31">
        <v>15</v>
      </c>
      <c r="F81" s="38">
        <v>1.9480000000000002E-6</v>
      </c>
      <c r="G81" s="38">
        <v>7.7099999999999998E-3</v>
      </c>
      <c r="H81" s="4">
        <v>1.8149999999999999</v>
      </c>
      <c r="I81" s="38">
        <v>1.399365E-2</v>
      </c>
      <c r="J81" s="38">
        <f t="shared" si="13"/>
        <v>0.25421720707620798</v>
      </c>
      <c r="K81" s="38">
        <f t="shared" si="14"/>
        <v>0.25421915507620796</v>
      </c>
      <c r="L81" s="40">
        <v>1.28</v>
      </c>
      <c r="M81" s="300"/>
      <c r="Z81" s="2"/>
      <c r="AA81" s="2"/>
    </row>
    <row r="82" spans="2:27" ht="15.75" customHeight="1" x14ac:dyDescent="0.3">
      <c r="B82" s="260"/>
      <c r="C82" s="4">
        <v>61</v>
      </c>
      <c r="D82" s="31">
        <v>370</v>
      </c>
      <c r="E82" s="31">
        <v>15</v>
      </c>
      <c r="F82" s="38">
        <v>1.9480000000000002E-6</v>
      </c>
      <c r="G82" s="38">
        <v>7.7099999999999998E-3</v>
      </c>
      <c r="H82" s="4">
        <v>1.8149999999999999</v>
      </c>
      <c r="I82" s="38">
        <v>1.399365E-2</v>
      </c>
      <c r="J82" s="38">
        <f t="shared" si="13"/>
        <v>0.25421720707620798</v>
      </c>
      <c r="K82" s="38">
        <f t="shared" si="14"/>
        <v>0.25421915507620796</v>
      </c>
      <c r="L82" s="40">
        <v>1.28</v>
      </c>
      <c r="M82" s="300"/>
      <c r="Z82" s="2"/>
      <c r="AA82" s="2"/>
    </row>
    <row r="83" spans="2:27" ht="15.75" customHeight="1" x14ac:dyDescent="0.3">
      <c r="B83" s="260"/>
      <c r="C83" s="4">
        <v>62</v>
      </c>
      <c r="D83" s="31">
        <v>370</v>
      </c>
      <c r="E83" s="31">
        <v>15</v>
      </c>
      <c r="F83" s="38">
        <v>1.9480000000000002E-6</v>
      </c>
      <c r="G83" s="38">
        <v>7.7099999999999998E-3</v>
      </c>
      <c r="H83" s="4">
        <v>1.8149999999999999</v>
      </c>
      <c r="I83" s="38">
        <v>1.399365E-2</v>
      </c>
      <c r="J83" s="38">
        <f t="shared" ref="J83:J114" si="15">G83*(H83-$T$41)^2</f>
        <v>0.25421720707620798</v>
      </c>
      <c r="K83" s="38">
        <f t="shared" si="14"/>
        <v>0.25421915507620796</v>
      </c>
      <c r="L83" s="40">
        <v>1.28</v>
      </c>
      <c r="M83" s="300"/>
      <c r="Z83" s="2"/>
      <c r="AA83" s="2"/>
    </row>
    <row r="84" spans="2:27" ht="15.75" customHeight="1" x14ac:dyDescent="0.3">
      <c r="B84" s="260"/>
      <c r="C84" s="4">
        <v>63</v>
      </c>
      <c r="D84" s="31">
        <v>370</v>
      </c>
      <c r="E84" s="31">
        <v>15</v>
      </c>
      <c r="F84" s="38">
        <v>1.9480000000000002E-6</v>
      </c>
      <c r="G84" s="38">
        <v>7.7099999999999998E-3</v>
      </c>
      <c r="H84" s="4">
        <v>1.8149999999999999</v>
      </c>
      <c r="I84" s="38">
        <v>1.399365E-2</v>
      </c>
      <c r="J84" s="38">
        <f t="shared" si="15"/>
        <v>0.25421720707620798</v>
      </c>
      <c r="K84" s="38">
        <f t="shared" si="14"/>
        <v>0.25421915507620796</v>
      </c>
      <c r="L84" s="40">
        <v>1.28</v>
      </c>
      <c r="M84" s="300"/>
      <c r="Z84" s="2"/>
      <c r="AA84" s="2"/>
    </row>
    <row r="85" spans="2:27" ht="15.75" customHeight="1" x14ac:dyDescent="0.3">
      <c r="B85" s="260"/>
      <c r="C85" s="4">
        <v>64</v>
      </c>
      <c r="D85" s="31">
        <v>370</v>
      </c>
      <c r="E85" s="31">
        <v>15</v>
      </c>
      <c r="F85" s="38">
        <v>1.9480000000000002E-6</v>
      </c>
      <c r="G85" s="38">
        <v>7.7099999999999998E-3</v>
      </c>
      <c r="H85" s="4">
        <v>1.8149999999999999</v>
      </c>
      <c r="I85" s="38">
        <v>1.399365E-2</v>
      </c>
      <c r="J85" s="38">
        <f t="shared" si="15"/>
        <v>0.25421720707620798</v>
      </c>
      <c r="K85" s="38">
        <f t="shared" si="14"/>
        <v>0.25421915507620796</v>
      </c>
      <c r="L85" s="40">
        <v>1.28</v>
      </c>
      <c r="M85" s="300"/>
      <c r="Z85" s="2"/>
      <c r="AA85" s="2"/>
    </row>
    <row r="86" spans="2:27" ht="15.75" customHeight="1" x14ac:dyDescent="0.3">
      <c r="B86" s="260"/>
      <c r="C86" s="4">
        <v>65</v>
      </c>
      <c r="D86" s="31">
        <v>370</v>
      </c>
      <c r="E86" s="31">
        <v>15</v>
      </c>
      <c r="F86" s="38">
        <v>1.9480000000000002E-6</v>
      </c>
      <c r="G86" s="38">
        <v>7.7099999999999998E-3</v>
      </c>
      <c r="H86" s="4">
        <v>1.8149999999999999</v>
      </c>
      <c r="I86" s="38">
        <v>1.399365E-2</v>
      </c>
      <c r="J86" s="38">
        <f t="shared" si="15"/>
        <v>0.25421720707620798</v>
      </c>
      <c r="K86" s="38">
        <f t="shared" si="14"/>
        <v>0.25421915507620796</v>
      </c>
      <c r="L86" s="40">
        <v>1.28</v>
      </c>
      <c r="M86" s="300"/>
      <c r="Z86" s="2"/>
      <c r="AA86" s="2"/>
    </row>
    <row r="87" spans="2:27" ht="15.75" customHeight="1" x14ac:dyDescent="0.3">
      <c r="B87" s="260"/>
      <c r="C87" s="4">
        <v>66</v>
      </c>
      <c r="D87" s="31">
        <v>370</v>
      </c>
      <c r="E87" s="31">
        <v>15</v>
      </c>
      <c r="F87" s="38">
        <v>1.9480000000000002E-6</v>
      </c>
      <c r="G87" s="38">
        <v>7.7099999999999998E-3</v>
      </c>
      <c r="H87" s="4">
        <v>1.8149999999999999</v>
      </c>
      <c r="I87" s="38">
        <v>1.399365E-2</v>
      </c>
      <c r="J87" s="38">
        <f t="shared" si="15"/>
        <v>0.25421720707620798</v>
      </c>
      <c r="K87" s="38">
        <f t="shared" si="14"/>
        <v>0.25421915507620796</v>
      </c>
      <c r="L87" s="40">
        <v>1.28</v>
      </c>
      <c r="M87" s="300"/>
    </row>
    <row r="88" spans="2:27" ht="15.75" customHeight="1" x14ac:dyDescent="0.3">
      <c r="B88" s="260"/>
      <c r="C88" s="4">
        <v>67</v>
      </c>
      <c r="D88" s="31">
        <v>370</v>
      </c>
      <c r="E88" s="31">
        <v>15</v>
      </c>
      <c r="F88" s="38">
        <v>1.9480000000000002E-6</v>
      </c>
      <c r="G88" s="38">
        <v>7.7099999999999998E-3</v>
      </c>
      <c r="H88" s="4">
        <v>1.8149999999999999</v>
      </c>
      <c r="I88" s="38">
        <v>1.399365E-2</v>
      </c>
      <c r="J88" s="38">
        <f t="shared" si="15"/>
        <v>0.25421720707620798</v>
      </c>
      <c r="K88" s="38">
        <f t="shared" si="14"/>
        <v>0.25421915507620796</v>
      </c>
      <c r="L88" s="40">
        <v>1.28</v>
      </c>
      <c r="M88" s="300"/>
    </row>
    <row r="89" spans="2:27" ht="15.75" customHeight="1" x14ac:dyDescent="0.3">
      <c r="B89" s="260"/>
      <c r="C89" s="4">
        <v>68</v>
      </c>
      <c r="D89" s="31">
        <v>370</v>
      </c>
      <c r="E89" s="31">
        <v>15</v>
      </c>
      <c r="F89" s="38">
        <v>1.9480000000000002E-6</v>
      </c>
      <c r="G89" s="38">
        <v>7.7099999999999998E-3</v>
      </c>
      <c r="H89" s="4">
        <v>1.8149999999999999</v>
      </c>
      <c r="I89" s="38">
        <v>1.399365E-2</v>
      </c>
      <c r="J89" s="38">
        <f t="shared" si="15"/>
        <v>0.25421720707620798</v>
      </c>
      <c r="K89" s="38">
        <f t="shared" si="14"/>
        <v>0.25421915507620796</v>
      </c>
      <c r="L89" s="40">
        <v>1.28</v>
      </c>
      <c r="M89" s="300"/>
    </row>
    <row r="90" spans="2:27" ht="15.75" customHeight="1" x14ac:dyDescent="0.3">
      <c r="B90" s="258"/>
      <c r="C90" s="4">
        <v>69</v>
      </c>
      <c r="D90" s="31">
        <v>370</v>
      </c>
      <c r="E90" s="31">
        <v>15</v>
      </c>
      <c r="F90" s="38">
        <v>1.9480000000000002E-6</v>
      </c>
      <c r="G90" s="38">
        <v>7.7099999999999998E-3</v>
      </c>
      <c r="H90" s="4">
        <v>1.8149999999999999</v>
      </c>
      <c r="I90" s="38">
        <v>1.399365E-2</v>
      </c>
      <c r="J90" s="38">
        <f t="shared" si="15"/>
        <v>0.25421720707620798</v>
      </c>
      <c r="K90" s="38">
        <f t="shared" si="14"/>
        <v>0.25421915507620796</v>
      </c>
      <c r="L90" s="40">
        <v>1.28</v>
      </c>
      <c r="M90" s="301"/>
    </row>
    <row r="91" spans="2:27" ht="15.75" customHeight="1" x14ac:dyDescent="0.3">
      <c r="B91" s="257" t="s">
        <v>289</v>
      </c>
      <c r="C91" s="4">
        <v>70</v>
      </c>
      <c r="D91" s="31">
        <v>340</v>
      </c>
      <c r="E91" s="31">
        <v>12</v>
      </c>
      <c r="F91" s="38">
        <v>6.7600000000000003E-5</v>
      </c>
      <c r="G91" s="38">
        <v>5.8840000000000003E-3</v>
      </c>
      <c r="H91" s="4">
        <v>1.4</v>
      </c>
      <c r="I91" s="38">
        <v>8.2375999999999994E-3</v>
      </c>
      <c r="J91" s="38">
        <f t="shared" si="15"/>
        <v>0.22306607702927608</v>
      </c>
      <c r="K91" s="38">
        <f t="shared" si="14"/>
        <v>0.22313367702927608</v>
      </c>
      <c r="L91" s="40">
        <v>1.28</v>
      </c>
      <c r="M91" s="302" t="s">
        <v>290</v>
      </c>
    </row>
    <row r="92" spans="2:27" ht="15.75" customHeight="1" x14ac:dyDescent="0.3">
      <c r="B92" s="260"/>
      <c r="C92" s="4">
        <v>71</v>
      </c>
      <c r="D92" s="31">
        <v>340</v>
      </c>
      <c r="E92" s="31">
        <v>12</v>
      </c>
      <c r="F92" s="38">
        <v>6.7600000000000003E-5</v>
      </c>
      <c r="G92" s="38">
        <v>5.8840000000000003E-3</v>
      </c>
      <c r="H92" s="4">
        <v>0.6</v>
      </c>
      <c r="I92" s="38">
        <v>3.5303999999999999E-3</v>
      </c>
      <c r="J92" s="38">
        <f t="shared" si="15"/>
        <v>0.28479780325891008</v>
      </c>
      <c r="K92" s="38">
        <f t="shared" si="14"/>
        <v>0.28486540325891008</v>
      </c>
      <c r="L92" s="40">
        <v>1.28</v>
      </c>
      <c r="M92" s="303"/>
      <c r="N92" s="13"/>
      <c r="O92" s="2"/>
      <c r="P92" s="42"/>
      <c r="Q92" s="42"/>
      <c r="R92" s="43"/>
      <c r="S92" s="43"/>
      <c r="T92" s="2"/>
      <c r="U92" s="43"/>
      <c r="V92" s="43"/>
      <c r="W92" s="43"/>
      <c r="X92" s="43"/>
      <c r="Y92" s="13"/>
    </row>
    <row r="93" spans="2:27" ht="15.75" customHeight="1" x14ac:dyDescent="0.3">
      <c r="B93" s="260"/>
      <c r="C93" s="4">
        <v>72</v>
      </c>
      <c r="D93" s="31">
        <v>340</v>
      </c>
      <c r="E93" s="31">
        <v>12</v>
      </c>
      <c r="F93" s="38">
        <v>6.7600000000000003E-5</v>
      </c>
      <c r="G93" s="38">
        <v>5.8840000000000003E-3</v>
      </c>
      <c r="H93" s="4">
        <v>1.4</v>
      </c>
      <c r="I93" s="38">
        <v>8.2375999999999994E-3</v>
      </c>
      <c r="J93" s="38">
        <f t="shared" si="15"/>
        <v>0.22306607702927608</v>
      </c>
      <c r="K93" s="38">
        <f t="shared" si="14"/>
        <v>0.22313367702927608</v>
      </c>
      <c r="L93" s="40">
        <v>1.28</v>
      </c>
      <c r="M93" s="303"/>
      <c r="N93" s="13"/>
      <c r="O93" s="2"/>
      <c r="P93" s="42"/>
      <c r="Q93" s="42"/>
      <c r="R93" s="43"/>
      <c r="S93" s="43"/>
      <c r="T93" s="2"/>
      <c r="U93" s="43"/>
      <c r="V93" s="43"/>
      <c r="W93" s="43"/>
      <c r="X93" s="43"/>
      <c r="Y93" s="13"/>
    </row>
    <row r="94" spans="2:27" ht="15.75" customHeight="1" x14ac:dyDescent="0.3">
      <c r="B94" s="260"/>
      <c r="C94" s="4">
        <v>73</v>
      </c>
      <c r="D94" s="31">
        <v>340</v>
      </c>
      <c r="E94" s="31">
        <v>12</v>
      </c>
      <c r="F94" s="38">
        <v>6.7600000000000003E-5</v>
      </c>
      <c r="G94" s="38">
        <v>5.8840000000000003E-3</v>
      </c>
      <c r="H94" s="4">
        <v>0.6</v>
      </c>
      <c r="I94" s="38">
        <v>3.5303999999999999E-3</v>
      </c>
      <c r="J94" s="38">
        <f t="shared" si="15"/>
        <v>0.28479780325891008</v>
      </c>
      <c r="K94" s="38">
        <f t="shared" si="14"/>
        <v>0.28486540325891008</v>
      </c>
      <c r="L94" s="40">
        <v>1.28</v>
      </c>
      <c r="M94" s="303"/>
      <c r="N94" s="13"/>
      <c r="O94" s="2"/>
      <c r="P94" s="42"/>
      <c r="Q94" s="42"/>
      <c r="R94" s="43"/>
      <c r="S94" s="43"/>
      <c r="T94" s="2"/>
      <c r="U94" s="43"/>
      <c r="V94" s="43"/>
      <c r="W94" s="43"/>
      <c r="X94" s="43"/>
      <c r="Y94" s="13"/>
    </row>
    <row r="95" spans="2:27" ht="15.75" customHeight="1" x14ac:dyDescent="0.3">
      <c r="B95" s="260"/>
      <c r="C95" s="4">
        <v>74</v>
      </c>
      <c r="D95" s="31">
        <v>340</v>
      </c>
      <c r="E95" s="31">
        <v>12</v>
      </c>
      <c r="F95" s="38">
        <v>6.7600000000000003E-5</v>
      </c>
      <c r="G95" s="38">
        <v>5.8840000000000003E-3</v>
      </c>
      <c r="H95" s="4">
        <v>1.4</v>
      </c>
      <c r="I95" s="38">
        <v>8.2375999999999994E-3</v>
      </c>
      <c r="J95" s="38">
        <f t="shared" si="15"/>
        <v>0.22306607702927608</v>
      </c>
      <c r="K95" s="38">
        <f t="shared" si="14"/>
        <v>0.22313367702927608</v>
      </c>
      <c r="L95" s="40">
        <v>1.28</v>
      </c>
      <c r="M95" s="303"/>
      <c r="N95" s="13"/>
      <c r="O95" s="2"/>
      <c r="P95" s="42"/>
      <c r="Q95" s="42"/>
      <c r="R95" s="43"/>
      <c r="S95" s="43"/>
      <c r="T95" s="2"/>
      <c r="U95" s="43"/>
      <c r="V95" s="43"/>
      <c r="W95" s="43"/>
      <c r="X95" s="43"/>
      <c r="Y95" s="13"/>
    </row>
    <row r="96" spans="2:27" ht="15.75" customHeight="1" x14ac:dyDescent="0.3">
      <c r="B96" s="260"/>
      <c r="C96" s="4">
        <v>75</v>
      </c>
      <c r="D96" s="31">
        <v>340</v>
      </c>
      <c r="E96" s="31">
        <v>12</v>
      </c>
      <c r="F96" s="38">
        <v>6.7600000000000003E-5</v>
      </c>
      <c r="G96" s="38">
        <v>5.8840000000000003E-3</v>
      </c>
      <c r="H96" s="4">
        <v>0.6</v>
      </c>
      <c r="I96" s="38">
        <v>3.5303999999999999E-3</v>
      </c>
      <c r="J96" s="38">
        <f t="shared" si="15"/>
        <v>0.28479780325891008</v>
      </c>
      <c r="K96" s="38">
        <f t="shared" si="14"/>
        <v>0.28486540325891008</v>
      </c>
      <c r="L96" s="40">
        <v>1.28</v>
      </c>
      <c r="M96" s="303"/>
      <c r="N96" s="13"/>
      <c r="O96" s="2"/>
      <c r="P96" s="42"/>
      <c r="Q96" s="42"/>
      <c r="R96" s="43"/>
      <c r="S96" s="43"/>
      <c r="T96" s="2"/>
      <c r="U96" s="43"/>
      <c r="V96" s="43"/>
      <c r="W96" s="43"/>
      <c r="X96" s="43"/>
      <c r="Y96" s="13"/>
    </row>
    <row r="97" spans="2:25" ht="15.75" customHeight="1" x14ac:dyDescent="0.3">
      <c r="B97" s="260"/>
      <c r="C97" s="4">
        <v>76</v>
      </c>
      <c r="D97" s="31">
        <v>340</v>
      </c>
      <c r="E97" s="31">
        <v>12</v>
      </c>
      <c r="F97" s="38">
        <v>6.7600000000000003E-5</v>
      </c>
      <c r="G97" s="38">
        <v>5.8840000000000003E-3</v>
      </c>
      <c r="H97" s="4">
        <v>1.4</v>
      </c>
      <c r="I97" s="38">
        <v>8.2375999999999994E-3</v>
      </c>
      <c r="J97" s="38">
        <f t="shared" si="15"/>
        <v>0.22306607702927608</v>
      </c>
      <c r="K97" s="38">
        <f t="shared" si="14"/>
        <v>0.22313367702927608</v>
      </c>
      <c r="L97" s="40">
        <v>1.28</v>
      </c>
      <c r="M97" s="303"/>
      <c r="N97" s="13"/>
      <c r="O97" s="2"/>
      <c r="P97" s="42"/>
      <c r="Q97" s="42"/>
      <c r="R97" s="43"/>
      <c r="S97" s="43"/>
      <c r="T97" s="2"/>
      <c r="U97" s="43"/>
      <c r="V97" s="43"/>
      <c r="W97" s="43"/>
      <c r="X97" s="43"/>
      <c r="Y97" s="13"/>
    </row>
    <row r="98" spans="2:25" ht="15.75" customHeight="1" x14ac:dyDescent="0.3">
      <c r="B98" s="260"/>
      <c r="C98" s="4">
        <v>77</v>
      </c>
      <c r="D98" s="31">
        <v>340</v>
      </c>
      <c r="E98" s="31">
        <v>12</v>
      </c>
      <c r="F98" s="38">
        <v>6.7600000000000003E-5</v>
      </c>
      <c r="G98" s="38">
        <v>5.8840000000000003E-3</v>
      </c>
      <c r="H98" s="4">
        <v>0.6</v>
      </c>
      <c r="I98" s="38">
        <v>3.5303999999999999E-3</v>
      </c>
      <c r="J98" s="38">
        <f t="shared" si="15"/>
        <v>0.28479780325891008</v>
      </c>
      <c r="K98" s="38">
        <f t="shared" si="14"/>
        <v>0.28486540325891008</v>
      </c>
      <c r="L98" s="40">
        <v>1.28</v>
      </c>
      <c r="M98" s="303"/>
      <c r="N98" s="13"/>
      <c r="O98" s="2"/>
      <c r="P98" s="42"/>
      <c r="Q98" s="42"/>
      <c r="R98" s="43"/>
      <c r="S98" s="43"/>
      <c r="T98" s="2"/>
      <c r="U98" s="43"/>
      <c r="V98" s="43"/>
      <c r="W98" s="43"/>
      <c r="X98" s="43"/>
      <c r="Y98" s="13"/>
    </row>
    <row r="99" spans="2:25" ht="15.75" customHeight="1" x14ac:dyDescent="0.3">
      <c r="B99" s="260"/>
      <c r="C99" s="4">
        <v>78</v>
      </c>
      <c r="D99" s="31">
        <v>340</v>
      </c>
      <c r="E99" s="31">
        <v>12</v>
      </c>
      <c r="F99" s="38">
        <v>6.7600000000000003E-5</v>
      </c>
      <c r="G99" s="38">
        <v>5.8840000000000003E-3</v>
      </c>
      <c r="H99" s="4">
        <v>1.4</v>
      </c>
      <c r="I99" s="38">
        <v>8.2375999999999994E-3</v>
      </c>
      <c r="J99" s="38">
        <f t="shared" si="15"/>
        <v>0.22306607702927608</v>
      </c>
      <c r="K99" s="38">
        <f t="shared" si="14"/>
        <v>0.22313367702927608</v>
      </c>
      <c r="L99" s="40">
        <v>1.28</v>
      </c>
      <c r="M99" s="303"/>
      <c r="N99" s="13"/>
      <c r="O99" s="2"/>
      <c r="P99" s="42"/>
      <c r="Q99" s="42"/>
      <c r="R99" s="43"/>
      <c r="S99" s="43"/>
      <c r="T99" s="2"/>
      <c r="U99" s="43"/>
      <c r="V99" s="43"/>
      <c r="W99" s="43"/>
      <c r="X99" s="43"/>
      <c r="Y99" s="13"/>
    </row>
    <row r="100" spans="2:25" ht="15.75" customHeight="1" x14ac:dyDescent="0.3">
      <c r="B100" s="258"/>
      <c r="C100" s="4">
        <v>79</v>
      </c>
      <c r="D100" s="31">
        <v>340</v>
      </c>
      <c r="E100" s="31">
        <v>12</v>
      </c>
      <c r="F100" s="38">
        <v>6.7600000000000003E-5</v>
      </c>
      <c r="G100" s="38">
        <v>5.8840000000000003E-3</v>
      </c>
      <c r="H100" s="4">
        <v>0.6</v>
      </c>
      <c r="I100" s="38">
        <v>3.5303999999999999E-3</v>
      </c>
      <c r="J100" s="38">
        <f t="shared" si="15"/>
        <v>0.28479780325891008</v>
      </c>
      <c r="K100" s="38">
        <f t="shared" si="14"/>
        <v>0.28486540325891008</v>
      </c>
      <c r="L100" s="40">
        <v>1.28</v>
      </c>
      <c r="M100" s="304"/>
      <c r="N100" s="13"/>
      <c r="O100" s="2"/>
      <c r="P100" s="42"/>
      <c r="Q100" s="42"/>
      <c r="R100" s="43"/>
      <c r="S100" s="43"/>
      <c r="T100" s="2"/>
      <c r="U100" s="43"/>
      <c r="V100" s="43"/>
      <c r="W100" s="43"/>
      <c r="X100" s="43"/>
      <c r="Y100" s="13"/>
    </row>
    <row r="101" spans="2:25" ht="15.75" customHeight="1" x14ac:dyDescent="0.3">
      <c r="B101" s="257" t="s">
        <v>57</v>
      </c>
      <c r="C101" s="4">
        <v>21</v>
      </c>
      <c r="D101" s="31">
        <f t="shared" ref="D101:D106" si="16">$P$27</f>
        <v>320</v>
      </c>
      <c r="E101" s="31">
        <f t="shared" ref="E101:E106" si="17">$Q$27</f>
        <v>12</v>
      </c>
      <c r="F101" s="38">
        <f t="shared" ref="F101:F106" si="18">$U$27*10^-8</f>
        <v>5.5300000000000002E-5</v>
      </c>
      <c r="G101" s="38">
        <v>2.9000000000000002E-3</v>
      </c>
      <c r="H101" s="4">
        <v>13.031000000000001</v>
      </c>
      <c r="I101" s="38">
        <v>3.7789900000000001E-2</v>
      </c>
      <c r="J101" s="38">
        <f t="shared" si="15"/>
        <v>8.6892483550873034E-2</v>
      </c>
      <c r="K101" s="38">
        <f t="shared" si="14"/>
        <v>8.6947783550873028E-2</v>
      </c>
      <c r="L101" s="40">
        <v>1.28</v>
      </c>
      <c r="M101" s="305" t="s">
        <v>352</v>
      </c>
      <c r="N101" s="13"/>
      <c r="O101" s="2"/>
      <c r="P101" s="42"/>
      <c r="Q101" s="42"/>
      <c r="R101" s="43"/>
      <c r="S101" s="43"/>
      <c r="T101" s="2"/>
      <c r="U101" s="43"/>
      <c r="V101" s="43"/>
      <c r="W101" s="43"/>
      <c r="X101" s="43"/>
      <c r="Y101" s="13"/>
    </row>
    <row r="102" spans="2:25" ht="15.75" customHeight="1" x14ac:dyDescent="0.3">
      <c r="B102" s="260"/>
      <c r="C102" s="4">
        <v>22</v>
      </c>
      <c r="D102" s="31">
        <f t="shared" si="16"/>
        <v>320</v>
      </c>
      <c r="E102" s="31">
        <f t="shared" si="17"/>
        <v>12</v>
      </c>
      <c r="F102" s="38">
        <f t="shared" si="18"/>
        <v>5.5300000000000002E-5</v>
      </c>
      <c r="G102" s="38">
        <v>2.9000000000000002E-3</v>
      </c>
      <c r="H102" s="4">
        <v>13.756</v>
      </c>
      <c r="I102" s="38">
        <v>3.9892400000000001E-2</v>
      </c>
      <c r="J102" s="38">
        <f t="shared" si="15"/>
        <v>0.11143429364141402</v>
      </c>
      <c r="K102" s="38">
        <f t="shared" si="14"/>
        <v>0.11148959364141402</v>
      </c>
      <c r="L102" s="40">
        <v>1.28</v>
      </c>
      <c r="M102" s="306"/>
      <c r="N102" s="13"/>
      <c r="O102" s="2"/>
      <c r="P102" s="42"/>
      <c r="Q102" s="42"/>
      <c r="R102" s="43"/>
      <c r="S102" s="43"/>
      <c r="T102" s="2"/>
      <c r="U102" s="43"/>
      <c r="V102" s="43"/>
      <c r="W102" s="43"/>
      <c r="X102" s="43"/>
    </row>
    <row r="103" spans="2:25" ht="15.75" customHeight="1" x14ac:dyDescent="0.3">
      <c r="B103" s="260"/>
      <c r="C103" s="4">
        <v>23</v>
      </c>
      <c r="D103" s="31">
        <f t="shared" si="16"/>
        <v>320</v>
      </c>
      <c r="E103" s="31">
        <f t="shared" si="17"/>
        <v>12</v>
      </c>
      <c r="F103" s="38">
        <f t="shared" si="18"/>
        <v>5.5300000000000002E-5</v>
      </c>
      <c r="G103" s="38">
        <v>2.9000000000000002E-3</v>
      </c>
      <c r="H103" s="4">
        <v>14.481</v>
      </c>
      <c r="I103" s="38">
        <v>4.1994900000000002E-2</v>
      </c>
      <c r="J103" s="38">
        <f t="shared" si="15"/>
        <v>0.13902472873195501</v>
      </c>
      <c r="K103" s="38">
        <f t="shared" si="14"/>
        <v>0.13908002873195502</v>
      </c>
      <c r="L103" s="40">
        <v>1.28</v>
      </c>
      <c r="M103" s="306"/>
      <c r="N103" s="13"/>
      <c r="O103" s="2"/>
      <c r="P103" s="42"/>
      <c r="Q103" s="42"/>
      <c r="R103" s="43"/>
      <c r="S103" s="43"/>
      <c r="T103" s="2"/>
      <c r="U103" s="43"/>
      <c r="V103" s="43"/>
      <c r="W103" s="43"/>
      <c r="X103" s="43"/>
    </row>
    <row r="104" spans="2:25" ht="15.75" customHeight="1" x14ac:dyDescent="0.3">
      <c r="B104" s="260"/>
      <c r="C104" s="4">
        <v>24</v>
      </c>
      <c r="D104" s="31">
        <f t="shared" si="16"/>
        <v>320</v>
      </c>
      <c r="E104" s="31">
        <f t="shared" si="17"/>
        <v>12</v>
      </c>
      <c r="F104" s="38">
        <f t="shared" si="18"/>
        <v>5.5300000000000002E-5</v>
      </c>
      <c r="G104" s="38">
        <v>2.9000000000000002E-3</v>
      </c>
      <c r="H104" s="4">
        <v>15.206</v>
      </c>
      <c r="I104" s="38">
        <v>4.4097400000000002E-2</v>
      </c>
      <c r="J104" s="38">
        <f t="shared" si="15"/>
        <v>0.169663788822496</v>
      </c>
      <c r="K104" s="38">
        <f t="shared" si="14"/>
        <v>0.16971908882249601</v>
      </c>
      <c r="L104" s="40">
        <v>1.28</v>
      </c>
      <c r="M104" s="306"/>
    </row>
    <row r="105" spans="2:25" ht="15.75" customHeight="1" x14ac:dyDescent="0.3">
      <c r="B105" s="260"/>
      <c r="C105" s="4">
        <v>25</v>
      </c>
      <c r="D105" s="31">
        <f t="shared" si="16"/>
        <v>320</v>
      </c>
      <c r="E105" s="31">
        <f t="shared" si="17"/>
        <v>12</v>
      </c>
      <c r="F105" s="38">
        <f t="shared" si="18"/>
        <v>5.5300000000000002E-5</v>
      </c>
      <c r="G105" s="38">
        <v>2.9000000000000002E-3</v>
      </c>
      <c r="H105" s="4">
        <v>15.930999999999999</v>
      </c>
      <c r="I105" s="38">
        <v>4.6199900000000002E-2</v>
      </c>
      <c r="J105" s="38">
        <f t="shared" si="15"/>
        <v>0.20335147391303693</v>
      </c>
      <c r="K105" s="38">
        <f t="shared" si="14"/>
        <v>0.20340677391303694</v>
      </c>
      <c r="L105" s="40">
        <v>1.28</v>
      </c>
      <c r="M105" s="306"/>
    </row>
    <row r="106" spans="2:25" ht="15.75" customHeight="1" x14ac:dyDescent="0.3">
      <c r="B106" s="258"/>
      <c r="C106" s="4">
        <v>26</v>
      </c>
      <c r="D106" s="31">
        <f t="shared" si="16"/>
        <v>320</v>
      </c>
      <c r="E106" s="31">
        <f t="shared" si="17"/>
        <v>12</v>
      </c>
      <c r="F106" s="38">
        <f t="shared" si="18"/>
        <v>5.5300000000000002E-5</v>
      </c>
      <c r="G106" s="38">
        <v>2.9000000000000002E-3</v>
      </c>
      <c r="H106" s="4">
        <v>16.655999999999999</v>
      </c>
      <c r="I106" s="38">
        <v>4.8302400000000002E-2</v>
      </c>
      <c r="J106" s="38">
        <f t="shared" si="15"/>
        <v>0.240087784003578</v>
      </c>
      <c r="K106" s="38">
        <f t="shared" si="14"/>
        <v>0.24014308400357801</v>
      </c>
      <c r="L106" s="40">
        <v>1.28</v>
      </c>
      <c r="M106" s="306"/>
    </row>
    <row r="107" spans="2:25" ht="15.75" customHeight="1" x14ac:dyDescent="0.3">
      <c r="B107" s="181" t="s">
        <v>252</v>
      </c>
      <c r="C107" s="4">
        <v>27</v>
      </c>
      <c r="D107" s="31">
        <f>P34</f>
        <v>400</v>
      </c>
      <c r="E107" s="31">
        <f>Q34</f>
        <v>16</v>
      </c>
      <c r="F107" s="31">
        <f>U34*10^-8</f>
        <v>1.4220000000000001E-4</v>
      </c>
      <c r="G107" s="31">
        <f>O34*10^-4</f>
        <v>8.9480000000000011E-3</v>
      </c>
      <c r="H107" s="4">
        <v>17.381</v>
      </c>
      <c r="I107" s="38">
        <v>5.0404900000000002E-2</v>
      </c>
      <c r="J107" s="38">
        <f t="shared" si="15"/>
        <v>0.86355210015661288</v>
      </c>
      <c r="K107" s="38">
        <f t="shared" si="14"/>
        <v>0.86369430015661286</v>
      </c>
      <c r="L107" s="40">
        <v>1.47</v>
      </c>
      <c r="M107" s="307"/>
    </row>
    <row r="108" spans="2:25" ht="15.75" customHeight="1" x14ac:dyDescent="0.3">
      <c r="B108" s="257" t="s">
        <v>296</v>
      </c>
      <c r="C108" s="4">
        <v>28</v>
      </c>
      <c r="D108" s="31">
        <f t="shared" ref="D108:D116" si="19">$P$32</f>
        <v>370</v>
      </c>
      <c r="E108" s="31">
        <f t="shared" ref="E108:E116" si="20">$Q$32</f>
        <v>15</v>
      </c>
      <c r="F108" s="38">
        <f t="shared" ref="F108:F116" si="21">$U$32*10^-8</f>
        <v>1.049E-4</v>
      </c>
      <c r="G108" s="38">
        <f t="shared" ref="G108:G116" si="22">$O$32*10^-4</f>
        <v>7.7099999999999998E-3</v>
      </c>
      <c r="H108" s="4">
        <v>17.84</v>
      </c>
      <c r="I108" s="38">
        <v>7.3697040000000005E-2</v>
      </c>
      <c r="J108" s="38">
        <f t="shared" si="15"/>
        <v>0.81523073089622655</v>
      </c>
      <c r="K108" s="38">
        <f t="shared" si="14"/>
        <v>0.81533563089622652</v>
      </c>
      <c r="L108" s="40">
        <v>1.47</v>
      </c>
      <c r="M108" s="299" t="s">
        <v>357</v>
      </c>
    </row>
    <row r="109" spans="2:25" ht="15.75" customHeight="1" x14ac:dyDescent="0.3">
      <c r="B109" s="260"/>
      <c r="C109" s="4">
        <v>29</v>
      </c>
      <c r="D109" s="31">
        <f t="shared" si="19"/>
        <v>370</v>
      </c>
      <c r="E109" s="31">
        <f t="shared" si="20"/>
        <v>15</v>
      </c>
      <c r="F109" s="38">
        <f t="shared" si="21"/>
        <v>1.049E-4</v>
      </c>
      <c r="G109" s="38">
        <f t="shared" si="22"/>
        <v>7.7099999999999998E-3</v>
      </c>
      <c r="H109" s="4">
        <v>17.84</v>
      </c>
      <c r="I109" s="38">
        <v>7.3697040000000005E-2</v>
      </c>
      <c r="J109" s="38">
        <f t="shared" si="15"/>
        <v>0.81523073089622655</v>
      </c>
      <c r="K109" s="38">
        <f t="shared" si="14"/>
        <v>0.81533563089622652</v>
      </c>
      <c r="L109" s="40">
        <v>1.47</v>
      </c>
      <c r="M109" s="300"/>
    </row>
    <row r="110" spans="2:25" ht="15.75" customHeight="1" x14ac:dyDescent="0.3">
      <c r="B110" s="260"/>
      <c r="C110" s="4">
        <v>30</v>
      </c>
      <c r="D110" s="31">
        <f t="shared" si="19"/>
        <v>370</v>
      </c>
      <c r="E110" s="31">
        <f t="shared" si="20"/>
        <v>15</v>
      </c>
      <c r="F110" s="38">
        <f t="shared" si="21"/>
        <v>1.049E-4</v>
      </c>
      <c r="G110" s="38">
        <f t="shared" si="22"/>
        <v>7.7099999999999998E-3</v>
      </c>
      <c r="H110" s="4">
        <v>17.84</v>
      </c>
      <c r="I110" s="38">
        <v>7.3697040000000005E-2</v>
      </c>
      <c r="J110" s="38">
        <f t="shared" si="15"/>
        <v>0.81523073089622655</v>
      </c>
      <c r="K110" s="38">
        <f t="shared" si="14"/>
        <v>0.81533563089622652</v>
      </c>
      <c r="L110" s="40">
        <v>1.47</v>
      </c>
      <c r="M110" s="300"/>
    </row>
    <row r="111" spans="2:25" ht="15.75" customHeight="1" x14ac:dyDescent="0.3">
      <c r="B111" s="260"/>
      <c r="C111" s="4">
        <v>31</v>
      </c>
      <c r="D111" s="31">
        <f t="shared" si="19"/>
        <v>370</v>
      </c>
      <c r="E111" s="31">
        <f t="shared" si="20"/>
        <v>15</v>
      </c>
      <c r="F111" s="38">
        <f t="shared" si="21"/>
        <v>1.049E-4</v>
      </c>
      <c r="G111" s="38">
        <f t="shared" si="22"/>
        <v>7.7099999999999998E-3</v>
      </c>
      <c r="H111" s="4">
        <v>17.84</v>
      </c>
      <c r="I111" s="38">
        <v>7.3697040000000005E-2</v>
      </c>
      <c r="J111" s="38">
        <f t="shared" si="15"/>
        <v>0.81523073089622655</v>
      </c>
      <c r="K111" s="38">
        <f t="shared" si="14"/>
        <v>0.81533563089622652</v>
      </c>
      <c r="L111" s="40">
        <v>1.47</v>
      </c>
      <c r="M111" s="300"/>
    </row>
    <row r="112" spans="2:25" ht="15.75" customHeight="1" x14ac:dyDescent="0.3">
      <c r="B112" s="260"/>
      <c r="C112" s="4">
        <v>32</v>
      </c>
      <c r="D112" s="31">
        <f t="shared" si="19"/>
        <v>370</v>
      </c>
      <c r="E112" s="31">
        <f t="shared" si="20"/>
        <v>15</v>
      </c>
      <c r="F112" s="38">
        <f t="shared" si="21"/>
        <v>1.049E-4</v>
      </c>
      <c r="G112" s="38">
        <f t="shared" si="22"/>
        <v>7.7099999999999998E-3</v>
      </c>
      <c r="H112" s="4">
        <v>17.84</v>
      </c>
      <c r="I112" s="38">
        <v>7.3697040000000005E-2</v>
      </c>
      <c r="J112" s="38">
        <f t="shared" si="15"/>
        <v>0.81523073089622655</v>
      </c>
      <c r="K112" s="38">
        <f t="shared" si="14"/>
        <v>0.81533563089622652</v>
      </c>
      <c r="L112" s="40">
        <v>1.47</v>
      </c>
      <c r="M112" s="300"/>
    </row>
    <row r="113" spans="2:13" ht="15.75" customHeight="1" x14ac:dyDescent="0.3">
      <c r="B113" s="260"/>
      <c r="C113" s="4">
        <v>33</v>
      </c>
      <c r="D113" s="31">
        <f t="shared" si="19"/>
        <v>370</v>
      </c>
      <c r="E113" s="31">
        <f t="shared" si="20"/>
        <v>15</v>
      </c>
      <c r="F113" s="38">
        <f t="shared" si="21"/>
        <v>1.049E-4</v>
      </c>
      <c r="G113" s="38">
        <f t="shared" si="22"/>
        <v>7.7099999999999998E-3</v>
      </c>
      <c r="H113" s="4">
        <v>17.84</v>
      </c>
      <c r="I113" s="38">
        <v>7.3697040000000005E-2</v>
      </c>
      <c r="J113" s="38">
        <f t="shared" si="15"/>
        <v>0.81523073089622655</v>
      </c>
      <c r="K113" s="38">
        <f t="shared" si="14"/>
        <v>0.81533563089622652</v>
      </c>
      <c r="L113" s="40">
        <v>1.47</v>
      </c>
      <c r="M113" s="300"/>
    </row>
    <row r="114" spans="2:13" ht="15.75" customHeight="1" x14ac:dyDescent="0.3">
      <c r="B114" s="260"/>
      <c r="C114" s="4">
        <v>34</v>
      </c>
      <c r="D114" s="31">
        <f t="shared" si="19"/>
        <v>370</v>
      </c>
      <c r="E114" s="31">
        <f t="shared" si="20"/>
        <v>15</v>
      </c>
      <c r="F114" s="38">
        <f t="shared" si="21"/>
        <v>1.049E-4</v>
      </c>
      <c r="G114" s="38">
        <f t="shared" si="22"/>
        <v>7.7099999999999998E-3</v>
      </c>
      <c r="H114" s="4">
        <v>17.84</v>
      </c>
      <c r="I114" s="38">
        <v>7.3697040000000005E-2</v>
      </c>
      <c r="J114" s="38">
        <f t="shared" si="15"/>
        <v>0.81523073089622655</v>
      </c>
      <c r="K114" s="38">
        <f t="shared" si="14"/>
        <v>0.81533563089622652</v>
      </c>
      <c r="L114" s="40">
        <v>1.47</v>
      </c>
      <c r="M114" s="300"/>
    </row>
    <row r="115" spans="2:13" ht="15.75" customHeight="1" x14ac:dyDescent="0.3">
      <c r="B115" s="260"/>
      <c r="C115" s="4">
        <v>35</v>
      </c>
      <c r="D115" s="31">
        <f t="shared" si="19"/>
        <v>370</v>
      </c>
      <c r="E115" s="31">
        <f t="shared" si="20"/>
        <v>15</v>
      </c>
      <c r="F115" s="38">
        <f t="shared" si="21"/>
        <v>1.049E-4</v>
      </c>
      <c r="G115" s="38">
        <f t="shared" si="22"/>
        <v>7.7099999999999998E-3</v>
      </c>
      <c r="H115" s="4">
        <v>17.84</v>
      </c>
      <c r="I115" s="38">
        <v>7.3697040000000005E-2</v>
      </c>
      <c r="J115" s="38">
        <f t="shared" ref="J115:J129" si="23">G115*(H115-$T$41)^2</f>
        <v>0.81523073089622655</v>
      </c>
      <c r="K115" s="38">
        <f t="shared" si="14"/>
        <v>0.81533563089622652</v>
      </c>
      <c r="L115" s="40">
        <v>1.47</v>
      </c>
      <c r="M115" s="300"/>
    </row>
    <row r="116" spans="2:13" ht="15.75" customHeight="1" x14ac:dyDescent="0.3">
      <c r="B116" s="258"/>
      <c r="C116" s="4">
        <v>36</v>
      </c>
      <c r="D116" s="31">
        <f t="shared" si="19"/>
        <v>370</v>
      </c>
      <c r="E116" s="31">
        <f t="shared" si="20"/>
        <v>15</v>
      </c>
      <c r="F116" s="38">
        <f t="shared" si="21"/>
        <v>1.049E-4</v>
      </c>
      <c r="G116" s="38">
        <f t="shared" si="22"/>
        <v>7.7099999999999998E-3</v>
      </c>
      <c r="H116" s="4">
        <v>17.84</v>
      </c>
      <c r="I116" s="38">
        <v>7.3697040000000005E-2</v>
      </c>
      <c r="J116" s="38">
        <f t="shared" si="23"/>
        <v>0.81523073089622655</v>
      </c>
      <c r="K116" s="38">
        <f t="shared" si="14"/>
        <v>0.81533563089622652</v>
      </c>
      <c r="L116" s="40">
        <v>1.47</v>
      </c>
      <c r="M116" s="301"/>
    </row>
    <row r="117" spans="2:13" ht="15.75" customHeight="1" x14ac:dyDescent="0.3">
      <c r="B117" s="257" t="s">
        <v>280</v>
      </c>
      <c r="C117" s="4">
        <v>37</v>
      </c>
      <c r="D117" s="31">
        <v>370</v>
      </c>
      <c r="E117" s="31">
        <v>13</v>
      </c>
      <c r="F117" s="38">
        <v>1.767E-6</v>
      </c>
      <c r="G117" s="38">
        <v>6.9700000000000005E-3</v>
      </c>
      <c r="H117" s="4">
        <v>17.700000000000003</v>
      </c>
      <c r="I117" s="38">
        <v>0.12336900000000003</v>
      </c>
      <c r="J117" s="38">
        <f t="shared" si="23"/>
        <v>0.71705411989299384</v>
      </c>
      <c r="K117" s="38">
        <f t="shared" si="14"/>
        <v>0.71705588689299382</v>
      </c>
      <c r="L117" s="40">
        <v>1.47</v>
      </c>
      <c r="M117" s="308" t="s">
        <v>293</v>
      </c>
    </row>
    <row r="118" spans="2:13" ht="15.75" customHeight="1" x14ac:dyDescent="0.3">
      <c r="B118" s="260"/>
      <c r="C118" s="4">
        <v>38</v>
      </c>
      <c r="D118" s="31">
        <v>370</v>
      </c>
      <c r="E118" s="31">
        <v>13</v>
      </c>
      <c r="F118" s="38">
        <v>1.767E-6</v>
      </c>
      <c r="G118" s="38">
        <v>6.9700000000000005E-3</v>
      </c>
      <c r="H118" s="4">
        <v>16.844999999999999</v>
      </c>
      <c r="I118" s="38">
        <v>0.11740965</v>
      </c>
      <c r="J118" s="38">
        <f t="shared" si="23"/>
        <v>0.60125989592803941</v>
      </c>
      <c r="K118" s="38">
        <f t="shared" si="14"/>
        <v>0.6012616629280394</v>
      </c>
      <c r="L118" s="40">
        <v>1.47</v>
      </c>
      <c r="M118" s="309"/>
    </row>
    <row r="119" spans="2:13" ht="15.75" customHeight="1" x14ac:dyDescent="0.3">
      <c r="B119" s="260"/>
      <c r="C119" s="4">
        <v>39</v>
      </c>
      <c r="D119" s="31">
        <v>370</v>
      </c>
      <c r="E119" s="31">
        <v>13</v>
      </c>
      <c r="F119" s="38">
        <v>1.767E-6</v>
      </c>
      <c r="G119" s="38">
        <v>6.9700000000000005E-3</v>
      </c>
      <c r="H119" s="4">
        <v>16.39</v>
      </c>
      <c r="I119" s="38">
        <v>0.11423830000000001</v>
      </c>
      <c r="J119" s="38">
        <f t="shared" si="23"/>
        <v>0.54379287682095889</v>
      </c>
      <c r="K119" s="38">
        <f t="shared" si="14"/>
        <v>0.54379464382095888</v>
      </c>
      <c r="L119" s="40">
        <v>1.47</v>
      </c>
      <c r="M119" s="309"/>
    </row>
    <row r="120" spans="2:13" ht="15.75" customHeight="1" x14ac:dyDescent="0.3">
      <c r="B120" s="260"/>
      <c r="C120" s="4">
        <v>40</v>
      </c>
      <c r="D120" s="31">
        <v>370</v>
      </c>
      <c r="E120" s="31">
        <v>13</v>
      </c>
      <c r="F120" s="38">
        <v>1.767E-6</v>
      </c>
      <c r="G120" s="38">
        <v>6.9700000000000005E-3</v>
      </c>
      <c r="H120" s="4">
        <v>15.935000000000002</v>
      </c>
      <c r="I120" s="38">
        <v>0.11106695000000003</v>
      </c>
      <c r="J120" s="38">
        <f t="shared" si="23"/>
        <v>0.48921178621387834</v>
      </c>
      <c r="K120" s="38">
        <f t="shared" si="14"/>
        <v>0.48921355321387833</v>
      </c>
      <c r="L120" s="40">
        <v>1.47</v>
      </c>
      <c r="M120" s="309"/>
    </row>
    <row r="121" spans="2:13" ht="15.75" customHeight="1" x14ac:dyDescent="0.3">
      <c r="B121" s="260"/>
      <c r="C121" s="4">
        <v>41</v>
      </c>
      <c r="D121" s="31">
        <v>370</v>
      </c>
      <c r="E121" s="31">
        <v>13</v>
      </c>
      <c r="F121" s="38">
        <v>1.767E-6</v>
      </c>
      <c r="G121" s="38">
        <v>6.9700000000000005E-3</v>
      </c>
      <c r="H121" s="4">
        <v>15.480000000000004</v>
      </c>
      <c r="I121" s="38">
        <v>0.10789560000000004</v>
      </c>
      <c r="J121" s="38">
        <f t="shared" si="23"/>
        <v>0.4375166241067977</v>
      </c>
      <c r="K121" s="38">
        <f t="shared" si="14"/>
        <v>0.43751839110679769</v>
      </c>
      <c r="L121" s="40">
        <v>1.47</v>
      </c>
      <c r="M121" s="309"/>
    </row>
    <row r="122" spans="2:13" ht="15.75" customHeight="1" x14ac:dyDescent="0.3">
      <c r="B122" s="260"/>
      <c r="C122" s="4">
        <v>42</v>
      </c>
      <c r="D122" s="31">
        <v>370</v>
      </c>
      <c r="E122" s="31">
        <v>13</v>
      </c>
      <c r="F122" s="38">
        <v>1.767E-6</v>
      </c>
      <c r="G122" s="38">
        <v>6.9700000000000005E-3</v>
      </c>
      <c r="H122" s="4">
        <v>15.025000000000006</v>
      </c>
      <c r="I122" s="38">
        <v>0.10472425000000005</v>
      </c>
      <c r="J122" s="38">
        <f t="shared" si="23"/>
        <v>0.3887073904997172</v>
      </c>
      <c r="K122" s="38">
        <f t="shared" si="14"/>
        <v>0.38870915749971718</v>
      </c>
      <c r="L122" s="40">
        <v>1.47</v>
      </c>
      <c r="M122" s="309"/>
    </row>
    <row r="123" spans="2:13" ht="15.75" customHeight="1" x14ac:dyDescent="0.3">
      <c r="B123" s="260"/>
      <c r="C123" s="4">
        <v>43</v>
      </c>
      <c r="D123" s="31">
        <v>370</v>
      </c>
      <c r="E123" s="31">
        <v>13</v>
      </c>
      <c r="F123" s="38">
        <v>1.767E-6</v>
      </c>
      <c r="G123" s="38">
        <v>6.9700000000000005E-3</v>
      </c>
      <c r="H123" s="4">
        <v>14.570000000000007</v>
      </c>
      <c r="I123" s="38">
        <v>0.10155290000000006</v>
      </c>
      <c r="J123" s="38">
        <f t="shared" si="23"/>
        <v>0.34278408539263661</v>
      </c>
      <c r="K123" s="38">
        <f t="shared" si="14"/>
        <v>0.34278585239263659</v>
      </c>
      <c r="L123" s="40">
        <v>1.47</v>
      </c>
      <c r="M123" s="309"/>
    </row>
    <row r="124" spans="2:13" ht="15.75" customHeight="1" x14ac:dyDescent="0.3">
      <c r="B124" s="260"/>
      <c r="C124" s="4">
        <v>44</v>
      </c>
      <c r="D124" s="31">
        <v>370</v>
      </c>
      <c r="E124" s="31">
        <v>13</v>
      </c>
      <c r="F124" s="38">
        <v>1.767E-6</v>
      </c>
      <c r="G124" s="38">
        <v>6.9700000000000005E-3</v>
      </c>
      <c r="H124" s="4">
        <v>14.115000000000009</v>
      </c>
      <c r="I124" s="38">
        <v>9.8381550000000068E-2</v>
      </c>
      <c r="J124" s="38">
        <f t="shared" si="23"/>
        <v>0.29974670878555604</v>
      </c>
      <c r="K124" s="38">
        <f t="shared" si="14"/>
        <v>0.29974847578555602</v>
      </c>
      <c r="L124" s="40">
        <v>1.47</v>
      </c>
      <c r="M124" s="309"/>
    </row>
    <row r="125" spans="2:13" ht="15.75" customHeight="1" x14ac:dyDescent="0.3">
      <c r="B125" s="260"/>
      <c r="C125" s="4">
        <v>45</v>
      </c>
      <c r="D125" s="31">
        <v>370</v>
      </c>
      <c r="E125" s="31">
        <v>13</v>
      </c>
      <c r="F125" s="38">
        <v>1.767E-6</v>
      </c>
      <c r="G125" s="38">
        <v>6.9700000000000005E-3</v>
      </c>
      <c r="H125" s="4">
        <v>13.660000000000011</v>
      </c>
      <c r="I125" s="38">
        <v>9.5210200000000078E-2</v>
      </c>
      <c r="J125" s="38">
        <f t="shared" si="23"/>
        <v>0.25959526067847538</v>
      </c>
      <c r="K125" s="38">
        <f t="shared" si="14"/>
        <v>0.25959702767847537</v>
      </c>
      <c r="L125" s="40">
        <v>1.47</v>
      </c>
      <c r="M125" s="309"/>
    </row>
    <row r="126" spans="2:13" ht="15.75" customHeight="1" x14ac:dyDescent="0.3">
      <c r="B126" s="260"/>
      <c r="C126" s="4">
        <v>46</v>
      </c>
      <c r="D126" s="31">
        <v>370</v>
      </c>
      <c r="E126" s="31">
        <v>13</v>
      </c>
      <c r="F126" s="38">
        <v>1.767E-6</v>
      </c>
      <c r="G126" s="38">
        <v>6.9700000000000005E-3</v>
      </c>
      <c r="H126" s="4">
        <v>13.205000000000013</v>
      </c>
      <c r="I126" s="38">
        <v>9.2038850000000089E-2</v>
      </c>
      <c r="J126" s="38">
        <f t="shared" si="23"/>
        <v>0.22232974107139475</v>
      </c>
      <c r="K126" s="38">
        <f t="shared" si="14"/>
        <v>0.22233150807139476</v>
      </c>
      <c r="L126" s="40">
        <v>1.47</v>
      </c>
      <c r="M126" s="309"/>
    </row>
    <row r="127" spans="2:13" ht="15.75" customHeight="1" x14ac:dyDescent="0.3">
      <c r="B127" s="258"/>
      <c r="C127" s="4">
        <v>47</v>
      </c>
      <c r="D127" s="31">
        <v>370</v>
      </c>
      <c r="E127" s="31">
        <v>13</v>
      </c>
      <c r="F127" s="38">
        <v>1.767E-6</v>
      </c>
      <c r="G127" s="38">
        <v>6.9700000000000005E-3</v>
      </c>
      <c r="H127" s="4">
        <v>12.750000000000014</v>
      </c>
      <c r="I127" s="38">
        <v>8.8867500000000099E-2</v>
      </c>
      <c r="J127" s="38">
        <f t="shared" si="23"/>
        <v>0.18795014996431408</v>
      </c>
      <c r="K127" s="38">
        <f t="shared" si="14"/>
        <v>0.1879519169643141</v>
      </c>
      <c r="L127" s="40">
        <v>1.47</v>
      </c>
      <c r="M127" s="309"/>
    </row>
    <row r="128" spans="2:13" ht="15.75" customHeight="1" x14ac:dyDescent="0.3">
      <c r="B128" s="257" t="s">
        <v>281</v>
      </c>
      <c r="C128" s="4">
        <v>48</v>
      </c>
      <c r="D128" s="31">
        <v>370</v>
      </c>
      <c r="E128" s="31">
        <v>13</v>
      </c>
      <c r="F128" s="38">
        <v>1.767E-6</v>
      </c>
      <c r="G128" s="38">
        <v>6.9700000000000005E-3</v>
      </c>
      <c r="H128" s="4">
        <v>18.850000000000001</v>
      </c>
      <c r="I128" s="38">
        <v>3.1347550000000002E-2</v>
      </c>
      <c r="J128" s="38">
        <f t="shared" si="23"/>
        <v>0.88887181442187901</v>
      </c>
      <c r="K128" s="38">
        <f t="shared" si="14"/>
        <v>0.888873581421879</v>
      </c>
      <c r="L128" s="40">
        <v>1.47</v>
      </c>
      <c r="M128" s="309"/>
    </row>
    <row r="129" spans="2:13" ht="15.75" customHeight="1" x14ac:dyDescent="0.3">
      <c r="B129" s="258"/>
      <c r="C129" s="4">
        <v>49</v>
      </c>
      <c r="D129" s="31">
        <v>370</v>
      </c>
      <c r="E129" s="31">
        <v>13</v>
      </c>
      <c r="F129" s="38">
        <v>1.767E-6</v>
      </c>
      <c r="G129" s="38">
        <v>6.9700000000000005E-3</v>
      </c>
      <c r="H129" s="4">
        <v>19.600000000000001</v>
      </c>
      <c r="I129" s="38">
        <v>3.25948E-2</v>
      </c>
      <c r="J129" s="38">
        <f t="shared" si="23"/>
        <v>1.0108590825928911</v>
      </c>
      <c r="K129" s="179">
        <f t="shared" si="14"/>
        <v>1.0108608495928912</v>
      </c>
      <c r="L129" s="180">
        <v>1.47</v>
      </c>
      <c r="M129" s="310"/>
    </row>
    <row r="130" spans="2:13" ht="15.75" customHeight="1" x14ac:dyDescent="0.3"/>
    <row r="131" spans="2:13" ht="15.75" customHeight="1" x14ac:dyDescent="0.3"/>
    <row r="132" spans="2:13" ht="15.75" customHeight="1" x14ac:dyDescent="0.3"/>
    <row r="133" spans="2:13" ht="15.75" customHeight="1" x14ac:dyDescent="0.3"/>
    <row r="134" spans="2:13" ht="15.75" customHeight="1" x14ac:dyDescent="0.3"/>
    <row r="135" spans="2:13" ht="15.75" customHeight="1" x14ac:dyDescent="0.3"/>
    <row r="136" spans="2:13" ht="15.75" customHeight="1" x14ac:dyDescent="0.3"/>
    <row r="137" spans="2:13" ht="15.75" customHeight="1" x14ac:dyDescent="0.3"/>
    <row r="138" spans="2:13" ht="15.75" customHeight="1" x14ac:dyDescent="0.3"/>
    <row r="139" spans="2:13" ht="15.75" customHeight="1" x14ac:dyDescent="0.3"/>
    <row r="140" spans="2:13" ht="15.75" customHeight="1" x14ac:dyDescent="0.3"/>
    <row r="141" spans="2:13" ht="15.75" customHeight="1" x14ac:dyDescent="0.3"/>
    <row r="142" spans="2:13" ht="15.75" customHeight="1" x14ac:dyDescent="0.3"/>
    <row r="143" spans="2:13" ht="15.75" customHeight="1" x14ac:dyDescent="0.3"/>
    <row r="144" spans="2:13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0">
    <mergeCell ref="B2:K2"/>
    <mergeCell ref="B6:B7"/>
    <mergeCell ref="B8:B17"/>
    <mergeCell ref="B51:B70"/>
    <mergeCell ref="B18:B24"/>
    <mergeCell ref="B25:B29"/>
    <mergeCell ref="B49:B50"/>
    <mergeCell ref="M108:M116"/>
    <mergeCell ref="M117:M129"/>
    <mergeCell ref="B30:B34"/>
    <mergeCell ref="B36:B40"/>
    <mergeCell ref="B71:B90"/>
    <mergeCell ref="B91:B100"/>
    <mergeCell ref="B101:B106"/>
    <mergeCell ref="B108:B116"/>
    <mergeCell ref="B117:B127"/>
    <mergeCell ref="B128:B129"/>
    <mergeCell ref="B42:B46"/>
    <mergeCell ref="M49:M50"/>
    <mergeCell ref="O48:P48"/>
    <mergeCell ref="M51:M70"/>
    <mergeCell ref="M71:M90"/>
    <mergeCell ref="M91:M100"/>
    <mergeCell ref="M101:M107"/>
    <mergeCell ref="N6:N7"/>
    <mergeCell ref="S6:T6"/>
    <mergeCell ref="U6:V6"/>
    <mergeCell ref="W6:X6"/>
    <mergeCell ref="N39:Q39"/>
    <mergeCell ref="S39:V39"/>
  </mergeCells>
  <pageMargins left="0.511811024" right="0.511811024" top="0.78740157499999996" bottom="0.78740157499999996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AR1000"/>
  <sheetViews>
    <sheetView workbookViewId="0">
      <selection activeCell="Y13" sqref="Y13"/>
    </sheetView>
  </sheetViews>
  <sheetFormatPr defaultColWidth="14.44140625" defaultRowHeight="15" customHeight="1" x14ac:dyDescent="0.3"/>
  <cols>
    <col min="1" max="1" width="8.6640625" customWidth="1"/>
    <col min="2" max="2" width="19.6640625" customWidth="1"/>
    <col min="3" max="3" width="8.6640625" customWidth="1"/>
    <col min="4" max="4" width="12.6640625" bestFit="1" customWidth="1"/>
    <col min="5" max="5" width="18" bestFit="1" customWidth="1"/>
    <col min="6" max="6" width="15.77734375" bestFit="1" customWidth="1"/>
    <col min="7" max="7" width="16.5546875" bestFit="1" customWidth="1"/>
    <col min="8" max="8" width="13.77734375" bestFit="1" customWidth="1"/>
    <col min="9" max="9" width="11" bestFit="1" customWidth="1"/>
    <col min="10" max="14" width="8.6640625" customWidth="1"/>
    <col min="15" max="15" width="8" customWidth="1"/>
    <col min="16" max="16" width="14.109375" customWidth="1"/>
    <col min="17" max="18" width="19.5546875" customWidth="1"/>
    <col min="19" max="20" width="18.5546875" customWidth="1"/>
    <col min="21" max="22" width="8.6640625" customWidth="1"/>
    <col min="23" max="23" width="19.5546875" customWidth="1"/>
    <col min="24" max="24" width="17.6640625" customWidth="1"/>
    <col min="25" max="25" width="18.5546875" customWidth="1"/>
    <col min="26" max="33" width="8.6640625" customWidth="1"/>
    <col min="34" max="35" width="16.88671875" customWidth="1"/>
    <col min="36" max="36" width="15" customWidth="1"/>
    <col min="37" max="37" width="11.5546875" customWidth="1"/>
    <col min="38" max="38" width="12.44140625" customWidth="1"/>
    <col min="39" max="39" width="8.6640625" customWidth="1"/>
    <col min="40" max="40" width="15.33203125" customWidth="1"/>
    <col min="41" max="41" width="16.88671875" customWidth="1"/>
    <col min="42" max="42" width="15" customWidth="1"/>
    <col min="43" max="43" width="11.5546875" customWidth="1"/>
    <col min="44" max="44" width="12.109375" customWidth="1"/>
  </cols>
  <sheetData>
    <row r="2" spans="2:44" ht="14.4" x14ac:dyDescent="0.3">
      <c r="B2" s="201" t="s">
        <v>525</v>
      </c>
      <c r="C2" s="202"/>
      <c r="D2" s="203"/>
      <c r="F2" s="50" t="s">
        <v>256</v>
      </c>
      <c r="G2" s="50" t="s">
        <v>158</v>
      </c>
      <c r="H2" s="50" t="s">
        <v>221</v>
      </c>
      <c r="I2" s="50" t="s">
        <v>167</v>
      </c>
      <c r="J2" s="50" t="s">
        <v>257</v>
      </c>
      <c r="K2" s="50" t="s">
        <v>40</v>
      </c>
      <c r="L2" s="50" t="s">
        <v>182</v>
      </c>
      <c r="M2" s="50" t="s">
        <v>223</v>
      </c>
      <c r="N2" s="50" t="s">
        <v>187</v>
      </c>
      <c r="O2" s="50" t="s">
        <v>186</v>
      </c>
      <c r="P2" s="50" t="s">
        <v>157</v>
      </c>
    </row>
    <row r="3" spans="2:44" ht="14.4" x14ac:dyDescent="0.3">
      <c r="B3" s="50" t="s">
        <v>405</v>
      </c>
      <c r="C3" s="5">
        <f>B</f>
        <v>34.6</v>
      </c>
      <c r="D3" s="5" t="s">
        <v>3</v>
      </c>
      <c r="F3" s="194" t="s">
        <v>260</v>
      </c>
      <c r="G3" s="194" t="s">
        <v>169</v>
      </c>
      <c r="H3" s="194" t="s">
        <v>26</v>
      </c>
      <c r="I3" s="194" t="s">
        <v>30</v>
      </c>
      <c r="J3" s="194" t="s">
        <v>228</v>
      </c>
      <c r="K3" s="194" t="s">
        <v>3</v>
      </c>
      <c r="L3" s="194" t="s">
        <v>3</v>
      </c>
      <c r="M3" s="194" t="s">
        <v>15</v>
      </c>
      <c r="N3" s="194" t="s">
        <v>15</v>
      </c>
      <c r="O3" s="194" t="s">
        <v>246</v>
      </c>
      <c r="P3" s="194" t="s">
        <v>64</v>
      </c>
    </row>
    <row r="4" spans="2:44" ht="14.4" x14ac:dyDescent="0.3">
      <c r="B4" s="50" t="s">
        <v>416</v>
      </c>
      <c r="C4" s="33">
        <f>C3/24</f>
        <v>1.4416666666666667</v>
      </c>
      <c r="D4" s="5" t="s">
        <v>3</v>
      </c>
      <c r="F4" s="32">
        <f>1000*(K4^2)*L4*O4*M4/(N4*10)</f>
        <v>921.40340332031235</v>
      </c>
      <c r="G4" s="5">
        <f t="shared" ref="G4:H4" si="0">ROUNDUP(I4,0)</f>
        <v>9</v>
      </c>
      <c r="H4" s="5">
        <f t="shared" si="0"/>
        <v>65</v>
      </c>
      <c r="I4" s="5">
        <f>4.5+0.01*Lbp+K14</f>
        <v>8.31</v>
      </c>
      <c r="J4" s="5">
        <f>0.68*F4^(2/3)</f>
        <v>64.388571098401655</v>
      </c>
      <c r="K4" s="5">
        <f>4*L4</f>
        <v>3.4</v>
      </c>
      <c r="L4" s="33">
        <v>0.85</v>
      </c>
      <c r="M4" s="5">
        <f>'Deck structures'!R30</f>
        <v>1.18</v>
      </c>
      <c r="N4" s="5">
        <f>160*P4</f>
        <v>204.8</v>
      </c>
      <c r="O4" s="32">
        <f>MAX(H14:H19)</f>
        <v>162.75</v>
      </c>
      <c r="P4" s="5">
        <v>1.28</v>
      </c>
    </row>
    <row r="5" spans="2:44" ht="15" customHeight="1" x14ac:dyDescent="0.3">
      <c r="B5" s="50" t="s">
        <v>419</v>
      </c>
      <c r="C5" s="33">
        <f>C4-C8/TAN(C7)</f>
        <v>0.94308505861323522</v>
      </c>
      <c r="D5" s="5" t="s">
        <v>3</v>
      </c>
      <c r="E5" s="11"/>
    </row>
    <row r="6" spans="2:44" ht="14.4" x14ac:dyDescent="0.3">
      <c r="B6" s="50" t="s">
        <v>420</v>
      </c>
      <c r="C6" s="33">
        <f>C8/SIN(C7)</f>
        <v>1.117400384772238</v>
      </c>
      <c r="D6" s="5" t="s">
        <v>3</v>
      </c>
      <c r="F6" s="50" t="s">
        <v>182</v>
      </c>
      <c r="G6" s="50" t="s">
        <v>223</v>
      </c>
      <c r="H6" s="50" t="s">
        <v>187</v>
      </c>
      <c r="I6" s="50" t="s">
        <v>186</v>
      </c>
      <c r="J6" s="50" t="s">
        <v>157</v>
      </c>
    </row>
    <row r="7" spans="2:44" ht="14.4" x14ac:dyDescent="0.3">
      <c r="B7" s="50" t="s">
        <v>421</v>
      </c>
      <c r="C7" s="33">
        <f>63.5*PI()/180</f>
        <v>1.1082840750163994</v>
      </c>
      <c r="D7" s="5" t="s">
        <v>103</v>
      </c>
      <c r="F7" s="137" t="s">
        <v>3</v>
      </c>
      <c r="G7" s="137" t="s">
        <v>15</v>
      </c>
      <c r="H7" s="137" t="s">
        <v>15</v>
      </c>
      <c r="I7" s="137" t="s">
        <v>246</v>
      </c>
      <c r="J7" s="137" t="s">
        <v>64</v>
      </c>
      <c r="AN7" s="315" t="s">
        <v>284</v>
      </c>
      <c r="AO7" s="4" t="s">
        <v>256</v>
      </c>
      <c r="AP7" s="4" t="s">
        <v>158</v>
      </c>
      <c r="AQ7" s="4" t="s">
        <v>221</v>
      </c>
      <c r="AR7" s="315" t="s">
        <v>285</v>
      </c>
    </row>
    <row r="8" spans="2:44" ht="14.4" x14ac:dyDescent="0.3">
      <c r="B8" s="50" t="s">
        <v>422</v>
      </c>
      <c r="C8" s="5">
        <v>1</v>
      </c>
      <c r="D8" s="5" t="s">
        <v>3</v>
      </c>
      <c r="F8" s="4">
        <v>0.85</v>
      </c>
      <c r="G8" s="4">
        <v>1.18</v>
      </c>
      <c r="H8" s="4">
        <v>204.8</v>
      </c>
      <c r="I8" s="4">
        <v>162.75</v>
      </c>
      <c r="J8" s="4">
        <v>1.28</v>
      </c>
      <c r="AN8" s="263"/>
      <c r="AO8" s="4" t="s">
        <v>260</v>
      </c>
      <c r="AP8" s="4" t="s">
        <v>169</v>
      </c>
      <c r="AQ8" s="4" t="s">
        <v>26</v>
      </c>
      <c r="AR8" s="263"/>
    </row>
    <row r="9" spans="2:44" ht="14.4" x14ac:dyDescent="0.3">
      <c r="B9" s="50" t="s">
        <v>423</v>
      </c>
      <c r="C9" s="5">
        <v>5.3</v>
      </c>
      <c r="D9" s="5" t="s">
        <v>3</v>
      </c>
      <c r="F9" s="5" t="s">
        <v>424</v>
      </c>
      <c r="G9" s="5">
        <v>1018</v>
      </c>
      <c r="H9" s="5">
        <v>14</v>
      </c>
      <c r="I9" s="5">
        <v>65.540000000000006</v>
      </c>
      <c r="J9" s="5" t="s">
        <v>425</v>
      </c>
      <c r="AN9" s="5" t="s">
        <v>424</v>
      </c>
      <c r="AO9" s="5">
        <v>1018</v>
      </c>
      <c r="AP9" s="5">
        <v>14</v>
      </c>
      <c r="AQ9" s="5">
        <v>65.540000000000006</v>
      </c>
      <c r="AR9" s="5" t="s">
        <v>425</v>
      </c>
    </row>
    <row r="10" spans="2:44" ht="14.4" x14ac:dyDescent="0.3">
      <c r="B10" s="50" t="s">
        <v>426</v>
      </c>
      <c r="C10" s="5">
        <v>5.7939999999999996</v>
      </c>
      <c r="D10" s="5" t="s">
        <v>3</v>
      </c>
    </row>
    <row r="11" spans="2:44" ht="14.4" x14ac:dyDescent="0.3">
      <c r="D11" s="44"/>
    </row>
    <row r="12" spans="2:44" ht="14.4" x14ac:dyDescent="0.3">
      <c r="B12" s="50" t="s">
        <v>241</v>
      </c>
      <c r="C12" s="50" t="s">
        <v>406</v>
      </c>
      <c r="D12" s="50" t="s">
        <v>407</v>
      </c>
      <c r="E12" s="50" t="s">
        <v>408</v>
      </c>
      <c r="F12" s="50" t="s">
        <v>409</v>
      </c>
      <c r="G12" s="50" t="s">
        <v>410</v>
      </c>
      <c r="H12" s="50" t="s">
        <v>224</v>
      </c>
      <c r="I12" s="50" t="s">
        <v>411</v>
      </c>
      <c r="J12" s="50" t="s">
        <v>182</v>
      </c>
      <c r="K12" s="50" t="s">
        <v>412</v>
      </c>
      <c r="L12" s="50" t="s">
        <v>413</v>
      </c>
      <c r="M12" s="50" t="s">
        <v>123</v>
      </c>
      <c r="N12" s="50" t="s">
        <v>183</v>
      </c>
      <c r="O12" s="50" t="s">
        <v>184</v>
      </c>
      <c r="P12" s="50" t="s">
        <v>414</v>
      </c>
      <c r="Q12" s="50" t="s">
        <v>415</v>
      </c>
      <c r="R12" s="50" t="s">
        <v>210</v>
      </c>
      <c r="S12" s="50" t="s">
        <v>239</v>
      </c>
      <c r="T12" s="50" t="s">
        <v>157</v>
      </c>
    </row>
    <row r="13" spans="2:44" ht="15" customHeight="1" x14ac:dyDescent="0.3">
      <c r="B13" s="50" t="s">
        <v>164</v>
      </c>
      <c r="C13" s="194" t="s">
        <v>3</v>
      </c>
      <c r="D13" s="194" t="s">
        <v>30</v>
      </c>
      <c r="E13" s="194" t="s">
        <v>30</v>
      </c>
      <c r="F13" s="194" t="s">
        <v>30</v>
      </c>
      <c r="G13" s="194" t="s">
        <v>30</v>
      </c>
      <c r="H13" s="194" t="s">
        <v>417</v>
      </c>
      <c r="I13" s="194" t="s">
        <v>15</v>
      </c>
      <c r="J13" s="194" t="s">
        <v>3</v>
      </c>
      <c r="K13" s="194" t="s">
        <v>30</v>
      </c>
      <c r="L13" s="194" t="s">
        <v>30</v>
      </c>
      <c r="M13" s="194" t="s">
        <v>15</v>
      </c>
      <c r="N13" s="194" t="s">
        <v>417</v>
      </c>
      <c r="O13" s="194" t="s">
        <v>417</v>
      </c>
      <c r="P13" s="194" t="s">
        <v>15</v>
      </c>
      <c r="Q13" s="194" t="s">
        <v>418</v>
      </c>
      <c r="R13" s="194" t="s">
        <v>3</v>
      </c>
      <c r="S13" s="194" t="s">
        <v>3</v>
      </c>
      <c r="T13" s="194" t="s">
        <v>64</v>
      </c>
    </row>
    <row r="14" spans="2:44" ht="15" customHeight="1" x14ac:dyDescent="0.3">
      <c r="B14" s="50">
        <v>1</v>
      </c>
      <c r="C14" s="5">
        <v>2.7</v>
      </c>
      <c r="D14" s="5">
        <f t="shared" ref="D14:D19" si="1">ROUNDUP(LARGE(E14:G14,1),0)</f>
        <v>17</v>
      </c>
      <c r="E14" s="28">
        <f>15.8*'Bottom structures'!$C$28*J14*SQRT(LARGE($H$14:$H$19,1)/I14)+K14</f>
        <v>16.057043220539398</v>
      </c>
      <c r="F14" s="28">
        <f t="shared" ref="F14:F19" si="2">SQRT(500*J14^2*H14/I14-L14^2)+K14</f>
        <v>14.550318926600934</v>
      </c>
      <c r="G14" s="28">
        <f t="shared" ref="G14:G19" si="3">5+M14*Lbp/SQRT(T14)+K14</f>
        <v>10.418632855121466</v>
      </c>
      <c r="H14" s="32">
        <f t="shared" ref="H14:H19" si="4">MAX($N$14:$O$19)</f>
        <v>162.75</v>
      </c>
      <c r="I14" s="5">
        <f t="shared" ref="I14:I19" si="5">220*T14</f>
        <v>305.79999999999995</v>
      </c>
      <c r="J14" s="33">
        <f t="shared" ref="J14:J19" si="6">1.05*LARGE($C$5:$C$6,1)</f>
        <v>1.1732704040108499</v>
      </c>
      <c r="K14" s="5">
        <v>1.5</v>
      </c>
      <c r="L14" s="32">
        <f t="shared" ref="L14:L19" si="7">$H$9</f>
        <v>14</v>
      </c>
      <c r="M14" s="5">
        <v>0.02</v>
      </c>
      <c r="N14" s="32">
        <f t="shared" ref="N14:N19" si="8">10*S14</f>
        <v>162.75</v>
      </c>
      <c r="O14" s="32">
        <f>'Ship Characteristics'!$H$17*(g+0.5*' Design Load and Acceleration'!$C$22)*P14*R14</f>
        <v>83.337279233103288</v>
      </c>
      <c r="P14" s="33">
        <f t="shared" ref="P14:P19" si="9">IF(SIN($C$7)^2*TAN(RADIANS(45-0.5*Q14))^2+COS(Q14)^2&gt;COS($C$7),SIN($C$7)^2*TAN(RADIANS(45-0.5*Q14))^2+COS(Q14)^2,COS($C$7))</f>
        <v>0.55920839081842999</v>
      </c>
      <c r="Q14" s="5">
        <v>20</v>
      </c>
      <c r="R14" s="5">
        <v>16.274999999999999</v>
      </c>
      <c r="S14" s="5">
        <f t="shared" ref="S14:S19" si="10">R14</f>
        <v>16.274999999999999</v>
      </c>
      <c r="T14" s="5">
        <v>1.39</v>
      </c>
    </row>
    <row r="15" spans="2:44" ht="14.4" x14ac:dyDescent="0.3">
      <c r="B15" s="50">
        <v>2</v>
      </c>
      <c r="C15" s="5">
        <v>2.7</v>
      </c>
      <c r="D15" s="5">
        <f t="shared" si="1"/>
        <v>17</v>
      </c>
      <c r="E15" s="28">
        <f>15.8*'Bottom structures'!$C$28*J15*SQRT(LARGE($H$14:$H$19,1)/I15)+K15</f>
        <v>16.057043220539398</v>
      </c>
      <c r="F15" s="28">
        <f t="shared" si="2"/>
        <v>14.550318926600934</v>
      </c>
      <c r="G15" s="28">
        <f t="shared" si="3"/>
        <v>10.418632855121466</v>
      </c>
      <c r="H15" s="32">
        <f t="shared" si="4"/>
        <v>162.75</v>
      </c>
      <c r="I15" s="5">
        <f t="shared" si="5"/>
        <v>305.79999999999995</v>
      </c>
      <c r="J15" s="33">
        <f t="shared" si="6"/>
        <v>1.1732704040108499</v>
      </c>
      <c r="K15" s="5">
        <v>1.5</v>
      </c>
      <c r="L15" s="32">
        <f t="shared" si="7"/>
        <v>14</v>
      </c>
      <c r="M15" s="5">
        <v>0.02</v>
      </c>
      <c r="N15" s="32">
        <f t="shared" si="8"/>
        <v>136.25</v>
      </c>
      <c r="O15" s="32">
        <f>'Ship Characteristics'!$H$17*(g+0.5*' Design Load and Acceleration'!$C$22)*P15*R15</f>
        <v>69.767768328788463</v>
      </c>
      <c r="P15" s="33">
        <f t="shared" si="9"/>
        <v>0.55920839081842999</v>
      </c>
      <c r="Q15" s="5">
        <v>20</v>
      </c>
      <c r="R15" s="5">
        <f>13.625</f>
        <v>13.625</v>
      </c>
      <c r="S15" s="5">
        <f t="shared" si="10"/>
        <v>13.625</v>
      </c>
      <c r="T15" s="5">
        <f>'Material Proprieties'!$E$8</f>
        <v>1.39</v>
      </c>
    </row>
    <row r="16" spans="2:44" ht="14.4" x14ac:dyDescent="0.3">
      <c r="B16" s="50">
        <v>3</v>
      </c>
      <c r="C16" s="5">
        <v>2.5</v>
      </c>
      <c r="D16" s="5">
        <f t="shared" si="1"/>
        <v>17</v>
      </c>
      <c r="E16" s="28">
        <f>15.8*'Bottom structures'!$C$28*J16*SQRT(LARGE($H$14:$H$19,1)/I16)+K16</f>
        <v>16.057043220539398</v>
      </c>
      <c r="F16" s="28">
        <f t="shared" si="2"/>
        <v>14.550318926600934</v>
      </c>
      <c r="G16" s="28">
        <f t="shared" si="3"/>
        <v>10.418632855121466</v>
      </c>
      <c r="H16" s="32">
        <f t="shared" si="4"/>
        <v>162.75</v>
      </c>
      <c r="I16" s="5">
        <f t="shared" si="5"/>
        <v>305.79999999999995</v>
      </c>
      <c r="J16" s="33">
        <f t="shared" si="6"/>
        <v>1.1732704040108499</v>
      </c>
      <c r="K16" s="5">
        <v>1.5</v>
      </c>
      <c r="L16" s="32">
        <f t="shared" si="7"/>
        <v>14</v>
      </c>
      <c r="M16" s="5">
        <v>0.02</v>
      </c>
      <c r="N16" s="32">
        <f t="shared" si="8"/>
        <v>110.48</v>
      </c>
      <c r="O16" s="32">
        <f>'Ship Characteristics'!$H$17*(g+0.5*' Design Load and Acceleration'!$C$22)*P16*R16</f>
        <v>56.572059045611375</v>
      </c>
      <c r="P16" s="33">
        <f t="shared" si="9"/>
        <v>0.55920839081842999</v>
      </c>
      <c r="Q16" s="5">
        <v>20</v>
      </c>
      <c r="R16" s="5">
        <v>11.048</v>
      </c>
      <c r="S16" s="5">
        <f t="shared" si="10"/>
        <v>11.048</v>
      </c>
      <c r="T16" s="5">
        <f>'Material Proprieties'!$E$8</f>
        <v>1.39</v>
      </c>
    </row>
    <row r="17" spans="2:20" ht="14.4" x14ac:dyDescent="0.3">
      <c r="B17" s="50">
        <v>4</v>
      </c>
      <c r="C17" s="5">
        <v>2.5</v>
      </c>
      <c r="D17" s="5">
        <f t="shared" si="1"/>
        <v>17</v>
      </c>
      <c r="E17" s="28">
        <f>15.8*'Bottom structures'!$C$28*J17*SQRT(LARGE($H$14:$H$19,1)/I17)+K17</f>
        <v>16.057043220539398</v>
      </c>
      <c r="F17" s="28">
        <f t="shared" si="2"/>
        <v>14.550318926600934</v>
      </c>
      <c r="G17" s="28">
        <f t="shared" si="3"/>
        <v>10.418632855121466</v>
      </c>
      <c r="H17" s="32">
        <f t="shared" si="4"/>
        <v>162.75</v>
      </c>
      <c r="I17" s="5">
        <f t="shared" si="5"/>
        <v>305.79999999999995</v>
      </c>
      <c r="J17" s="33">
        <f t="shared" si="6"/>
        <v>1.1732704040108499</v>
      </c>
      <c r="K17" s="5">
        <v>1.5</v>
      </c>
      <c r="L17" s="32">
        <f t="shared" si="7"/>
        <v>14</v>
      </c>
      <c r="M17" s="5">
        <v>0.02</v>
      </c>
      <c r="N17" s="32">
        <f t="shared" si="8"/>
        <v>85.45</v>
      </c>
      <c r="O17" s="32">
        <f>'Ship Characteristics'!$H$17*(g+0.5*' Design Load and Acceleration'!$C$22)*P17*R17</f>
        <v>43.755271953724581</v>
      </c>
      <c r="P17" s="33">
        <f t="shared" si="9"/>
        <v>0.55920839081842999</v>
      </c>
      <c r="Q17" s="5">
        <v>20</v>
      </c>
      <c r="R17" s="5">
        <v>8.5449999999999999</v>
      </c>
      <c r="S17" s="5">
        <f t="shared" si="10"/>
        <v>8.5449999999999999</v>
      </c>
      <c r="T17" s="5">
        <f>'Material Proprieties'!$E$8</f>
        <v>1.39</v>
      </c>
    </row>
    <row r="18" spans="2:20" ht="14.4" x14ac:dyDescent="0.3">
      <c r="B18" s="50">
        <v>5</v>
      </c>
      <c r="C18" s="5">
        <v>2.94</v>
      </c>
      <c r="D18" s="5">
        <f t="shared" si="1"/>
        <v>17</v>
      </c>
      <c r="E18" s="28">
        <f>15.8*'Bottom structures'!$C$28*J18*SQRT(LARGE($H$14:$H$19,1)/I18)+K18</f>
        <v>16.057043220539398</v>
      </c>
      <c r="F18" s="28">
        <f t="shared" si="2"/>
        <v>14.550318926600934</v>
      </c>
      <c r="G18" s="28">
        <f t="shared" si="3"/>
        <v>10.418632855121466</v>
      </c>
      <c r="H18" s="32">
        <f t="shared" si="4"/>
        <v>162.75</v>
      </c>
      <c r="I18" s="5">
        <f t="shared" si="5"/>
        <v>305.79999999999995</v>
      </c>
      <c r="J18" s="33">
        <f t="shared" si="6"/>
        <v>1.1732704040108499</v>
      </c>
      <c r="K18" s="5">
        <v>1.5</v>
      </c>
      <c r="L18" s="32">
        <f t="shared" si="7"/>
        <v>14</v>
      </c>
      <c r="M18" s="5">
        <v>0.02</v>
      </c>
      <c r="N18" s="32">
        <f t="shared" si="8"/>
        <v>58.449999999999996</v>
      </c>
      <c r="O18" s="32">
        <f>'Ship Characteristics'!$H$17*(g+0.5*' Design Load and Acceleration'!$C$22)*P18*R18</f>
        <v>29.929732541781181</v>
      </c>
      <c r="P18" s="33">
        <f t="shared" si="9"/>
        <v>0.55920839081842999</v>
      </c>
      <c r="Q18" s="5">
        <v>20</v>
      </c>
      <c r="R18" s="5">
        <f>5.845</f>
        <v>5.8449999999999998</v>
      </c>
      <c r="S18" s="5">
        <f t="shared" si="10"/>
        <v>5.8449999999999998</v>
      </c>
      <c r="T18" s="5">
        <f>'Material Proprieties'!$E$8</f>
        <v>1.39</v>
      </c>
    </row>
    <row r="19" spans="2:20" ht="14.4" x14ac:dyDescent="0.3">
      <c r="B19" s="50">
        <v>6</v>
      </c>
      <c r="C19" s="5">
        <v>2.94</v>
      </c>
      <c r="D19" s="5">
        <f t="shared" si="1"/>
        <v>17</v>
      </c>
      <c r="E19" s="28">
        <f>15.8*'Bottom structures'!$C$28*J19*SQRT(LARGE($H$14:$H$19,1)/I19)+K19</f>
        <v>16.057043220539398</v>
      </c>
      <c r="F19" s="28">
        <f t="shared" si="2"/>
        <v>14.550318926600934</v>
      </c>
      <c r="G19" s="28">
        <f t="shared" si="3"/>
        <v>10.418632855121466</v>
      </c>
      <c r="H19" s="32">
        <f t="shared" si="4"/>
        <v>162.75</v>
      </c>
      <c r="I19" s="5">
        <f t="shared" si="5"/>
        <v>305.79999999999995</v>
      </c>
      <c r="J19" s="33">
        <f t="shared" si="6"/>
        <v>1.1732704040108499</v>
      </c>
      <c r="K19" s="5">
        <v>1.5</v>
      </c>
      <c r="L19" s="32">
        <f t="shared" si="7"/>
        <v>14</v>
      </c>
      <c r="M19" s="5">
        <v>0.02</v>
      </c>
      <c r="N19" s="32">
        <f t="shared" si="8"/>
        <v>29.5</v>
      </c>
      <c r="O19" s="32">
        <f>'Ship Characteristics'!$H$17*(g+0.5*' Design Load and Acceleration'!$C$22)*P19*R19</f>
        <v>15.105681950086312</v>
      </c>
      <c r="P19" s="33">
        <f t="shared" si="9"/>
        <v>0.55920839081842999</v>
      </c>
      <c r="Q19" s="5">
        <v>20</v>
      </c>
      <c r="R19" s="5">
        <v>2.95</v>
      </c>
      <c r="S19" s="5">
        <f t="shared" si="10"/>
        <v>2.95</v>
      </c>
      <c r="T19" s="5">
        <f>'Material Proprieties'!$E$8</f>
        <v>1.39</v>
      </c>
    </row>
    <row r="20" spans="2:20" ht="14.4" x14ac:dyDescent="0.3"/>
    <row r="21" spans="2:20" ht="15.75" customHeight="1" x14ac:dyDescent="0.3"/>
    <row r="22" spans="2:20" ht="15.75" customHeight="1" x14ac:dyDescent="0.3"/>
    <row r="23" spans="2:20" ht="15.75" customHeight="1" x14ac:dyDescent="0.3"/>
    <row r="24" spans="2:20" ht="15.75" customHeight="1" x14ac:dyDescent="0.3"/>
    <row r="25" spans="2:20" ht="15.75" customHeight="1" x14ac:dyDescent="0.3"/>
    <row r="26" spans="2:20" ht="15.75" customHeight="1" x14ac:dyDescent="0.3"/>
    <row r="27" spans="2:20" ht="15.75" customHeight="1" x14ac:dyDescent="0.3"/>
    <row r="28" spans="2:20" ht="15.75" customHeight="1" x14ac:dyDescent="0.3"/>
    <row r="29" spans="2:20" ht="15.75" customHeight="1" x14ac:dyDescent="0.3"/>
    <row r="30" spans="2:20" ht="15.75" customHeight="1" x14ac:dyDescent="0.3"/>
    <row r="31" spans="2:20" ht="15.75" customHeight="1" x14ac:dyDescent="0.3"/>
    <row r="32" spans="2:2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B2:D2"/>
    <mergeCell ref="AN7:AN8"/>
    <mergeCell ref="AR7:AR8"/>
  </mergeCells>
  <pageMargins left="0.511811024" right="0.511811024" top="0.78740157499999996" bottom="0.78740157499999996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K1000"/>
  <sheetViews>
    <sheetView topLeftCell="A4" workbookViewId="0">
      <selection activeCell="Q31" sqref="Q31"/>
    </sheetView>
  </sheetViews>
  <sheetFormatPr defaultColWidth="14.44140625" defaultRowHeight="15" customHeight="1" x14ac:dyDescent="0.3"/>
  <cols>
    <col min="1" max="1" width="8.6640625" customWidth="1"/>
    <col min="2" max="2" width="57.77734375" bestFit="1" customWidth="1"/>
    <col min="3" max="3" width="19.33203125" bestFit="1" customWidth="1"/>
    <col min="4" max="4" width="13.109375" bestFit="1" customWidth="1"/>
    <col min="5" max="5" width="8.6640625" customWidth="1"/>
    <col min="6" max="6" width="5" bestFit="1" customWidth="1"/>
    <col min="7" max="7" width="14.77734375" bestFit="1" customWidth="1"/>
    <col min="8" max="8" width="8.6640625" customWidth="1"/>
    <col min="9" max="9" width="11" customWidth="1"/>
    <col min="10" max="11" width="8.6640625" customWidth="1"/>
    <col min="12" max="12" width="13.33203125" customWidth="1"/>
    <col min="13" max="13" width="21.6640625" customWidth="1"/>
    <col min="14" max="14" width="12.88671875" customWidth="1"/>
    <col min="15" max="15" width="11.5546875" bestFit="1" customWidth="1"/>
    <col min="16" max="16" width="10.77734375" customWidth="1"/>
    <col min="17" max="17" width="9.5546875" customWidth="1"/>
    <col min="18" max="18" width="16.44140625" customWidth="1"/>
    <col min="19" max="19" width="12.88671875" customWidth="1"/>
    <col min="20" max="20" width="14.77734375" bestFit="1" customWidth="1"/>
    <col min="21" max="21" width="12" bestFit="1" customWidth="1"/>
    <col min="22" max="22" width="8.6640625" customWidth="1"/>
    <col min="23" max="23" width="10.44140625" customWidth="1"/>
    <col min="24" max="24" width="12.33203125" customWidth="1"/>
    <col min="25" max="25" width="11.109375" customWidth="1"/>
    <col min="26" max="26" width="12.109375" customWidth="1"/>
    <col min="27" max="27" width="12.44140625" customWidth="1"/>
    <col min="28" max="28" width="9.88671875" customWidth="1"/>
    <col min="29" max="29" width="11.6640625" customWidth="1"/>
    <col min="30" max="30" width="8.6640625" customWidth="1"/>
    <col min="31" max="31" width="19.33203125" customWidth="1"/>
    <col min="32" max="32" width="12.33203125" customWidth="1"/>
    <col min="33" max="34" width="8.6640625" customWidth="1"/>
    <col min="35" max="35" width="15.6640625" customWidth="1"/>
    <col min="36" max="36" width="12.33203125" customWidth="1"/>
    <col min="37" max="37" width="8.6640625" customWidth="1"/>
    <col min="38" max="38" width="10" customWidth="1"/>
    <col min="39" max="39" width="6.88671875" customWidth="1"/>
    <col min="40" max="40" width="9" customWidth="1"/>
    <col min="41" max="41" width="12.33203125" customWidth="1"/>
  </cols>
  <sheetData>
    <row r="2" spans="2:37" ht="14.4" x14ac:dyDescent="0.3">
      <c r="B2" s="316" t="s">
        <v>427</v>
      </c>
      <c r="C2" s="317"/>
      <c r="D2" s="317"/>
      <c r="E2" s="318"/>
      <c r="F2" s="12"/>
      <c r="G2" s="316" t="s">
        <v>430</v>
      </c>
      <c r="H2" s="317"/>
      <c r="I2" s="318"/>
      <c r="K2" s="12"/>
      <c r="L2" s="316" t="s">
        <v>479</v>
      </c>
      <c r="M2" s="317"/>
      <c r="N2" s="318"/>
      <c r="O2" s="316" t="s">
        <v>480</v>
      </c>
      <c r="P2" s="317"/>
      <c r="Q2" s="318"/>
      <c r="R2" s="189" t="s">
        <v>481</v>
      </c>
      <c r="Z2" s="12"/>
      <c r="AA2" s="12"/>
      <c r="AB2" s="12"/>
      <c r="AC2" s="12"/>
      <c r="AD2" s="12"/>
      <c r="AH2" s="12"/>
      <c r="AK2" s="12"/>
    </row>
    <row r="3" spans="2:37" ht="14.4" x14ac:dyDescent="0.3">
      <c r="B3" s="50" t="s">
        <v>438</v>
      </c>
      <c r="C3" s="50" t="s">
        <v>439</v>
      </c>
      <c r="D3" s="32">
        <f>Lbp</f>
        <v>231</v>
      </c>
      <c r="E3" s="5" t="s">
        <v>247</v>
      </c>
      <c r="F3" s="12"/>
      <c r="G3" s="50" t="s">
        <v>414</v>
      </c>
      <c r="H3" s="5">
        <f>E43*F43</f>
        <v>1.2994999999999999</v>
      </c>
      <c r="I3" s="5" t="s">
        <v>37</v>
      </c>
      <c r="K3" s="12"/>
      <c r="L3" s="50" t="s">
        <v>488</v>
      </c>
      <c r="M3" s="50" t="s">
        <v>489</v>
      </c>
      <c r="N3" s="50" t="s">
        <v>490</v>
      </c>
      <c r="O3" s="50" t="s">
        <v>488</v>
      </c>
      <c r="P3" s="50" t="s">
        <v>491</v>
      </c>
      <c r="Q3" s="50" t="s">
        <v>492</v>
      </c>
      <c r="R3" s="50" t="s">
        <v>493</v>
      </c>
      <c r="Z3" s="12"/>
      <c r="AA3" s="12"/>
      <c r="AB3" s="12"/>
      <c r="AC3" s="12"/>
      <c r="AD3" s="12"/>
      <c r="AH3" s="12"/>
      <c r="AK3" s="12"/>
    </row>
    <row r="4" spans="2:37" ht="14.4" x14ac:dyDescent="0.3">
      <c r="B4" s="50" t="s">
        <v>451</v>
      </c>
      <c r="C4" s="50" t="s">
        <v>13</v>
      </c>
      <c r="D4" s="33">
        <f>B</f>
        <v>34.6</v>
      </c>
      <c r="E4" s="5" t="s">
        <v>247</v>
      </c>
      <c r="F4" s="12"/>
      <c r="G4" s="50" t="s">
        <v>459</v>
      </c>
      <c r="H4" s="45">
        <f>H5*10^-3*D29*(D26^2)*H6/12</f>
        <v>39262219.961848415</v>
      </c>
      <c r="I4" s="5" t="s">
        <v>460</v>
      </c>
      <c r="K4" s="12"/>
      <c r="L4" s="5">
        <v>12.164</v>
      </c>
      <c r="M4" s="45">
        <f>10^L4</f>
        <v>1458814260275.3489</v>
      </c>
      <c r="N4" s="5">
        <v>3</v>
      </c>
      <c r="O4" s="5">
        <v>15.606</v>
      </c>
      <c r="P4" s="45">
        <f>10^O4</f>
        <v>4036453929676067.5</v>
      </c>
      <c r="Q4" s="5">
        <v>5</v>
      </c>
      <c r="R4" s="5">
        <v>50</v>
      </c>
      <c r="Z4" s="12"/>
      <c r="AA4" s="12"/>
      <c r="AB4" s="12"/>
      <c r="AC4" s="12"/>
      <c r="AD4" s="12"/>
      <c r="AH4" s="12"/>
      <c r="AK4" s="12"/>
    </row>
    <row r="5" spans="2:37" ht="14.4" x14ac:dyDescent="0.3">
      <c r="B5" s="50" t="s">
        <v>464</v>
      </c>
      <c r="C5" s="50" t="s">
        <v>14</v>
      </c>
      <c r="D5" s="33">
        <f>Cb</f>
        <v>0.78</v>
      </c>
      <c r="E5" s="5" t="s">
        <v>37</v>
      </c>
      <c r="F5" s="12"/>
      <c r="G5" s="50" t="s">
        <v>466</v>
      </c>
      <c r="H5" s="33">
        <f>MAX('Deck structures'!Y30:Y38)</f>
        <v>45.497527147793221</v>
      </c>
      <c r="I5" s="5" t="s">
        <v>240</v>
      </c>
      <c r="K5" s="12"/>
      <c r="R5" s="12"/>
      <c r="Z5" s="12"/>
      <c r="AA5" s="12"/>
      <c r="AB5" s="12"/>
      <c r="AC5" s="12"/>
      <c r="AD5" s="12"/>
      <c r="AH5" s="12"/>
      <c r="AK5" s="12"/>
    </row>
    <row r="6" spans="2:37" ht="14.4" x14ac:dyDescent="0.3">
      <c r="B6" s="50" t="s">
        <v>469</v>
      </c>
      <c r="C6" s="50" t="s">
        <v>470</v>
      </c>
      <c r="D6" s="33">
        <f>'Ship Characteristics'!C7</f>
        <v>18.2</v>
      </c>
      <c r="E6" s="5" t="s">
        <v>471</v>
      </c>
      <c r="F6" s="12"/>
      <c r="G6" s="50" t="s">
        <v>473</v>
      </c>
      <c r="H6" s="5">
        <v>1</v>
      </c>
      <c r="I6" s="5" t="s">
        <v>37</v>
      </c>
      <c r="K6" s="12"/>
      <c r="R6" s="12"/>
      <c r="W6" s="12"/>
      <c r="X6" s="12"/>
      <c r="Y6" s="12"/>
      <c r="Z6" s="12"/>
      <c r="AA6" s="12"/>
      <c r="AB6" s="12"/>
      <c r="AC6" s="12"/>
      <c r="AD6" s="12"/>
      <c r="AH6" s="12"/>
      <c r="AK6" s="12"/>
    </row>
    <row r="7" spans="2:37" ht="14.4" x14ac:dyDescent="0.3">
      <c r="B7" s="50" t="s">
        <v>476</v>
      </c>
      <c r="C7" s="50" t="s">
        <v>19</v>
      </c>
      <c r="D7" s="33">
        <f>D</f>
        <v>18.100000000000001</v>
      </c>
      <c r="E7" s="5" t="s">
        <v>247</v>
      </c>
      <c r="F7" s="12"/>
      <c r="G7" s="50" t="s">
        <v>478</v>
      </c>
      <c r="H7" s="33">
        <f>H3*H3*(H4)/(D22)</f>
        <v>12.849248190916356</v>
      </c>
      <c r="I7" s="5" t="s">
        <v>70</v>
      </c>
      <c r="K7" s="12"/>
      <c r="L7" s="12"/>
      <c r="M7" s="12"/>
      <c r="N7" s="12"/>
      <c r="O7" s="12"/>
      <c r="P7" s="12"/>
      <c r="Q7" s="12"/>
      <c r="R7" s="12"/>
      <c r="AD7" s="12"/>
      <c r="AH7" s="12"/>
      <c r="AK7" s="12"/>
    </row>
    <row r="8" spans="2:37" ht="14.4" x14ac:dyDescent="0.3">
      <c r="B8" s="50" t="s">
        <v>484</v>
      </c>
      <c r="C8" s="50" t="s">
        <v>485</v>
      </c>
      <c r="D8" s="32">
        <f>'Neutral Axis Correction partII'!T42</f>
        <v>226.17952909864951</v>
      </c>
      <c r="E8" s="5" t="s">
        <v>316</v>
      </c>
      <c r="F8" s="12"/>
      <c r="G8" s="50" t="s">
        <v>487</v>
      </c>
      <c r="H8" s="28">
        <f>2*SQRT(H7^2)</f>
        <v>25.698496381832712</v>
      </c>
      <c r="I8" s="5" t="s">
        <v>70</v>
      </c>
      <c r="K8" s="12"/>
      <c r="L8" s="12"/>
      <c r="M8" s="12"/>
      <c r="N8" s="12"/>
      <c r="O8" s="12"/>
      <c r="P8" s="12"/>
      <c r="Q8" s="12"/>
      <c r="R8" s="12"/>
      <c r="AD8" s="12"/>
      <c r="AH8" s="12"/>
      <c r="AK8" s="12"/>
    </row>
    <row r="9" spans="2:37" ht="14.4" x14ac:dyDescent="0.3">
      <c r="B9" s="50" t="s">
        <v>496</v>
      </c>
      <c r="C9" s="50" t="s">
        <v>497</v>
      </c>
      <c r="D9" s="33">
        <f>'Neutral Axis Correction partII'!T41</f>
        <v>7.5571599071246149</v>
      </c>
      <c r="E9" s="5" t="s">
        <v>247</v>
      </c>
      <c r="F9" s="12"/>
      <c r="G9" s="12"/>
      <c r="H9" s="12"/>
      <c r="I9" s="12"/>
      <c r="K9" s="12"/>
      <c r="L9" s="12"/>
      <c r="M9" s="12"/>
      <c r="N9" s="12"/>
      <c r="O9" s="12"/>
      <c r="P9" s="12"/>
      <c r="Q9" s="12"/>
      <c r="R9" s="12"/>
      <c r="AD9" s="12"/>
      <c r="AH9" s="12"/>
      <c r="AK9" s="12"/>
    </row>
    <row r="10" spans="2:37" ht="14.4" x14ac:dyDescent="0.3">
      <c r="B10" s="12"/>
      <c r="C10" s="12"/>
      <c r="D10" s="12"/>
      <c r="E10" s="12"/>
      <c r="F10" s="12"/>
      <c r="G10" s="316" t="s">
        <v>503</v>
      </c>
      <c r="H10" s="317"/>
      <c r="I10" s="318"/>
      <c r="K10" s="12"/>
      <c r="L10" s="12"/>
      <c r="M10" s="12"/>
      <c r="N10" s="12"/>
      <c r="O10" s="12"/>
      <c r="P10" s="12"/>
      <c r="Q10" s="12"/>
      <c r="R10" s="12"/>
      <c r="V10" s="12"/>
      <c r="W10" s="12"/>
      <c r="AB10" s="12"/>
      <c r="AC10" s="12"/>
      <c r="AD10" s="12"/>
      <c r="AE10" s="12"/>
      <c r="AF10" s="34"/>
      <c r="AG10" s="12"/>
      <c r="AH10" s="12"/>
      <c r="AK10" s="12"/>
    </row>
    <row r="11" spans="2:37" ht="14.4" x14ac:dyDescent="0.3">
      <c r="B11" s="316" t="s">
        <v>505</v>
      </c>
      <c r="C11" s="317"/>
      <c r="D11" s="318"/>
      <c r="E11" s="12"/>
      <c r="F11" s="12"/>
      <c r="G11" s="50" t="s">
        <v>508</v>
      </c>
      <c r="H11" s="28">
        <f>G43*(C13-C14)*0.464*10^-3*(D25-D9)/D8</f>
        <v>114.86541330058432</v>
      </c>
      <c r="I11" s="5" t="s">
        <v>70</v>
      </c>
      <c r="K11" s="12"/>
      <c r="L11" s="12"/>
      <c r="M11" s="12"/>
      <c r="N11" s="12"/>
      <c r="O11" s="12"/>
      <c r="P11" s="12"/>
      <c r="Q11" s="12"/>
      <c r="R11" s="12"/>
      <c r="V11" s="12"/>
      <c r="W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</row>
    <row r="12" spans="2:37" ht="14.4" x14ac:dyDescent="0.3">
      <c r="B12" s="50"/>
      <c r="C12" s="50" t="s">
        <v>509</v>
      </c>
      <c r="D12" s="5"/>
      <c r="E12" s="12"/>
      <c r="F12" s="12"/>
      <c r="G12" s="50" t="s">
        <v>511</v>
      </c>
      <c r="H12" s="5">
        <v>0</v>
      </c>
      <c r="I12" s="5" t="s">
        <v>70</v>
      </c>
      <c r="K12" s="12"/>
      <c r="L12" s="12"/>
      <c r="M12" s="12"/>
      <c r="N12" s="12"/>
      <c r="O12" s="12"/>
      <c r="P12" s="12"/>
      <c r="Q12" s="12"/>
      <c r="R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36"/>
      <c r="AG12" s="12"/>
      <c r="AH12" s="12"/>
      <c r="AI12" s="12"/>
      <c r="AJ12" s="12"/>
      <c r="AK12" s="12"/>
    </row>
    <row r="13" spans="2:37" ht="14.4" x14ac:dyDescent="0.3">
      <c r="B13" s="50" t="s">
        <v>512</v>
      </c>
      <c r="C13" s="37">
        <f>'Longitudinal design strenght'!G28</f>
        <v>2081866.5706772818</v>
      </c>
      <c r="D13" s="5" t="s">
        <v>365</v>
      </c>
      <c r="E13" s="12"/>
      <c r="F13" s="12"/>
      <c r="G13" s="50" t="s">
        <v>514</v>
      </c>
      <c r="H13" s="5">
        <v>0.1</v>
      </c>
      <c r="I13" s="5" t="s">
        <v>37</v>
      </c>
      <c r="K13" s="12"/>
      <c r="L13" s="12"/>
      <c r="M13" s="12"/>
      <c r="N13" s="12"/>
      <c r="O13" s="12"/>
      <c r="P13" s="12"/>
      <c r="Q13" s="12"/>
      <c r="R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 spans="2:37" ht="14.4" x14ac:dyDescent="0.3">
      <c r="B14" s="50" t="s">
        <v>515</v>
      </c>
      <c r="C14" s="37">
        <f>'Longitudinal design strenght'!F28</f>
        <v>-1807541.1922306365</v>
      </c>
      <c r="D14" s="5" t="s">
        <v>365</v>
      </c>
      <c r="E14" s="12"/>
      <c r="F14" s="12"/>
      <c r="G14" s="50" t="s">
        <v>516</v>
      </c>
      <c r="H14" s="28">
        <f>H11</f>
        <v>114.86541330058432</v>
      </c>
      <c r="I14" s="5" t="s">
        <v>70</v>
      </c>
      <c r="J14" s="12"/>
      <c r="K14" s="12"/>
      <c r="L14" s="12"/>
      <c r="M14" s="12"/>
      <c r="N14" s="12"/>
      <c r="O14" s="12"/>
      <c r="P14" s="12"/>
      <c r="Q14" s="12"/>
      <c r="R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 spans="2:37" ht="14.4" x14ac:dyDescent="0.3">
      <c r="B15" s="50" t="s">
        <v>517</v>
      </c>
      <c r="C15" s="5">
        <f>T</f>
        <v>13.2</v>
      </c>
      <c r="D15" s="5" t="s">
        <v>247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</row>
    <row r="16" spans="2:37" ht="14.4" x14ac:dyDescent="0.3">
      <c r="B16" s="50" t="s">
        <v>518</v>
      </c>
      <c r="C16" s="5">
        <f>' Design Load and Acceleration'!H7</f>
        <v>4.1520000000000001</v>
      </c>
      <c r="D16" s="5" t="s">
        <v>247</v>
      </c>
      <c r="E16" s="12"/>
      <c r="F16" s="12"/>
      <c r="G16" s="316" t="s">
        <v>519</v>
      </c>
      <c r="H16" s="317"/>
      <c r="I16" s="318"/>
      <c r="J16" s="12"/>
      <c r="K16" s="12"/>
      <c r="L16" s="12"/>
      <c r="M16" s="12"/>
      <c r="N16" s="12"/>
      <c r="O16" s="12"/>
      <c r="P16" s="12"/>
      <c r="Q16" s="12"/>
      <c r="R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</row>
    <row r="17" spans="2:37" ht="14.4" x14ac:dyDescent="0.3">
      <c r="B17" s="50" t="s">
        <v>520</v>
      </c>
      <c r="C17" s="5">
        <f>' Design Load and Acceleration'!H8</f>
        <v>8.65</v>
      </c>
      <c r="D17" s="5" t="s">
        <v>247</v>
      </c>
      <c r="E17" s="12"/>
      <c r="F17" s="12"/>
      <c r="G17" s="50" t="s">
        <v>267</v>
      </c>
      <c r="H17" s="5">
        <v>0.6</v>
      </c>
      <c r="I17" s="5" t="s">
        <v>37</v>
      </c>
      <c r="J17" s="12"/>
      <c r="K17" s="12"/>
      <c r="L17" s="12"/>
      <c r="M17" s="12"/>
      <c r="N17" s="12"/>
      <c r="O17" s="12"/>
      <c r="P17" s="12"/>
      <c r="Q17" s="12"/>
      <c r="R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 spans="2:37" ht="14.4" x14ac:dyDescent="0.3">
      <c r="B18" s="50" t="s">
        <v>521</v>
      </c>
      <c r="C18" s="5">
        <v>0.65</v>
      </c>
      <c r="D18" s="5" t="s">
        <v>37</v>
      </c>
      <c r="E18" s="12"/>
      <c r="F18" s="12"/>
      <c r="G18" s="50" t="s">
        <v>166</v>
      </c>
      <c r="H18" s="5">
        <v>0.6</v>
      </c>
      <c r="I18" s="5" t="s">
        <v>37</v>
      </c>
      <c r="J18" s="12"/>
      <c r="K18" s="12"/>
      <c r="L18" s="12"/>
      <c r="M18" s="12"/>
      <c r="N18" s="12"/>
      <c r="O18" s="12"/>
      <c r="P18" s="12"/>
      <c r="Q18" s="12"/>
      <c r="R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2:37" ht="14.4" x14ac:dyDescent="0.3">
      <c r="B19" s="50" t="s">
        <v>522</v>
      </c>
      <c r="C19" s="5">
        <v>0.2</v>
      </c>
      <c r="D19" s="5" t="s">
        <v>37</v>
      </c>
      <c r="E19" s="12"/>
      <c r="F19" s="12"/>
      <c r="G19" s="50" t="s">
        <v>523</v>
      </c>
      <c r="H19" s="28">
        <f>MAX(H14+H18*H8,H17*H14+H8)</f>
        <v>130.28451112968395</v>
      </c>
      <c r="I19" s="5" t="s">
        <v>70</v>
      </c>
      <c r="J19" s="12"/>
      <c r="K19" s="12"/>
      <c r="L19" s="12"/>
      <c r="M19" s="12"/>
      <c r="N19" s="12"/>
      <c r="O19" s="12"/>
      <c r="P19" s="12"/>
      <c r="Q19" s="12"/>
      <c r="R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2:37" ht="14.4" x14ac:dyDescent="0.3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spans="2:37" ht="15.75" customHeight="1" x14ac:dyDescent="0.3">
      <c r="B21" s="316" t="s">
        <v>428</v>
      </c>
      <c r="C21" s="317"/>
      <c r="D21" s="317"/>
      <c r="E21" s="318"/>
      <c r="F21" s="12"/>
      <c r="G21" s="316" t="s">
        <v>433</v>
      </c>
      <c r="H21" s="318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313"/>
      <c r="T21" s="314"/>
      <c r="U21" s="314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 spans="2:37" ht="15.75" customHeight="1" x14ac:dyDescent="0.3">
      <c r="B22" s="50" t="s">
        <v>440</v>
      </c>
      <c r="C22" s="50" t="s">
        <v>441</v>
      </c>
      <c r="D22" s="5">
        <f>D24*D23</f>
        <v>5160000</v>
      </c>
      <c r="E22" s="5" t="s">
        <v>442</v>
      </c>
      <c r="F22" s="12"/>
      <c r="G22" s="50" t="s">
        <v>450</v>
      </c>
      <c r="H22" s="5">
        <f>1+N4/C37</f>
        <v>4.213197137519364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</row>
    <row r="23" spans="2:37" ht="15.75" customHeight="1" x14ac:dyDescent="0.3">
      <c r="B23" s="50" t="s">
        <v>452</v>
      </c>
      <c r="C23" s="50" t="s">
        <v>164</v>
      </c>
      <c r="D23" s="5">
        <v>4</v>
      </c>
      <c r="E23" s="5" t="s">
        <v>453</v>
      </c>
      <c r="F23" s="12"/>
      <c r="G23" s="50" t="s">
        <v>463</v>
      </c>
      <c r="H23" s="5">
        <f>(R4/M32)^C37</f>
        <v>3.7666005759140178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</row>
    <row r="24" spans="2:37" ht="15.75" customHeight="1" x14ac:dyDescent="0.3">
      <c r="B24" s="50" t="s">
        <v>465</v>
      </c>
      <c r="C24" s="50" t="s">
        <v>260</v>
      </c>
      <c r="D24" s="5">
        <f>1290*10^3</f>
        <v>1290000</v>
      </c>
      <c r="E24" s="5" t="s">
        <v>442</v>
      </c>
      <c r="F24" s="12"/>
      <c r="G24" s="50" t="s">
        <v>468</v>
      </c>
      <c r="H24" s="5">
        <f>EXP(GAMMALN(H22))*(1-_xlfn.GAMMA.DIST(H23,H22,1,TRUE))</f>
        <v>4.138467983989857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</row>
    <row r="25" spans="2:37" ht="15.75" customHeight="1" x14ac:dyDescent="0.3">
      <c r="B25" s="50" t="s">
        <v>472</v>
      </c>
      <c r="C25" s="50" t="s">
        <v>191</v>
      </c>
      <c r="D25" s="5">
        <f>'Neutral Axis Correction partII'!H111</f>
        <v>17.84</v>
      </c>
      <c r="E25" s="5" t="s">
        <v>247</v>
      </c>
      <c r="F25" s="12"/>
      <c r="G25" s="50" t="s">
        <v>475</v>
      </c>
      <c r="H25" s="5">
        <f>1+Q4/C37</f>
        <v>6.3553285625322733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 spans="2:37" ht="15.75" customHeight="1" x14ac:dyDescent="0.3">
      <c r="B26" s="50" t="s">
        <v>477</v>
      </c>
      <c r="C26" s="50" t="s">
        <v>40</v>
      </c>
      <c r="D26" s="5">
        <f>D28</f>
        <v>3460</v>
      </c>
      <c r="E26" s="5" t="s">
        <v>162</v>
      </c>
      <c r="F26" s="12"/>
      <c r="G26" s="50" t="s">
        <v>483</v>
      </c>
      <c r="H26" s="5">
        <f>H23</f>
        <v>3.7666005759140178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</row>
    <row r="27" spans="2:37" ht="15.75" customHeight="1" x14ac:dyDescent="0.3">
      <c r="B27" s="50" t="s">
        <v>486</v>
      </c>
      <c r="C27" s="50" t="s">
        <v>304</v>
      </c>
      <c r="D27" s="5">
        <v>0</v>
      </c>
      <c r="E27" s="5" t="s">
        <v>162</v>
      </c>
      <c r="F27" s="12"/>
      <c r="G27" s="50" t="s">
        <v>495</v>
      </c>
      <c r="H27" s="5">
        <f>EXP(GAMMALN(H25))*(_xlfn.GAMMA.DIST(H26,H25,1,TRUE))</f>
        <v>31.394404998070225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</row>
    <row r="28" spans="2:37" ht="15.75" customHeight="1" x14ac:dyDescent="0.3">
      <c r="B28" s="50" t="s">
        <v>498</v>
      </c>
      <c r="C28" s="50" t="s">
        <v>499</v>
      </c>
      <c r="D28" s="5">
        <f>4*D29</f>
        <v>3460</v>
      </c>
      <c r="E28" s="5" t="s">
        <v>162</v>
      </c>
      <c r="F28" s="12"/>
      <c r="G28" s="50" t="s">
        <v>501</v>
      </c>
      <c r="H28" s="45">
        <f>(M32^N4)/M4</f>
        <v>1.2085663783291197E-9</v>
      </c>
      <c r="I28" s="12"/>
      <c r="J28" s="12"/>
      <c r="K28" s="12"/>
      <c r="L28" s="316" t="s">
        <v>432</v>
      </c>
      <c r="M28" s="317"/>
      <c r="N28" s="318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</row>
    <row r="29" spans="2:37" ht="15.75" customHeight="1" x14ac:dyDescent="0.3">
      <c r="B29" s="50" t="s">
        <v>502</v>
      </c>
      <c r="C29" s="50" t="s">
        <v>182</v>
      </c>
      <c r="D29" s="5">
        <f>'Buckling '!K37*1000</f>
        <v>865</v>
      </c>
      <c r="E29" s="5" t="s">
        <v>162</v>
      </c>
      <c r="F29" s="12"/>
      <c r="G29" s="50" t="s">
        <v>504</v>
      </c>
      <c r="H29" s="45">
        <f>(M32^Q4)/P4</f>
        <v>6.3745693033435223E-11</v>
      </c>
      <c r="I29" s="12"/>
      <c r="J29" s="12"/>
      <c r="K29" s="12"/>
      <c r="L29" s="50" t="s">
        <v>448</v>
      </c>
      <c r="M29" s="5">
        <v>25</v>
      </c>
      <c r="N29" s="5" t="s">
        <v>449</v>
      </c>
      <c r="O29" s="12"/>
      <c r="P29" s="12"/>
      <c r="Q29" s="12"/>
      <c r="R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spans="2:37" ht="15.75" customHeight="1" x14ac:dyDescent="0.3">
      <c r="B30" s="50" t="s">
        <v>506</v>
      </c>
      <c r="C30" s="50" t="s">
        <v>507</v>
      </c>
      <c r="D30" s="5">
        <f>'Neutral Axis Correction partII'!D37*1000</f>
        <v>25</v>
      </c>
      <c r="E30" s="5" t="s">
        <v>162</v>
      </c>
      <c r="F30" s="12"/>
      <c r="G30" s="12"/>
      <c r="H30" s="12"/>
      <c r="I30" s="12"/>
      <c r="J30" s="12"/>
      <c r="K30" s="12"/>
      <c r="L30" s="50" t="s">
        <v>461</v>
      </c>
      <c r="M30" s="5">
        <f>M29*365*24*3600/(4*LOG10(D3))</f>
        <v>83389321.799339503</v>
      </c>
      <c r="N30" s="5" t="s">
        <v>462</v>
      </c>
      <c r="O30" s="12"/>
      <c r="P30" s="12"/>
      <c r="Q30" s="12"/>
      <c r="R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 spans="2:37" ht="15.75" customHeight="1" x14ac:dyDescent="0.3">
      <c r="B31" s="50" t="s">
        <v>510</v>
      </c>
      <c r="C31" s="50" t="s">
        <v>60</v>
      </c>
      <c r="D31" s="32">
        <v>370</v>
      </c>
      <c r="E31" s="5" t="s">
        <v>162</v>
      </c>
      <c r="F31" s="12"/>
      <c r="G31" s="12"/>
      <c r="H31" s="12"/>
      <c r="I31" s="12"/>
      <c r="J31" s="12"/>
      <c r="K31" s="12"/>
      <c r="L31" s="50" t="s">
        <v>467</v>
      </c>
      <c r="M31" s="5">
        <f>10^4</f>
        <v>10000</v>
      </c>
      <c r="N31" s="5" t="s">
        <v>37</v>
      </c>
      <c r="O31" s="12"/>
      <c r="P31" s="12"/>
      <c r="Q31" s="12"/>
      <c r="R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</row>
    <row r="32" spans="2:37" ht="15.75" customHeight="1" x14ac:dyDescent="0.3">
      <c r="B32" s="50" t="s">
        <v>513</v>
      </c>
      <c r="C32" s="50" t="s">
        <v>298</v>
      </c>
      <c r="D32" s="32">
        <v>15</v>
      </c>
      <c r="E32" s="5" t="s">
        <v>162</v>
      </c>
      <c r="F32" s="12"/>
      <c r="G32" s="12"/>
      <c r="H32" s="12"/>
      <c r="I32" s="12"/>
      <c r="J32" s="12"/>
      <c r="K32" s="12"/>
      <c r="L32" s="50" t="s">
        <v>474</v>
      </c>
      <c r="M32" s="5">
        <f>H19/(LN(M31)^(1/C37))</f>
        <v>12.080646307676657</v>
      </c>
      <c r="N32" s="5" t="s">
        <v>70</v>
      </c>
      <c r="O32" s="12"/>
      <c r="P32" s="12"/>
      <c r="Q32" s="12"/>
      <c r="R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 spans="2:37" ht="15.75" customHeight="1" x14ac:dyDescent="0.3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50" t="s">
        <v>482</v>
      </c>
      <c r="M33" s="7">
        <f>M30*(H28*H24+H29*H27)</f>
        <v>0.5839646939601526</v>
      </c>
      <c r="N33" s="5" t="s">
        <v>37</v>
      </c>
      <c r="O33" s="12"/>
      <c r="P33" s="12"/>
      <c r="Q33" s="12"/>
      <c r="R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 spans="2:37" ht="15.75" customHeight="1" x14ac:dyDescent="0.3">
      <c r="B34" s="201" t="s">
        <v>431</v>
      </c>
      <c r="C34" s="202"/>
      <c r="D34" s="203"/>
      <c r="F34" s="12"/>
      <c r="G34" s="12"/>
      <c r="H34" s="12"/>
      <c r="I34" s="12"/>
      <c r="J34" s="12"/>
      <c r="K34" s="12"/>
      <c r="L34" s="50" t="s">
        <v>494</v>
      </c>
      <c r="M34" s="7">
        <f>2*M33</f>
        <v>1.1679293879203052</v>
      </c>
      <c r="N34" s="5" t="s">
        <v>37</v>
      </c>
      <c r="O34" s="12"/>
      <c r="P34" s="12"/>
      <c r="Q34" s="12"/>
      <c r="R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</row>
    <row r="35" spans="2:37" ht="15.75" customHeight="1" x14ac:dyDescent="0.3">
      <c r="B35" s="50" t="s">
        <v>447</v>
      </c>
      <c r="C35" s="5">
        <f>0.05</f>
        <v>0.05</v>
      </c>
      <c r="D35" s="5"/>
      <c r="G35" s="12"/>
      <c r="H35" s="12"/>
      <c r="I35" s="12"/>
      <c r="J35" s="12"/>
      <c r="L35" s="50" t="s">
        <v>500</v>
      </c>
      <c r="M35" s="5">
        <v>15</v>
      </c>
      <c r="N35" s="5" t="s">
        <v>449</v>
      </c>
    </row>
    <row r="36" spans="2:37" ht="15.75" customHeight="1" x14ac:dyDescent="0.3">
      <c r="B36" s="50" t="s">
        <v>244</v>
      </c>
      <c r="C36" s="7">
        <f>2.21-0.54*LOG10(D3)</f>
        <v>0.93364953085824198</v>
      </c>
      <c r="D36" s="5"/>
      <c r="G36" s="12"/>
      <c r="H36" s="12"/>
      <c r="I36" s="12"/>
      <c r="J36" s="12"/>
    </row>
    <row r="37" spans="2:37" ht="15.75" customHeight="1" x14ac:dyDescent="0.3">
      <c r="B37" s="50" t="s">
        <v>60</v>
      </c>
      <c r="C37" s="7">
        <f>C36</f>
        <v>0.93364953085824198</v>
      </c>
      <c r="D37" s="5"/>
    </row>
    <row r="38" spans="2:37" ht="15.75" customHeight="1" x14ac:dyDescent="0.3">
      <c r="L38" s="188" t="s">
        <v>434</v>
      </c>
      <c r="M38" s="188" t="s">
        <v>435</v>
      </c>
      <c r="N38" s="188" t="s">
        <v>436</v>
      </c>
      <c r="O38" s="188" t="s">
        <v>437</v>
      </c>
    </row>
    <row r="39" spans="2:37" ht="15.75" customHeight="1" x14ac:dyDescent="0.3">
      <c r="B39" s="201" t="s">
        <v>429</v>
      </c>
      <c r="C39" s="202"/>
      <c r="D39" s="202"/>
      <c r="E39" s="202"/>
      <c r="F39" s="202"/>
      <c r="G39" s="203"/>
      <c r="L39" s="196">
        <f>(C18)*(M33*(M35/M29)+M34*(M29-M35)/M35)</f>
        <v>0.73384896540992506</v>
      </c>
      <c r="M39" s="196">
        <f>L39</f>
        <v>0.73384896540992506</v>
      </c>
      <c r="N39" s="197">
        <f>M35/M33+(M29-M35)/M34</f>
        <v>34.248645863108841</v>
      </c>
      <c r="O39" s="188">
        <v>1</v>
      </c>
    </row>
    <row r="40" spans="2:37" ht="15.75" customHeight="1" x14ac:dyDescent="0.3">
      <c r="B40" s="50" t="s">
        <v>443</v>
      </c>
      <c r="C40" s="50" t="s">
        <v>444</v>
      </c>
      <c r="D40" s="50" t="s">
        <v>445</v>
      </c>
      <c r="E40" s="201" t="s">
        <v>446</v>
      </c>
      <c r="F40" s="202"/>
      <c r="G40" s="203"/>
    </row>
    <row r="41" spans="2:37" ht="15.75" customHeight="1" x14ac:dyDescent="0.3">
      <c r="B41" s="195" t="s">
        <v>454</v>
      </c>
      <c r="C41" s="195" t="s">
        <v>455</v>
      </c>
      <c r="D41" s="195" t="s">
        <v>169</v>
      </c>
      <c r="E41" s="195" t="s">
        <v>456</v>
      </c>
      <c r="F41" s="195" t="s">
        <v>457</v>
      </c>
      <c r="G41" s="195" t="s">
        <v>458</v>
      </c>
    </row>
    <row r="42" spans="2:37" ht="15.75" customHeight="1" x14ac:dyDescent="0.3">
      <c r="B42" s="195" t="s">
        <v>30</v>
      </c>
      <c r="C42" s="195" t="s">
        <v>30</v>
      </c>
      <c r="D42" s="195" t="s">
        <v>30</v>
      </c>
      <c r="E42" s="195" t="s">
        <v>15</v>
      </c>
      <c r="F42" s="195" t="s">
        <v>15</v>
      </c>
      <c r="G42" s="195" t="s">
        <v>15</v>
      </c>
    </row>
    <row r="43" spans="2:37" ht="15.75" customHeight="1" x14ac:dyDescent="0.3">
      <c r="B43" s="5">
        <f>0.15*D43</f>
        <v>3.75</v>
      </c>
      <c r="C43" s="5">
        <f>0.1*D43</f>
        <v>2.5</v>
      </c>
      <c r="D43" s="5">
        <f>D30</f>
        <v>25</v>
      </c>
      <c r="E43" s="5">
        <f>1+3*(B43-C43)/D43</f>
        <v>1.1499999999999999</v>
      </c>
      <c r="F43" s="5">
        <v>1.1299999999999999</v>
      </c>
      <c r="G43" s="5">
        <v>1.4</v>
      </c>
    </row>
    <row r="44" spans="2:37" ht="15.75" customHeight="1" x14ac:dyDescent="0.3"/>
    <row r="45" spans="2:37" ht="15.75" customHeight="1" x14ac:dyDescent="0.3"/>
    <row r="46" spans="2:37" ht="15.75" customHeight="1" x14ac:dyDescent="0.3"/>
    <row r="47" spans="2:37" ht="15.75" customHeight="1" x14ac:dyDescent="0.3"/>
    <row r="48" spans="2:3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4">
    <mergeCell ref="E40:G40"/>
    <mergeCell ref="G16:I16"/>
    <mergeCell ref="S21:U21"/>
    <mergeCell ref="B21:E21"/>
    <mergeCell ref="B39:G39"/>
    <mergeCell ref="G2:I2"/>
    <mergeCell ref="B34:D34"/>
    <mergeCell ref="L28:N28"/>
    <mergeCell ref="G21:H21"/>
    <mergeCell ref="L2:N2"/>
    <mergeCell ref="O2:Q2"/>
    <mergeCell ref="G10:I10"/>
    <mergeCell ref="B11:D11"/>
    <mergeCell ref="B2:E2"/>
  </mergeCells>
  <conditionalFormatting sqref="M39">
    <cfRule type="cellIs" dxfId="1" priority="1" operator="greaterThan">
      <formula>1</formula>
    </cfRule>
  </conditionalFormatting>
  <conditionalFormatting sqref="M39">
    <cfRule type="cellIs" dxfId="0" priority="2" operator="lessThan">
      <formula>1</formula>
    </cfRule>
  </conditionalFormatting>
  <pageMargins left="0.511811024" right="0.511811024" top="0.78740157499999996" bottom="0.78740157499999996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000"/>
  <sheetViews>
    <sheetView workbookViewId="0">
      <selection activeCell="G27" sqref="G27"/>
    </sheetView>
  </sheetViews>
  <sheetFormatPr defaultColWidth="14.44140625" defaultRowHeight="15" customHeight="1" x14ac:dyDescent="0.3"/>
  <cols>
    <col min="1" max="2" width="8.6640625" customWidth="1"/>
    <col min="3" max="3" width="15" bestFit="1" customWidth="1"/>
    <col min="4" max="4" width="10.77734375" customWidth="1"/>
    <col min="5" max="5" width="8.6640625" customWidth="1"/>
    <col min="6" max="6" width="13.5546875" customWidth="1"/>
    <col min="7" max="7" width="17.33203125" customWidth="1"/>
    <col min="8" max="8" width="17.44140625" customWidth="1"/>
    <col min="9" max="26" width="8.6640625" customWidth="1"/>
  </cols>
  <sheetData>
    <row r="2" spans="2:5" ht="14.4" x14ac:dyDescent="0.3">
      <c r="B2" s="54" t="s">
        <v>526</v>
      </c>
      <c r="C2" s="55"/>
      <c r="D2" s="55"/>
    </row>
    <row r="3" spans="2:5" ht="14.4" x14ac:dyDescent="0.3">
      <c r="B3" s="54" t="s">
        <v>17</v>
      </c>
      <c r="C3" s="53">
        <f>3000*4</f>
        <v>12000</v>
      </c>
      <c r="D3" s="53" t="s">
        <v>30</v>
      </c>
    </row>
    <row r="4" spans="2:5" ht="14.4" x14ac:dyDescent="0.3">
      <c r="B4" s="54" t="s">
        <v>23</v>
      </c>
      <c r="C4" s="53">
        <f>B*500-C3</f>
        <v>5300</v>
      </c>
      <c r="D4" s="53" t="s">
        <v>30</v>
      </c>
    </row>
    <row r="5" spans="2:5" ht="14.4" x14ac:dyDescent="0.3">
      <c r="B5" s="54" t="s">
        <v>36</v>
      </c>
      <c r="C5" s="53">
        <v>8650</v>
      </c>
      <c r="D5" s="53" t="s">
        <v>30</v>
      </c>
    </row>
    <row r="6" spans="2:5" ht="14.4" x14ac:dyDescent="0.3">
      <c r="B6" s="54" t="s">
        <v>52</v>
      </c>
      <c r="C6" s="53">
        <v>8651</v>
      </c>
      <c r="D6" s="53" t="s">
        <v>30</v>
      </c>
    </row>
    <row r="7" spans="2:5" ht="14.4" x14ac:dyDescent="0.3">
      <c r="B7" s="54" t="s">
        <v>54</v>
      </c>
      <c r="C7" s="53">
        <v>4480</v>
      </c>
      <c r="D7" s="53" t="s">
        <v>30</v>
      </c>
    </row>
    <row r="8" spans="2:5" ht="14.4" x14ac:dyDescent="0.3">
      <c r="B8" s="54" t="s">
        <v>56</v>
      </c>
      <c r="C8" s="53">
        <v>5006</v>
      </c>
      <c r="D8" s="53" t="s">
        <v>30</v>
      </c>
    </row>
    <row r="9" spans="2:5" ht="14.4" x14ac:dyDescent="0.3">
      <c r="B9" s="54" t="s">
        <v>58</v>
      </c>
      <c r="C9" s="53">
        <v>5794</v>
      </c>
      <c r="D9" s="53" t="s">
        <v>30</v>
      </c>
    </row>
    <row r="10" spans="2:5" ht="14.4" x14ac:dyDescent="0.3">
      <c r="B10" s="54" t="s">
        <v>60</v>
      </c>
      <c r="C10" s="53">
        <f>ROUNDUP((Lbp-40)/570+0.04*B+3.5*T/Lbp,0)*1000</f>
        <v>2000</v>
      </c>
      <c r="D10" s="53" t="s">
        <v>30</v>
      </c>
    </row>
    <row r="11" spans="2:5" ht="14.4" x14ac:dyDescent="0.3">
      <c r="B11" s="54" t="s">
        <v>61</v>
      </c>
      <c r="C11" s="53">
        <v>800</v>
      </c>
      <c r="D11" s="53" t="s">
        <v>30</v>
      </c>
    </row>
    <row r="12" spans="2:5" ht="14.4" x14ac:dyDescent="0.3">
      <c r="B12" s="54" t="s">
        <v>33</v>
      </c>
      <c r="C12" s="53">
        <v>1500</v>
      </c>
      <c r="D12" s="53" t="s">
        <v>30</v>
      </c>
    </row>
    <row r="13" spans="2:5" ht="14.4" x14ac:dyDescent="0.3">
      <c r="B13" s="54" t="s">
        <v>39</v>
      </c>
      <c r="C13" s="53">
        <f>'Ship Characteristics'!H14*1000</f>
        <v>2820</v>
      </c>
      <c r="D13" s="53" t="s">
        <v>30</v>
      </c>
    </row>
    <row r="14" spans="2:5" ht="14.4" x14ac:dyDescent="0.3">
      <c r="B14" s="54" t="s">
        <v>40</v>
      </c>
      <c r="C14" s="53">
        <f>4*'Ship Characteristics'!I6</f>
        <v>3672</v>
      </c>
      <c r="D14" s="53" t="s">
        <v>30</v>
      </c>
      <c r="E14" s="11"/>
    </row>
    <row r="16" spans="2:5" ht="15" customHeight="1" x14ac:dyDescent="0.3">
      <c r="B16" s="210" t="s">
        <v>47</v>
      </c>
      <c r="C16" s="211"/>
      <c r="D16" s="211"/>
      <c r="E16" s="211"/>
    </row>
    <row r="17" spans="2:5" ht="15" customHeight="1" x14ac:dyDescent="0.3">
      <c r="B17" s="55"/>
      <c r="C17" s="62" t="s">
        <v>48</v>
      </c>
      <c r="D17" s="56" t="s">
        <v>49</v>
      </c>
      <c r="E17" s="57"/>
    </row>
    <row r="18" spans="2:5" ht="15" customHeight="1" x14ac:dyDescent="0.3">
      <c r="B18" s="54" t="s">
        <v>50</v>
      </c>
      <c r="C18" s="53">
        <f>800+5*Lbp</f>
        <v>1955</v>
      </c>
      <c r="D18" s="53" t="s">
        <v>37</v>
      </c>
      <c r="E18" s="52"/>
    </row>
    <row r="19" spans="2:5" ht="15" customHeight="1" x14ac:dyDescent="0.3">
      <c r="B19" s="54" t="s">
        <v>51</v>
      </c>
      <c r="C19" s="53">
        <f t="shared" ref="C19:C20" si="0">C18</f>
        <v>1955</v>
      </c>
      <c r="D19" s="53" t="s">
        <v>37</v>
      </c>
      <c r="E19" s="52"/>
    </row>
    <row r="20" spans="2:5" ht="15" customHeight="1" x14ac:dyDescent="0.3">
      <c r="B20" s="54" t="s">
        <v>53</v>
      </c>
      <c r="C20" s="53">
        <f t="shared" si="0"/>
        <v>1955</v>
      </c>
      <c r="D20" s="53" t="s">
        <v>37</v>
      </c>
      <c r="E20" s="52"/>
    </row>
    <row r="21" spans="2:5" ht="15.75" customHeight="1" x14ac:dyDescent="0.3">
      <c r="B21" s="54" t="s">
        <v>55</v>
      </c>
      <c r="C21" s="53">
        <f>C19</f>
        <v>1955</v>
      </c>
      <c r="D21" s="53" t="s">
        <v>37</v>
      </c>
      <c r="E21" s="52"/>
    </row>
    <row r="22" spans="2:5" ht="15.75" customHeight="1" x14ac:dyDescent="0.3">
      <c r="B22" s="54" t="s">
        <v>57</v>
      </c>
      <c r="C22" s="53">
        <f>C18</f>
        <v>1955</v>
      </c>
      <c r="D22" s="53">
        <v>1800</v>
      </c>
      <c r="E22" s="52"/>
    </row>
    <row r="23" spans="2:5" ht="15.75" customHeight="1" x14ac:dyDescent="0.3">
      <c r="B23" s="54" t="s">
        <v>59</v>
      </c>
      <c r="C23" s="53">
        <f>C18</f>
        <v>1955</v>
      </c>
      <c r="D23" s="53">
        <v>1800</v>
      </c>
      <c r="E23" s="52"/>
    </row>
    <row r="24" spans="2:5" ht="15.75" customHeight="1" x14ac:dyDescent="0.3"/>
    <row r="25" spans="2:5" ht="15.75" customHeight="1" x14ac:dyDescent="0.3"/>
    <row r="26" spans="2:5" ht="15.75" customHeight="1" x14ac:dyDescent="0.3"/>
    <row r="27" spans="2:5" ht="15.75" customHeight="1" x14ac:dyDescent="0.3"/>
    <row r="28" spans="2:5" ht="15.75" customHeight="1" x14ac:dyDescent="0.3"/>
    <row r="29" spans="2:5" ht="15.75" customHeight="1" x14ac:dyDescent="0.3"/>
    <row r="30" spans="2:5" ht="15.75" customHeight="1" x14ac:dyDescent="0.3"/>
    <row r="31" spans="2:5" ht="15.75" customHeight="1" x14ac:dyDescent="0.3"/>
    <row r="32" spans="2: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16:E16"/>
  </mergeCells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1000"/>
  <sheetViews>
    <sheetView zoomScale="70" zoomScaleNormal="70" workbookViewId="0">
      <selection activeCell="M3" sqref="M3:Q27"/>
    </sheetView>
  </sheetViews>
  <sheetFormatPr defaultColWidth="14.44140625" defaultRowHeight="15" customHeight="1" x14ac:dyDescent="0.3"/>
  <cols>
    <col min="1" max="2" width="8.6640625" customWidth="1"/>
    <col min="3" max="3" width="20" customWidth="1"/>
    <col min="4" max="5" width="10.21875" bestFit="1" customWidth="1"/>
    <col min="6" max="6" width="6.5546875" customWidth="1"/>
    <col min="7" max="7" width="8.6640625" customWidth="1"/>
    <col min="8" max="8" width="11.109375" customWidth="1"/>
    <col min="9" max="33" width="8.6640625" customWidth="1"/>
  </cols>
  <sheetData>
    <row r="3" spans="2:17" ht="13.8" customHeight="1" x14ac:dyDescent="0.3">
      <c r="B3" s="210" t="s">
        <v>527</v>
      </c>
      <c r="C3" s="210"/>
      <c r="D3" s="210"/>
      <c r="E3" s="210"/>
      <c r="F3" s="12"/>
      <c r="G3" s="213" t="s">
        <v>81</v>
      </c>
      <c r="H3" s="213"/>
      <c r="I3" s="85" t="s">
        <v>82</v>
      </c>
      <c r="J3" s="12"/>
      <c r="K3" s="24"/>
      <c r="L3" s="24"/>
      <c r="M3" s="82" t="s">
        <v>528</v>
      </c>
      <c r="N3" s="83"/>
      <c r="O3" s="83"/>
      <c r="P3" s="83"/>
      <c r="Q3" s="83"/>
    </row>
    <row r="4" spans="2:17" ht="14.4" x14ac:dyDescent="0.3">
      <c r="B4" s="74"/>
      <c r="C4" s="75" t="s">
        <v>62</v>
      </c>
      <c r="D4" s="75" t="s">
        <v>63</v>
      </c>
      <c r="E4" s="75" t="s">
        <v>64</v>
      </c>
      <c r="F4" s="12"/>
      <c r="G4" s="12"/>
      <c r="H4" s="12"/>
      <c r="I4" s="12"/>
      <c r="J4" s="12"/>
      <c r="K4" s="12"/>
      <c r="L4" s="12"/>
      <c r="M4" s="214" t="s">
        <v>66</v>
      </c>
      <c r="N4" s="214"/>
      <c r="O4" s="74"/>
      <c r="P4" s="212" t="s">
        <v>529</v>
      </c>
      <c r="Q4" s="212"/>
    </row>
    <row r="5" spans="2:17" ht="14.4" x14ac:dyDescent="0.3">
      <c r="B5" s="73" t="s">
        <v>67</v>
      </c>
      <c r="C5" s="70">
        <v>235</v>
      </c>
      <c r="D5" s="86" t="s">
        <v>68</v>
      </c>
      <c r="E5" s="70">
        <v>1</v>
      </c>
      <c r="F5" s="12"/>
      <c r="G5" s="12"/>
      <c r="H5" s="12"/>
      <c r="I5" s="12"/>
      <c r="J5" s="12"/>
      <c r="K5" s="12"/>
      <c r="L5" s="12"/>
      <c r="M5" s="73" t="s">
        <v>71</v>
      </c>
      <c r="N5" s="73" t="s">
        <v>72</v>
      </c>
      <c r="O5" s="74"/>
      <c r="P5" s="73" t="s">
        <v>71</v>
      </c>
      <c r="Q5" s="73" t="s">
        <v>72</v>
      </c>
    </row>
    <row r="6" spans="2:17" ht="14.4" x14ac:dyDescent="0.3">
      <c r="B6" s="73" t="s">
        <v>73</v>
      </c>
      <c r="C6" s="70">
        <v>265</v>
      </c>
      <c r="D6" s="86" t="s">
        <v>37</v>
      </c>
      <c r="E6" s="70">
        <v>1.08</v>
      </c>
      <c r="F6" s="12"/>
      <c r="G6" s="12"/>
      <c r="H6" s="12"/>
      <c r="I6" s="12"/>
      <c r="J6" s="12"/>
      <c r="K6" s="12"/>
      <c r="L6" s="12"/>
      <c r="M6" s="87">
        <v>1</v>
      </c>
      <c r="N6" s="63">
        <v>1</v>
      </c>
      <c r="O6" s="63"/>
      <c r="P6" s="88">
        <v>1</v>
      </c>
      <c r="Q6" s="63">
        <v>1.5</v>
      </c>
    </row>
    <row r="7" spans="2:17" ht="14.4" x14ac:dyDescent="0.3">
      <c r="B7" s="73" t="s">
        <v>74</v>
      </c>
      <c r="C7" s="70">
        <v>315</v>
      </c>
      <c r="D7" s="86" t="s">
        <v>37</v>
      </c>
      <c r="E7" s="70">
        <v>1.28</v>
      </c>
      <c r="F7" s="12"/>
      <c r="G7" s="12"/>
      <c r="H7" s="12"/>
      <c r="I7" s="12"/>
      <c r="J7" s="12"/>
      <c r="K7" s="12"/>
      <c r="L7" s="12"/>
      <c r="M7" s="87">
        <v>2</v>
      </c>
      <c r="N7" s="63">
        <v>1</v>
      </c>
      <c r="O7" s="63"/>
      <c r="P7" s="88">
        <v>2</v>
      </c>
      <c r="Q7" s="63">
        <v>1.5</v>
      </c>
    </row>
    <row r="8" spans="2:17" ht="14.4" x14ac:dyDescent="0.3">
      <c r="B8" s="73" t="s">
        <v>75</v>
      </c>
      <c r="C8" s="70">
        <v>355</v>
      </c>
      <c r="D8" s="86" t="s">
        <v>37</v>
      </c>
      <c r="E8" s="70">
        <v>1.39</v>
      </c>
      <c r="F8" s="12"/>
      <c r="G8" s="12"/>
      <c r="H8" s="12"/>
      <c r="I8" s="12"/>
      <c r="J8" s="12"/>
      <c r="K8" s="12"/>
      <c r="L8" s="12"/>
      <c r="M8" s="87">
        <v>3</v>
      </c>
      <c r="N8" s="63">
        <v>1</v>
      </c>
      <c r="O8" s="63"/>
      <c r="P8" s="88">
        <v>3</v>
      </c>
      <c r="Q8" s="63">
        <v>1.5</v>
      </c>
    </row>
    <row r="9" spans="2:17" ht="14.4" x14ac:dyDescent="0.3">
      <c r="B9" s="73" t="s">
        <v>76</v>
      </c>
      <c r="C9" s="70">
        <v>390</v>
      </c>
      <c r="D9" s="86" t="s">
        <v>37</v>
      </c>
      <c r="E9" s="70">
        <v>1.47</v>
      </c>
      <c r="F9" s="12"/>
      <c r="G9" s="12"/>
      <c r="H9" s="12"/>
      <c r="I9" s="12"/>
      <c r="J9" s="12"/>
      <c r="K9" s="12"/>
      <c r="L9" s="12"/>
      <c r="M9" s="87">
        <v>4</v>
      </c>
      <c r="N9" s="63">
        <v>1</v>
      </c>
      <c r="O9" s="63"/>
      <c r="P9" s="88">
        <v>4</v>
      </c>
      <c r="Q9" s="63">
        <v>1.5</v>
      </c>
    </row>
    <row r="10" spans="2:17" ht="14.4" x14ac:dyDescent="0.3">
      <c r="B10" s="73" t="s">
        <v>77</v>
      </c>
      <c r="C10" s="70" t="s">
        <v>78</v>
      </c>
      <c r="D10" s="70" t="s">
        <v>79</v>
      </c>
      <c r="E10" s="70" t="s">
        <v>80</v>
      </c>
      <c r="F10" s="12"/>
      <c r="G10" s="12"/>
      <c r="H10" s="12"/>
      <c r="I10" s="12"/>
      <c r="J10" s="12"/>
      <c r="K10" s="12"/>
      <c r="L10" s="12"/>
      <c r="M10" s="87">
        <v>5</v>
      </c>
      <c r="N10" s="63">
        <v>1</v>
      </c>
      <c r="O10" s="63"/>
      <c r="P10" s="88">
        <v>5</v>
      </c>
      <c r="Q10" s="63">
        <v>1.5</v>
      </c>
    </row>
    <row r="11" spans="2:17" ht="14.4" x14ac:dyDescent="0.3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87">
        <v>6</v>
      </c>
      <c r="N11" s="63">
        <v>1</v>
      </c>
      <c r="O11" s="63"/>
      <c r="P11" s="88">
        <v>6</v>
      </c>
      <c r="Q11" s="63">
        <v>1.5</v>
      </c>
    </row>
    <row r="12" spans="2:17" ht="14.4" x14ac:dyDescent="0.3">
      <c r="B12" s="210" t="s">
        <v>65</v>
      </c>
      <c r="C12" s="210"/>
      <c r="D12" s="210"/>
      <c r="E12" s="12"/>
      <c r="F12" s="12"/>
      <c r="G12" s="12"/>
      <c r="H12" s="12"/>
      <c r="I12" s="12"/>
      <c r="J12" s="12"/>
      <c r="K12" s="12"/>
      <c r="L12" s="12"/>
      <c r="M12" s="87">
        <v>7</v>
      </c>
      <c r="N12" s="63">
        <v>1</v>
      </c>
      <c r="O12" s="63"/>
      <c r="P12" s="88">
        <v>7</v>
      </c>
      <c r="Q12" s="63">
        <v>1.5</v>
      </c>
    </row>
    <row r="13" spans="2:17" ht="14.4" x14ac:dyDescent="0.3">
      <c r="B13" s="73" t="s">
        <v>69</v>
      </c>
      <c r="C13" s="70">
        <f>2.06*10^5</f>
        <v>206000</v>
      </c>
      <c r="D13" s="70" t="s">
        <v>70</v>
      </c>
      <c r="E13" s="12"/>
      <c r="F13" s="12"/>
      <c r="G13" s="12"/>
      <c r="H13" s="12"/>
      <c r="I13" s="12"/>
      <c r="J13" s="12"/>
      <c r="K13" s="12"/>
      <c r="L13" s="12"/>
      <c r="M13" s="87">
        <v>8</v>
      </c>
      <c r="N13" s="63">
        <v>1</v>
      </c>
      <c r="O13" s="63"/>
      <c r="P13" s="88">
        <v>8</v>
      </c>
      <c r="Q13" s="63">
        <v>1.5</v>
      </c>
    </row>
    <row r="14" spans="2:17" ht="14.4" x14ac:dyDescent="0.3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87">
        <v>9</v>
      </c>
      <c r="N14" s="63">
        <v>1</v>
      </c>
      <c r="O14" s="63"/>
      <c r="P14" s="88">
        <v>9</v>
      </c>
      <c r="Q14" s="63">
        <v>1.5</v>
      </c>
    </row>
    <row r="15" spans="2:17" ht="14.4" x14ac:dyDescent="0.3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87">
        <v>10</v>
      </c>
      <c r="N15" s="63">
        <v>1</v>
      </c>
      <c r="O15" s="63"/>
      <c r="P15" s="88">
        <v>10</v>
      </c>
      <c r="Q15" s="63">
        <v>1.5</v>
      </c>
    </row>
    <row r="16" spans="2:17" ht="14.4" x14ac:dyDescent="0.3">
      <c r="B16" s="210" t="s">
        <v>83</v>
      </c>
      <c r="C16" s="210"/>
      <c r="D16" s="73" t="s">
        <v>84</v>
      </c>
      <c r="E16" s="12"/>
      <c r="F16" s="12"/>
      <c r="G16" s="12"/>
      <c r="H16" s="12"/>
      <c r="I16" s="12"/>
      <c r="J16" s="12"/>
      <c r="K16" s="12"/>
      <c r="L16" s="12"/>
      <c r="M16" s="89">
        <v>11</v>
      </c>
      <c r="N16" s="63">
        <v>0.5</v>
      </c>
      <c r="O16" s="63"/>
      <c r="P16" s="88">
        <v>11</v>
      </c>
      <c r="Q16" s="63">
        <v>1.5</v>
      </c>
    </row>
    <row r="17" spans="2:17" ht="14.4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89">
        <v>12</v>
      </c>
      <c r="N17" s="63">
        <v>0.5</v>
      </c>
      <c r="O17" s="63"/>
      <c r="P17" s="88">
        <v>12</v>
      </c>
      <c r="Q17" s="63">
        <v>1.5</v>
      </c>
    </row>
    <row r="18" spans="2:17" ht="14.4" x14ac:dyDescent="0.3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89">
        <v>13</v>
      </c>
      <c r="N18" s="63">
        <v>0.5</v>
      </c>
      <c r="O18" s="63"/>
      <c r="P18" s="88">
        <v>13</v>
      </c>
      <c r="Q18" s="63">
        <v>1.5</v>
      </c>
    </row>
    <row r="19" spans="2:17" ht="14.4" x14ac:dyDescent="0.3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87">
        <v>14</v>
      </c>
      <c r="N19" s="63">
        <v>1</v>
      </c>
      <c r="O19" s="63"/>
      <c r="P19" s="88">
        <v>14</v>
      </c>
      <c r="Q19" s="63">
        <v>1.5</v>
      </c>
    </row>
    <row r="20" spans="2:17" ht="14.4" x14ac:dyDescent="0.3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87">
        <v>15</v>
      </c>
      <c r="N20" s="63">
        <v>1</v>
      </c>
      <c r="O20" s="63"/>
      <c r="P20" s="88">
        <v>15</v>
      </c>
      <c r="Q20" s="63">
        <v>1.5</v>
      </c>
    </row>
    <row r="21" spans="2:17" ht="15.75" customHeight="1" x14ac:dyDescent="0.3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90">
        <v>16</v>
      </c>
      <c r="N21" s="63">
        <v>2</v>
      </c>
      <c r="O21" s="63"/>
      <c r="P21" s="88">
        <v>16</v>
      </c>
      <c r="Q21" s="63">
        <v>1.5</v>
      </c>
    </row>
    <row r="22" spans="2:17" ht="15.75" customHeight="1" x14ac:dyDescent="0.3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90">
        <v>17</v>
      </c>
      <c r="N22" s="63">
        <v>2</v>
      </c>
      <c r="O22" s="63"/>
      <c r="P22" s="88">
        <v>17</v>
      </c>
      <c r="Q22" s="63">
        <v>1.5</v>
      </c>
    </row>
    <row r="23" spans="2:17" ht="15.75" customHeight="1" x14ac:dyDescent="0.3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90">
        <v>18</v>
      </c>
      <c r="N23" s="63">
        <v>2</v>
      </c>
      <c r="O23" s="63"/>
      <c r="P23" s="88">
        <v>18</v>
      </c>
      <c r="Q23" s="63">
        <v>1.5</v>
      </c>
    </row>
    <row r="24" spans="2:17" ht="15.75" customHeight="1" x14ac:dyDescent="0.3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90">
        <v>19</v>
      </c>
      <c r="N24" s="63">
        <v>2</v>
      </c>
      <c r="O24" s="63"/>
      <c r="P24" s="88">
        <v>19</v>
      </c>
      <c r="Q24" s="63">
        <v>1.5</v>
      </c>
    </row>
    <row r="25" spans="2:17" ht="15.75" customHeight="1" x14ac:dyDescent="0.3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90">
        <v>20</v>
      </c>
      <c r="N25" s="63">
        <v>2</v>
      </c>
      <c r="O25" s="63"/>
      <c r="P25" s="88">
        <v>20</v>
      </c>
      <c r="Q25" s="63">
        <v>1.5</v>
      </c>
    </row>
    <row r="26" spans="2:17" ht="15.75" customHeight="1" x14ac:dyDescent="0.3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90">
        <v>21</v>
      </c>
      <c r="N26" s="63">
        <v>2</v>
      </c>
      <c r="O26" s="63"/>
      <c r="P26" s="88">
        <v>21</v>
      </c>
      <c r="Q26" s="63">
        <v>1.5</v>
      </c>
    </row>
    <row r="27" spans="2:17" ht="15.75" customHeight="1" x14ac:dyDescent="0.3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91">
        <v>22</v>
      </c>
      <c r="N27" s="63">
        <v>2</v>
      </c>
      <c r="O27" s="63"/>
      <c r="P27" s="88">
        <v>22</v>
      </c>
      <c r="Q27" s="63">
        <v>1.5</v>
      </c>
    </row>
    <row r="28" spans="2:17" ht="15.75" customHeigh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91">
        <v>23</v>
      </c>
      <c r="N28" s="63">
        <v>2</v>
      </c>
      <c r="O28" s="63"/>
      <c r="P28" s="88">
        <v>23</v>
      </c>
      <c r="Q28" s="63">
        <v>1.5</v>
      </c>
    </row>
    <row r="29" spans="2:17" ht="15.75" customHeight="1" x14ac:dyDescent="0.3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91">
        <v>24</v>
      </c>
      <c r="N29" s="63">
        <v>2</v>
      </c>
      <c r="O29" s="63"/>
      <c r="P29" s="88">
        <v>24</v>
      </c>
      <c r="Q29" s="63">
        <v>1.5</v>
      </c>
    </row>
    <row r="30" spans="2:17" ht="15.75" customHeight="1" x14ac:dyDescent="0.3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92">
        <v>25</v>
      </c>
      <c r="N30" s="63">
        <v>1.5</v>
      </c>
      <c r="O30" s="63"/>
      <c r="P30" s="88">
        <v>25</v>
      </c>
      <c r="Q30" s="63">
        <v>1.5</v>
      </c>
    </row>
    <row r="31" spans="2:17" ht="15.75" customHeight="1" x14ac:dyDescent="0.3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92">
        <v>26</v>
      </c>
      <c r="N31" s="63">
        <v>1.5</v>
      </c>
      <c r="O31" s="63"/>
      <c r="P31" s="93">
        <v>26</v>
      </c>
      <c r="Q31" s="63">
        <v>3</v>
      </c>
    </row>
    <row r="32" spans="2:17" ht="15.75" customHeight="1" x14ac:dyDescent="0.3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92">
        <v>27</v>
      </c>
      <c r="N32" s="63">
        <v>1.5</v>
      </c>
      <c r="O32" s="63"/>
      <c r="P32" s="93">
        <v>27</v>
      </c>
      <c r="Q32" s="63">
        <v>3</v>
      </c>
    </row>
    <row r="33" spans="2:17" ht="15.75" customHeight="1" x14ac:dyDescent="0.3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92">
        <v>28</v>
      </c>
      <c r="N33" s="63">
        <v>1.5</v>
      </c>
      <c r="O33" s="63"/>
      <c r="P33" s="93">
        <v>28</v>
      </c>
      <c r="Q33" s="63">
        <v>3</v>
      </c>
    </row>
    <row r="34" spans="2:17" ht="15.75" customHeight="1" x14ac:dyDescent="0.3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92">
        <v>29</v>
      </c>
      <c r="N34" s="63">
        <v>1.5</v>
      </c>
      <c r="O34" s="63"/>
      <c r="P34" s="93">
        <v>29</v>
      </c>
      <c r="Q34" s="63">
        <v>3</v>
      </c>
    </row>
    <row r="35" spans="2:17" ht="15.75" customHeight="1" x14ac:dyDescent="0.3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92">
        <v>30</v>
      </c>
      <c r="N35" s="63">
        <v>1.5</v>
      </c>
      <c r="O35" s="63"/>
      <c r="P35" s="93">
        <v>30</v>
      </c>
      <c r="Q35" s="63">
        <v>3</v>
      </c>
    </row>
    <row r="36" spans="2:17" ht="15.75" customHeight="1" x14ac:dyDescent="0.3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92">
        <v>31</v>
      </c>
      <c r="N36" s="63">
        <v>1.5</v>
      </c>
      <c r="O36" s="63"/>
      <c r="P36" s="93">
        <v>31</v>
      </c>
      <c r="Q36" s="63">
        <v>3</v>
      </c>
    </row>
    <row r="37" spans="2:17" ht="15.75" customHeight="1" x14ac:dyDescent="0.3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92">
        <v>32</v>
      </c>
      <c r="N37" s="63">
        <v>1.5</v>
      </c>
      <c r="O37" s="63"/>
      <c r="P37" s="93">
        <v>32</v>
      </c>
      <c r="Q37" s="63">
        <v>3</v>
      </c>
    </row>
    <row r="38" spans="2:17" ht="15.75" customHeight="1" x14ac:dyDescent="0.3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92">
        <v>33</v>
      </c>
      <c r="N38" s="63">
        <v>1.5</v>
      </c>
      <c r="O38" s="63"/>
      <c r="P38" s="93">
        <v>33</v>
      </c>
      <c r="Q38" s="63">
        <v>3</v>
      </c>
    </row>
    <row r="39" spans="2:17" ht="15.75" customHeight="1" x14ac:dyDescent="0.3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92">
        <v>34</v>
      </c>
      <c r="N39" s="63">
        <v>1.5</v>
      </c>
      <c r="O39" s="63"/>
      <c r="P39" s="93">
        <v>34</v>
      </c>
      <c r="Q39" s="63">
        <v>3</v>
      </c>
    </row>
    <row r="40" spans="2:17" ht="15.75" customHeight="1" x14ac:dyDescent="0.3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88">
        <v>35</v>
      </c>
      <c r="N40" s="63">
        <v>1.5</v>
      </c>
      <c r="O40" s="63"/>
      <c r="P40" s="93">
        <v>35</v>
      </c>
      <c r="Q40" s="63">
        <v>3</v>
      </c>
    </row>
    <row r="41" spans="2:17" ht="15.75" customHeight="1" x14ac:dyDescent="0.3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88">
        <v>36</v>
      </c>
      <c r="N41" s="63">
        <v>1.5</v>
      </c>
      <c r="O41" s="63"/>
      <c r="P41" s="93">
        <v>36</v>
      </c>
      <c r="Q41" s="63">
        <v>3</v>
      </c>
    </row>
    <row r="42" spans="2:17" ht="15.75" customHeight="1" x14ac:dyDescent="0.3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88">
        <v>37</v>
      </c>
      <c r="N42" s="63">
        <v>1.5</v>
      </c>
      <c r="O42" s="63"/>
      <c r="P42" s="93">
        <v>37</v>
      </c>
      <c r="Q42" s="63">
        <v>3</v>
      </c>
    </row>
    <row r="43" spans="2:17" ht="15.75" customHeight="1" x14ac:dyDescent="0.3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88">
        <v>38</v>
      </c>
      <c r="N43" s="63">
        <v>1.5</v>
      </c>
      <c r="O43" s="63"/>
      <c r="P43" s="93">
        <v>38</v>
      </c>
      <c r="Q43" s="63">
        <v>3</v>
      </c>
    </row>
    <row r="44" spans="2:17" ht="15.75" customHeight="1" x14ac:dyDescent="0.3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88">
        <v>39</v>
      </c>
      <c r="N44" s="63">
        <v>1.5</v>
      </c>
      <c r="O44" s="63"/>
      <c r="P44" s="88">
        <v>39</v>
      </c>
      <c r="Q44" s="63">
        <v>1.5</v>
      </c>
    </row>
    <row r="45" spans="2:17" ht="15.75" customHeight="1" x14ac:dyDescent="0.3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88">
        <v>40</v>
      </c>
      <c r="Q45" s="63">
        <v>1.5</v>
      </c>
    </row>
    <row r="46" spans="2:17" ht="15.75" customHeight="1" x14ac:dyDescent="0.3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88">
        <v>41</v>
      </c>
      <c r="Q46" s="63">
        <v>1.5</v>
      </c>
    </row>
    <row r="47" spans="2:17" ht="15.75" customHeight="1" x14ac:dyDescent="0.3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88">
        <v>42</v>
      </c>
      <c r="Q47" s="63">
        <v>1.5</v>
      </c>
    </row>
    <row r="48" spans="2:17" ht="15.75" customHeight="1" x14ac:dyDescent="0.3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88">
        <v>43</v>
      </c>
      <c r="Q48" s="63">
        <v>1.5</v>
      </c>
    </row>
    <row r="49" spans="2:17" ht="15.75" customHeight="1" x14ac:dyDescent="0.3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88">
        <v>44</v>
      </c>
      <c r="Q49" s="63">
        <v>1.5</v>
      </c>
    </row>
    <row r="50" spans="2:17" ht="15.75" customHeight="1" x14ac:dyDescent="0.3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88">
        <v>45</v>
      </c>
      <c r="Q50" s="63">
        <v>1.5</v>
      </c>
    </row>
    <row r="51" spans="2:17" ht="15.75" customHeight="1" x14ac:dyDescent="0.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88">
        <v>46</v>
      </c>
      <c r="Q51" s="63">
        <v>1.5</v>
      </c>
    </row>
    <row r="52" spans="2:17" ht="15.75" customHeight="1" x14ac:dyDescent="0.3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88">
        <v>47</v>
      </c>
      <c r="Q52" s="63">
        <v>1.5</v>
      </c>
    </row>
    <row r="53" spans="2:17" ht="15.75" customHeight="1" x14ac:dyDescent="0.3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94">
        <v>48</v>
      </c>
      <c r="Q53" s="63">
        <v>1</v>
      </c>
    </row>
    <row r="54" spans="2:17" ht="15.75" customHeight="1" x14ac:dyDescent="0.3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94">
        <v>49</v>
      </c>
      <c r="Q54" s="63">
        <v>1</v>
      </c>
    </row>
    <row r="55" spans="2:17" ht="15.75" customHeight="1" x14ac:dyDescent="0.3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88">
        <v>50</v>
      </c>
      <c r="Q55" s="63">
        <v>1.5</v>
      </c>
    </row>
    <row r="56" spans="2:17" ht="15.75" customHeight="1" x14ac:dyDescent="0.3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88">
        <v>51</v>
      </c>
      <c r="Q56" s="63">
        <v>1.5</v>
      </c>
    </row>
    <row r="57" spans="2:17" ht="15.75" customHeight="1" x14ac:dyDescent="0.3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88">
        <v>52</v>
      </c>
      <c r="Q57" s="63">
        <v>1.5</v>
      </c>
    </row>
    <row r="58" spans="2:17" ht="15.75" customHeight="1" x14ac:dyDescent="0.3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88">
        <v>53</v>
      </c>
      <c r="Q58" s="63">
        <v>1.5</v>
      </c>
    </row>
    <row r="59" spans="2:17" ht="15.75" customHeight="1" x14ac:dyDescent="0.3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88">
        <v>54</v>
      </c>
      <c r="Q59" s="63">
        <v>1.5</v>
      </c>
    </row>
    <row r="60" spans="2:17" ht="15.75" customHeight="1" x14ac:dyDescent="0.3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88">
        <v>55</v>
      </c>
      <c r="Q60" s="63">
        <v>1.5</v>
      </c>
    </row>
    <row r="61" spans="2:17" ht="15.75" customHeight="1" x14ac:dyDescent="0.3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88">
        <v>56</v>
      </c>
      <c r="Q61" s="63">
        <v>1.5</v>
      </c>
    </row>
    <row r="62" spans="2:17" ht="15.75" customHeight="1" x14ac:dyDescent="0.3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88">
        <v>57</v>
      </c>
      <c r="Q62" s="63">
        <v>1.5</v>
      </c>
    </row>
    <row r="63" spans="2:17" ht="15.75" customHeight="1" x14ac:dyDescent="0.3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88">
        <v>58</v>
      </c>
      <c r="Q63" s="63">
        <v>1.5</v>
      </c>
    </row>
    <row r="64" spans="2:17" ht="15.75" customHeight="1" x14ac:dyDescent="0.3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88">
        <v>59</v>
      </c>
      <c r="Q64" s="63">
        <v>1.5</v>
      </c>
    </row>
    <row r="65" spans="2:17" ht="15.75" customHeight="1" x14ac:dyDescent="0.3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88">
        <v>60</v>
      </c>
      <c r="Q65" s="63">
        <v>1.5</v>
      </c>
    </row>
    <row r="66" spans="2:17" ht="15.75" customHeight="1" x14ac:dyDescent="0.3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88">
        <v>61</v>
      </c>
      <c r="Q66" s="63">
        <v>1.5</v>
      </c>
    </row>
    <row r="67" spans="2:17" ht="15.75" customHeight="1" x14ac:dyDescent="0.3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88">
        <v>62</v>
      </c>
      <c r="Q67" s="63">
        <v>1.5</v>
      </c>
    </row>
    <row r="68" spans="2:17" ht="15.75" customHeight="1" x14ac:dyDescent="0.3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88">
        <v>63</v>
      </c>
      <c r="Q68" s="63">
        <v>1.5</v>
      </c>
    </row>
    <row r="69" spans="2:17" ht="15.75" customHeight="1" x14ac:dyDescent="0.3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88">
        <v>64</v>
      </c>
      <c r="Q69" s="63">
        <v>1.5</v>
      </c>
    </row>
    <row r="70" spans="2:17" ht="15.75" customHeight="1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88">
        <v>65</v>
      </c>
      <c r="Q70" s="63">
        <v>1.5</v>
      </c>
    </row>
    <row r="71" spans="2:17" ht="15.75" customHeight="1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88">
        <v>66</v>
      </c>
      <c r="Q71" s="63">
        <v>1.5</v>
      </c>
    </row>
    <row r="72" spans="2:17" ht="15.75" customHeight="1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88">
        <v>67</v>
      </c>
      <c r="Q72" s="63">
        <v>1.5</v>
      </c>
    </row>
    <row r="73" spans="2:17" ht="15.75" customHeight="1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88">
        <v>68</v>
      </c>
      <c r="Q73" s="63">
        <v>1.5</v>
      </c>
    </row>
    <row r="74" spans="2:17" ht="15.75" customHeight="1" x14ac:dyDescent="0.3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88">
        <v>69</v>
      </c>
      <c r="Q74" s="63">
        <v>1.5</v>
      </c>
    </row>
    <row r="75" spans="2:17" ht="15.75" customHeight="1" x14ac:dyDescent="0.3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88">
        <v>70</v>
      </c>
      <c r="Q75" s="63">
        <v>1.5</v>
      </c>
    </row>
    <row r="76" spans="2:17" ht="15.75" customHeight="1" x14ac:dyDescent="0.3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88">
        <v>71</v>
      </c>
      <c r="Q76" s="63">
        <v>1.5</v>
      </c>
    </row>
    <row r="77" spans="2:17" ht="15.75" customHeight="1" x14ac:dyDescent="0.3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88">
        <v>72</v>
      </c>
      <c r="Q77" s="63">
        <v>1.5</v>
      </c>
    </row>
    <row r="78" spans="2:17" ht="15.75" customHeight="1" x14ac:dyDescent="0.3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88">
        <v>73</v>
      </c>
      <c r="Q78" s="63">
        <v>1.5</v>
      </c>
    </row>
    <row r="79" spans="2:17" ht="15.75" customHeight="1" x14ac:dyDescent="0.3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88">
        <v>74</v>
      </c>
      <c r="Q79" s="63">
        <v>1.5</v>
      </c>
    </row>
    <row r="80" spans="2:17" ht="15.75" customHeight="1" x14ac:dyDescent="0.3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88">
        <v>75</v>
      </c>
      <c r="Q80" s="63">
        <v>1.5</v>
      </c>
    </row>
    <row r="81" spans="2:17" ht="15.75" customHeight="1" x14ac:dyDescent="0.3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88">
        <v>76</v>
      </c>
      <c r="Q81" s="63">
        <v>1.5</v>
      </c>
    </row>
    <row r="82" spans="2:17" ht="15.75" customHeight="1" x14ac:dyDescent="0.3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88">
        <v>77</v>
      </c>
      <c r="Q82" s="63">
        <v>1.5</v>
      </c>
    </row>
    <row r="83" spans="2:17" ht="15.75" customHeight="1" x14ac:dyDescent="0.3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88">
        <v>78</v>
      </c>
      <c r="Q83" s="63">
        <v>1.5</v>
      </c>
    </row>
    <row r="84" spans="2:17" ht="15.75" customHeight="1" x14ac:dyDescent="0.3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88">
        <v>79</v>
      </c>
      <c r="Q84" s="63">
        <v>1.5</v>
      </c>
    </row>
    <row r="85" spans="2:17" ht="15.75" customHeight="1" x14ac:dyDescent="0.3">
      <c r="M85" s="3"/>
      <c r="N85" s="3"/>
      <c r="P85" s="3"/>
      <c r="Q85" s="3"/>
    </row>
    <row r="86" spans="2:17" ht="15.75" customHeight="1" x14ac:dyDescent="0.3"/>
    <row r="87" spans="2:17" ht="15.75" customHeight="1" x14ac:dyDescent="0.3"/>
    <row r="88" spans="2:17" ht="15.75" customHeight="1" x14ac:dyDescent="0.3"/>
    <row r="89" spans="2:17" ht="15.75" customHeight="1" x14ac:dyDescent="0.3"/>
    <row r="90" spans="2:17" ht="15.75" customHeight="1" x14ac:dyDescent="0.3"/>
    <row r="91" spans="2:17" ht="15.75" customHeight="1" x14ac:dyDescent="0.3"/>
    <row r="92" spans="2:17" ht="15.75" customHeight="1" x14ac:dyDescent="0.3"/>
    <row r="93" spans="2:17" ht="15.75" customHeight="1" x14ac:dyDescent="0.3"/>
    <row r="94" spans="2:17" ht="15.75" customHeight="1" x14ac:dyDescent="0.3"/>
    <row r="95" spans="2:17" ht="15.75" customHeight="1" x14ac:dyDescent="0.3"/>
    <row r="96" spans="2:17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6">
    <mergeCell ref="P4:Q4"/>
    <mergeCell ref="G3:H3"/>
    <mergeCell ref="B16:C16"/>
    <mergeCell ref="B3:E3"/>
    <mergeCell ref="B12:D12"/>
    <mergeCell ref="M4:N4"/>
  </mergeCells>
  <pageMargins left="0.511811024" right="0.511811024" top="0.78740157499999996" bottom="0.78740157499999996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1000"/>
  <sheetViews>
    <sheetView workbookViewId="0">
      <selection activeCell="B20" sqref="B20:E29"/>
    </sheetView>
  </sheetViews>
  <sheetFormatPr defaultColWidth="14.44140625" defaultRowHeight="15" customHeight="1" x14ac:dyDescent="0.3"/>
  <cols>
    <col min="1" max="26" width="8.6640625" customWidth="1"/>
  </cols>
  <sheetData>
    <row r="2" spans="1:16" ht="14.4" x14ac:dyDescent="0.3">
      <c r="B2" s="210" t="s">
        <v>530</v>
      </c>
      <c r="C2" s="210"/>
      <c r="D2" s="210"/>
      <c r="E2" s="210"/>
      <c r="F2" s="24"/>
      <c r="G2" s="84" t="s">
        <v>86</v>
      </c>
      <c r="H2" s="83"/>
      <c r="I2" s="83"/>
      <c r="J2" s="74"/>
    </row>
    <row r="3" spans="1:16" ht="14.4" x14ac:dyDescent="0.3">
      <c r="B3" s="73" t="s">
        <v>88</v>
      </c>
      <c r="C3" s="71">
        <f>10.75-((300-Lbp)/100)^1.5</f>
        <v>10.176842953458653</v>
      </c>
      <c r="D3" s="70" t="s">
        <v>15</v>
      </c>
      <c r="E3" s="75" t="s">
        <v>89</v>
      </c>
      <c r="F3" s="12"/>
      <c r="G3" s="76" t="s">
        <v>91</v>
      </c>
      <c r="H3" s="77">
        <f>2*H8/SQRT(H7)</f>
        <v>8.4901904179666854</v>
      </c>
      <c r="I3" s="64" t="s">
        <v>92</v>
      </c>
      <c r="J3" s="217" t="s">
        <v>93</v>
      </c>
    </row>
    <row r="4" spans="1:16" ht="14.4" x14ac:dyDescent="0.3">
      <c r="B4" s="73" t="s">
        <v>97</v>
      </c>
      <c r="C4" s="70">
        <f>IF(SQRT(Lbp)/50&lt;=0.2,SQRT(Lbp)/50,0.2)</f>
        <v>0.2</v>
      </c>
      <c r="D4" s="70" t="s">
        <v>15</v>
      </c>
      <c r="E4" s="75" t="s">
        <v>98</v>
      </c>
      <c r="F4" s="12"/>
      <c r="G4" s="78" t="s">
        <v>102</v>
      </c>
      <c r="H4" s="77">
        <f>50*H10/(B+75)</f>
        <v>0.47342392315275222</v>
      </c>
      <c r="I4" s="64" t="s">
        <v>103</v>
      </c>
      <c r="J4" s="216"/>
    </row>
    <row r="5" spans="1:16" ht="14.4" x14ac:dyDescent="0.3">
      <c r="B5" s="73" t="s">
        <v>107</v>
      </c>
      <c r="C5" s="71">
        <f>IF('Ship Characteristics'!C7/SQRT(Lbp)&gt;=0.8,'Ship Characteristics'!C7/SQRT(Lbp),0.8)</f>
        <v>1.1974720848267795</v>
      </c>
      <c r="D5" s="70" t="s">
        <v>15</v>
      </c>
      <c r="E5" s="75" t="s">
        <v>98</v>
      </c>
      <c r="F5" s="12"/>
      <c r="G5" s="78" t="s">
        <v>108</v>
      </c>
      <c r="H5" s="77">
        <f>H4*H6*((2*PI()/H3)^2)</f>
        <v>1.7112718676251006</v>
      </c>
      <c r="I5" s="64" t="s">
        <v>100</v>
      </c>
      <c r="J5" s="217" t="s">
        <v>109</v>
      </c>
    </row>
    <row r="6" spans="1:16" ht="14.4" x14ac:dyDescent="0.3">
      <c r="B6" s="73" t="s">
        <v>112</v>
      </c>
      <c r="C6" s="71">
        <f>(3*C3/Lbp)+C4*C5</f>
        <v>0.37166120856871498</v>
      </c>
      <c r="D6" s="70" t="s">
        <v>15</v>
      </c>
      <c r="E6" s="75" t="s">
        <v>98</v>
      </c>
      <c r="F6" s="12"/>
      <c r="G6" s="79" t="s">
        <v>114</v>
      </c>
      <c r="H6" s="70">
        <f>MIN(0.25*D+T*0.5,0.5*T)</f>
        <v>6.6</v>
      </c>
      <c r="I6" s="63" t="s">
        <v>3</v>
      </c>
      <c r="J6" s="216"/>
    </row>
    <row r="7" spans="1:16" ht="14.4" x14ac:dyDescent="0.3">
      <c r="B7" s="12"/>
      <c r="C7" s="12"/>
      <c r="D7" s="12"/>
      <c r="E7" s="12"/>
      <c r="F7" s="12"/>
      <c r="G7" s="79" t="s">
        <v>118</v>
      </c>
      <c r="H7" s="70">
        <f>0.12*B</f>
        <v>4.1520000000000001</v>
      </c>
      <c r="I7" s="63" t="s">
        <v>3</v>
      </c>
      <c r="J7" s="217" t="s">
        <v>93</v>
      </c>
      <c r="P7" s="16"/>
    </row>
    <row r="8" spans="1:16" ht="14.4" x14ac:dyDescent="0.3">
      <c r="B8" s="12"/>
      <c r="C8" s="12"/>
      <c r="D8" s="12"/>
      <c r="E8" s="12"/>
      <c r="F8" s="12"/>
      <c r="G8" s="79" t="s">
        <v>120</v>
      </c>
      <c r="H8" s="70">
        <f>0.25*B</f>
        <v>8.65</v>
      </c>
      <c r="I8" s="63" t="s">
        <v>3</v>
      </c>
      <c r="J8" s="216"/>
      <c r="P8" s="16"/>
    </row>
    <row r="9" spans="1:16" ht="14.4" x14ac:dyDescent="0.3">
      <c r="B9" s="218" t="s">
        <v>85</v>
      </c>
      <c r="C9" s="210"/>
      <c r="D9" s="210"/>
      <c r="E9" s="210"/>
      <c r="F9" s="12"/>
      <c r="G9" s="79" t="s">
        <v>123</v>
      </c>
      <c r="H9" s="70">
        <v>1</v>
      </c>
      <c r="I9" s="63" t="s">
        <v>15</v>
      </c>
      <c r="J9" s="215" t="s">
        <v>124</v>
      </c>
      <c r="P9" s="16"/>
    </row>
    <row r="10" spans="1:16" ht="14.4" x14ac:dyDescent="0.3">
      <c r="A10" s="24"/>
      <c r="B10" s="84" t="s">
        <v>90</v>
      </c>
      <c r="C10" s="83"/>
      <c r="D10" s="63"/>
      <c r="E10" s="63"/>
      <c r="F10" s="12"/>
      <c r="G10" s="79" t="s">
        <v>127</v>
      </c>
      <c r="H10" s="80">
        <f>(1.25-0.025*H3)*H9</f>
        <v>1.0377452395508329</v>
      </c>
      <c r="I10" s="63" t="s">
        <v>15</v>
      </c>
      <c r="J10" s="216"/>
    </row>
    <row r="11" spans="1:16" ht="14.4" x14ac:dyDescent="0.3">
      <c r="B11" s="73" t="s">
        <v>99</v>
      </c>
      <c r="C11" s="80">
        <f>0.2*'Ship Characteristics'!H15*C6*SQRT('Ship Characteristics'!C8)</f>
        <v>0.64401137638785455</v>
      </c>
      <c r="D11" s="70" t="s">
        <v>100</v>
      </c>
      <c r="E11" s="75" t="s">
        <v>101</v>
      </c>
      <c r="F11" s="12"/>
      <c r="G11" s="12"/>
      <c r="H11" s="12"/>
      <c r="I11" s="12"/>
      <c r="J11" s="12"/>
    </row>
    <row r="12" spans="1:16" ht="15" customHeight="1" x14ac:dyDescent="0.3">
      <c r="B12" s="63"/>
      <c r="C12" s="63"/>
      <c r="D12" s="63"/>
      <c r="E12" s="63"/>
      <c r="F12" s="12"/>
      <c r="G12" s="12"/>
      <c r="H12" s="12"/>
      <c r="I12" s="12"/>
      <c r="J12" s="12"/>
    </row>
    <row r="13" spans="1:16" ht="15" customHeight="1" x14ac:dyDescent="0.3">
      <c r="A13" s="24"/>
      <c r="B13" s="84" t="s">
        <v>113</v>
      </c>
      <c r="C13" s="83"/>
      <c r="D13" s="74"/>
      <c r="E13" s="74"/>
      <c r="F13" s="24"/>
      <c r="G13" s="84" t="s">
        <v>535</v>
      </c>
      <c r="H13" s="83"/>
      <c r="I13" s="83"/>
      <c r="J13" s="74"/>
    </row>
    <row r="14" spans="1:16" ht="15" customHeight="1" x14ac:dyDescent="0.3">
      <c r="B14" s="73" t="s">
        <v>116</v>
      </c>
      <c r="C14" s="80">
        <f>0.3*'Ship Characteristics'!H15*C6</f>
        <v>1.0937989368177283</v>
      </c>
      <c r="D14" s="70" t="s">
        <v>100</v>
      </c>
      <c r="E14" s="75" t="s">
        <v>117</v>
      </c>
      <c r="F14" s="12"/>
      <c r="G14" s="76" t="s">
        <v>94</v>
      </c>
      <c r="H14" s="77">
        <f>1.8*SQRT(Lbp/'Ship Characteristics'!H15)</f>
        <v>8.7346195098385007</v>
      </c>
      <c r="I14" s="63" t="s">
        <v>92</v>
      </c>
      <c r="J14" s="66" t="s">
        <v>95</v>
      </c>
    </row>
    <row r="15" spans="1:16" ht="15" customHeight="1" x14ac:dyDescent="0.3">
      <c r="B15" s="63"/>
      <c r="C15" s="63"/>
      <c r="D15" s="63"/>
      <c r="E15" s="63"/>
      <c r="F15" s="12"/>
      <c r="G15" s="78" t="s">
        <v>104</v>
      </c>
      <c r="H15" s="77">
        <f>0.25*C6/'Ship Characteristics'!C8</f>
        <v>0.1191221822335625</v>
      </c>
      <c r="I15" s="63" t="s">
        <v>103</v>
      </c>
      <c r="J15" s="66" t="s">
        <v>105</v>
      </c>
    </row>
    <row r="16" spans="1:16" ht="15" customHeight="1" x14ac:dyDescent="0.3">
      <c r="A16" s="24"/>
      <c r="B16" s="84" t="s">
        <v>122</v>
      </c>
      <c r="C16" s="83"/>
      <c r="D16" s="63"/>
      <c r="E16" s="63"/>
      <c r="F16" s="12"/>
      <c r="G16" s="78" t="s">
        <v>110</v>
      </c>
      <c r="H16" s="77">
        <f>H15*H17*((2*PI()/H14)^2)</f>
        <v>0.4068256531121629</v>
      </c>
      <c r="I16" s="63" t="s">
        <v>100</v>
      </c>
      <c r="J16" s="215" t="s">
        <v>111</v>
      </c>
    </row>
    <row r="17" spans="1:10" ht="15" customHeight="1" x14ac:dyDescent="0.3">
      <c r="B17" s="73" t="s">
        <v>125</v>
      </c>
      <c r="C17" s="80">
        <f>0.7*'Ship Characteristics'!H15*C6/SQRT('Ship Characteristics'!C8)</f>
        <v>2.8897946376378085</v>
      </c>
      <c r="D17" s="70" t="s">
        <v>100</v>
      </c>
      <c r="E17" s="75" t="s">
        <v>126</v>
      </c>
      <c r="F17" s="12"/>
      <c r="G17" s="78" t="s">
        <v>115</v>
      </c>
      <c r="H17" s="81">
        <f>H6</f>
        <v>6.6</v>
      </c>
      <c r="I17" s="63" t="s">
        <v>3</v>
      </c>
      <c r="J17" s="216"/>
    </row>
    <row r="18" spans="1:10" ht="15" customHeight="1" x14ac:dyDescent="0.3">
      <c r="B18" s="12"/>
      <c r="C18" s="12"/>
      <c r="D18" s="12"/>
      <c r="E18" s="12"/>
      <c r="F18" s="12"/>
      <c r="G18" s="12"/>
      <c r="H18" s="12"/>
      <c r="I18" s="12"/>
      <c r="J18" s="12"/>
    </row>
    <row r="19" spans="1:10" ht="15" customHeight="1" x14ac:dyDescent="0.3">
      <c r="B19" s="12"/>
      <c r="C19" s="12"/>
      <c r="D19" s="12"/>
      <c r="E19" s="12"/>
      <c r="F19" s="12"/>
      <c r="G19" s="12"/>
      <c r="H19" s="12"/>
      <c r="I19" s="12"/>
      <c r="J19" s="12"/>
    </row>
    <row r="20" spans="1:10" ht="15" customHeight="1" x14ac:dyDescent="0.3">
      <c r="A20" s="24"/>
      <c r="B20" s="84" t="s">
        <v>87</v>
      </c>
      <c r="C20" s="83"/>
      <c r="D20" s="83"/>
      <c r="E20" s="74"/>
      <c r="F20" s="12"/>
      <c r="G20" s="12"/>
      <c r="H20" s="12"/>
      <c r="I20" s="12"/>
      <c r="J20" s="12"/>
    </row>
    <row r="21" spans="1:10" ht="15.75" customHeight="1" x14ac:dyDescent="0.3">
      <c r="A21" s="24"/>
      <c r="B21" s="84" t="s">
        <v>96</v>
      </c>
      <c r="C21" s="83"/>
      <c r="D21" s="83"/>
      <c r="E21" s="65"/>
      <c r="F21" s="12"/>
      <c r="G21" s="12"/>
      <c r="H21" s="12"/>
      <c r="I21" s="12"/>
      <c r="J21" s="12"/>
    </row>
    <row r="22" spans="1:10" ht="15.75" customHeight="1" x14ac:dyDescent="0.3">
      <c r="B22" s="73" t="s">
        <v>531</v>
      </c>
      <c r="C22" s="80">
        <f>C23*'Ship Characteristics'!H15*C6/'Ship Characteristics'!C8</f>
        <v>3.2720481015914946</v>
      </c>
      <c r="D22" s="70" t="s">
        <v>100</v>
      </c>
      <c r="E22" s="75" t="s">
        <v>106</v>
      </c>
      <c r="F22" s="12"/>
      <c r="G22" s="12"/>
      <c r="H22" s="12"/>
      <c r="I22" s="12"/>
      <c r="J22" s="12"/>
    </row>
    <row r="23" spans="1:10" ht="15.75" customHeight="1" x14ac:dyDescent="0.3">
      <c r="B23" s="73" t="s">
        <v>534</v>
      </c>
      <c r="C23" s="70">
        <v>0.7</v>
      </c>
      <c r="D23" s="70" t="s">
        <v>15</v>
      </c>
      <c r="E23" s="63"/>
      <c r="F23" s="12"/>
      <c r="G23" s="12"/>
      <c r="H23" s="12"/>
      <c r="I23" s="12"/>
      <c r="J23" s="12"/>
    </row>
    <row r="24" spans="1:10" ht="15.75" customHeight="1" x14ac:dyDescent="0.3">
      <c r="B24" s="63"/>
      <c r="C24" s="63"/>
      <c r="D24" s="63"/>
      <c r="E24" s="63"/>
      <c r="F24" s="12"/>
      <c r="G24" s="12"/>
      <c r="H24" s="12"/>
      <c r="I24" s="12"/>
      <c r="J24" s="12"/>
    </row>
    <row r="25" spans="1:10" ht="15.75" customHeight="1" x14ac:dyDescent="0.3">
      <c r="A25" s="24"/>
      <c r="B25" s="84" t="s">
        <v>119</v>
      </c>
      <c r="C25" s="83"/>
      <c r="D25" s="74"/>
      <c r="E25" s="74"/>
      <c r="F25" s="12"/>
      <c r="G25" s="12"/>
      <c r="H25" s="12"/>
      <c r="I25" s="12"/>
      <c r="J25" s="12"/>
    </row>
    <row r="26" spans="1:10" ht="15.75" customHeight="1" x14ac:dyDescent="0.3">
      <c r="B26" s="73" t="s">
        <v>532</v>
      </c>
      <c r="C26" s="80">
        <f>SQRT(C14^2+('Ship Characteristics'!H15*SIN(H4)+H5)^2)</f>
        <v>6.2799949551744794</v>
      </c>
      <c r="D26" s="70" t="s">
        <v>100</v>
      </c>
      <c r="E26" s="75" t="s">
        <v>121</v>
      </c>
      <c r="F26" s="12"/>
      <c r="G26" s="12"/>
      <c r="H26" s="12"/>
      <c r="I26" s="12"/>
      <c r="J26" s="12"/>
    </row>
    <row r="27" spans="1:10" ht="15.75" customHeight="1" x14ac:dyDescent="0.3">
      <c r="B27" s="63"/>
      <c r="C27" s="63"/>
      <c r="D27" s="63"/>
      <c r="E27" s="63"/>
      <c r="F27" s="12"/>
      <c r="G27" s="12"/>
      <c r="H27" s="12"/>
      <c r="I27" s="12"/>
      <c r="J27" s="12"/>
    </row>
    <row r="28" spans="1:10" ht="15.75" customHeight="1" x14ac:dyDescent="0.3">
      <c r="A28" s="24"/>
      <c r="B28" s="84" t="s">
        <v>128</v>
      </c>
      <c r="C28" s="83"/>
      <c r="D28" s="83"/>
      <c r="E28" s="74"/>
      <c r="F28" s="12"/>
      <c r="G28" s="12"/>
      <c r="H28" s="12"/>
      <c r="I28" s="12"/>
      <c r="J28" s="12"/>
    </row>
    <row r="29" spans="1:10" ht="15.75" customHeight="1" x14ac:dyDescent="0.3">
      <c r="B29" s="73" t="s">
        <v>533</v>
      </c>
      <c r="C29" s="80">
        <f>SQRT(C11^2+('Ship Characteristics'!H15*SIN(H15)+H16)^2)</f>
        <v>1.6994076936278626</v>
      </c>
      <c r="D29" s="70" t="s">
        <v>100</v>
      </c>
      <c r="E29" s="75" t="s">
        <v>129</v>
      </c>
      <c r="F29" s="12"/>
      <c r="G29" s="12"/>
      <c r="H29" s="12"/>
      <c r="I29" s="12"/>
      <c r="J29" s="12"/>
    </row>
    <row r="30" spans="1:10" ht="15.75" customHeight="1" x14ac:dyDescent="0.3"/>
    <row r="31" spans="1:10" ht="15.75" customHeight="1" x14ac:dyDescent="0.3"/>
    <row r="32" spans="1:1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7">
    <mergeCell ref="J16:J17"/>
    <mergeCell ref="J7:J8"/>
    <mergeCell ref="J9:J10"/>
    <mergeCell ref="B2:E2"/>
    <mergeCell ref="B9:E9"/>
    <mergeCell ref="J3:J4"/>
    <mergeCell ref="J5:J6"/>
  </mergeCells>
  <pageMargins left="0.511811024" right="0.511811024" top="0.78740157499999996" bottom="0.78740157499999996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I1000"/>
  <sheetViews>
    <sheetView topLeftCell="R22" workbookViewId="0">
      <selection activeCell="S27" sqref="S27:T28"/>
    </sheetView>
  </sheetViews>
  <sheetFormatPr defaultColWidth="14.44140625" defaultRowHeight="15" customHeight="1" x14ac:dyDescent="0.3"/>
  <cols>
    <col min="1" max="1" width="8.6640625" customWidth="1"/>
    <col min="2" max="2" width="6.6640625" customWidth="1"/>
    <col min="3" max="4" width="7" customWidth="1"/>
    <col min="5" max="5" width="16.5546875" customWidth="1"/>
    <col min="6" max="6" width="17" bestFit="1" customWidth="1"/>
    <col min="7" max="7" width="13.77734375" bestFit="1" customWidth="1"/>
    <col min="8" max="8" width="14.44140625" customWidth="1"/>
    <col min="9" max="9" width="14.5546875" customWidth="1"/>
    <col min="10" max="11" width="8.6640625" customWidth="1"/>
    <col min="12" max="12" width="14.109375" customWidth="1"/>
    <col min="13" max="13" width="14.5546875" customWidth="1"/>
    <col min="14" max="14" width="12.88671875" customWidth="1"/>
    <col min="15" max="15" width="13.44140625" customWidth="1"/>
    <col min="16" max="16" width="17.33203125" bestFit="1" customWidth="1"/>
    <col min="17" max="17" width="17.6640625" bestFit="1" customWidth="1"/>
    <col min="18" max="18" width="13.77734375" bestFit="1" customWidth="1"/>
    <col min="19" max="19" width="7" customWidth="1"/>
    <col min="20" max="20" width="14.77734375" bestFit="1" customWidth="1"/>
    <col min="21" max="21" width="19" customWidth="1"/>
    <col min="22" max="22" width="19.44140625" customWidth="1"/>
    <col min="23" max="23" width="7.88671875" customWidth="1"/>
    <col min="24" max="24" width="7.6640625" customWidth="1"/>
    <col min="25" max="25" width="16.33203125" customWidth="1"/>
    <col min="26" max="26" width="16.6640625" customWidth="1"/>
    <col min="27" max="28" width="8.6640625" customWidth="1"/>
    <col min="29" max="29" width="14.109375" customWidth="1"/>
    <col min="30" max="30" width="14.5546875" customWidth="1"/>
    <col min="31" max="31" width="12.88671875" customWidth="1"/>
    <col min="32" max="32" width="13.44140625" customWidth="1"/>
    <col min="33" max="34" width="8.6640625" customWidth="1"/>
    <col min="35" max="35" width="7.5546875" customWidth="1"/>
    <col min="36" max="36" width="7" customWidth="1"/>
    <col min="37" max="37" width="8.6640625" customWidth="1"/>
    <col min="38" max="38" width="13.5546875" customWidth="1"/>
    <col min="39" max="47" width="8.6640625" customWidth="1"/>
  </cols>
  <sheetData>
    <row r="2" spans="2:35" ht="13.2" customHeight="1" x14ac:dyDescent="0.4">
      <c r="B2" s="98" t="s">
        <v>536</v>
      </c>
      <c r="C2" s="99"/>
      <c r="D2" s="99"/>
      <c r="M2" s="99" t="s">
        <v>537</v>
      </c>
      <c r="N2" s="99"/>
      <c r="W2" s="99" t="s">
        <v>538</v>
      </c>
      <c r="X2" s="99"/>
      <c r="Y2" s="99"/>
      <c r="Z2" s="99"/>
      <c r="AI2" s="102"/>
    </row>
    <row r="3" spans="2:35" ht="14.4" x14ac:dyDescent="0.3">
      <c r="B3" s="219" t="s">
        <v>130</v>
      </c>
      <c r="C3" s="220"/>
      <c r="D3" s="220"/>
      <c r="E3" s="17"/>
      <c r="F3" s="17"/>
      <c r="G3" s="17"/>
      <c r="H3" s="17"/>
      <c r="I3" s="17"/>
      <c r="M3" s="221" t="s">
        <v>131</v>
      </c>
      <c r="N3" s="221"/>
      <c r="O3" s="221"/>
      <c r="P3" s="101"/>
      <c r="Q3" s="101"/>
      <c r="R3" s="101"/>
      <c r="S3" s="101"/>
      <c r="T3" s="101"/>
      <c r="U3" s="101"/>
      <c r="W3" s="221" t="s">
        <v>132</v>
      </c>
      <c r="X3" s="221"/>
      <c r="Y3" s="221"/>
      <c r="Z3" s="63"/>
    </row>
    <row r="4" spans="2:35" ht="14.4" x14ac:dyDescent="0.3">
      <c r="B4" s="97" t="s">
        <v>133</v>
      </c>
      <c r="C4" s="97" t="s">
        <v>134</v>
      </c>
      <c r="D4" s="97" t="s">
        <v>135</v>
      </c>
      <c r="E4" s="97" t="s">
        <v>136</v>
      </c>
      <c r="F4" s="97" t="s">
        <v>137</v>
      </c>
      <c r="G4" s="97" t="s">
        <v>138</v>
      </c>
      <c r="H4" s="97" t="s">
        <v>139</v>
      </c>
      <c r="I4" s="97" t="s">
        <v>140</v>
      </c>
      <c r="M4" s="73" t="s">
        <v>133</v>
      </c>
      <c r="N4" s="73" t="s">
        <v>134</v>
      </c>
      <c r="O4" s="73" t="s">
        <v>135</v>
      </c>
      <c r="P4" s="73" t="s">
        <v>136</v>
      </c>
      <c r="Q4" s="73" t="s">
        <v>137</v>
      </c>
      <c r="R4" s="73" t="s">
        <v>145</v>
      </c>
      <c r="S4" s="73" t="s">
        <v>146</v>
      </c>
      <c r="T4" s="73" t="s">
        <v>139</v>
      </c>
      <c r="U4" s="73" t="s">
        <v>140</v>
      </c>
      <c r="W4" s="73" t="s">
        <v>133</v>
      </c>
      <c r="X4" s="73" t="s">
        <v>134</v>
      </c>
      <c r="Y4" s="73" t="s">
        <v>149</v>
      </c>
      <c r="Z4" s="73" t="s">
        <v>150</v>
      </c>
    </row>
    <row r="5" spans="2:35" ht="14.4" x14ac:dyDescent="0.3">
      <c r="B5" s="97">
        <v>0</v>
      </c>
      <c r="C5" s="67">
        <v>0</v>
      </c>
      <c r="D5" s="67">
        <v>0</v>
      </c>
      <c r="E5" s="68">
        <f t="shared" ref="E5:E25" si="0">D5*$F$28</f>
        <v>0</v>
      </c>
      <c r="F5" s="68">
        <f t="shared" ref="F5:F25" si="1">D5*$G$28</f>
        <v>0</v>
      </c>
      <c r="G5" s="69">
        <v>0</v>
      </c>
      <c r="H5" s="68">
        <f t="shared" ref="H5:H25" si="2">G5*$H$28</f>
        <v>0</v>
      </c>
      <c r="I5" s="68">
        <f t="shared" ref="I5:I25" si="3">G5*$I$28</f>
        <v>0</v>
      </c>
      <c r="M5" s="73">
        <v>0</v>
      </c>
      <c r="N5" s="70">
        <v>0</v>
      </c>
      <c r="O5" s="80">
        <v>0</v>
      </c>
      <c r="P5" s="100">
        <f t="shared" ref="P5:P25" si="4">O5*$Q$28</f>
        <v>0</v>
      </c>
      <c r="Q5" s="100">
        <f t="shared" ref="Q5:Q25" si="5">O5*$R$28</f>
        <v>0</v>
      </c>
      <c r="R5" s="80">
        <v>0</v>
      </c>
      <c r="S5" s="80">
        <v>0</v>
      </c>
      <c r="T5" s="100">
        <f t="shared" ref="T5:T25" si="6">R5*$S$28</f>
        <v>0</v>
      </c>
      <c r="U5" s="100">
        <f t="shared" ref="U5:U25" si="7">S5*$T$28</f>
        <v>0</v>
      </c>
      <c r="W5" s="73">
        <v>0</v>
      </c>
      <c r="X5" s="70">
        <v>0</v>
      </c>
      <c r="Y5" s="70">
        <f t="shared" ref="Y5:Y25" si="8">X5/Lbp</f>
        <v>0</v>
      </c>
      <c r="Z5" s="100">
        <f>0.22*(Lbp^(9/4))*(T+0.3*B)*'Ship Characteristics'!$C$8*(1-COS(2*PI()*Y5))</f>
        <v>0</v>
      </c>
    </row>
    <row r="6" spans="2:35" ht="14.4" x14ac:dyDescent="0.3">
      <c r="B6" s="97">
        <v>1</v>
      </c>
      <c r="C6" s="67">
        <v>11.55</v>
      </c>
      <c r="D6" s="67">
        <v>7.4999999999999997E-2</v>
      </c>
      <c r="E6" s="68">
        <f t="shared" si="0"/>
        <v>-135565.58941729774</v>
      </c>
      <c r="F6" s="68">
        <f t="shared" si="1"/>
        <v>156139.99280079614</v>
      </c>
      <c r="G6" s="69">
        <v>0.33333333333333331</v>
      </c>
      <c r="H6" s="68">
        <f t="shared" si="2"/>
        <v>-13041.422743366786</v>
      </c>
      <c r="I6" s="68">
        <f t="shared" si="3"/>
        <v>15020.682328118915</v>
      </c>
      <c r="M6" s="73">
        <v>1</v>
      </c>
      <c r="N6" s="70">
        <v>11.55</v>
      </c>
      <c r="O6" s="80">
        <v>0.125</v>
      </c>
      <c r="P6" s="100">
        <f t="shared" si="4"/>
        <v>-382364.48297186539</v>
      </c>
      <c r="Q6" s="100">
        <f t="shared" si="5"/>
        <v>348073.81066603475</v>
      </c>
      <c r="R6" s="80">
        <v>0.23</v>
      </c>
      <c r="S6" s="80">
        <v>0.20949324324324328</v>
      </c>
      <c r="T6" s="100">
        <f t="shared" si="6"/>
        <v>-8306.3831011597686</v>
      </c>
      <c r="U6" s="100">
        <f t="shared" si="7"/>
        <v>7565.7875455775174</v>
      </c>
      <c r="W6" s="73">
        <v>1</v>
      </c>
      <c r="X6" s="70">
        <v>11.55</v>
      </c>
      <c r="Y6" s="70">
        <f t="shared" si="8"/>
        <v>0.05</v>
      </c>
      <c r="Z6" s="100">
        <f>0.22*(Lbp^(9/4))*(T+0.3*B)*'Ship Characteristics'!$C$8*(1-COS(2*PI()*Y6))</f>
        <v>41198.643561633973</v>
      </c>
    </row>
    <row r="7" spans="2:35" ht="14.4" x14ac:dyDescent="0.3">
      <c r="B7" s="97">
        <v>2</v>
      </c>
      <c r="C7" s="67">
        <v>23.1</v>
      </c>
      <c r="D7" s="67">
        <v>0.15</v>
      </c>
      <c r="E7" s="68">
        <f t="shared" si="0"/>
        <v>-271131.17883459548</v>
      </c>
      <c r="F7" s="68">
        <f t="shared" si="1"/>
        <v>312279.98560159229</v>
      </c>
      <c r="G7" s="69">
        <v>0.66666666666666663</v>
      </c>
      <c r="H7" s="68">
        <f t="shared" si="2"/>
        <v>-26082.845486733571</v>
      </c>
      <c r="I7" s="68">
        <f t="shared" si="3"/>
        <v>30041.364656237831</v>
      </c>
      <c r="M7" s="73">
        <v>2</v>
      </c>
      <c r="N7" s="70">
        <v>23.1</v>
      </c>
      <c r="O7" s="80">
        <v>0.25</v>
      </c>
      <c r="P7" s="100">
        <f t="shared" si="4"/>
        <v>-764728.96594373079</v>
      </c>
      <c r="Q7" s="100">
        <f t="shared" si="5"/>
        <v>696147.62133206951</v>
      </c>
      <c r="R7" s="80">
        <v>0.46</v>
      </c>
      <c r="S7" s="80">
        <v>0.41898648648648656</v>
      </c>
      <c r="T7" s="100">
        <f t="shared" si="6"/>
        <v>-16612.766202319537</v>
      </c>
      <c r="U7" s="100">
        <f t="shared" si="7"/>
        <v>15131.575091155035</v>
      </c>
      <c r="W7" s="73">
        <v>2</v>
      </c>
      <c r="X7" s="70">
        <v>23.1</v>
      </c>
      <c r="Y7" s="70">
        <f t="shared" si="8"/>
        <v>0.1</v>
      </c>
      <c r="Z7" s="100">
        <f>0.22*(Lbp^(9/4))*(T+0.3*B)*'Ship Characteristics'!$C$8*(1-COS(2*PI()*Y7))</f>
        <v>160761.76396689453</v>
      </c>
    </row>
    <row r="8" spans="2:35" ht="14.4" x14ac:dyDescent="0.3">
      <c r="B8" s="97">
        <v>3</v>
      </c>
      <c r="C8" s="67">
        <v>34.650000000000006</v>
      </c>
      <c r="D8" s="67">
        <v>0.36249999999999999</v>
      </c>
      <c r="E8" s="68">
        <f t="shared" si="0"/>
        <v>-655233.68218360574</v>
      </c>
      <c r="F8" s="68">
        <f t="shared" si="1"/>
        <v>754676.6318705146</v>
      </c>
      <c r="G8" s="69">
        <v>1</v>
      </c>
      <c r="H8" s="68">
        <f t="shared" si="2"/>
        <v>-39124.268230100359</v>
      </c>
      <c r="I8" s="68">
        <f t="shared" si="3"/>
        <v>45062.046984356748</v>
      </c>
      <c r="M8" s="73">
        <v>3</v>
      </c>
      <c r="N8" s="70">
        <v>34.650000000000006</v>
      </c>
      <c r="O8" s="80">
        <v>0.37500000000000006</v>
      </c>
      <c r="P8" s="100">
        <f t="shared" si="4"/>
        <v>-1147093.4489155964</v>
      </c>
      <c r="Q8" s="100">
        <f t="shared" si="5"/>
        <v>1044221.4319981044</v>
      </c>
      <c r="R8" s="80">
        <v>0.69000000000000006</v>
      </c>
      <c r="S8" s="80">
        <v>0.62847972972972987</v>
      </c>
      <c r="T8" s="100">
        <f t="shared" si="6"/>
        <v>-24919.149303479309</v>
      </c>
      <c r="U8" s="100">
        <f t="shared" si="7"/>
        <v>22697.362636732552</v>
      </c>
      <c r="W8" s="73">
        <v>3</v>
      </c>
      <c r="X8" s="70">
        <v>34.650000000000006</v>
      </c>
      <c r="Y8" s="70">
        <f t="shared" si="8"/>
        <v>0.15000000000000002</v>
      </c>
      <c r="Z8" s="100">
        <f>0.22*(Lbp^(9/4))*(T+0.3*B)*'Ship Characteristics'!$C$8*(1-COS(2*PI()*Y8))</f>
        <v>346985.68994527101</v>
      </c>
    </row>
    <row r="9" spans="2:35" ht="14.4" x14ac:dyDescent="0.3">
      <c r="B9" s="97">
        <v>4</v>
      </c>
      <c r="C9" s="67">
        <v>46.2</v>
      </c>
      <c r="D9" s="70">
        <v>0.57500000000000018</v>
      </c>
      <c r="E9" s="68">
        <f t="shared" si="0"/>
        <v>-1039336.1855326163</v>
      </c>
      <c r="F9" s="68">
        <f t="shared" si="1"/>
        <v>1197073.2781394373</v>
      </c>
      <c r="G9" s="69">
        <v>1</v>
      </c>
      <c r="H9" s="68">
        <f t="shared" si="2"/>
        <v>-39124.268230100359</v>
      </c>
      <c r="I9" s="68">
        <f t="shared" si="3"/>
        <v>45062.046984356748</v>
      </c>
      <c r="M9" s="73">
        <v>4</v>
      </c>
      <c r="N9" s="70">
        <v>46.2</v>
      </c>
      <c r="O9" s="80">
        <v>0.5</v>
      </c>
      <c r="P9" s="100">
        <f t="shared" si="4"/>
        <v>-1529457.9318874616</v>
      </c>
      <c r="Q9" s="100">
        <f t="shared" si="5"/>
        <v>1392295.242664139</v>
      </c>
      <c r="R9" s="80">
        <v>0.92</v>
      </c>
      <c r="S9" s="80">
        <v>0.83797297297297313</v>
      </c>
      <c r="T9" s="100">
        <f t="shared" si="6"/>
        <v>-33225.532404639074</v>
      </c>
      <c r="U9" s="100">
        <f t="shared" si="7"/>
        <v>30263.15018231007</v>
      </c>
      <c r="W9" s="73">
        <v>4</v>
      </c>
      <c r="X9" s="70">
        <v>46.2</v>
      </c>
      <c r="Y9" s="70">
        <f t="shared" si="8"/>
        <v>0.2</v>
      </c>
      <c r="Z9" s="100">
        <f>0.22*(Lbp^(9/4))*(T+0.3*B)*'Ship Characteristics'!$C$8*(1-COS(2*PI()*Y9))</f>
        <v>581641.52612361254</v>
      </c>
    </row>
    <row r="10" spans="2:35" ht="14.4" x14ac:dyDescent="0.3">
      <c r="B10" s="73">
        <v>5</v>
      </c>
      <c r="C10" s="70">
        <v>57.75</v>
      </c>
      <c r="D10" s="70">
        <v>0.78750000000000009</v>
      </c>
      <c r="E10" s="68">
        <f t="shared" si="0"/>
        <v>-1423438.6888816264</v>
      </c>
      <c r="F10" s="68">
        <f t="shared" si="1"/>
        <v>1639469.9244083597</v>
      </c>
      <c r="G10" s="71">
        <v>1</v>
      </c>
      <c r="H10" s="68">
        <f t="shared" si="2"/>
        <v>-39124.268230100359</v>
      </c>
      <c r="I10" s="68">
        <f t="shared" si="3"/>
        <v>45062.046984356748</v>
      </c>
      <c r="M10" s="73">
        <v>5</v>
      </c>
      <c r="N10" s="70">
        <v>57.75</v>
      </c>
      <c r="O10" s="80">
        <v>0.625</v>
      </c>
      <c r="P10" s="100">
        <f t="shared" si="4"/>
        <v>-1911822.414859327</v>
      </c>
      <c r="Q10" s="100">
        <f t="shared" si="5"/>
        <v>1740369.0533301737</v>
      </c>
      <c r="R10" s="80">
        <v>0.92</v>
      </c>
      <c r="S10" s="80">
        <v>0.83797297297297313</v>
      </c>
      <c r="T10" s="100">
        <f t="shared" si="6"/>
        <v>-33225.532404639074</v>
      </c>
      <c r="U10" s="100">
        <f t="shared" si="7"/>
        <v>30263.15018231007</v>
      </c>
      <c r="W10" s="73">
        <v>5</v>
      </c>
      <c r="X10" s="70">
        <v>57.75</v>
      </c>
      <c r="Y10" s="70">
        <f t="shared" si="8"/>
        <v>0.25</v>
      </c>
      <c r="Z10" s="100">
        <f>0.22*(Lbp^(9/4))*(T+0.3*B)*'Ship Characteristics'!$C$8*(1-COS(2*PI()*Y10))</f>
        <v>841759.52431343601</v>
      </c>
    </row>
    <row r="11" spans="2:35" ht="14.4" x14ac:dyDescent="0.3">
      <c r="B11" s="73">
        <v>6</v>
      </c>
      <c r="C11" s="70">
        <v>69.3</v>
      </c>
      <c r="D11" s="72">
        <v>1.0000000000000002</v>
      </c>
      <c r="E11" s="68">
        <f t="shared" si="0"/>
        <v>-1807541.192230637</v>
      </c>
      <c r="F11" s="68">
        <f t="shared" si="1"/>
        <v>2081866.5706772823</v>
      </c>
      <c r="G11" s="71">
        <v>1</v>
      </c>
      <c r="H11" s="68">
        <f t="shared" si="2"/>
        <v>-39124.268230100359</v>
      </c>
      <c r="I11" s="68">
        <f t="shared" si="3"/>
        <v>45062.046984356748</v>
      </c>
      <c r="M11" s="73">
        <v>6</v>
      </c>
      <c r="N11" s="70">
        <v>69.3</v>
      </c>
      <c r="O11" s="80">
        <v>0.75</v>
      </c>
      <c r="P11" s="100">
        <f t="shared" si="4"/>
        <v>-2294186.8978311922</v>
      </c>
      <c r="Q11" s="100">
        <f t="shared" si="5"/>
        <v>2088442.8639962086</v>
      </c>
      <c r="R11" s="80">
        <v>0.92</v>
      </c>
      <c r="S11" s="80">
        <v>0.83797297297297313</v>
      </c>
      <c r="T11" s="100">
        <f t="shared" si="6"/>
        <v>-33225.532404639074</v>
      </c>
      <c r="U11" s="100">
        <f t="shared" si="7"/>
        <v>30263.15018231007</v>
      </c>
      <c r="W11" s="73">
        <v>6</v>
      </c>
      <c r="X11" s="70">
        <v>69.3</v>
      </c>
      <c r="Y11" s="70">
        <f t="shared" si="8"/>
        <v>0.3</v>
      </c>
      <c r="Z11" s="100">
        <f>0.22*(Lbp^(9/4))*(T+0.3*B)*'Ship Characteristics'!$C$8*(1-COS(2*PI()*Y11))</f>
        <v>1101877.5225032596</v>
      </c>
    </row>
    <row r="12" spans="2:35" ht="14.4" x14ac:dyDescent="0.3">
      <c r="B12" s="73">
        <v>7</v>
      </c>
      <c r="C12" s="70">
        <v>80.849999999999994</v>
      </c>
      <c r="D12" s="72">
        <v>1</v>
      </c>
      <c r="E12" s="68">
        <f t="shared" si="0"/>
        <v>-1807541.1922306365</v>
      </c>
      <c r="F12" s="68">
        <f t="shared" si="1"/>
        <v>2081866.5706772818</v>
      </c>
      <c r="G12" s="71">
        <v>0.9</v>
      </c>
      <c r="H12" s="68">
        <f t="shared" si="2"/>
        <v>-35211.841407090324</v>
      </c>
      <c r="I12" s="68">
        <f t="shared" si="3"/>
        <v>40555.842285921077</v>
      </c>
      <c r="M12" s="73">
        <v>7</v>
      </c>
      <c r="N12" s="70">
        <v>80.849999999999994</v>
      </c>
      <c r="O12" s="80">
        <v>0.875</v>
      </c>
      <c r="P12" s="100">
        <f t="shared" si="4"/>
        <v>-2676551.3808030579</v>
      </c>
      <c r="Q12" s="100">
        <f t="shared" si="5"/>
        <v>2436516.6746622431</v>
      </c>
      <c r="R12" s="80">
        <v>0.81</v>
      </c>
      <c r="S12" s="80">
        <v>0.7689864864864866</v>
      </c>
      <c r="T12" s="100">
        <f t="shared" si="6"/>
        <v>-29252.914399736579</v>
      </c>
      <c r="U12" s="100">
        <f t="shared" si="7"/>
        <v>27771.723288572077</v>
      </c>
      <c r="W12" s="73">
        <v>7</v>
      </c>
      <c r="X12" s="70">
        <v>80.849999999999994</v>
      </c>
      <c r="Y12" s="70">
        <f t="shared" si="8"/>
        <v>0.35</v>
      </c>
      <c r="Z12" s="100">
        <f>0.22*(Lbp^(9/4))*(T+0.3*B)*'Ship Characteristics'!$C$8*(1-COS(2*PI()*Y12))</f>
        <v>1336533.3586816012</v>
      </c>
    </row>
    <row r="13" spans="2:35" ht="14.4" x14ac:dyDescent="0.3">
      <c r="B13" s="73">
        <v>8</v>
      </c>
      <c r="C13" s="70">
        <v>92.399999999999991</v>
      </c>
      <c r="D13" s="72">
        <v>1</v>
      </c>
      <c r="E13" s="68">
        <f t="shared" si="0"/>
        <v>-1807541.1922306365</v>
      </c>
      <c r="F13" s="68">
        <f t="shared" si="1"/>
        <v>2081866.5706772818</v>
      </c>
      <c r="G13" s="71">
        <v>0.8</v>
      </c>
      <c r="H13" s="68">
        <f t="shared" si="2"/>
        <v>-31299.414584080288</v>
      </c>
      <c r="I13" s="68">
        <f t="shared" si="3"/>
        <v>36049.637587485398</v>
      </c>
      <c r="M13" s="73">
        <v>8</v>
      </c>
      <c r="N13" s="70">
        <v>92.399999999999991</v>
      </c>
      <c r="O13" s="80">
        <v>1</v>
      </c>
      <c r="P13" s="100">
        <f t="shared" si="4"/>
        <v>-3058915.8637749231</v>
      </c>
      <c r="Q13" s="100">
        <f t="shared" si="5"/>
        <v>2784590.485328278</v>
      </c>
      <c r="R13" s="80">
        <v>0.7</v>
      </c>
      <c r="S13" s="80">
        <v>0.7</v>
      </c>
      <c r="T13" s="100">
        <f t="shared" si="6"/>
        <v>-25280.296394834077</v>
      </c>
      <c r="U13" s="100">
        <f t="shared" si="7"/>
        <v>25280.296394834077</v>
      </c>
      <c r="W13" s="73">
        <v>8</v>
      </c>
      <c r="X13" s="70">
        <v>92.399999999999991</v>
      </c>
      <c r="Y13" s="70">
        <f t="shared" si="8"/>
        <v>0.39999999999999997</v>
      </c>
      <c r="Z13" s="100">
        <f>0.22*(Lbp^(9/4))*(T+0.3*B)*'Ship Characteristics'!$C$8*(1-COS(2*PI()*Y13))</f>
        <v>1522757.2846599778</v>
      </c>
    </row>
    <row r="14" spans="2:35" ht="14.4" x14ac:dyDescent="0.3">
      <c r="B14" s="73">
        <v>9</v>
      </c>
      <c r="C14" s="70">
        <v>103.94999999999999</v>
      </c>
      <c r="D14" s="72">
        <v>1</v>
      </c>
      <c r="E14" s="68">
        <f t="shared" si="0"/>
        <v>-1807541.1922306365</v>
      </c>
      <c r="F14" s="68">
        <f t="shared" si="1"/>
        <v>2081866.5706772818</v>
      </c>
      <c r="G14" s="71">
        <v>0.8</v>
      </c>
      <c r="H14" s="68">
        <f t="shared" si="2"/>
        <v>-31299.414584080288</v>
      </c>
      <c r="I14" s="68">
        <f t="shared" si="3"/>
        <v>36049.637587485398</v>
      </c>
      <c r="M14" s="73">
        <v>9</v>
      </c>
      <c r="N14" s="70">
        <v>103.94999999999999</v>
      </c>
      <c r="O14" s="80">
        <v>1</v>
      </c>
      <c r="P14" s="100">
        <f t="shared" si="4"/>
        <v>-3058915.8637749231</v>
      </c>
      <c r="Q14" s="100">
        <f t="shared" si="5"/>
        <v>2784590.485328278</v>
      </c>
      <c r="R14" s="80">
        <v>0.7</v>
      </c>
      <c r="S14" s="80">
        <v>0.7</v>
      </c>
      <c r="T14" s="100">
        <f t="shared" si="6"/>
        <v>-25280.296394834077</v>
      </c>
      <c r="U14" s="100">
        <f t="shared" si="7"/>
        <v>25280.296394834077</v>
      </c>
      <c r="W14" s="73">
        <v>9</v>
      </c>
      <c r="X14" s="70">
        <v>103.94999999999999</v>
      </c>
      <c r="Y14" s="70">
        <f t="shared" si="8"/>
        <v>0.44999999999999996</v>
      </c>
      <c r="Z14" s="100">
        <f>0.22*(Lbp^(9/4))*(T+0.3*B)*'Ship Characteristics'!$C$8*(1-COS(2*PI()*Y14))</f>
        <v>1642320.4050652382</v>
      </c>
    </row>
    <row r="15" spans="2:35" ht="14.4" x14ac:dyDescent="0.3">
      <c r="B15" s="73">
        <v>10</v>
      </c>
      <c r="C15" s="70">
        <v>115.49999999999999</v>
      </c>
      <c r="D15" s="72">
        <v>1</v>
      </c>
      <c r="E15" s="68">
        <f t="shared" si="0"/>
        <v>-1807541.1922306365</v>
      </c>
      <c r="F15" s="68">
        <f t="shared" si="1"/>
        <v>2081866.5706772818</v>
      </c>
      <c r="G15" s="71">
        <v>0.8</v>
      </c>
      <c r="H15" s="68">
        <f t="shared" si="2"/>
        <v>-31299.414584080288</v>
      </c>
      <c r="I15" s="68">
        <f t="shared" si="3"/>
        <v>36049.637587485398</v>
      </c>
      <c r="M15" s="73">
        <v>10</v>
      </c>
      <c r="N15" s="70">
        <v>115.49999999999999</v>
      </c>
      <c r="O15" s="80">
        <v>1</v>
      </c>
      <c r="P15" s="100">
        <f t="shared" si="4"/>
        <v>-3058915.8637749231</v>
      </c>
      <c r="Q15" s="100">
        <f t="shared" si="5"/>
        <v>2784590.485328278</v>
      </c>
      <c r="R15" s="80">
        <v>0.7</v>
      </c>
      <c r="S15" s="80">
        <v>0.7</v>
      </c>
      <c r="T15" s="100">
        <f t="shared" si="6"/>
        <v>-25280.296394834077</v>
      </c>
      <c r="U15" s="100">
        <f t="shared" si="7"/>
        <v>25280.296394834077</v>
      </c>
      <c r="W15" s="73">
        <v>10</v>
      </c>
      <c r="X15" s="70">
        <v>115.49999999999999</v>
      </c>
      <c r="Y15" s="70">
        <f t="shared" si="8"/>
        <v>0.49999999999999994</v>
      </c>
      <c r="Z15" s="100">
        <f>0.22*(Lbp^(9/4))*(T+0.3*B)*'Ship Characteristics'!$C$8*(1-COS(2*PI()*Y15))</f>
        <v>1683519.0486268722</v>
      </c>
    </row>
    <row r="16" spans="2:35" ht="14.4" x14ac:dyDescent="0.3">
      <c r="B16" s="73">
        <v>11</v>
      </c>
      <c r="C16" s="70">
        <v>127.04999999999998</v>
      </c>
      <c r="D16" s="72">
        <v>1</v>
      </c>
      <c r="E16" s="68">
        <f t="shared" si="0"/>
        <v>-1807541.1922306365</v>
      </c>
      <c r="F16" s="68">
        <f t="shared" si="1"/>
        <v>2081866.5706772818</v>
      </c>
      <c r="G16" s="71">
        <v>0.8</v>
      </c>
      <c r="H16" s="68">
        <f t="shared" si="2"/>
        <v>-31299.414584080288</v>
      </c>
      <c r="I16" s="68">
        <f t="shared" si="3"/>
        <v>36049.637587485398</v>
      </c>
      <c r="M16" s="73">
        <v>11</v>
      </c>
      <c r="N16" s="70">
        <v>127.04999999999998</v>
      </c>
      <c r="O16" s="80">
        <v>1</v>
      </c>
      <c r="P16" s="100">
        <f t="shared" si="4"/>
        <v>-3058915.8637749231</v>
      </c>
      <c r="Q16" s="100">
        <f t="shared" si="5"/>
        <v>2784590.485328278</v>
      </c>
      <c r="R16" s="80">
        <v>0.7</v>
      </c>
      <c r="S16" s="80">
        <v>0.7</v>
      </c>
      <c r="T16" s="100">
        <f t="shared" si="6"/>
        <v>-25280.296394834077</v>
      </c>
      <c r="U16" s="100">
        <f t="shared" si="7"/>
        <v>25280.296394834077</v>
      </c>
      <c r="W16" s="73">
        <v>11</v>
      </c>
      <c r="X16" s="70">
        <v>127.04999999999998</v>
      </c>
      <c r="Y16" s="70">
        <f t="shared" si="8"/>
        <v>0.54999999999999993</v>
      </c>
      <c r="Z16" s="100">
        <f>0.22*(Lbp^(9/4))*(T+0.3*B)*'Ship Characteristics'!$C$8*(1-COS(2*PI()*Y16))</f>
        <v>1642320.4050652385</v>
      </c>
    </row>
    <row r="17" spans="2:26" ht="14.4" x14ac:dyDescent="0.3">
      <c r="B17" s="73">
        <v>12</v>
      </c>
      <c r="C17" s="70">
        <v>138.6</v>
      </c>
      <c r="D17" s="72">
        <v>1</v>
      </c>
      <c r="E17" s="68">
        <f t="shared" si="0"/>
        <v>-1807541.1922306365</v>
      </c>
      <c r="F17" s="68">
        <f t="shared" si="1"/>
        <v>2081866.5706772818</v>
      </c>
      <c r="G17" s="71">
        <v>0.8</v>
      </c>
      <c r="H17" s="68">
        <f t="shared" si="2"/>
        <v>-31299.414584080288</v>
      </c>
      <c r="I17" s="68">
        <f t="shared" si="3"/>
        <v>36049.637587485398</v>
      </c>
      <c r="M17" s="73">
        <v>12</v>
      </c>
      <c r="N17" s="70">
        <v>138.6</v>
      </c>
      <c r="O17" s="80">
        <v>1</v>
      </c>
      <c r="P17" s="100">
        <f t="shared" si="4"/>
        <v>-3058915.8637749231</v>
      </c>
      <c r="Q17" s="100">
        <f t="shared" si="5"/>
        <v>2784590.485328278</v>
      </c>
      <c r="R17" s="80">
        <v>0.7</v>
      </c>
      <c r="S17" s="80">
        <v>0.7</v>
      </c>
      <c r="T17" s="100">
        <f t="shared" si="6"/>
        <v>-25280.296394834077</v>
      </c>
      <c r="U17" s="100">
        <f t="shared" si="7"/>
        <v>25280.296394834077</v>
      </c>
      <c r="W17" s="73">
        <v>12</v>
      </c>
      <c r="X17" s="70">
        <v>138.6</v>
      </c>
      <c r="Y17" s="70">
        <f t="shared" si="8"/>
        <v>0.6</v>
      </c>
      <c r="Z17" s="100">
        <f>0.22*(Lbp^(9/4))*(T+0.3*B)*'Ship Characteristics'!$C$8*(1-COS(2*PI()*Y17))</f>
        <v>1522757.2846599778</v>
      </c>
    </row>
    <row r="18" spans="2:26" ht="14.4" x14ac:dyDescent="0.3">
      <c r="B18" s="73">
        <v>13</v>
      </c>
      <c r="C18" s="70">
        <v>150.15</v>
      </c>
      <c r="D18" s="72">
        <v>1</v>
      </c>
      <c r="E18" s="68">
        <f t="shared" si="0"/>
        <v>-1807541.1922306365</v>
      </c>
      <c r="F18" s="68">
        <f t="shared" si="1"/>
        <v>2081866.5706772818</v>
      </c>
      <c r="G18" s="71">
        <v>0.9</v>
      </c>
      <c r="H18" s="68">
        <f t="shared" si="2"/>
        <v>-35211.841407090324</v>
      </c>
      <c r="I18" s="68">
        <f t="shared" si="3"/>
        <v>40555.842285921077</v>
      </c>
      <c r="M18" s="73">
        <v>13</v>
      </c>
      <c r="N18" s="70">
        <v>150.15</v>
      </c>
      <c r="O18" s="80">
        <v>1</v>
      </c>
      <c r="P18" s="100">
        <f t="shared" si="4"/>
        <v>-3058915.8637749231</v>
      </c>
      <c r="Q18" s="100">
        <f t="shared" si="5"/>
        <v>2784590.485328278</v>
      </c>
      <c r="R18" s="80">
        <v>0.80587837837837839</v>
      </c>
      <c r="S18" s="80">
        <v>0.85</v>
      </c>
      <c r="T18" s="100">
        <f t="shared" si="6"/>
        <v>-29104.063233705219</v>
      </c>
      <c r="U18" s="100">
        <f t="shared" si="7"/>
        <v>30697.502765155667</v>
      </c>
      <c r="W18" s="73">
        <v>13</v>
      </c>
      <c r="X18" s="70">
        <v>150.15</v>
      </c>
      <c r="Y18" s="70">
        <f t="shared" si="8"/>
        <v>0.65</v>
      </c>
      <c r="Z18" s="100">
        <f>0.22*(Lbp^(9/4))*(T+0.3*B)*'Ship Characteristics'!$C$8*(1-COS(2*PI()*Y18))</f>
        <v>1336533.3586816015</v>
      </c>
    </row>
    <row r="19" spans="2:26" ht="14.4" x14ac:dyDescent="0.3">
      <c r="B19" s="73">
        <v>14</v>
      </c>
      <c r="C19" s="70">
        <v>161.70000000000002</v>
      </c>
      <c r="D19" s="72">
        <v>1</v>
      </c>
      <c r="E19" s="68">
        <f t="shared" si="0"/>
        <v>-1807541.1922306365</v>
      </c>
      <c r="F19" s="68">
        <f t="shared" si="1"/>
        <v>2081866.5706772818</v>
      </c>
      <c r="G19" s="71">
        <v>1</v>
      </c>
      <c r="H19" s="68">
        <f t="shared" si="2"/>
        <v>-39124.268230100359</v>
      </c>
      <c r="I19" s="68">
        <f t="shared" si="3"/>
        <v>45062.046984356748</v>
      </c>
      <c r="M19" s="73">
        <v>14</v>
      </c>
      <c r="N19" s="70">
        <v>161.70000000000002</v>
      </c>
      <c r="O19" s="80">
        <v>0.85714285714285676</v>
      </c>
      <c r="P19" s="100">
        <f t="shared" si="4"/>
        <v>-2621927.8832356473</v>
      </c>
      <c r="Q19" s="100">
        <f t="shared" si="5"/>
        <v>2386791.8445670945</v>
      </c>
      <c r="R19" s="80">
        <v>0.91175675675675683</v>
      </c>
      <c r="S19" s="80">
        <v>1</v>
      </c>
      <c r="T19" s="100">
        <f t="shared" si="6"/>
        <v>-32927.830072576362</v>
      </c>
      <c r="U19" s="100">
        <f t="shared" si="7"/>
        <v>36114.709135477256</v>
      </c>
      <c r="W19" s="73">
        <v>14</v>
      </c>
      <c r="X19" s="70">
        <v>161.70000000000002</v>
      </c>
      <c r="Y19" s="70">
        <f t="shared" si="8"/>
        <v>0.70000000000000007</v>
      </c>
      <c r="Z19" s="100">
        <f>0.22*(Lbp^(9/4))*(T+0.3*B)*'Ship Characteristics'!$C$8*(1-COS(2*PI()*Y19))</f>
        <v>1101877.5225032596</v>
      </c>
    </row>
    <row r="20" spans="2:26" ht="14.4" x14ac:dyDescent="0.3">
      <c r="B20" s="73">
        <v>15</v>
      </c>
      <c r="C20" s="70">
        <v>173.25000000000003</v>
      </c>
      <c r="D20" s="70">
        <v>0.78750000000000009</v>
      </c>
      <c r="E20" s="68">
        <f t="shared" si="0"/>
        <v>-1423438.6888816264</v>
      </c>
      <c r="F20" s="68">
        <f t="shared" si="1"/>
        <v>1639469.9244083597</v>
      </c>
      <c r="G20" s="71">
        <v>1</v>
      </c>
      <c r="H20" s="68">
        <f t="shared" si="2"/>
        <v>-39124.268230100359</v>
      </c>
      <c r="I20" s="68">
        <f t="shared" si="3"/>
        <v>45062.046984356748</v>
      </c>
      <c r="M20" s="73">
        <v>15</v>
      </c>
      <c r="N20" s="70">
        <v>173.25000000000003</v>
      </c>
      <c r="O20" s="80">
        <v>0.71428571428571397</v>
      </c>
      <c r="P20" s="100">
        <f t="shared" si="4"/>
        <v>-2184939.9026963725</v>
      </c>
      <c r="Q20" s="100">
        <f t="shared" si="5"/>
        <v>1988993.2038059121</v>
      </c>
      <c r="R20" s="80">
        <v>0.91175675675675683</v>
      </c>
      <c r="S20" s="80">
        <v>1</v>
      </c>
      <c r="T20" s="100">
        <f t="shared" si="6"/>
        <v>-32927.830072576362</v>
      </c>
      <c r="U20" s="100">
        <f t="shared" si="7"/>
        <v>36114.709135477256</v>
      </c>
      <c r="W20" s="73">
        <v>15</v>
      </c>
      <c r="X20" s="70">
        <v>173.25000000000003</v>
      </c>
      <c r="Y20" s="70">
        <f t="shared" si="8"/>
        <v>0.75000000000000011</v>
      </c>
      <c r="Z20" s="100">
        <f>0.22*(Lbp^(9/4))*(T+0.3*B)*'Ship Characteristics'!$C$8*(1-COS(2*PI()*Y20))</f>
        <v>841759.52431343554</v>
      </c>
    </row>
    <row r="21" spans="2:26" ht="15.75" customHeight="1" x14ac:dyDescent="0.3">
      <c r="B21" s="73">
        <v>16</v>
      </c>
      <c r="C21" s="70">
        <v>184.80000000000004</v>
      </c>
      <c r="D21" s="70">
        <v>0.57500000000000018</v>
      </c>
      <c r="E21" s="68">
        <f t="shared" si="0"/>
        <v>-1039336.1855326163</v>
      </c>
      <c r="F21" s="68">
        <f t="shared" si="1"/>
        <v>1197073.2781394373</v>
      </c>
      <c r="G21" s="71">
        <v>1</v>
      </c>
      <c r="H21" s="68">
        <f t="shared" si="2"/>
        <v>-39124.268230100359</v>
      </c>
      <c r="I21" s="68">
        <f t="shared" si="3"/>
        <v>45062.046984356748</v>
      </c>
      <c r="M21" s="73">
        <v>16</v>
      </c>
      <c r="N21" s="70">
        <v>184.80000000000004</v>
      </c>
      <c r="O21" s="80">
        <v>0.57142857142857117</v>
      </c>
      <c r="P21" s="100">
        <f t="shared" si="4"/>
        <v>-1747951.9221570981</v>
      </c>
      <c r="Q21" s="100">
        <f t="shared" si="5"/>
        <v>1591194.5630447296</v>
      </c>
      <c r="R21" s="80">
        <v>0.91175675675675683</v>
      </c>
      <c r="S21" s="80">
        <v>1</v>
      </c>
      <c r="T21" s="100">
        <f t="shared" si="6"/>
        <v>-32927.830072576362</v>
      </c>
      <c r="U21" s="100">
        <f t="shared" si="7"/>
        <v>36114.709135477256</v>
      </c>
      <c r="W21" s="73">
        <v>16</v>
      </c>
      <c r="X21" s="70">
        <v>184.80000000000004</v>
      </c>
      <c r="Y21" s="70">
        <f t="shared" si="8"/>
        <v>0.80000000000000016</v>
      </c>
      <c r="Z21" s="100">
        <f>0.22*(Lbp^(9/4))*(T+0.3*B)*'Ship Characteristics'!$C$8*(1-COS(2*PI()*Y21))</f>
        <v>581641.52612361207</v>
      </c>
    </row>
    <row r="22" spans="2:26" ht="15.75" customHeight="1" x14ac:dyDescent="0.3">
      <c r="B22" s="73">
        <v>17</v>
      </c>
      <c r="C22" s="70">
        <v>196.35000000000005</v>
      </c>
      <c r="D22" s="70">
        <v>0.3625000000000001</v>
      </c>
      <c r="E22" s="68">
        <f t="shared" si="0"/>
        <v>-655233.68218360585</v>
      </c>
      <c r="F22" s="68">
        <f t="shared" si="1"/>
        <v>754676.63187051483</v>
      </c>
      <c r="G22" s="71">
        <v>1</v>
      </c>
      <c r="H22" s="68">
        <f t="shared" si="2"/>
        <v>-39124.268230100359</v>
      </c>
      <c r="I22" s="68">
        <f t="shared" si="3"/>
        <v>45062.046984356748</v>
      </c>
      <c r="M22" s="73">
        <v>17</v>
      </c>
      <c r="N22" s="70">
        <v>196.35000000000005</v>
      </c>
      <c r="O22" s="80">
        <v>0.42857142857142794</v>
      </c>
      <c r="P22" s="100">
        <f t="shared" si="4"/>
        <v>-1310963.9416178223</v>
      </c>
      <c r="Q22" s="100">
        <f t="shared" si="5"/>
        <v>1193395.9222835461</v>
      </c>
      <c r="R22" s="80">
        <v>0.91175675675675683</v>
      </c>
      <c r="S22" s="80">
        <v>1</v>
      </c>
      <c r="T22" s="100">
        <f t="shared" si="6"/>
        <v>-32927.830072576362</v>
      </c>
      <c r="U22" s="100">
        <f t="shared" si="7"/>
        <v>36114.709135477256</v>
      </c>
      <c r="W22" s="73">
        <v>17</v>
      </c>
      <c r="X22" s="70">
        <v>196.35000000000005</v>
      </c>
      <c r="Y22" s="70">
        <f t="shared" si="8"/>
        <v>0.8500000000000002</v>
      </c>
      <c r="Z22" s="100">
        <f>0.22*(Lbp^(9/4))*(T+0.3*B)*'Ship Characteristics'!$C$8*(1-COS(2*PI()*Y22))</f>
        <v>346985.68994527042</v>
      </c>
    </row>
    <row r="23" spans="2:26" ht="15.75" customHeight="1" x14ac:dyDescent="0.3">
      <c r="B23" s="73">
        <v>18</v>
      </c>
      <c r="C23" s="70">
        <v>207.90000000000006</v>
      </c>
      <c r="D23" s="70">
        <v>0.15</v>
      </c>
      <c r="E23" s="68">
        <f t="shared" si="0"/>
        <v>-271131.17883459548</v>
      </c>
      <c r="F23" s="68">
        <f t="shared" si="1"/>
        <v>312279.98560159229</v>
      </c>
      <c r="G23" s="71">
        <v>0.66666666666666663</v>
      </c>
      <c r="H23" s="68">
        <f t="shared" si="2"/>
        <v>-26082.845486733571</v>
      </c>
      <c r="I23" s="68">
        <f t="shared" si="3"/>
        <v>30041.364656237831</v>
      </c>
      <c r="M23" s="73">
        <v>18</v>
      </c>
      <c r="N23" s="70">
        <v>207.90000000000006</v>
      </c>
      <c r="O23" s="80">
        <v>0.28571428571428514</v>
      </c>
      <c r="P23" s="100">
        <f t="shared" si="4"/>
        <v>-873975.96107854776</v>
      </c>
      <c r="Q23" s="100">
        <f t="shared" si="5"/>
        <v>795597.28152236354</v>
      </c>
      <c r="R23" s="80">
        <v>0.60783783783783785</v>
      </c>
      <c r="S23" s="80">
        <v>0.66666666666666663</v>
      </c>
      <c r="T23" s="100">
        <f t="shared" si="6"/>
        <v>-21951.886715050907</v>
      </c>
      <c r="U23" s="100">
        <f t="shared" si="7"/>
        <v>24076.472756984836</v>
      </c>
      <c r="W23" s="73">
        <v>18</v>
      </c>
      <c r="X23" s="70">
        <v>207.90000000000006</v>
      </c>
      <c r="Y23" s="70">
        <f t="shared" si="8"/>
        <v>0.90000000000000024</v>
      </c>
      <c r="Z23" s="100">
        <f>0.22*(Lbp^(9/4))*(T+0.3*B)*'Ship Characteristics'!$C$8*(1-COS(2*PI()*Y23))</f>
        <v>160761.76396689378</v>
      </c>
    </row>
    <row r="24" spans="2:26" ht="15.75" customHeight="1" x14ac:dyDescent="0.3">
      <c r="B24" s="73">
        <v>19</v>
      </c>
      <c r="C24" s="70">
        <v>219.45000000000007</v>
      </c>
      <c r="D24" s="70">
        <v>7.4999999999999997E-2</v>
      </c>
      <c r="E24" s="68">
        <f t="shared" si="0"/>
        <v>-135565.58941729774</v>
      </c>
      <c r="F24" s="68">
        <f t="shared" si="1"/>
        <v>156139.99280079614</v>
      </c>
      <c r="G24" s="71">
        <v>0.33333333333333331</v>
      </c>
      <c r="H24" s="68">
        <f t="shared" si="2"/>
        <v>-13041.422743366786</v>
      </c>
      <c r="I24" s="68">
        <f t="shared" si="3"/>
        <v>15020.682328118915</v>
      </c>
      <c r="M24" s="73">
        <v>19</v>
      </c>
      <c r="N24" s="70">
        <v>219.45000000000007</v>
      </c>
      <c r="O24" s="80">
        <v>0.14285714285714191</v>
      </c>
      <c r="P24" s="100">
        <f t="shared" si="4"/>
        <v>-436987.98053927184</v>
      </c>
      <c r="Q24" s="100">
        <f t="shared" si="5"/>
        <v>397798.64076117991</v>
      </c>
      <c r="R24" s="80">
        <v>0.30391891891891892</v>
      </c>
      <c r="S24" s="80">
        <v>0.33333333333333331</v>
      </c>
      <c r="T24" s="100">
        <f t="shared" si="6"/>
        <v>-10975.943357525453</v>
      </c>
      <c r="U24" s="100">
        <f t="shared" si="7"/>
        <v>12038.236378492418</v>
      </c>
      <c r="W24" s="73">
        <v>19</v>
      </c>
      <c r="X24" s="70">
        <v>219.45000000000007</v>
      </c>
      <c r="Y24" s="70">
        <f t="shared" si="8"/>
        <v>0.95000000000000029</v>
      </c>
      <c r="Z24" s="100">
        <f>0.22*(Lbp^(9/4))*(T+0.3*B)*'Ship Characteristics'!$C$8*(1-COS(2*PI()*Y24))</f>
        <v>41198.643561633507</v>
      </c>
    </row>
    <row r="25" spans="2:26" ht="15.75" customHeight="1" x14ac:dyDescent="0.3">
      <c r="B25" s="73">
        <v>20</v>
      </c>
      <c r="C25" s="70">
        <v>231.00000000000009</v>
      </c>
      <c r="D25" s="70">
        <v>0</v>
      </c>
      <c r="E25" s="68">
        <f t="shared" si="0"/>
        <v>0</v>
      </c>
      <c r="F25" s="68">
        <f t="shared" si="1"/>
        <v>0</v>
      </c>
      <c r="G25" s="71">
        <v>0</v>
      </c>
      <c r="H25" s="68">
        <f t="shared" si="2"/>
        <v>0</v>
      </c>
      <c r="I25" s="68">
        <f t="shared" si="3"/>
        <v>0</v>
      </c>
      <c r="M25" s="73">
        <v>20</v>
      </c>
      <c r="N25" s="70">
        <v>231.00000000000009</v>
      </c>
      <c r="O25" s="80">
        <v>0</v>
      </c>
      <c r="P25" s="100">
        <f t="shared" si="4"/>
        <v>0</v>
      </c>
      <c r="Q25" s="100">
        <f t="shared" si="5"/>
        <v>0</v>
      </c>
      <c r="R25" s="80">
        <v>0</v>
      </c>
      <c r="S25" s="80">
        <v>0</v>
      </c>
      <c r="T25" s="100">
        <f t="shared" si="6"/>
        <v>0</v>
      </c>
      <c r="U25" s="100">
        <f t="shared" si="7"/>
        <v>0</v>
      </c>
      <c r="W25" s="73">
        <v>20</v>
      </c>
      <c r="X25" s="70">
        <v>231.00000000000009</v>
      </c>
      <c r="Y25" s="70">
        <f t="shared" si="8"/>
        <v>1.0000000000000004</v>
      </c>
      <c r="Z25" s="100">
        <f>0.22*(Lbp^(9/4))*(T+0.3*B)*'Ship Characteristics'!$C$8*(1-COS(2*PI()*Y25))</f>
        <v>0</v>
      </c>
    </row>
    <row r="26" spans="2:26" ht="15.75" customHeight="1" x14ac:dyDescent="0.3"/>
    <row r="27" spans="2:26" ht="15.75" customHeight="1" x14ac:dyDescent="0.3">
      <c r="E27" s="74" t="s">
        <v>88</v>
      </c>
      <c r="F27" s="74" t="s">
        <v>141</v>
      </c>
      <c r="G27" s="74" t="s">
        <v>142</v>
      </c>
      <c r="H27" s="74" t="s">
        <v>143</v>
      </c>
      <c r="I27" s="74" t="s">
        <v>144</v>
      </c>
      <c r="P27" s="73" t="s">
        <v>88</v>
      </c>
      <c r="Q27" s="73" t="s">
        <v>141</v>
      </c>
      <c r="R27" s="73" t="s">
        <v>142</v>
      </c>
      <c r="S27" s="73" t="s">
        <v>147</v>
      </c>
      <c r="T27" s="73" t="s">
        <v>148</v>
      </c>
    </row>
    <row r="28" spans="2:26" ht="15.75" customHeight="1" x14ac:dyDescent="0.3">
      <c r="E28" s="69">
        <f>' Design Load and Acceleration'!C3</f>
        <v>10.176842953458653</v>
      </c>
      <c r="F28" s="68">
        <f>-0.065*E28*(Lbp^2)*B*(0.7+'Ship Characteristics'!C8)</f>
        <v>-1807541.1922306365</v>
      </c>
      <c r="G28" s="68">
        <f>E28*(Lbp^2)*B*(0.1225-0.015*'Ship Characteristics'!C8)</f>
        <v>2081866.5706772818</v>
      </c>
      <c r="H28" s="68">
        <f>5*F28/Lbp</f>
        <v>-39124.268230100359</v>
      </c>
      <c r="I28" s="68">
        <f>5*G28/Lbp</f>
        <v>45062.046984356748</v>
      </c>
      <c r="P28" s="71">
        <f>E28</f>
        <v>10.176842953458653</v>
      </c>
      <c r="Q28" s="100">
        <f>-0.11*1*P28*(Lbp^2)*B*(0.7+'Ship Characteristics'!C8)</f>
        <v>-3058915.8637749231</v>
      </c>
      <c r="R28" s="100">
        <f>0.19*1*P28*(Lbp^2)*B*'Ship Characteristics'!C8</f>
        <v>2784590.485328278</v>
      </c>
      <c r="S28" s="100">
        <f>-T28</f>
        <v>-36114.709135477256</v>
      </c>
      <c r="T28" s="100">
        <f>0.3*1*P28*Lbp*B*(0.7+'Ship Characteristics'!C8)</f>
        <v>36114.709135477256</v>
      </c>
    </row>
    <row r="29" spans="2:26" ht="15.75" customHeight="1" x14ac:dyDescent="0.3"/>
    <row r="30" spans="2:26" ht="15.75" customHeight="1" x14ac:dyDescent="0.3"/>
    <row r="31" spans="2:26" ht="15.75" customHeight="1" x14ac:dyDescent="0.3"/>
    <row r="32" spans="2:2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B3:D3"/>
    <mergeCell ref="M3:O3"/>
    <mergeCell ref="W3:Y3"/>
  </mergeCells>
  <pageMargins left="0.511811024" right="0.511811024" top="0.78740157499999996" bottom="0.78740157499999996" header="0" footer="0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H1000"/>
  <sheetViews>
    <sheetView topLeftCell="A7" zoomScale="70" zoomScaleNormal="70" workbookViewId="0">
      <selection activeCell="K100" sqref="K100:AC112"/>
    </sheetView>
  </sheetViews>
  <sheetFormatPr defaultColWidth="14.44140625" defaultRowHeight="15" customHeight="1" x14ac:dyDescent="0.3"/>
  <cols>
    <col min="1" max="2" width="8.6640625" customWidth="1"/>
    <col min="3" max="3" width="10.109375" customWidth="1"/>
    <col min="4" max="10" width="8.6640625" customWidth="1"/>
    <col min="11" max="11" width="22.6640625" bestFit="1" customWidth="1"/>
    <col min="12" max="12" width="25.33203125" customWidth="1"/>
    <col min="13" max="13" width="16.88671875" customWidth="1"/>
    <col min="14" max="14" width="14.44140625" customWidth="1"/>
    <col min="15" max="15" width="16.88671875" customWidth="1"/>
    <col min="16" max="16" width="12" customWidth="1"/>
    <col min="17" max="17" width="23.5546875" customWidth="1"/>
    <col min="18" max="18" width="14.6640625" customWidth="1"/>
    <col min="19" max="19" width="9.6640625" customWidth="1"/>
    <col min="20" max="20" width="12.88671875" customWidth="1"/>
    <col min="21" max="21" width="11.5546875" customWidth="1"/>
    <col min="22" max="24" width="12" customWidth="1"/>
    <col min="25" max="25" width="10.5546875" customWidth="1"/>
    <col min="26" max="26" width="9.33203125" customWidth="1"/>
    <col min="27" max="27" width="11.5546875" customWidth="1"/>
    <col min="28" max="29" width="9.33203125" customWidth="1"/>
    <col min="30" max="30" width="8.109375" customWidth="1"/>
    <col min="31" max="31" width="9.6640625" customWidth="1"/>
    <col min="32" max="32" width="8" customWidth="1"/>
    <col min="33" max="33" width="9.33203125" customWidth="1"/>
    <col min="34" max="34" width="8.6640625" customWidth="1"/>
  </cols>
  <sheetData>
    <row r="1" spans="3:29" ht="14.4" customHeight="1" x14ac:dyDescent="0.55000000000000004">
      <c r="K1" s="107"/>
    </row>
    <row r="2" spans="3:29" ht="15" customHeight="1" x14ac:dyDescent="0.3">
      <c r="K2" s="108" t="s">
        <v>66</v>
      </c>
    </row>
    <row r="3" spans="3:29" ht="14.4" x14ac:dyDescent="0.3">
      <c r="J3" s="18"/>
      <c r="K3" s="228" t="s">
        <v>151</v>
      </c>
      <c r="L3" s="229"/>
      <c r="M3" s="229"/>
      <c r="N3" s="229"/>
      <c r="O3" s="229"/>
      <c r="P3" s="229"/>
      <c r="Q3" s="230"/>
    </row>
    <row r="4" spans="3:29" ht="14.4" x14ac:dyDescent="0.3">
      <c r="K4" s="73" t="s">
        <v>155</v>
      </c>
      <c r="L4" s="73" t="s">
        <v>156</v>
      </c>
      <c r="M4" s="73" t="s">
        <v>156</v>
      </c>
      <c r="N4" s="73" t="s">
        <v>157</v>
      </c>
      <c r="O4" s="73" t="s">
        <v>158</v>
      </c>
      <c r="P4" s="73" t="s">
        <v>159</v>
      </c>
      <c r="Q4" s="73" t="s">
        <v>160</v>
      </c>
    </row>
    <row r="5" spans="3:29" ht="14.4" x14ac:dyDescent="0.3">
      <c r="F5" s="20"/>
      <c r="K5" s="73" t="s">
        <v>164</v>
      </c>
      <c r="L5" s="117" t="s">
        <v>165</v>
      </c>
      <c r="M5" s="117" t="s">
        <v>166</v>
      </c>
      <c r="N5" s="117" t="s">
        <v>64</v>
      </c>
      <c r="O5" s="117" t="s">
        <v>167</v>
      </c>
      <c r="P5" s="117" t="s">
        <v>168</v>
      </c>
      <c r="Q5" s="117" t="s">
        <v>169</v>
      </c>
    </row>
    <row r="6" spans="3:29" ht="14.4" x14ac:dyDescent="0.3">
      <c r="F6" s="21"/>
      <c r="K6" s="73">
        <v>1</v>
      </c>
      <c r="L6" s="70">
        <f>(800+5*Lbp)/1000</f>
        <v>1.9550000000000001</v>
      </c>
      <c r="M6" s="70">
        <v>2</v>
      </c>
      <c r="N6" s="70">
        <f>'Material Proprieties'!E8</f>
        <v>1.39</v>
      </c>
      <c r="O6" s="71">
        <f>IF(7+(0.05*Lbp/SQRT((N6)))+P6&lt;M12,M12,7+(0.05*Lbp/SQRT((N6)))+P6)</f>
        <v>17.796582137803664</v>
      </c>
      <c r="P6" s="70">
        <f>'Material Proprieties'!N6</f>
        <v>1</v>
      </c>
      <c r="Q6" s="70">
        <f>ROUNDUP(O6,0)</f>
        <v>18</v>
      </c>
    </row>
    <row r="7" spans="3:29" ht="14.4" x14ac:dyDescent="0.3">
      <c r="F7" s="21"/>
      <c r="K7" s="65"/>
      <c r="L7" s="95" t="s">
        <v>173</v>
      </c>
      <c r="M7" s="63"/>
      <c r="N7" s="63"/>
      <c r="O7" s="95" t="s">
        <v>174</v>
      </c>
      <c r="P7" s="63"/>
      <c r="Q7" s="63"/>
    </row>
    <row r="8" spans="3:29" ht="14.4" x14ac:dyDescent="0.3">
      <c r="F8" s="23"/>
    </row>
    <row r="9" spans="3:29" ht="14.4" x14ac:dyDescent="0.3">
      <c r="F9" s="23"/>
      <c r="K9" s="231" t="s">
        <v>539</v>
      </c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3"/>
    </row>
    <row r="10" spans="3:29" ht="14.4" x14ac:dyDescent="0.3">
      <c r="F10" s="23"/>
      <c r="K10" s="73" t="s">
        <v>155</v>
      </c>
      <c r="L10" s="73" t="s">
        <v>156</v>
      </c>
      <c r="M10" s="73" t="s">
        <v>158</v>
      </c>
      <c r="N10" s="73" t="s">
        <v>156</v>
      </c>
      <c r="O10" s="210" t="s">
        <v>158</v>
      </c>
      <c r="P10" s="210"/>
      <c r="Q10" s="73" t="s">
        <v>182</v>
      </c>
      <c r="R10" s="73" t="s">
        <v>183</v>
      </c>
      <c r="S10" s="73" t="s">
        <v>184</v>
      </c>
      <c r="T10" s="73" t="s">
        <v>185</v>
      </c>
      <c r="U10" s="73" t="s">
        <v>186</v>
      </c>
      <c r="V10" s="73" t="s">
        <v>187</v>
      </c>
      <c r="W10" s="73" t="s">
        <v>188</v>
      </c>
      <c r="X10" s="73" t="s">
        <v>189</v>
      </c>
      <c r="Y10" s="73" t="s">
        <v>190</v>
      </c>
      <c r="Z10" s="73" t="s">
        <v>191</v>
      </c>
      <c r="AA10" s="73" t="s">
        <v>192</v>
      </c>
      <c r="AB10" s="73" t="s">
        <v>193</v>
      </c>
      <c r="AC10" s="73" t="s">
        <v>157</v>
      </c>
    </row>
    <row r="11" spans="3:29" ht="14.4" x14ac:dyDescent="0.3">
      <c r="K11" s="73" t="s">
        <v>164</v>
      </c>
      <c r="L11" s="117" t="s">
        <v>166</v>
      </c>
      <c r="M11" s="117" t="s">
        <v>169</v>
      </c>
      <c r="N11" s="117" t="s">
        <v>165</v>
      </c>
      <c r="O11" s="117" t="s">
        <v>167</v>
      </c>
      <c r="P11" s="117" t="s">
        <v>196</v>
      </c>
      <c r="Q11" s="117" t="s">
        <v>3</v>
      </c>
      <c r="R11" s="117" t="s">
        <v>197</v>
      </c>
      <c r="S11" s="117" t="s">
        <v>197</v>
      </c>
      <c r="T11" s="117" t="s">
        <v>197</v>
      </c>
      <c r="U11" s="117" t="s">
        <v>197</v>
      </c>
      <c r="V11" s="117" t="s">
        <v>15</v>
      </c>
      <c r="W11" s="117" t="s">
        <v>197</v>
      </c>
      <c r="X11" s="117" t="s">
        <v>15</v>
      </c>
      <c r="Y11" s="117" t="s">
        <v>3</v>
      </c>
      <c r="Z11" s="117" t="s">
        <v>3</v>
      </c>
      <c r="AA11" s="117" t="s">
        <v>3</v>
      </c>
      <c r="AB11" s="117" t="s">
        <v>3</v>
      </c>
      <c r="AC11" s="117" t="s">
        <v>64</v>
      </c>
    </row>
    <row r="12" spans="3:29" ht="14.4" x14ac:dyDescent="0.3">
      <c r="K12" s="73">
        <v>2</v>
      </c>
      <c r="L12" s="71">
        <v>2.25</v>
      </c>
      <c r="M12" s="109">
        <f t="shared" ref="M12:M20" si="0">ROUNDUP(MAX(O12:P12),0)</f>
        <v>15</v>
      </c>
      <c r="N12" s="70">
        <f t="shared" ref="N12:N20" si="1">$L$6</f>
        <v>1.9550000000000001</v>
      </c>
      <c r="O12" s="72">
        <f>(15.8*$C$28*Q12*SQRT(U12)/SQRT(V12))+'Material Proprieties'!N7</f>
        <v>14.339740947434246</v>
      </c>
      <c r="P12" s="72">
        <f>5+(0.04*Lbp/SQRT('Bottom structures'!AC12))+'Material Proprieties'!N7</f>
        <v>13.837265710242932</v>
      </c>
      <c r="Q12" s="70">
        <v>0.75</v>
      </c>
      <c r="R12" s="72">
        <f t="shared" ref="R12:R20" si="2">10*T+W12</f>
        <v>152.06833919158885</v>
      </c>
      <c r="S12" s="72">
        <f>'Ship Characteristics'!$H$16*('Ship Characteristics'!$H$15+0.5*' Design Load and Acceleration'!$C$22)*AB12-10*$C$32</f>
        <v>-22.735650695868706</v>
      </c>
      <c r="T12" s="72">
        <f>'Ship Characteristics'!$H$16*'Ship Characteristics'!$H$15*AB12+$C$26-10*$C$32</f>
        <v>-11.089499999999987</v>
      </c>
      <c r="U12" s="72">
        <f t="shared" ref="U12:U20" si="3">MAX(R12:T12)</f>
        <v>152.06833919158885</v>
      </c>
      <c r="V12" s="72">
        <f t="shared" ref="V12:V20" si="4">175*AC12-120*$C$29</f>
        <v>139.03787878787875</v>
      </c>
      <c r="W12" s="72">
        <f t="shared" ref="W12:W20" si="5">X12+135*Y12/(B+75)-1.2*(T-Z12)</f>
        <v>20.068339191588848</v>
      </c>
      <c r="X12" s="72">
        <f t="shared" ref="X12:X20" si="6">$C$33*Cw+AA12</f>
        <v>25.253685906917308</v>
      </c>
      <c r="Y12" s="70">
        <f>B/4</f>
        <v>8.65</v>
      </c>
      <c r="Z12" s="70">
        <v>0</v>
      </c>
      <c r="AA12" s="70">
        <f t="shared" ref="AA12:AA20" si="7">MIN(T,$C$34)</f>
        <v>4.9000000000000021</v>
      </c>
      <c r="AB12" s="70">
        <v>2</v>
      </c>
      <c r="AC12" s="70">
        <f>'Material Proprieties'!$E$8</f>
        <v>1.39</v>
      </c>
    </row>
    <row r="13" spans="3:29" ht="14.4" x14ac:dyDescent="0.3">
      <c r="K13" s="73">
        <v>3</v>
      </c>
      <c r="L13" s="71">
        <v>2.25</v>
      </c>
      <c r="M13" s="109">
        <f t="shared" si="0"/>
        <v>15</v>
      </c>
      <c r="N13" s="70">
        <f t="shared" si="1"/>
        <v>1.9550000000000001</v>
      </c>
      <c r="O13" s="72">
        <f>(15.8*$C$28*Q13*SQRT(U13)/SQRT(V13))+'Material Proprieties'!N8</f>
        <v>14.339740947434246</v>
      </c>
      <c r="P13" s="72">
        <f>5+(0.04*Lbp/SQRT('Bottom structures'!AC13))+'Material Proprieties'!N8</f>
        <v>13.837265710242932</v>
      </c>
      <c r="Q13" s="70">
        <v>0.75</v>
      </c>
      <c r="R13" s="72">
        <f t="shared" si="2"/>
        <v>152.06833919158885</v>
      </c>
      <c r="S13" s="72">
        <f>'Ship Characteristics'!$H$16*('Ship Characteristics'!$H$15+0.5*' Design Load and Acceleration'!$C$22)*AB13-10*$C$32</f>
        <v>-22.735650695868706</v>
      </c>
      <c r="T13" s="72">
        <f>'Ship Characteristics'!$H$16*'Ship Characteristics'!$H$15*AB13+$C$26-10*$C$32</f>
        <v>-11.089499999999987</v>
      </c>
      <c r="U13" s="72">
        <f t="shared" si="3"/>
        <v>152.06833919158885</v>
      </c>
      <c r="V13" s="72">
        <f t="shared" si="4"/>
        <v>139.03787878787875</v>
      </c>
      <c r="W13" s="72">
        <f t="shared" si="5"/>
        <v>20.068339191588848</v>
      </c>
      <c r="X13" s="72">
        <f t="shared" si="6"/>
        <v>25.253685906917308</v>
      </c>
      <c r="Y13" s="70">
        <f>B/4</f>
        <v>8.65</v>
      </c>
      <c r="Z13" s="70">
        <v>0</v>
      </c>
      <c r="AA13" s="70">
        <f t="shared" si="7"/>
        <v>4.9000000000000021</v>
      </c>
      <c r="AB13" s="70">
        <v>2</v>
      </c>
      <c r="AC13" s="70">
        <f>'Material Proprieties'!$E$8</f>
        <v>1.39</v>
      </c>
    </row>
    <row r="14" spans="3:29" ht="14.4" x14ac:dyDescent="0.3">
      <c r="K14" s="73">
        <v>4</v>
      </c>
      <c r="L14" s="71">
        <v>2.25</v>
      </c>
      <c r="M14" s="109">
        <f t="shared" si="0"/>
        <v>15</v>
      </c>
      <c r="N14" s="70">
        <f t="shared" si="1"/>
        <v>1.9550000000000001</v>
      </c>
      <c r="O14" s="72">
        <f>(15.8*$C$28*Q14*SQRT(U14)/SQRT(V14))+'Material Proprieties'!N9</f>
        <v>14.339740947434246</v>
      </c>
      <c r="P14" s="72">
        <f>5+(0.04*Lbp/SQRT('Bottom structures'!AC14))+'Material Proprieties'!N9</f>
        <v>13.837265710242932</v>
      </c>
      <c r="Q14" s="70">
        <v>0.75</v>
      </c>
      <c r="R14" s="72">
        <f t="shared" si="2"/>
        <v>152.06833919158885</v>
      </c>
      <c r="S14" s="72">
        <f>'Ship Characteristics'!$H$16*('Ship Characteristics'!$H$15+0.5*' Design Load and Acceleration'!$C$22)*AB14-10*$C$32</f>
        <v>-22.735650695868706</v>
      </c>
      <c r="T14" s="72">
        <f>'Ship Characteristics'!$H$16*'Ship Characteristics'!$H$15*AB14+$C$26-10*$C$32</f>
        <v>-11.089499999999987</v>
      </c>
      <c r="U14" s="72">
        <f t="shared" si="3"/>
        <v>152.06833919158885</v>
      </c>
      <c r="V14" s="72">
        <f t="shared" si="4"/>
        <v>139.03787878787875</v>
      </c>
      <c r="W14" s="72">
        <f t="shared" si="5"/>
        <v>20.068339191588848</v>
      </c>
      <c r="X14" s="72">
        <f t="shared" si="6"/>
        <v>25.253685906917308</v>
      </c>
      <c r="Y14" s="70">
        <f>B/4</f>
        <v>8.65</v>
      </c>
      <c r="Z14" s="70">
        <v>0</v>
      </c>
      <c r="AA14" s="70">
        <f t="shared" si="7"/>
        <v>4.9000000000000021</v>
      </c>
      <c r="AB14" s="70">
        <v>2</v>
      </c>
      <c r="AC14" s="70">
        <f>'Material Proprieties'!$E$8</f>
        <v>1.39</v>
      </c>
    </row>
    <row r="15" spans="3:29" ht="14.4" x14ac:dyDescent="0.3">
      <c r="C15" s="22"/>
      <c r="K15" s="73">
        <v>5</v>
      </c>
      <c r="L15" s="71">
        <v>2.25</v>
      </c>
      <c r="M15" s="109">
        <f t="shared" si="0"/>
        <v>15</v>
      </c>
      <c r="N15" s="70">
        <f t="shared" si="1"/>
        <v>1.9550000000000001</v>
      </c>
      <c r="O15" s="72">
        <f>(15.8*$C$28*Q15*SQRT(U15)/SQRT(V15))+'Material Proprieties'!N10</f>
        <v>14.35189123592496</v>
      </c>
      <c r="P15" s="72">
        <f>5+(0.04*Lbp/SQRT('Bottom structures'!AC15))+'Material Proprieties'!N10</f>
        <v>13.837265710242932</v>
      </c>
      <c r="Q15" s="70">
        <v>0.75</v>
      </c>
      <c r="R15" s="72">
        <f t="shared" si="2"/>
        <v>152.34548335217278</v>
      </c>
      <c r="S15" s="72">
        <f>'Ship Characteristics'!$H$16*('Ship Characteristics'!$H$15+0.5*' Design Load and Acceleration'!$C$22)*AB15-10*$C$32</f>
        <v>-22.735650695868706</v>
      </c>
      <c r="T15" s="72">
        <f>'Ship Characteristics'!$H$16*'Ship Characteristics'!$H$15*AB15+$C$26-10*$C$32</f>
        <v>-11.089499999999987</v>
      </c>
      <c r="U15" s="72">
        <f t="shared" si="3"/>
        <v>152.34548335217278</v>
      </c>
      <c r="V15" s="72">
        <f t="shared" si="4"/>
        <v>139.03787878787875</v>
      </c>
      <c r="W15" s="72">
        <f t="shared" si="5"/>
        <v>20.345483352172785</v>
      </c>
      <c r="X15" s="72">
        <f t="shared" si="6"/>
        <v>25.253685906917308</v>
      </c>
      <c r="Y15" s="70">
        <v>8.875</v>
      </c>
      <c r="Z15" s="70">
        <v>0</v>
      </c>
      <c r="AA15" s="70">
        <f t="shared" si="7"/>
        <v>4.9000000000000021</v>
      </c>
      <c r="AB15" s="70">
        <v>2</v>
      </c>
      <c r="AC15" s="70">
        <f>'Material Proprieties'!$E$8</f>
        <v>1.39</v>
      </c>
    </row>
    <row r="16" spans="3:29" ht="14.4" x14ac:dyDescent="0.3">
      <c r="K16" s="73">
        <v>6</v>
      </c>
      <c r="L16" s="71">
        <v>2.25</v>
      </c>
      <c r="M16" s="109">
        <f t="shared" si="0"/>
        <v>15</v>
      </c>
      <c r="N16" s="70">
        <f t="shared" si="1"/>
        <v>1.9550000000000001</v>
      </c>
      <c r="O16" s="72">
        <f>(15.8*$C$28*Q16*SQRT(U16)/SQRT(V16))+'Material Proprieties'!N11</f>
        <v>14.472791466104152</v>
      </c>
      <c r="P16" s="72">
        <f>5+(0.04*Lbp/SQRT('Bottom structures'!AC16))+'Material Proprieties'!N11</f>
        <v>13.837265710242932</v>
      </c>
      <c r="Q16" s="70">
        <v>0.75</v>
      </c>
      <c r="R16" s="72">
        <f t="shared" si="2"/>
        <v>155.11692495801219</v>
      </c>
      <c r="S16" s="72">
        <f>'Ship Characteristics'!$H$16*('Ship Characteristics'!$H$15+0.5*' Design Load and Acceleration'!$C$22)*AB16-10*$C$32</f>
        <v>-22.735650695868706</v>
      </c>
      <c r="T16" s="72">
        <f>'Ship Characteristics'!$H$16*'Ship Characteristics'!$H$15*AB16+$C$26-10*$C$32</f>
        <v>-11.089499999999987</v>
      </c>
      <c r="U16" s="72">
        <f t="shared" si="3"/>
        <v>155.11692495801219</v>
      </c>
      <c r="V16" s="72">
        <f t="shared" si="4"/>
        <v>139.03787878787875</v>
      </c>
      <c r="W16" s="72">
        <f t="shared" si="5"/>
        <v>23.116924958012206</v>
      </c>
      <c r="X16" s="72">
        <f t="shared" si="6"/>
        <v>25.253685906917308</v>
      </c>
      <c r="Y16" s="70">
        <v>11.125</v>
      </c>
      <c r="Z16" s="70">
        <v>0</v>
      </c>
      <c r="AA16" s="70">
        <f t="shared" si="7"/>
        <v>4.9000000000000021</v>
      </c>
      <c r="AB16" s="70">
        <v>2</v>
      </c>
      <c r="AC16" s="70">
        <f>'Material Proprieties'!$E$8</f>
        <v>1.39</v>
      </c>
    </row>
    <row r="17" spans="2:34" ht="14.4" x14ac:dyDescent="0.3">
      <c r="K17" s="73">
        <v>7</v>
      </c>
      <c r="L17" s="71">
        <v>2</v>
      </c>
      <c r="M17" s="109">
        <f t="shared" si="0"/>
        <v>17</v>
      </c>
      <c r="N17" s="70">
        <f t="shared" si="1"/>
        <v>1.9550000000000001</v>
      </c>
      <c r="O17" s="72">
        <f>(15.8*$C$28*Q17*SQRT(U17)/SQRT(V17))+'Material Proprieties'!N12</f>
        <v>16.035159135765578</v>
      </c>
      <c r="P17" s="72">
        <f>5+(0.04*Lbp/SQRT('Bottom structures'!AC17))+'Material Proprieties'!N12</f>
        <v>13.837265710242932</v>
      </c>
      <c r="Q17" s="70">
        <v>0.83</v>
      </c>
      <c r="R17" s="72">
        <f t="shared" si="2"/>
        <v>157.73439758574943</v>
      </c>
      <c r="S17" s="72">
        <f>'Ship Characteristics'!$H$16*('Ship Characteristics'!$H$15+0.5*' Design Load and Acceleration'!$C$22)*AB17-10*$C$32</f>
        <v>-22.735650695868706</v>
      </c>
      <c r="T17" s="72">
        <f>'Ship Characteristics'!$H$16*'Ship Characteristics'!$H$15*AB17+$C$26-10*$C$32</f>
        <v>-11.089499999999987</v>
      </c>
      <c r="U17" s="72">
        <f t="shared" si="3"/>
        <v>157.73439758574943</v>
      </c>
      <c r="V17" s="72">
        <f t="shared" si="4"/>
        <v>139.03787878787875</v>
      </c>
      <c r="W17" s="72">
        <f t="shared" si="5"/>
        <v>25.734397585749427</v>
      </c>
      <c r="X17" s="72">
        <f t="shared" si="6"/>
        <v>25.253685906917308</v>
      </c>
      <c r="Y17" s="70">
        <v>13.25</v>
      </c>
      <c r="Z17" s="70">
        <v>0</v>
      </c>
      <c r="AA17" s="70">
        <f t="shared" si="7"/>
        <v>4.9000000000000021</v>
      </c>
      <c r="AB17" s="70">
        <v>2</v>
      </c>
      <c r="AC17" s="70">
        <f>'Material Proprieties'!$E$8</f>
        <v>1.39</v>
      </c>
    </row>
    <row r="18" spans="2:34" ht="14.4" x14ac:dyDescent="0.3">
      <c r="J18" s="11"/>
      <c r="K18" s="73">
        <v>8</v>
      </c>
      <c r="L18" s="71">
        <v>4.8899999999999997</v>
      </c>
      <c r="M18" s="109">
        <f t="shared" si="0"/>
        <v>17</v>
      </c>
      <c r="N18" s="70">
        <f t="shared" si="1"/>
        <v>1.9550000000000001</v>
      </c>
      <c r="O18" s="72">
        <f>(15.8*$C$28*Q18*SQRT(U18)/SQRT(V18))+'Material Proprieties'!N13</f>
        <v>16.269890643866148</v>
      </c>
      <c r="P18" s="72">
        <f>5+(0.04*Lbp/SQRT('Bottom structures'!AC18))+'Material Proprieties'!N13</f>
        <v>13.837265710242932</v>
      </c>
      <c r="Q18" s="70">
        <v>0.83</v>
      </c>
      <c r="R18" s="72">
        <f t="shared" si="2"/>
        <v>162.69799722078591</v>
      </c>
      <c r="S18" s="72">
        <f>'Ship Characteristics'!$H$16*('Ship Characteristics'!$H$15+0.5*' Design Load and Acceleration'!$C$22)*AB18-10*$C$32</f>
        <v>0.72869860826257593</v>
      </c>
      <c r="T18" s="72">
        <f>'Ship Characteristics'!$H$16*'Ship Characteristics'!$H$15*AB18+$C$26-10*$C$32</f>
        <v>9.0210000000000079</v>
      </c>
      <c r="U18" s="72">
        <f t="shared" si="3"/>
        <v>162.69799722078591</v>
      </c>
      <c r="V18" s="72">
        <f t="shared" si="4"/>
        <v>139.03787878787875</v>
      </c>
      <c r="W18" s="72">
        <f t="shared" si="5"/>
        <v>30.697997220785922</v>
      </c>
      <c r="X18" s="72">
        <f t="shared" si="6"/>
        <v>25.253685906917308</v>
      </c>
      <c r="Y18" s="70">
        <v>16.475000000000001</v>
      </c>
      <c r="Z18" s="70">
        <v>0.82599999999999996</v>
      </c>
      <c r="AA18" s="70">
        <f t="shared" si="7"/>
        <v>4.9000000000000021</v>
      </c>
      <c r="AB18" s="70">
        <v>4</v>
      </c>
      <c r="AC18" s="70">
        <f>'Material Proprieties'!$E$8</f>
        <v>1.39</v>
      </c>
    </row>
    <row r="19" spans="2:34" ht="14.4" x14ac:dyDescent="0.3">
      <c r="K19" s="73">
        <v>9</v>
      </c>
      <c r="L19" s="71">
        <v>2.3250000000000002</v>
      </c>
      <c r="M19" s="109">
        <f t="shared" si="0"/>
        <v>17</v>
      </c>
      <c r="N19" s="70">
        <f t="shared" si="1"/>
        <v>1.9550000000000001</v>
      </c>
      <c r="O19" s="72">
        <f>(15.8*$C$28*Q19*SQRT(U19)/SQRT(V19))+'Material Proprieties'!N14</f>
        <v>16.670541285659766</v>
      </c>
      <c r="P19" s="72">
        <f>5+(0.04*Lbp/SQRT('Bottom structures'!AC19))+'Material Proprieties'!N14</f>
        <v>13.621023553303059</v>
      </c>
      <c r="Q19" s="70">
        <v>0.88</v>
      </c>
      <c r="R19" s="72">
        <f t="shared" si="2"/>
        <v>167.77799247626038</v>
      </c>
      <c r="S19" s="72">
        <f>'Ship Characteristics'!$H$16*('Ship Characteristics'!$H$15+0.5*' Design Load and Acceleration'!$C$22)*AB19-10*$C$32</f>
        <v>-8.657041113389937</v>
      </c>
      <c r="T19" s="72">
        <f>'Ship Characteristics'!$H$16*'Ship Characteristics'!$H$15*AB19+$C$26-10*$C$32</f>
        <v>0.97680000000001144</v>
      </c>
      <c r="U19" s="72">
        <f t="shared" si="3"/>
        <v>167.77799247626038</v>
      </c>
      <c r="V19" s="72">
        <f t="shared" si="4"/>
        <v>153.03787878787875</v>
      </c>
      <c r="W19" s="72">
        <f t="shared" si="5"/>
        <v>35.77799247626038</v>
      </c>
      <c r="X19" s="72">
        <f t="shared" si="6"/>
        <v>25.253685906917308</v>
      </c>
      <c r="Y19" s="70">
        <f>B/2</f>
        <v>17.3</v>
      </c>
      <c r="Z19" s="70">
        <v>4.2125000000000004</v>
      </c>
      <c r="AA19" s="70">
        <f t="shared" si="7"/>
        <v>4.9000000000000021</v>
      </c>
      <c r="AB19" s="70">
        <v>3.2</v>
      </c>
      <c r="AC19" s="70">
        <f>'Material Proprieties'!$E$9</f>
        <v>1.47</v>
      </c>
    </row>
    <row r="20" spans="2:34" ht="14.4" x14ac:dyDescent="0.3">
      <c r="K20" s="73">
        <v>10</v>
      </c>
      <c r="L20" s="71">
        <v>2.3250000000000002</v>
      </c>
      <c r="M20" s="109">
        <f t="shared" si="0"/>
        <v>17</v>
      </c>
      <c r="N20" s="70">
        <f t="shared" si="1"/>
        <v>1.9550000000000001</v>
      </c>
      <c r="O20" s="72">
        <f>(15.8*$C$28*Q20*SQRT(U20)/SQRT(V20))+'Material Proprieties'!N15</f>
        <v>16.800297714508616</v>
      </c>
      <c r="P20" s="72">
        <f>5+(0.04*Lbp/SQRT('Bottom structures'!AC20))+'Material Proprieties'!N15</f>
        <v>13.621023553303059</v>
      </c>
      <c r="Q20" s="70">
        <v>0.88</v>
      </c>
      <c r="R20" s="72">
        <f t="shared" si="2"/>
        <v>170.56799247626037</v>
      </c>
      <c r="S20" s="72">
        <f>'Ship Characteristics'!$H$16*('Ship Characteristics'!$H$15+0.5*' Design Load and Acceleration'!$C$22)*AB20-10*$C$32</f>
        <v>-34.467825347934351</v>
      </c>
      <c r="T20" s="72">
        <f>'Ship Characteristics'!$H$16*'Ship Characteristics'!$H$15*AB20+$C$26-10*$C$32</f>
        <v>-21.144749999999988</v>
      </c>
      <c r="U20" s="72">
        <f t="shared" si="3"/>
        <v>170.56799247626037</v>
      </c>
      <c r="V20" s="72">
        <f t="shared" si="4"/>
        <v>153.03787878787875</v>
      </c>
      <c r="W20" s="72">
        <f t="shared" si="5"/>
        <v>38.567992476260379</v>
      </c>
      <c r="X20" s="72">
        <f t="shared" si="6"/>
        <v>25.253685906917308</v>
      </c>
      <c r="Y20" s="70">
        <f>B/2</f>
        <v>17.3</v>
      </c>
      <c r="Z20" s="70">
        <v>6.5374999999999996</v>
      </c>
      <c r="AA20" s="70">
        <f t="shared" si="7"/>
        <v>4.9000000000000021</v>
      </c>
      <c r="AB20" s="70">
        <v>1</v>
      </c>
      <c r="AC20" s="70">
        <f>'Material Proprieties'!$E$9</f>
        <v>1.47</v>
      </c>
    </row>
    <row r="21" spans="2:34" ht="15.75" customHeight="1" x14ac:dyDescent="0.3">
      <c r="K21" s="63"/>
      <c r="L21" s="63"/>
      <c r="M21" s="63"/>
      <c r="N21" s="95" t="s">
        <v>201</v>
      </c>
      <c r="O21" s="95" t="s">
        <v>202</v>
      </c>
      <c r="P21" s="95" t="s">
        <v>203</v>
      </c>
      <c r="Q21" s="63"/>
      <c r="R21" s="95" t="s">
        <v>204</v>
      </c>
      <c r="S21" s="63"/>
      <c r="T21" s="63"/>
      <c r="U21" s="63"/>
      <c r="V21" s="95" t="s">
        <v>203</v>
      </c>
      <c r="W21" s="95" t="s">
        <v>199</v>
      </c>
      <c r="X21" s="95" t="s">
        <v>154</v>
      </c>
      <c r="Y21" s="63"/>
      <c r="Z21" s="63"/>
      <c r="AA21" s="63"/>
      <c r="AB21" s="63"/>
      <c r="AC21" s="63"/>
    </row>
    <row r="22" spans="2:34" ht="15.75" customHeight="1" x14ac:dyDescent="0.3"/>
    <row r="23" spans="2:34" ht="15.75" customHeight="1" x14ac:dyDescent="0.3">
      <c r="K23" s="222" t="s">
        <v>205</v>
      </c>
      <c r="L23" s="223"/>
      <c r="M23" s="223"/>
      <c r="N23" s="223"/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3"/>
      <c r="AA23" s="223"/>
      <c r="AB23" s="223"/>
      <c r="AC23" s="223"/>
      <c r="AD23" s="223"/>
      <c r="AE23" s="223"/>
      <c r="AF23" s="223"/>
      <c r="AG23" s="224"/>
    </row>
    <row r="24" spans="2:34" ht="15.75" customHeight="1" x14ac:dyDescent="0.3">
      <c r="K24" s="73" t="s">
        <v>155</v>
      </c>
      <c r="L24" s="73" t="s">
        <v>156</v>
      </c>
      <c r="M24" s="73" t="s">
        <v>158</v>
      </c>
      <c r="N24" s="73" t="s">
        <v>156</v>
      </c>
      <c r="O24" s="228" t="s">
        <v>158</v>
      </c>
      <c r="P24" s="230"/>
      <c r="Q24" s="73" t="s">
        <v>182</v>
      </c>
      <c r="R24" s="73" t="s">
        <v>206</v>
      </c>
      <c r="S24" s="73" t="s">
        <v>207</v>
      </c>
      <c r="T24" s="73" t="s">
        <v>208</v>
      </c>
      <c r="U24" s="73" t="s">
        <v>209</v>
      </c>
      <c r="V24" s="73" t="s">
        <v>186</v>
      </c>
      <c r="W24" s="73" t="s">
        <v>187</v>
      </c>
      <c r="X24" s="73" t="s">
        <v>188</v>
      </c>
      <c r="Y24" s="73" t="s">
        <v>189</v>
      </c>
      <c r="Z24" s="73" t="s">
        <v>190</v>
      </c>
      <c r="AA24" s="73" t="s">
        <v>191</v>
      </c>
      <c r="AB24" s="73" t="s">
        <v>192</v>
      </c>
      <c r="AC24" s="73" t="s">
        <v>210</v>
      </c>
      <c r="AD24" s="73" t="s">
        <v>211</v>
      </c>
      <c r="AE24" s="73" t="s">
        <v>212</v>
      </c>
      <c r="AF24" s="73" t="s">
        <v>193</v>
      </c>
      <c r="AG24" s="73" t="s">
        <v>157</v>
      </c>
    </row>
    <row r="25" spans="2:34" ht="15.75" customHeight="1" x14ac:dyDescent="0.3">
      <c r="B25" s="225" t="s">
        <v>540</v>
      </c>
      <c r="C25" s="210"/>
      <c r="D25" s="210"/>
      <c r="E25" s="210"/>
      <c r="K25" s="73" t="s">
        <v>164</v>
      </c>
      <c r="L25" s="117" t="s">
        <v>166</v>
      </c>
      <c r="M25" s="117" t="s">
        <v>169</v>
      </c>
      <c r="N25" s="117" t="s">
        <v>165</v>
      </c>
      <c r="O25" s="117" t="s">
        <v>167</v>
      </c>
      <c r="P25" s="117" t="s">
        <v>196</v>
      </c>
      <c r="Q25" s="117" t="s">
        <v>3</v>
      </c>
      <c r="R25" s="117" t="s">
        <v>197</v>
      </c>
      <c r="S25" s="117" t="s">
        <v>197</v>
      </c>
      <c r="T25" s="117" t="s">
        <v>197</v>
      </c>
      <c r="U25" s="117" t="s">
        <v>197</v>
      </c>
      <c r="V25" s="117" t="s">
        <v>197</v>
      </c>
      <c r="W25" s="117" t="s">
        <v>15</v>
      </c>
      <c r="X25" s="117" t="s">
        <v>197</v>
      </c>
      <c r="Y25" s="117" t="s">
        <v>15</v>
      </c>
      <c r="Z25" s="117" t="s">
        <v>3</v>
      </c>
      <c r="AA25" s="117" t="s">
        <v>3</v>
      </c>
      <c r="AB25" s="117" t="s">
        <v>3</v>
      </c>
      <c r="AC25" s="117" t="s">
        <v>15</v>
      </c>
      <c r="AD25" s="117" t="s">
        <v>3</v>
      </c>
      <c r="AE25" s="117" t="s">
        <v>197</v>
      </c>
      <c r="AF25" s="117" t="s">
        <v>3</v>
      </c>
      <c r="AG25" s="117" t="s">
        <v>64</v>
      </c>
    </row>
    <row r="26" spans="2:34" ht="15.75" customHeight="1" x14ac:dyDescent="0.3">
      <c r="B26" s="73" t="s">
        <v>152</v>
      </c>
      <c r="C26" s="70">
        <v>15</v>
      </c>
      <c r="D26" s="63" t="s">
        <v>153</v>
      </c>
      <c r="E26" s="105" t="s">
        <v>154</v>
      </c>
      <c r="K26" s="73">
        <v>28</v>
      </c>
      <c r="L26" s="70">
        <v>3.73</v>
      </c>
      <c r="M26" s="70">
        <f t="shared" ref="M26:M32" si="8">ROUNDUP(MAX(O26:P26),0)</f>
        <v>15</v>
      </c>
      <c r="N26" s="70">
        <f t="shared" ref="N26:N32" si="9">$L$6</f>
        <v>1.9550000000000001</v>
      </c>
      <c r="O26" s="71">
        <f>(15.8*$C$28*Q26*SQRT(V26)/SQRT(W26))+'Material Proprieties'!N33</f>
        <v>14.110074951363584</v>
      </c>
      <c r="P26" s="71">
        <f>$C$27+(0.03*Lbp/SQRT(AG26))+'Material Proprieties'!N33</f>
        <v>13.215767664977294</v>
      </c>
      <c r="Q26" s="70">
        <v>0.83</v>
      </c>
      <c r="R26" s="71">
        <f>ro*(g+0.5*' Design Load and Acceleration'!$C$22)*AC26</f>
        <v>158.38435780288614</v>
      </c>
      <c r="S26" s="71">
        <f t="shared" ref="S26:S32" si="10">0.67*(10*AD26+AE26)</f>
        <v>108.54</v>
      </c>
      <c r="T26" s="71">
        <f t="shared" ref="T26:T32" si="11">10*AF26+$C$26</f>
        <v>88</v>
      </c>
      <c r="U26" s="71">
        <f t="shared" ref="U26:U32" si="12">10*T</f>
        <v>132</v>
      </c>
      <c r="V26" s="71">
        <f t="shared" ref="V26:V32" si="13">MAX(R26:U26)</f>
        <v>158.38435780288614</v>
      </c>
      <c r="W26" s="71">
        <f t="shared" ref="W26:W32" si="14">200*AG26-110*$C$29</f>
        <v>198.47222222222223</v>
      </c>
      <c r="X26" s="71">
        <f t="shared" ref="X26:X32" si="15">Y26+135*Z26/(B+75)-1.2*(T-AA26)</f>
        <v>36.321715103997605</v>
      </c>
      <c r="Y26" s="71">
        <f t="shared" ref="Y26:Y32" si="16">$C$33*Cw+AB26</f>
        <v>25.253685906917308</v>
      </c>
      <c r="Z26" s="70">
        <v>16</v>
      </c>
      <c r="AA26" s="70">
        <v>6</v>
      </c>
      <c r="AB26" s="70">
        <f t="shared" ref="AB26:AB32" si="17">AA12</f>
        <v>4.9000000000000021</v>
      </c>
      <c r="AC26" s="70">
        <v>13.5</v>
      </c>
      <c r="AD26" s="70">
        <v>13.7</v>
      </c>
      <c r="AE26" s="70">
        <v>25</v>
      </c>
      <c r="AF26" s="70">
        <v>7.3</v>
      </c>
      <c r="AG26" s="70">
        <f>'Material Proprieties'!$E$9</f>
        <v>1.47</v>
      </c>
    </row>
    <row r="27" spans="2:34" ht="15.75" customHeight="1" x14ac:dyDescent="0.3">
      <c r="B27" s="73" t="s">
        <v>161</v>
      </c>
      <c r="C27" s="70">
        <v>6</v>
      </c>
      <c r="D27" s="63" t="s">
        <v>162</v>
      </c>
      <c r="E27" s="105" t="s">
        <v>163</v>
      </c>
      <c r="K27" s="73">
        <v>29</v>
      </c>
      <c r="L27" s="70">
        <v>3.73</v>
      </c>
      <c r="M27" s="70">
        <f t="shared" si="8"/>
        <v>15</v>
      </c>
      <c r="N27" s="70">
        <f t="shared" si="9"/>
        <v>1.9550000000000001</v>
      </c>
      <c r="O27" s="71">
        <f>(15.8*$C$28*Q27*SQRT(V27)/SQRT(W27))+'Material Proprieties'!N34</f>
        <v>14.591285081247205</v>
      </c>
      <c r="P27" s="71">
        <f>$C$27+(0.03*Lbp/SQRT(AG27))+'Material Proprieties'!N34</f>
        <v>13.215767664977294</v>
      </c>
      <c r="Q27" s="70">
        <v>0.83</v>
      </c>
      <c r="R27" s="71">
        <f>ro*(g+0.5*' Design Load and Acceleration'!$C$22)*AC27</f>
        <v>170.70314118755508</v>
      </c>
      <c r="S27" s="71">
        <f t="shared" si="10"/>
        <v>123.95</v>
      </c>
      <c r="T27" s="71">
        <f t="shared" si="11"/>
        <v>124</v>
      </c>
      <c r="U27" s="71">
        <f t="shared" si="12"/>
        <v>132</v>
      </c>
      <c r="V27" s="71">
        <f t="shared" si="13"/>
        <v>170.70314118755508</v>
      </c>
      <c r="W27" s="71">
        <f t="shared" si="14"/>
        <v>198.47222222222223</v>
      </c>
      <c r="X27" s="71">
        <f t="shared" si="15"/>
        <v>29.87916035947206</v>
      </c>
      <c r="Y27" s="71">
        <f t="shared" si="16"/>
        <v>25.253685906917308</v>
      </c>
      <c r="Z27" s="70">
        <v>13.4</v>
      </c>
      <c r="AA27" s="70">
        <v>3.3</v>
      </c>
      <c r="AB27" s="70">
        <f t="shared" si="17"/>
        <v>4.9000000000000021</v>
      </c>
      <c r="AC27" s="70">
        <v>14.55</v>
      </c>
      <c r="AD27" s="70">
        <v>16</v>
      </c>
      <c r="AE27" s="70">
        <v>25</v>
      </c>
      <c r="AF27" s="70">
        <v>10.9</v>
      </c>
      <c r="AG27" s="70">
        <f>'Material Proprieties'!$E$9</f>
        <v>1.47</v>
      </c>
    </row>
    <row r="28" spans="2:34" ht="15.75" customHeight="1" x14ac:dyDescent="0.3">
      <c r="B28" s="73" t="s">
        <v>170</v>
      </c>
      <c r="C28" s="71">
        <f>(1.1-0.25*0.25)^2</f>
        <v>1.0764062500000002</v>
      </c>
      <c r="D28" s="63" t="s">
        <v>15</v>
      </c>
      <c r="E28" s="226" t="s">
        <v>171</v>
      </c>
      <c r="K28" s="73">
        <v>30</v>
      </c>
      <c r="L28" s="70">
        <v>3.0249999999999999</v>
      </c>
      <c r="M28" s="70">
        <f t="shared" si="8"/>
        <v>14</v>
      </c>
      <c r="N28" s="70">
        <f t="shared" si="9"/>
        <v>1.9550000000000001</v>
      </c>
      <c r="O28" s="71">
        <f>(15.8*$C$28*Q28*SQRT(V28)/SQRT(W28))+'Material Proprieties'!N35</f>
        <v>13.943624367851518</v>
      </c>
      <c r="P28" s="71">
        <f>$C$27+(0.03*Lbp/SQRT(AG28))+'Material Proprieties'!N35</f>
        <v>13.215767664977294</v>
      </c>
      <c r="Q28" s="70">
        <v>0.75</v>
      </c>
      <c r="R28" s="71">
        <f>ro*(g+0.5*' Design Load and Acceleration'!$C$22)*AC28</f>
        <v>188.88801189825685</v>
      </c>
      <c r="S28" s="71">
        <f t="shared" si="10"/>
        <v>134.67000000000002</v>
      </c>
      <c r="T28" s="71">
        <f t="shared" si="11"/>
        <v>158.9</v>
      </c>
      <c r="U28" s="71">
        <f t="shared" si="12"/>
        <v>132</v>
      </c>
      <c r="V28" s="71">
        <f t="shared" si="13"/>
        <v>188.88801189825685</v>
      </c>
      <c r="W28" s="71">
        <f t="shared" si="14"/>
        <v>198.47222222222223</v>
      </c>
      <c r="X28" s="71">
        <f t="shared" si="15"/>
        <v>24.747080067501251</v>
      </c>
      <c r="Y28" s="71">
        <f t="shared" si="16"/>
        <v>25.253685906917308</v>
      </c>
      <c r="Z28" s="70">
        <v>10.5</v>
      </c>
      <c r="AA28" s="70">
        <v>2</v>
      </c>
      <c r="AB28" s="70">
        <f t="shared" si="17"/>
        <v>4.9000000000000021</v>
      </c>
      <c r="AC28" s="70">
        <v>16.100000000000001</v>
      </c>
      <c r="AD28" s="70">
        <v>17.600000000000001</v>
      </c>
      <c r="AE28" s="70">
        <v>25</v>
      </c>
      <c r="AF28" s="70">
        <v>14.39</v>
      </c>
      <c r="AG28" s="70">
        <f>'Material Proprieties'!$E$9</f>
        <v>1.47</v>
      </c>
      <c r="AH28" s="11"/>
    </row>
    <row r="29" spans="2:34" ht="15.75" customHeight="1" x14ac:dyDescent="0.3">
      <c r="B29" s="73" t="s">
        <v>172</v>
      </c>
      <c r="C29" s="80">
        <f>(5.7/C30)*('Longitudinal design strenght'!G28+'Longitudinal design strenght'!R28)</f>
        <v>0.86843434343434356</v>
      </c>
      <c r="D29" s="63" t="s">
        <v>15</v>
      </c>
      <c r="E29" s="227"/>
      <c r="K29" s="73">
        <v>31</v>
      </c>
      <c r="L29" s="70">
        <v>3.0249999999999999</v>
      </c>
      <c r="M29" s="70">
        <f t="shared" si="8"/>
        <v>14</v>
      </c>
      <c r="N29" s="70">
        <f t="shared" si="9"/>
        <v>1.9550000000000001</v>
      </c>
      <c r="O29" s="71">
        <f>(15.8*$C$28*Q29*SQRT(V29)/SQRT(W29))+'Material Proprieties'!N36</f>
        <v>13.943624367851518</v>
      </c>
      <c r="P29" s="71">
        <f>$C$27+(0.03*Lbp/SQRT(AG29))+'Material Proprieties'!N36</f>
        <v>13.215767664977294</v>
      </c>
      <c r="Q29" s="70">
        <v>0.75</v>
      </c>
      <c r="R29" s="71">
        <f>ro*(g+0.5*' Design Load and Acceleration'!$C$22)*AC29</f>
        <v>188.88801189825685</v>
      </c>
      <c r="S29" s="71">
        <f t="shared" si="10"/>
        <v>134.67000000000002</v>
      </c>
      <c r="T29" s="71">
        <f t="shared" si="11"/>
        <v>176</v>
      </c>
      <c r="U29" s="71">
        <f t="shared" si="12"/>
        <v>132</v>
      </c>
      <c r="V29" s="71">
        <f t="shared" si="13"/>
        <v>188.88801189825685</v>
      </c>
      <c r="W29" s="71">
        <f t="shared" si="14"/>
        <v>198.47222222222223</v>
      </c>
      <c r="X29" s="71">
        <f t="shared" si="15"/>
        <v>22.468339191588846</v>
      </c>
      <c r="Y29" s="71">
        <f t="shared" si="16"/>
        <v>25.253685906917308</v>
      </c>
      <c r="Z29" s="70">
        <f>B/4</f>
        <v>8.65</v>
      </c>
      <c r="AA29" s="70">
        <v>2</v>
      </c>
      <c r="AB29" s="70">
        <f t="shared" si="17"/>
        <v>4.9000000000000021</v>
      </c>
      <c r="AC29" s="70">
        <v>16.100000000000001</v>
      </c>
      <c r="AD29" s="70">
        <f>AD28</f>
        <v>17.600000000000001</v>
      </c>
      <c r="AE29" s="70">
        <v>25</v>
      </c>
      <c r="AF29" s="70">
        <v>16.100000000000001</v>
      </c>
      <c r="AG29" s="70">
        <f>'Material Proprieties'!$E$9</f>
        <v>1.47</v>
      </c>
    </row>
    <row r="30" spans="2:34" ht="15.75" customHeight="1" x14ac:dyDescent="0.3">
      <c r="B30" s="73" t="s">
        <v>175</v>
      </c>
      <c r="C30" s="103">
        <f>C31/(C35*100)</f>
        <v>31941165.649362456</v>
      </c>
      <c r="D30" s="63" t="s">
        <v>176</v>
      </c>
      <c r="E30" s="227"/>
      <c r="K30" s="73">
        <v>32</v>
      </c>
      <c r="L30" s="70">
        <v>2.5249999999999999</v>
      </c>
      <c r="M30" s="70">
        <f t="shared" si="8"/>
        <v>14</v>
      </c>
      <c r="N30" s="70">
        <f t="shared" si="9"/>
        <v>1.9550000000000001</v>
      </c>
      <c r="O30" s="71">
        <f>(15.8*$C$28*Q30*SQRT(V30)/SQRT(W30))+'Material Proprieties'!N37</f>
        <v>13.943624367851518</v>
      </c>
      <c r="P30" s="71">
        <f>$C$27+(0.03*Lbp/SQRT(AG30))+'Material Proprieties'!N37</f>
        <v>13.215767664977294</v>
      </c>
      <c r="Q30" s="70">
        <v>0.75</v>
      </c>
      <c r="R30" s="71">
        <f>ro*(g+0.5*' Design Load and Acceleration'!$C$22)*AC30</f>
        <v>188.88801189825685</v>
      </c>
      <c r="S30" s="71">
        <f t="shared" si="10"/>
        <v>134.67000000000002</v>
      </c>
      <c r="T30" s="71">
        <f t="shared" si="11"/>
        <v>176</v>
      </c>
      <c r="U30" s="71">
        <f t="shared" si="12"/>
        <v>132</v>
      </c>
      <c r="V30" s="71">
        <f t="shared" si="13"/>
        <v>188.88801189825685</v>
      </c>
      <c r="W30" s="71">
        <f t="shared" si="14"/>
        <v>198.47222222222223</v>
      </c>
      <c r="X30" s="71">
        <f t="shared" si="15"/>
        <v>22.468339191588846</v>
      </c>
      <c r="Y30" s="71">
        <f t="shared" si="16"/>
        <v>25.253685906917308</v>
      </c>
      <c r="Z30" s="70">
        <f>Z29</f>
        <v>8.65</v>
      </c>
      <c r="AA30" s="70">
        <v>2</v>
      </c>
      <c r="AB30" s="70">
        <f t="shared" si="17"/>
        <v>4.9000000000000021</v>
      </c>
      <c r="AC30" s="70">
        <v>16.100000000000001</v>
      </c>
      <c r="AD30" s="70">
        <f>AD28</f>
        <v>17.600000000000001</v>
      </c>
      <c r="AE30" s="70">
        <v>25</v>
      </c>
      <c r="AF30" s="70">
        <f>AF29</f>
        <v>16.100000000000001</v>
      </c>
      <c r="AG30" s="70">
        <f>'Material Proprieties'!$E$9</f>
        <v>1.47</v>
      </c>
    </row>
    <row r="31" spans="2:34" ht="15.75" customHeight="1" x14ac:dyDescent="0.3">
      <c r="B31" s="73" t="s">
        <v>177</v>
      </c>
      <c r="C31" s="103">
        <f>3*' Design Load and Acceleration'!C3*(Lbp^3)*B*(0.7+'Ship Characteristics'!C8)</f>
        <v>19271169941.782017</v>
      </c>
      <c r="D31" s="63" t="s">
        <v>178</v>
      </c>
      <c r="E31" s="96" t="s">
        <v>179</v>
      </c>
      <c r="K31" s="73">
        <v>33</v>
      </c>
      <c r="L31" s="70">
        <v>2.5249999999999999</v>
      </c>
      <c r="M31" s="70">
        <f t="shared" si="8"/>
        <v>14</v>
      </c>
      <c r="N31" s="70">
        <f t="shared" si="9"/>
        <v>1.9550000000000001</v>
      </c>
      <c r="O31" s="71">
        <f>(15.8*$C$28*Q31*SQRT(V31)/SQRT(W31))+'Material Proprieties'!N38</f>
        <v>13.943624367851518</v>
      </c>
      <c r="P31" s="71">
        <f>$C$27+(0.03*Lbp/SQRT(AG31))+'Material Proprieties'!N38</f>
        <v>13.215767664977294</v>
      </c>
      <c r="Q31" s="70">
        <v>0.75</v>
      </c>
      <c r="R31" s="71">
        <f>ro*(g+0.5*' Design Load and Acceleration'!$C$22)*AC31</f>
        <v>188.88801189825685</v>
      </c>
      <c r="S31" s="71">
        <f t="shared" si="10"/>
        <v>134.67000000000002</v>
      </c>
      <c r="T31" s="71">
        <f t="shared" si="11"/>
        <v>176</v>
      </c>
      <c r="U31" s="71">
        <f t="shared" si="12"/>
        <v>132</v>
      </c>
      <c r="V31" s="71">
        <f t="shared" si="13"/>
        <v>188.88801189825685</v>
      </c>
      <c r="W31" s="71">
        <f t="shared" si="14"/>
        <v>198.47222222222223</v>
      </c>
      <c r="X31" s="71">
        <f t="shared" si="15"/>
        <v>22.468339191588846</v>
      </c>
      <c r="Y31" s="71">
        <f t="shared" si="16"/>
        <v>25.253685906917308</v>
      </c>
      <c r="Z31" s="70">
        <f>Z29</f>
        <v>8.65</v>
      </c>
      <c r="AA31" s="70">
        <v>2</v>
      </c>
      <c r="AB31" s="70">
        <f t="shared" si="17"/>
        <v>4.9000000000000021</v>
      </c>
      <c r="AC31" s="70">
        <v>16.100000000000001</v>
      </c>
      <c r="AD31" s="70">
        <f>AD28</f>
        <v>17.600000000000001</v>
      </c>
      <c r="AE31" s="70">
        <v>25</v>
      </c>
      <c r="AF31" s="70">
        <f>AF30</f>
        <v>16.100000000000001</v>
      </c>
      <c r="AG31" s="70">
        <f>'Material Proprieties'!$E$9</f>
        <v>1.47</v>
      </c>
    </row>
    <row r="32" spans="2:34" ht="15.75" customHeight="1" x14ac:dyDescent="0.3">
      <c r="B32" s="73" t="s">
        <v>180</v>
      </c>
      <c r="C32" s="70">
        <f>0.35*T</f>
        <v>4.6199999999999992</v>
      </c>
      <c r="D32" s="63" t="s">
        <v>3</v>
      </c>
      <c r="E32" s="106" t="s">
        <v>181</v>
      </c>
      <c r="K32" s="73">
        <v>34</v>
      </c>
      <c r="L32" s="70">
        <v>2</v>
      </c>
      <c r="M32" s="70">
        <f t="shared" si="8"/>
        <v>14</v>
      </c>
      <c r="N32" s="70">
        <f t="shared" si="9"/>
        <v>1.9550000000000001</v>
      </c>
      <c r="O32" s="71">
        <f>(15.8*$C$28*Q32*SQRT(V32)/SQRT(W32))+'Material Proprieties'!N39</f>
        <v>13.943624367851518</v>
      </c>
      <c r="P32" s="71">
        <f>$C$27+(0.03*Lbp/SQRT(AG32))+'Material Proprieties'!N39</f>
        <v>13.215767664977294</v>
      </c>
      <c r="Q32" s="70">
        <v>0.75</v>
      </c>
      <c r="R32" s="71">
        <f>ro*(g+0.5*' Design Load and Acceleration'!$C$22)*AC32</f>
        <v>188.88801189825685</v>
      </c>
      <c r="S32" s="71">
        <f t="shared" si="10"/>
        <v>134.67000000000002</v>
      </c>
      <c r="T32" s="71">
        <f t="shared" si="11"/>
        <v>176</v>
      </c>
      <c r="U32" s="71">
        <f t="shared" si="12"/>
        <v>132</v>
      </c>
      <c r="V32" s="71">
        <f t="shared" si="13"/>
        <v>188.88801189825685</v>
      </c>
      <c r="W32" s="71">
        <f t="shared" si="14"/>
        <v>198.47222222222223</v>
      </c>
      <c r="X32" s="71">
        <f t="shared" si="15"/>
        <v>22.468339191588846</v>
      </c>
      <c r="Y32" s="71">
        <f t="shared" si="16"/>
        <v>25.253685906917308</v>
      </c>
      <c r="Z32" s="70">
        <f>Z29</f>
        <v>8.65</v>
      </c>
      <c r="AA32" s="70">
        <v>2</v>
      </c>
      <c r="AB32" s="70">
        <f t="shared" si="17"/>
        <v>4.9000000000000021</v>
      </c>
      <c r="AC32" s="70">
        <v>16.100000000000001</v>
      </c>
      <c r="AD32" s="70">
        <f>AD28</f>
        <v>17.600000000000001</v>
      </c>
      <c r="AE32" s="70">
        <v>25</v>
      </c>
      <c r="AF32" s="70">
        <v>16.100000000000001</v>
      </c>
      <c r="AG32" s="70">
        <f>'Material Proprieties'!$E$9</f>
        <v>1.47</v>
      </c>
    </row>
    <row r="33" spans="2:33" ht="15.75" customHeight="1" x14ac:dyDescent="0.3">
      <c r="B33" s="73" t="s">
        <v>194</v>
      </c>
      <c r="C33" s="70">
        <v>2</v>
      </c>
      <c r="D33" s="63" t="s">
        <v>15</v>
      </c>
      <c r="E33" s="95" t="s">
        <v>195</v>
      </c>
      <c r="K33" s="110"/>
      <c r="L33" s="110"/>
      <c r="M33" s="110"/>
      <c r="N33" s="110"/>
      <c r="O33" s="111" t="s">
        <v>181</v>
      </c>
      <c r="P33" s="111" t="s">
        <v>213</v>
      </c>
      <c r="Q33" s="101"/>
      <c r="R33" s="238" t="s">
        <v>204</v>
      </c>
      <c r="S33" s="241"/>
      <c r="T33" s="241"/>
      <c r="U33" s="242"/>
      <c r="V33" s="112"/>
      <c r="W33" s="111" t="s">
        <v>203</v>
      </c>
      <c r="X33" s="238" t="s">
        <v>199</v>
      </c>
      <c r="Y33" s="241"/>
      <c r="Z33" s="241"/>
      <c r="AA33" s="241"/>
      <c r="AB33" s="241"/>
      <c r="AC33" s="241"/>
      <c r="AD33" s="242"/>
      <c r="AE33" s="238" t="s">
        <v>154</v>
      </c>
      <c r="AF33" s="242"/>
      <c r="AG33" s="110"/>
    </row>
    <row r="34" spans="2:33" ht="15.75" customHeight="1" x14ac:dyDescent="0.3">
      <c r="B34" s="73" t="s">
        <v>198</v>
      </c>
      <c r="C34" s="70">
        <f>D-T</f>
        <v>4.9000000000000021</v>
      </c>
      <c r="D34" s="63" t="s">
        <v>3</v>
      </c>
      <c r="E34" s="106" t="s">
        <v>199</v>
      </c>
    </row>
    <row r="35" spans="2:33" ht="15.75" customHeight="1" x14ac:dyDescent="0.3">
      <c r="B35" s="73" t="s">
        <v>200</v>
      </c>
      <c r="C35" s="71">
        <f>D/3</f>
        <v>6.0333333333333341</v>
      </c>
      <c r="D35" s="63" t="s">
        <v>3</v>
      </c>
      <c r="E35" s="95" t="s">
        <v>186</v>
      </c>
      <c r="K35" s="222" t="s">
        <v>214</v>
      </c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4"/>
    </row>
    <row r="36" spans="2:33" ht="15.75" customHeight="1" x14ac:dyDescent="0.3">
      <c r="K36" s="73" t="s">
        <v>155</v>
      </c>
      <c r="L36" s="73" t="s">
        <v>156</v>
      </c>
      <c r="M36" s="74" t="s">
        <v>158</v>
      </c>
      <c r="N36" s="210" t="s">
        <v>158</v>
      </c>
      <c r="O36" s="210"/>
      <c r="P36" s="74" t="s">
        <v>123</v>
      </c>
      <c r="Q36" s="74" t="s">
        <v>182</v>
      </c>
      <c r="R36" s="74" t="s">
        <v>207</v>
      </c>
      <c r="S36" s="74" t="s">
        <v>208</v>
      </c>
      <c r="T36" s="74" t="s">
        <v>209</v>
      </c>
      <c r="U36" s="74" t="s">
        <v>186</v>
      </c>
      <c r="V36" s="74" t="s">
        <v>187</v>
      </c>
      <c r="W36" s="74" t="s">
        <v>211</v>
      </c>
      <c r="X36" s="74" t="s">
        <v>212</v>
      </c>
      <c r="Y36" s="74" t="s">
        <v>193</v>
      </c>
      <c r="Z36" s="73" t="s">
        <v>157</v>
      </c>
    </row>
    <row r="37" spans="2:33" ht="15.75" customHeight="1" x14ac:dyDescent="0.3">
      <c r="K37" s="73" t="s">
        <v>164</v>
      </c>
      <c r="L37" s="117" t="s">
        <v>166</v>
      </c>
      <c r="M37" s="118" t="s">
        <v>169</v>
      </c>
      <c r="N37" s="118" t="s">
        <v>167</v>
      </c>
      <c r="O37" s="118" t="s">
        <v>196</v>
      </c>
      <c r="P37" s="118" t="s">
        <v>15</v>
      </c>
      <c r="Q37" s="118" t="s">
        <v>3</v>
      </c>
      <c r="R37" s="118" t="s">
        <v>197</v>
      </c>
      <c r="S37" s="118" t="s">
        <v>197</v>
      </c>
      <c r="T37" s="118" t="s">
        <v>197</v>
      </c>
      <c r="U37" s="118" t="s">
        <v>197</v>
      </c>
      <c r="V37" s="118" t="s">
        <v>15</v>
      </c>
      <c r="W37" s="118" t="s">
        <v>3</v>
      </c>
      <c r="X37" s="118" t="s">
        <v>197</v>
      </c>
      <c r="Y37" s="118" t="s">
        <v>3</v>
      </c>
      <c r="Z37" s="117" t="s">
        <v>64</v>
      </c>
    </row>
    <row r="38" spans="2:33" ht="15.75" customHeight="1" x14ac:dyDescent="0.3">
      <c r="K38" s="74">
        <v>35</v>
      </c>
      <c r="L38" s="63">
        <v>2</v>
      </c>
      <c r="M38" s="70">
        <f t="shared" ref="M38:M42" si="18">ROUNDUP(MAX(N38:O38),0)</f>
        <v>16</v>
      </c>
      <c r="N38" s="71">
        <f>15.8*$C$28*Q38*SQRT(U38/V38)+'Material Proprieties'!N40</f>
        <v>15.219407219212092</v>
      </c>
      <c r="O38" s="71">
        <f>6+(P38/SQRT(Z38))+'Material Proprieties'!N40</f>
        <v>11.418632855121466</v>
      </c>
      <c r="P38" s="63">
        <f>0.02*Lbp</f>
        <v>4.62</v>
      </c>
      <c r="Q38" s="63">
        <f t="shared" ref="Q38:Q42" si="19">0.8</f>
        <v>0.8</v>
      </c>
      <c r="R38" s="71">
        <f t="shared" ref="R38:R42" si="20">0.67*(10*W38+X38)</f>
        <v>141.37</v>
      </c>
      <c r="S38" s="71">
        <f>10*Y38+$C$26</f>
        <v>25</v>
      </c>
      <c r="T38" s="71">
        <f>10*T</f>
        <v>132</v>
      </c>
      <c r="U38" s="71">
        <f t="shared" ref="U38:U42" si="21">MAX(R38:T38)</f>
        <v>141.37</v>
      </c>
      <c r="V38" s="71">
        <f>175*Z38-120*$C$29</f>
        <v>139.03787878787875</v>
      </c>
      <c r="W38" s="63">
        <v>18.600000000000001</v>
      </c>
      <c r="X38" s="63">
        <v>25</v>
      </c>
      <c r="Y38" s="63">
        <v>1</v>
      </c>
      <c r="Z38" s="63">
        <f>'Material Proprieties'!$E$8</f>
        <v>1.39</v>
      </c>
    </row>
    <row r="39" spans="2:33" ht="15.75" customHeight="1" x14ac:dyDescent="0.3">
      <c r="K39" s="74">
        <v>36</v>
      </c>
      <c r="L39" s="63">
        <v>2</v>
      </c>
      <c r="M39" s="70">
        <f t="shared" si="18"/>
        <v>16</v>
      </c>
      <c r="N39" s="71">
        <f>15.8*$C$28*Q39*SQRT(U39/V39)+'Material Proprieties'!N41</f>
        <v>15.219407219212092</v>
      </c>
      <c r="O39" s="71">
        <f>6+(P39/SQRT(Z39))+'Material Proprieties'!N41</f>
        <v>11.418632855121466</v>
      </c>
      <c r="P39" s="63">
        <f>0.02*Lbp</f>
        <v>4.62</v>
      </c>
      <c r="Q39" s="63">
        <f t="shared" si="19"/>
        <v>0.8</v>
      </c>
      <c r="R39" s="71">
        <f t="shared" si="20"/>
        <v>141.37</v>
      </c>
      <c r="S39" s="71">
        <f>10*Y39+$C$26</f>
        <v>25</v>
      </c>
      <c r="T39" s="71">
        <f>10*T</f>
        <v>132</v>
      </c>
      <c r="U39" s="71">
        <f t="shared" si="21"/>
        <v>141.37</v>
      </c>
      <c r="V39" s="71">
        <f>175*Z39-120*$C$29</f>
        <v>139.03787878787875</v>
      </c>
      <c r="W39" s="63">
        <v>18.600000000000001</v>
      </c>
      <c r="X39" s="63">
        <v>25</v>
      </c>
      <c r="Y39" s="63">
        <v>1</v>
      </c>
      <c r="Z39" s="63">
        <f>'Material Proprieties'!$E$8</f>
        <v>1.39</v>
      </c>
    </row>
    <row r="40" spans="2:33" ht="15.75" customHeight="1" x14ac:dyDescent="0.3">
      <c r="K40" s="74">
        <v>37</v>
      </c>
      <c r="L40" s="63">
        <v>2</v>
      </c>
      <c r="M40" s="70">
        <f t="shared" si="18"/>
        <v>16</v>
      </c>
      <c r="N40" s="71">
        <f>15.8*$C$28*Q40*SQRT(U40/V40)+'Material Proprieties'!N42</f>
        <v>15.219407219212092</v>
      </c>
      <c r="O40" s="71">
        <f>6+(P40/SQRT(Z40))+'Material Proprieties'!N42</f>
        <v>11.418632855121466</v>
      </c>
      <c r="P40" s="63">
        <f>0.02*Lbp</f>
        <v>4.62</v>
      </c>
      <c r="Q40" s="63">
        <f t="shared" si="19"/>
        <v>0.8</v>
      </c>
      <c r="R40" s="71">
        <f t="shared" si="20"/>
        <v>141.37</v>
      </c>
      <c r="S40" s="71">
        <f>10*Y40+$C$26</f>
        <v>25</v>
      </c>
      <c r="T40" s="71">
        <f>10*T</f>
        <v>132</v>
      </c>
      <c r="U40" s="71">
        <f t="shared" si="21"/>
        <v>141.37</v>
      </c>
      <c r="V40" s="71">
        <f>175*Z40-120*$C$29</f>
        <v>139.03787878787875</v>
      </c>
      <c r="W40" s="63">
        <v>18.600000000000001</v>
      </c>
      <c r="X40" s="63">
        <v>25</v>
      </c>
      <c r="Y40" s="63">
        <v>1</v>
      </c>
      <c r="Z40" s="63">
        <f>'Material Proprieties'!$E$8</f>
        <v>1.39</v>
      </c>
    </row>
    <row r="41" spans="2:33" ht="15.75" customHeight="1" x14ac:dyDescent="0.3">
      <c r="K41" s="74">
        <v>38</v>
      </c>
      <c r="L41" s="63">
        <v>2</v>
      </c>
      <c r="M41" s="70">
        <f t="shared" si="18"/>
        <v>16</v>
      </c>
      <c r="N41" s="71">
        <f>15.8*$C$28*Q41*SQRT(U41/V41)+'Material Proprieties'!N43</f>
        <v>15.219407219212092</v>
      </c>
      <c r="O41" s="71">
        <f>6+(P41/SQRT(Z41))+'Material Proprieties'!N43</f>
        <v>11.418632855121466</v>
      </c>
      <c r="P41" s="63">
        <f>0.02*Lbp</f>
        <v>4.62</v>
      </c>
      <c r="Q41" s="63">
        <f t="shared" si="19"/>
        <v>0.8</v>
      </c>
      <c r="R41" s="71">
        <f t="shared" si="20"/>
        <v>141.37</v>
      </c>
      <c r="S41" s="71">
        <f>10*Y41+$C$26</f>
        <v>25</v>
      </c>
      <c r="T41" s="71">
        <f>10*T</f>
        <v>132</v>
      </c>
      <c r="U41" s="71">
        <f t="shared" si="21"/>
        <v>141.37</v>
      </c>
      <c r="V41" s="71">
        <f>175*Z41-120*$C$29</f>
        <v>139.03787878787875</v>
      </c>
      <c r="W41" s="63">
        <v>18.600000000000001</v>
      </c>
      <c r="X41" s="63">
        <v>25</v>
      </c>
      <c r="Y41" s="63">
        <v>1</v>
      </c>
      <c r="Z41" s="63">
        <f>'Material Proprieties'!$E$8</f>
        <v>1.39</v>
      </c>
    </row>
    <row r="42" spans="2:33" ht="15.75" customHeight="1" x14ac:dyDescent="0.3">
      <c r="K42" s="74">
        <v>39</v>
      </c>
      <c r="L42" s="63">
        <v>2</v>
      </c>
      <c r="M42" s="70">
        <f t="shared" si="18"/>
        <v>16</v>
      </c>
      <c r="N42" s="71">
        <f>15.8*$C$28*Q42*SQRT(U42/V42)+'Material Proprieties'!N44</f>
        <v>15.219407219212092</v>
      </c>
      <c r="O42" s="71">
        <f>6+(P42/SQRT(Z42))+'Material Proprieties'!N44</f>
        <v>11.418632855121466</v>
      </c>
      <c r="P42" s="63">
        <f>0.02*Lbp</f>
        <v>4.62</v>
      </c>
      <c r="Q42" s="63">
        <f t="shared" si="19"/>
        <v>0.8</v>
      </c>
      <c r="R42" s="71">
        <f t="shared" si="20"/>
        <v>141.37</v>
      </c>
      <c r="S42" s="71">
        <f>10*Y42+$C$26</f>
        <v>25</v>
      </c>
      <c r="T42" s="71">
        <f>10*T</f>
        <v>132</v>
      </c>
      <c r="U42" s="71">
        <f t="shared" si="21"/>
        <v>141.37</v>
      </c>
      <c r="V42" s="71">
        <f>175*Z42-120*$C$29</f>
        <v>139.03787878787875</v>
      </c>
      <c r="W42" s="63">
        <v>18.600000000000001</v>
      </c>
      <c r="X42" s="63">
        <v>25</v>
      </c>
      <c r="Y42" s="63">
        <v>1</v>
      </c>
      <c r="Z42" s="63">
        <f>'Material Proprieties'!$E$8</f>
        <v>1.39</v>
      </c>
      <c r="AA42" s="3"/>
      <c r="AB42" s="3"/>
    </row>
    <row r="43" spans="2:33" ht="15.75" customHeight="1" x14ac:dyDescent="0.3">
      <c r="K43" s="63"/>
      <c r="L43" s="63"/>
      <c r="M43" s="63"/>
      <c r="N43" s="115" t="s">
        <v>215</v>
      </c>
      <c r="O43" s="106" t="s">
        <v>216</v>
      </c>
      <c r="P43" s="106" t="s">
        <v>215</v>
      </c>
      <c r="Q43" s="63"/>
      <c r="R43" s="243" t="s">
        <v>204</v>
      </c>
      <c r="S43" s="227"/>
      <c r="T43" s="227"/>
      <c r="U43" s="63"/>
      <c r="V43" s="106" t="s">
        <v>216</v>
      </c>
      <c r="W43" s="106" t="s">
        <v>199</v>
      </c>
      <c r="X43" s="243" t="s">
        <v>154</v>
      </c>
      <c r="Y43" s="227"/>
      <c r="Z43" s="63"/>
      <c r="AA43" s="3"/>
      <c r="AB43" s="3"/>
    </row>
    <row r="44" spans="2:33" ht="15.75" customHeight="1" x14ac:dyDescent="0.3">
      <c r="AA44" s="3"/>
      <c r="AB44" s="3"/>
    </row>
    <row r="45" spans="2:33" ht="15.75" customHeight="1" x14ac:dyDescent="0.3">
      <c r="AA45" s="3"/>
      <c r="AB45" s="3"/>
    </row>
    <row r="46" spans="2:33" ht="15.75" customHeight="1" x14ac:dyDescent="0.3">
      <c r="AA46" s="3"/>
      <c r="AB46" s="3"/>
    </row>
    <row r="47" spans="2:33" ht="15.75" customHeight="1" x14ac:dyDescent="0.3">
      <c r="AA47" s="3"/>
      <c r="AB47" s="3"/>
    </row>
    <row r="48" spans="2:33" ht="15.75" customHeight="1" x14ac:dyDescent="0.3">
      <c r="AA48" s="3"/>
      <c r="AB48" s="3"/>
    </row>
    <row r="49" spans="11:34" ht="15.75" customHeight="1" x14ac:dyDescent="0.3">
      <c r="K49" s="108" t="s">
        <v>541</v>
      </c>
      <c r="AA49" s="3"/>
      <c r="AB49" s="3"/>
    </row>
    <row r="50" spans="11:34" ht="15.75" customHeight="1" x14ac:dyDescent="0.3">
      <c r="K50" s="222" t="s">
        <v>218</v>
      </c>
      <c r="L50" s="223"/>
      <c r="M50" s="223"/>
      <c r="N50" s="223"/>
      <c r="O50" s="223"/>
      <c r="P50" s="223"/>
      <c r="Q50" s="223"/>
      <c r="R50" s="223"/>
      <c r="S50" s="223"/>
      <c r="T50" s="223"/>
      <c r="U50" s="223"/>
      <c r="V50" s="223"/>
      <c r="W50" s="223"/>
      <c r="X50" s="223"/>
      <c r="Y50" s="223"/>
      <c r="Z50" s="223"/>
      <c r="AA50" s="223"/>
      <c r="AB50" s="223"/>
      <c r="AC50" s="223"/>
      <c r="AD50" s="223"/>
      <c r="AE50" s="223"/>
      <c r="AF50" s="223"/>
      <c r="AG50" s="224"/>
    </row>
    <row r="51" spans="11:34" ht="15.75" customHeight="1" x14ac:dyDescent="0.3">
      <c r="K51" s="73" t="s">
        <v>219</v>
      </c>
      <c r="L51" s="73" t="s">
        <v>220</v>
      </c>
      <c r="M51" s="73" t="s">
        <v>158</v>
      </c>
      <c r="N51" s="73" t="s">
        <v>221</v>
      </c>
      <c r="O51" s="73" t="s">
        <v>167</v>
      </c>
      <c r="P51" s="73" t="s">
        <v>222</v>
      </c>
      <c r="Q51" s="73" t="s">
        <v>40</v>
      </c>
      <c r="R51" s="73" t="s">
        <v>123</v>
      </c>
      <c r="S51" s="73" t="s">
        <v>182</v>
      </c>
      <c r="T51" s="73" t="s">
        <v>223</v>
      </c>
      <c r="U51" s="73" t="s">
        <v>187</v>
      </c>
      <c r="V51" s="73" t="s">
        <v>183</v>
      </c>
      <c r="W51" s="73" t="s">
        <v>184</v>
      </c>
      <c r="X51" s="73" t="s">
        <v>185</v>
      </c>
      <c r="Y51" s="73" t="s">
        <v>224</v>
      </c>
      <c r="Z51" s="73" t="s">
        <v>225</v>
      </c>
      <c r="AA51" s="73" t="s">
        <v>226</v>
      </c>
      <c r="AB51" s="73" t="s">
        <v>189</v>
      </c>
      <c r="AC51" s="73" t="s">
        <v>190</v>
      </c>
      <c r="AD51" s="73" t="s">
        <v>191</v>
      </c>
      <c r="AE51" s="73" t="s">
        <v>193</v>
      </c>
      <c r="AF51" s="73" t="s">
        <v>192</v>
      </c>
      <c r="AG51" s="73" t="s">
        <v>157</v>
      </c>
    </row>
    <row r="52" spans="11:34" ht="15.75" customHeight="1" x14ac:dyDescent="0.3">
      <c r="K52" s="73" t="s">
        <v>164</v>
      </c>
      <c r="L52" s="117" t="s">
        <v>227</v>
      </c>
      <c r="M52" s="117" t="s">
        <v>169</v>
      </c>
      <c r="N52" s="117" t="s">
        <v>26</v>
      </c>
      <c r="O52" s="117" t="s">
        <v>30</v>
      </c>
      <c r="P52" s="117" t="s">
        <v>228</v>
      </c>
      <c r="Q52" s="117" t="s">
        <v>3</v>
      </c>
      <c r="R52" s="117" t="s">
        <v>15</v>
      </c>
      <c r="S52" s="117" t="s">
        <v>3</v>
      </c>
      <c r="T52" s="117" t="s">
        <v>15</v>
      </c>
      <c r="U52" s="117" t="s">
        <v>15</v>
      </c>
      <c r="V52" s="117" t="s">
        <v>229</v>
      </c>
      <c r="W52" s="117" t="s">
        <v>229</v>
      </c>
      <c r="X52" s="117" t="s">
        <v>229</v>
      </c>
      <c r="Y52" s="117" t="s">
        <v>229</v>
      </c>
      <c r="Z52" s="117" t="s">
        <v>15</v>
      </c>
      <c r="AA52" s="117" t="s">
        <v>197</v>
      </c>
      <c r="AB52" s="117" t="s">
        <v>15</v>
      </c>
      <c r="AC52" s="117" t="s">
        <v>3</v>
      </c>
      <c r="AD52" s="117" t="s">
        <v>3</v>
      </c>
      <c r="AE52" s="117" t="s">
        <v>3</v>
      </c>
      <c r="AF52" s="117" t="s">
        <v>3</v>
      </c>
      <c r="AG52" s="117" t="s">
        <v>64</v>
      </c>
    </row>
    <row r="53" spans="11:34" ht="15.75" customHeight="1" x14ac:dyDescent="0.3">
      <c r="K53" s="73">
        <v>1</v>
      </c>
      <c r="L53" s="109">
        <f t="shared" ref="L53:L72" si="22">83*(Q53^2)*S53*Y53*T53/U53</f>
        <v>1067.711210367117</v>
      </c>
      <c r="M53" s="70">
        <f t="shared" ref="M53:M72" si="23">ROUNDUP(O53,0)</f>
        <v>10</v>
      </c>
      <c r="N53" s="72">
        <f t="shared" ref="N53:N72" si="24">MAX($P$53:$P$72)</f>
        <v>85.230617777044245</v>
      </c>
      <c r="O53" s="70">
        <f>4.5+R53+'Material Proprieties'!$Q$6</f>
        <v>9.4649999999999999</v>
      </c>
      <c r="P53" s="72">
        <f t="shared" ref="P53:P72" si="25">0.68*L53^(2/3)</f>
        <v>71.035937169650552</v>
      </c>
      <c r="Q53" s="70">
        <f>'Midship Section'!$C$14/1000</f>
        <v>3.6720000000000002</v>
      </c>
      <c r="R53" s="70">
        <f t="shared" ref="R53:R72" si="26">0.015*Lbp</f>
        <v>3.4649999999999999</v>
      </c>
      <c r="S53" s="70">
        <v>0.75</v>
      </c>
      <c r="T53" s="70">
        <f>1+0.06*'Material Proprieties'!$Q$6</f>
        <v>1.0900000000000001</v>
      </c>
      <c r="U53" s="72">
        <f t="shared" ref="U53:U72" si="27">IF(225*AG53-130*$C$29-0.7*Z53&lt;160*AG53,225*AG53-130*$C$29-0.7*Z53,160*AG53)</f>
        <v>130.30353535353532</v>
      </c>
      <c r="V53" s="72">
        <f t="shared" ref="V53:V72" si="28">10*T+AA53</f>
        <v>152.06833919158885</v>
      </c>
      <c r="W53" s="72">
        <f>ro*(g+0.5*' Design Load and Acceleration'!$C$22)*AE53-10*$C$32</f>
        <v>-22.735650695868706</v>
      </c>
      <c r="X53" s="72">
        <f t="shared" ref="X53:X72" si="29">ro*g*AE53+$C$26-10*$C$32</f>
        <v>-11.089499999999987</v>
      </c>
      <c r="Y53" s="72">
        <f t="shared" ref="Y53:Y72" si="30">MAX(V53:X53)</f>
        <v>152.06833919158885</v>
      </c>
      <c r="Z53" s="70">
        <f t="shared" ref="Z53:Z72" si="31">50*AG53</f>
        <v>64</v>
      </c>
      <c r="AA53" s="71">
        <f t="shared" ref="AA53:AA72" si="32">AB53+135*AC53/(B+75)-1.2*(T-AD53)</f>
        <v>20.068339191588848</v>
      </c>
      <c r="AB53" s="71">
        <f t="shared" ref="AB53:AB72" si="33">$C$33*Cw+AF53</f>
        <v>25.253685906917308</v>
      </c>
      <c r="AC53" s="70">
        <f t="shared" ref="AC53:AC61" si="34">B/4</f>
        <v>8.65</v>
      </c>
      <c r="AD53" s="70">
        <v>0</v>
      </c>
      <c r="AE53" s="70">
        <v>2</v>
      </c>
      <c r="AF53" s="70">
        <f t="shared" ref="AF53:AF72" si="35">MIN(T,$C$34)</f>
        <v>4.9000000000000021</v>
      </c>
      <c r="AG53" s="70">
        <f>'Material Proprieties'!$E$7</f>
        <v>1.28</v>
      </c>
      <c r="AH53" s="11"/>
    </row>
    <row r="54" spans="11:34" ht="15.75" customHeight="1" x14ac:dyDescent="0.3">
      <c r="K54" s="73">
        <v>2</v>
      </c>
      <c r="L54" s="109">
        <f t="shared" si="22"/>
        <v>1067.711210367117</v>
      </c>
      <c r="M54" s="70">
        <f t="shared" si="23"/>
        <v>10</v>
      </c>
      <c r="N54" s="72">
        <f t="shared" si="24"/>
        <v>85.230617777044245</v>
      </c>
      <c r="O54" s="70">
        <f>4.5+R54+'Material Proprieties'!$Q$6</f>
        <v>9.4649999999999999</v>
      </c>
      <c r="P54" s="72">
        <f t="shared" si="25"/>
        <v>71.035937169650552</v>
      </c>
      <c r="Q54" s="70">
        <f>'Midship Section'!$C$14/1000</f>
        <v>3.6720000000000002</v>
      </c>
      <c r="R54" s="70">
        <f t="shared" si="26"/>
        <v>3.4649999999999999</v>
      </c>
      <c r="S54" s="70">
        <v>0.75</v>
      </c>
      <c r="T54" s="70">
        <f>1+0.06*'Material Proprieties'!$Q$6</f>
        <v>1.0900000000000001</v>
      </c>
      <c r="U54" s="72">
        <f t="shared" si="27"/>
        <v>130.30353535353532</v>
      </c>
      <c r="V54" s="72">
        <f t="shared" si="28"/>
        <v>152.06833919158885</v>
      </c>
      <c r="W54" s="72">
        <f>ro*(g+0.5*' Design Load and Acceleration'!$C$22)*AE54-10*$C$32</f>
        <v>-22.735650695868706</v>
      </c>
      <c r="X54" s="72">
        <f t="shared" si="29"/>
        <v>-11.089499999999987</v>
      </c>
      <c r="Y54" s="72">
        <f t="shared" si="30"/>
        <v>152.06833919158885</v>
      </c>
      <c r="Z54" s="70">
        <f t="shared" si="31"/>
        <v>64</v>
      </c>
      <c r="AA54" s="71">
        <f t="shared" si="32"/>
        <v>20.068339191588848</v>
      </c>
      <c r="AB54" s="71">
        <f t="shared" si="33"/>
        <v>25.253685906917308</v>
      </c>
      <c r="AC54" s="70">
        <f t="shared" si="34"/>
        <v>8.65</v>
      </c>
      <c r="AD54" s="70">
        <v>0</v>
      </c>
      <c r="AE54" s="70">
        <v>2</v>
      </c>
      <c r="AF54" s="70">
        <f t="shared" si="35"/>
        <v>4.9000000000000021</v>
      </c>
      <c r="AG54" s="70">
        <f>'Material Proprieties'!$E$7</f>
        <v>1.28</v>
      </c>
    </row>
    <row r="55" spans="11:34" ht="15" customHeight="1" x14ac:dyDescent="0.3">
      <c r="K55" s="73">
        <v>3</v>
      </c>
      <c r="L55" s="109">
        <f t="shared" si="22"/>
        <v>1067.711210367117</v>
      </c>
      <c r="M55" s="70">
        <f t="shared" si="23"/>
        <v>10</v>
      </c>
      <c r="N55" s="72">
        <f t="shared" si="24"/>
        <v>85.230617777044245</v>
      </c>
      <c r="O55" s="70">
        <f>4.5+R55+'Material Proprieties'!$Q$6</f>
        <v>9.4649999999999999</v>
      </c>
      <c r="P55" s="72">
        <f t="shared" si="25"/>
        <v>71.035937169650552</v>
      </c>
      <c r="Q55" s="70">
        <f>'Midship Section'!$C$14/1000</f>
        <v>3.6720000000000002</v>
      </c>
      <c r="R55" s="70">
        <f t="shared" si="26"/>
        <v>3.4649999999999999</v>
      </c>
      <c r="S55" s="70">
        <v>0.75</v>
      </c>
      <c r="T55" s="70">
        <f>1+0.06*'Material Proprieties'!$Q$6</f>
        <v>1.0900000000000001</v>
      </c>
      <c r="U55" s="72">
        <f t="shared" si="27"/>
        <v>130.30353535353532</v>
      </c>
      <c r="V55" s="72">
        <f t="shared" si="28"/>
        <v>152.06833919158885</v>
      </c>
      <c r="W55" s="72">
        <f>ro*(g+0.5*' Design Load and Acceleration'!$C$22)*AE55-10*$C$32</f>
        <v>-22.735650695868706</v>
      </c>
      <c r="X55" s="72">
        <f t="shared" si="29"/>
        <v>-11.089499999999987</v>
      </c>
      <c r="Y55" s="72">
        <f t="shared" si="30"/>
        <v>152.06833919158885</v>
      </c>
      <c r="Z55" s="70">
        <f t="shared" si="31"/>
        <v>64</v>
      </c>
      <c r="AA55" s="71">
        <f t="shared" si="32"/>
        <v>20.068339191588848</v>
      </c>
      <c r="AB55" s="71">
        <f t="shared" si="33"/>
        <v>25.253685906917308</v>
      </c>
      <c r="AC55" s="70">
        <f t="shared" si="34"/>
        <v>8.65</v>
      </c>
      <c r="AD55" s="70">
        <v>0</v>
      </c>
      <c r="AE55" s="70">
        <v>2</v>
      </c>
      <c r="AF55" s="70">
        <f t="shared" si="35"/>
        <v>4.9000000000000021</v>
      </c>
      <c r="AG55" s="70">
        <f>'Material Proprieties'!$E$7</f>
        <v>1.28</v>
      </c>
    </row>
    <row r="56" spans="11:34" ht="15" customHeight="1" x14ac:dyDescent="0.3">
      <c r="K56" s="73">
        <v>4</v>
      </c>
      <c r="L56" s="109">
        <f t="shared" si="22"/>
        <v>1067.711210367117</v>
      </c>
      <c r="M56" s="70">
        <f t="shared" si="23"/>
        <v>10</v>
      </c>
      <c r="N56" s="72">
        <f t="shared" si="24"/>
        <v>85.230617777044245</v>
      </c>
      <c r="O56" s="70">
        <f>4.5+R56+'Material Proprieties'!$Q$6</f>
        <v>9.4649999999999999</v>
      </c>
      <c r="P56" s="72">
        <f t="shared" si="25"/>
        <v>71.035937169650552</v>
      </c>
      <c r="Q56" s="70">
        <f>'Midship Section'!$C$14/1000</f>
        <v>3.6720000000000002</v>
      </c>
      <c r="R56" s="70">
        <f t="shared" si="26"/>
        <v>3.4649999999999999</v>
      </c>
      <c r="S56" s="70">
        <v>0.75</v>
      </c>
      <c r="T56" s="70">
        <f>1+0.06*'Material Proprieties'!$Q$6</f>
        <v>1.0900000000000001</v>
      </c>
      <c r="U56" s="72">
        <f t="shared" si="27"/>
        <v>130.30353535353532</v>
      </c>
      <c r="V56" s="72">
        <f t="shared" si="28"/>
        <v>152.06833919158885</v>
      </c>
      <c r="W56" s="72">
        <f>ro*(g+0.5*' Design Load and Acceleration'!$C$22)*AE56-10*$C$32</f>
        <v>-22.735650695868706</v>
      </c>
      <c r="X56" s="72">
        <f t="shared" si="29"/>
        <v>-11.089499999999987</v>
      </c>
      <c r="Y56" s="72">
        <f t="shared" si="30"/>
        <v>152.06833919158885</v>
      </c>
      <c r="Z56" s="70">
        <f t="shared" si="31"/>
        <v>64</v>
      </c>
      <c r="AA56" s="71">
        <f t="shared" si="32"/>
        <v>20.068339191588848</v>
      </c>
      <c r="AB56" s="71">
        <f t="shared" si="33"/>
        <v>25.253685906917308</v>
      </c>
      <c r="AC56" s="70">
        <f t="shared" si="34"/>
        <v>8.65</v>
      </c>
      <c r="AD56" s="70">
        <v>0</v>
      </c>
      <c r="AE56" s="70">
        <v>2</v>
      </c>
      <c r="AF56" s="70">
        <f t="shared" si="35"/>
        <v>4.9000000000000021</v>
      </c>
      <c r="AG56" s="70">
        <f>'Material Proprieties'!$E$7</f>
        <v>1.28</v>
      </c>
    </row>
    <row r="57" spans="11:34" ht="15.75" customHeight="1" x14ac:dyDescent="0.3">
      <c r="K57" s="73">
        <v>5</v>
      </c>
      <c r="L57" s="109">
        <f t="shared" si="22"/>
        <v>1067.711210367117</v>
      </c>
      <c r="M57" s="70">
        <f t="shared" si="23"/>
        <v>10</v>
      </c>
      <c r="N57" s="72">
        <f t="shared" si="24"/>
        <v>85.230617777044245</v>
      </c>
      <c r="O57" s="70">
        <f>4.5+R57+'Material Proprieties'!$Q$6</f>
        <v>9.4649999999999999</v>
      </c>
      <c r="P57" s="72">
        <f t="shared" si="25"/>
        <v>71.035937169650552</v>
      </c>
      <c r="Q57" s="70">
        <f>'Midship Section'!$C$14/1000</f>
        <v>3.6720000000000002</v>
      </c>
      <c r="R57" s="70">
        <f t="shared" si="26"/>
        <v>3.4649999999999999</v>
      </c>
      <c r="S57" s="70">
        <v>0.75</v>
      </c>
      <c r="T57" s="70">
        <f>1+0.06*'Material Proprieties'!$Q$6</f>
        <v>1.0900000000000001</v>
      </c>
      <c r="U57" s="72">
        <f t="shared" si="27"/>
        <v>130.30353535353532</v>
      </c>
      <c r="V57" s="72">
        <f t="shared" si="28"/>
        <v>152.06833919158885</v>
      </c>
      <c r="W57" s="72">
        <f>ro*(g+0.5*' Design Load and Acceleration'!$C$22)*AE57-10*$C$32</f>
        <v>-22.735650695868706</v>
      </c>
      <c r="X57" s="72">
        <f t="shared" si="29"/>
        <v>-11.089499999999987</v>
      </c>
      <c r="Y57" s="72">
        <f t="shared" si="30"/>
        <v>152.06833919158885</v>
      </c>
      <c r="Z57" s="70">
        <f t="shared" si="31"/>
        <v>64</v>
      </c>
      <c r="AA57" s="71">
        <f t="shared" si="32"/>
        <v>20.068339191588848</v>
      </c>
      <c r="AB57" s="71">
        <f t="shared" si="33"/>
        <v>25.253685906917308</v>
      </c>
      <c r="AC57" s="70">
        <f t="shared" si="34"/>
        <v>8.65</v>
      </c>
      <c r="AD57" s="70">
        <v>0</v>
      </c>
      <c r="AE57" s="70">
        <v>2</v>
      </c>
      <c r="AF57" s="70">
        <f t="shared" si="35"/>
        <v>4.9000000000000021</v>
      </c>
      <c r="AG57" s="70">
        <f>'Material Proprieties'!$E$7</f>
        <v>1.28</v>
      </c>
    </row>
    <row r="58" spans="11:34" ht="15.75" customHeight="1" x14ac:dyDescent="0.3">
      <c r="K58" s="73">
        <v>6</v>
      </c>
      <c r="L58" s="109">
        <f t="shared" si="22"/>
        <v>1067.711210367117</v>
      </c>
      <c r="M58" s="70">
        <f t="shared" si="23"/>
        <v>10</v>
      </c>
      <c r="N58" s="72">
        <f t="shared" si="24"/>
        <v>85.230617777044245</v>
      </c>
      <c r="O58" s="70">
        <f>4.5+R58+'Material Proprieties'!$Q$6</f>
        <v>9.4649999999999999</v>
      </c>
      <c r="P58" s="72">
        <f t="shared" si="25"/>
        <v>71.035937169650552</v>
      </c>
      <c r="Q58" s="70">
        <f>'Midship Section'!$C$14/1000</f>
        <v>3.6720000000000002</v>
      </c>
      <c r="R58" s="70">
        <f t="shared" si="26"/>
        <v>3.4649999999999999</v>
      </c>
      <c r="S58" s="70">
        <v>0.75</v>
      </c>
      <c r="T58" s="70">
        <f>1+0.06*'Material Proprieties'!$Q$6</f>
        <v>1.0900000000000001</v>
      </c>
      <c r="U58" s="72">
        <f t="shared" si="27"/>
        <v>130.30353535353532</v>
      </c>
      <c r="V58" s="72">
        <f t="shared" si="28"/>
        <v>152.06833919158885</v>
      </c>
      <c r="W58" s="72">
        <f>ro*(g+0.5*' Design Load and Acceleration'!$C$22)*AE58-10*$C$32</f>
        <v>-22.735650695868706</v>
      </c>
      <c r="X58" s="72">
        <f t="shared" si="29"/>
        <v>-11.089499999999987</v>
      </c>
      <c r="Y58" s="72">
        <f t="shared" si="30"/>
        <v>152.06833919158885</v>
      </c>
      <c r="Z58" s="70">
        <f t="shared" si="31"/>
        <v>64</v>
      </c>
      <c r="AA58" s="71">
        <f t="shared" si="32"/>
        <v>20.068339191588848</v>
      </c>
      <c r="AB58" s="71">
        <f t="shared" si="33"/>
        <v>25.253685906917308</v>
      </c>
      <c r="AC58" s="70">
        <f t="shared" si="34"/>
        <v>8.65</v>
      </c>
      <c r="AD58" s="70">
        <v>0</v>
      </c>
      <c r="AE58" s="70">
        <v>2</v>
      </c>
      <c r="AF58" s="70">
        <f t="shared" si="35"/>
        <v>4.9000000000000021</v>
      </c>
      <c r="AG58" s="70">
        <f>'Material Proprieties'!$E$7</f>
        <v>1.28</v>
      </c>
    </row>
    <row r="59" spans="11:34" ht="15.75" customHeight="1" x14ac:dyDescent="0.3">
      <c r="K59" s="73">
        <v>7</v>
      </c>
      <c r="L59" s="109">
        <f t="shared" si="22"/>
        <v>1067.711210367117</v>
      </c>
      <c r="M59" s="70">
        <f t="shared" si="23"/>
        <v>10</v>
      </c>
      <c r="N59" s="72">
        <f t="shared" si="24"/>
        <v>85.230617777044245</v>
      </c>
      <c r="O59" s="70">
        <f>4.5+R59+'Material Proprieties'!$Q$6</f>
        <v>9.4649999999999999</v>
      </c>
      <c r="P59" s="72">
        <f t="shared" si="25"/>
        <v>71.035937169650552</v>
      </c>
      <c r="Q59" s="70">
        <f>'Midship Section'!$C$14/1000</f>
        <v>3.6720000000000002</v>
      </c>
      <c r="R59" s="70">
        <f t="shared" si="26"/>
        <v>3.4649999999999999</v>
      </c>
      <c r="S59" s="70">
        <v>0.75</v>
      </c>
      <c r="T59" s="70">
        <f>1+0.06*'Material Proprieties'!$Q$6</f>
        <v>1.0900000000000001</v>
      </c>
      <c r="U59" s="72">
        <f t="shared" si="27"/>
        <v>130.30353535353532</v>
      </c>
      <c r="V59" s="72">
        <f t="shared" si="28"/>
        <v>152.06833919158885</v>
      </c>
      <c r="W59" s="72">
        <f>ro*(g+0.5*' Design Load and Acceleration'!$C$22)*AE59-10*$C$32</f>
        <v>-22.735650695868706</v>
      </c>
      <c r="X59" s="72">
        <f t="shared" si="29"/>
        <v>-11.089499999999987</v>
      </c>
      <c r="Y59" s="72">
        <f t="shared" si="30"/>
        <v>152.06833919158885</v>
      </c>
      <c r="Z59" s="70">
        <f t="shared" si="31"/>
        <v>64</v>
      </c>
      <c r="AA59" s="71">
        <f t="shared" si="32"/>
        <v>20.068339191588848</v>
      </c>
      <c r="AB59" s="71">
        <f t="shared" si="33"/>
        <v>25.253685906917308</v>
      </c>
      <c r="AC59" s="70">
        <f t="shared" si="34"/>
        <v>8.65</v>
      </c>
      <c r="AD59" s="70">
        <v>0</v>
      </c>
      <c r="AE59" s="70">
        <v>2</v>
      </c>
      <c r="AF59" s="70">
        <f t="shared" si="35"/>
        <v>4.9000000000000021</v>
      </c>
      <c r="AG59" s="70">
        <f>'Material Proprieties'!$E$7</f>
        <v>1.28</v>
      </c>
    </row>
    <row r="60" spans="11:34" ht="15.75" customHeight="1" x14ac:dyDescent="0.3">
      <c r="K60" s="73">
        <v>8</v>
      </c>
      <c r="L60" s="109">
        <f t="shared" si="22"/>
        <v>1067.711210367117</v>
      </c>
      <c r="M60" s="70">
        <f t="shared" si="23"/>
        <v>10</v>
      </c>
      <c r="N60" s="72">
        <f t="shared" si="24"/>
        <v>85.230617777044245</v>
      </c>
      <c r="O60" s="70">
        <f>4.5+R60+'Material Proprieties'!$Q$6</f>
        <v>9.4649999999999999</v>
      </c>
      <c r="P60" s="72">
        <f t="shared" si="25"/>
        <v>71.035937169650552</v>
      </c>
      <c r="Q60" s="70">
        <f>'Midship Section'!$C$14/1000</f>
        <v>3.6720000000000002</v>
      </c>
      <c r="R60" s="70">
        <f t="shared" si="26"/>
        <v>3.4649999999999999</v>
      </c>
      <c r="S60" s="70">
        <v>0.75</v>
      </c>
      <c r="T60" s="70">
        <f>1+0.06*'Material Proprieties'!$Q$6</f>
        <v>1.0900000000000001</v>
      </c>
      <c r="U60" s="72">
        <f t="shared" si="27"/>
        <v>130.30353535353532</v>
      </c>
      <c r="V60" s="72">
        <f t="shared" si="28"/>
        <v>152.06833919158885</v>
      </c>
      <c r="W60" s="72">
        <f>ro*(g+0.5*' Design Load and Acceleration'!$C$22)*AE60-10*$C$32</f>
        <v>-22.735650695868706</v>
      </c>
      <c r="X60" s="72">
        <f t="shared" si="29"/>
        <v>-11.089499999999987</v>
      </c>
      <c r="Y60" s="72">
        <f t="shared" si="30"/>
        <v>152.06833919158885</v>
      </c>
      <c r="Z60" s="70">
        <f t="shared" si="31"/>
        <v>64</v>
      </c>
      <c r="AA60" s="71">
        <f t="shared" si="32"/>
        <v>20.068339191588848</v>
      </c>
      <c r="AB60" s="71">
        <f t="shared" si="33"/>
        <v>25.253685906917308</v>
      </c>
      <c r="AC60" s="70">
        <f t="shared" si="34"/>
        <v>8.65</v>
      </c>
      <c r="AD60" s="70">
        <v>0</v>
      </c>
      <c r="AE60" s="70">
        <v>2</v>
      </c>
      <c r="AF60" s="70">
        <f t="shared" si="35"/>
        <v>4.9000000000000021</v>
      </c>
      <c r="AG60" s="70">
        <f>'Material Proprieties'!$E$7</f>
        <v>1.28</v>
      </c>
    </row>
    <row r="61" spans="11:34" ht="15.75" customHeight="1" x14ac:dyDescent="0.3">
      <c r="K61" s="73">
        <v>9</v>
      </c>
      <c r="L61" s="109">
        <f t="shared" si="22"/>
        <v>1067.711210367117</v>
      </c>
      <c r="M61" s="70">
        <f t="shared" si="23"/>
        <v>10</v>
      </c>
      <c r="N61" s="72">
        <f t="shared" si="24"/>
        <v>85.230617777044245</v>
      </c>
      <c r="O61" s="70">
        <f>4.5+R61+'Material Proprieties'!$Q$6</f>
        <v>9.4649999999999999</v>
      </c>
      <c r="P61" s="72">
        <f t="shared" si="25"/>
        <v>71.035937169650552</v>
      </c>
      <c r="Q61" s="70">
        <f>'Midship Section'!$C$14/1000</f>
        <v>3.6720000000000002</v>
      </c>
      <c r="R61" s="70">
        <f t="shared" si="26"/>
        <v>3.4649999999999999</v>
      </c>
      <c r="S61" s="70">
        <v>0.75</v>
      </c>
      <c r="T61" s="70">
        <f>1+0.06*'Material Proprieties'!$Q$6</f>
        <v>1.0900000000000001</v>
      </c>
      <c r="U61" s="72">
        <f t="shared" si="27"/>
        <v>130.30353535353532</v>
      </c>
      <c r="V61" s="72">
        <f t="shared" si="28"/>
        <v>152.06833919158885</v>
      </c>
      <c r="W61" s="72">
        <f>ro*(g+0.5*' Design Load and Acceleration'!$C$22)*AE61-10*$C$32</f>
        <v>-22.735650695868706</v>
      </c>
      <c r="X61" s="72">
        <f t="shared" si="29"/>
        <v>-11.089499999999987</v>
      </c>
      <c r="Y61" s="72">
        <f t="shared" si="30"/>
        <v>152.06833919158885</v>
      </c>
      <c r="Z61" s="70">
        <f t="shared" si="31"/>
        <v>64</v>
      </c>
      <c r="AA61" s="71">
        <f t="shared" si="32"/>
        <v>20.068339191588848</v>
      </c>
      <c r="AB61" s="71">
        <f t="shared" si="33"/>
        <v>25.253685906917308</v>
      </c>
      <c r="AC61" s="70">
        <f t="shared" si="34"/>
        <v>8.65</v>
      </c>
      <c r="AD61" s="70">
        <v>0</v>
      </c>
      <c r="AE61" s="70">
        <v>2</v>
      </c>
      <c r="AF61" s="70">
        <f t="shared" si="35"/>
        <v>4.9000000000000021</v>
      </c>
      <c r="AG61" s="70">
        <f>'Material Proprieties'!$E$7</f>
        <v>1.28</v>
      </c>
    </row>
    <row r="62" spans="11:34" ht="15.75" customHeight="1" x14ac:dyDescent="0.3">
      <c r="K62" s="73">
        <v>10</v>
      </c>
      <c r="L62" s="109">
        <f t="shared" si="22"/>
        <v>1077.2245039469196</v>
      </c>
      <c r="M62" s="70">
        <f t="shared" si="23"/>
        <v>10</v>
      </c>
      <c r="N62" s="72">
        <f t="shared" si="24"/>
        <v>85.230617777044245</v>
      </c>
      <c r="O62" s="70">
        <f>4.5+R62+'Material Proprieties'!$Q$6</f>
        <v>9.4649999999999999</v>
      </c>
      <c r="P62" s="72">
        <f t="shared" si="25"/>
        <v>71.457265915690115</v>
      </c>
      <c r="Q62" s="70">
        <f>'Midship Section'!$C$14/1000</f>
        <v>3.6720000000000002</v>
      </c>
      <c r="R62" s="70">
        <f t="shared" si="26"/>
        <v>3.4649999999999999</v>
      </c>
      <c r="S62" s="70">
        <v>0.75</v>
      </c>
      <c r="T62" s="70">
        <f>1+0.06*'Material Proprieties'!$Q$6</f>
        <v>1.0900000000000001</v>
      </c>
      <c r="U62" s="72">
        <f t="shared" si="27"/>
        <v>130.30353535353532</v>
      </c>
      <c r="V62" s="72">
        <f t="shared" si="28"/>
        <v>153.42326619888811</v>
      </c>
      <c r="W62" s="72">
        <f>ro*(g+0.5*' Design Load and Acceleration'!$C$22)*AE62-10*$C$32</f>
        <v>-22.735650695868706</v>
      </c>
      <c r="X62" s="72">
        <f t="shared" si="29"/>
        <v>-11.089499999999987</v>
      </c>
      <c r="Y62" s="72">
        <f t="shared" si="30"/>
        <v>153.42326619888811</v>
      </c>
      <c r="Z62" s="70">
        <f t="shared" si="31"/>
        <v>64</v>
      </c>
      <c r="AA62" s="71">
        <f t="shared" si="32"/>
        <v>21.423266198888115</v>
      </c>
      <c r="AB62" s="71">
        <f t="shared" si="33"/>
        <v>25.253685906917308</v>
      </c>
      <c r="AC62" s="70">
        <v>9.75</v>
      </c>
      <c r="AD62" s="70">
        <v>0</v>
      </c>
      <c r="AE62" s="70">
        <v>2</v>
      </c>
      <c r="AF62" s="70">
        <f t="shared" si="35"/>
        <v>4.9000000000000021</v>
      </c>
      <c r="AG62" s="70">
        <f>'Material Proprieties'!$E$7</f>
        <v>1.28</v>
      </c>
    </row>
    <row r="63" spans="11:34" ht="15.75" customHeight="1" x14ac:dyDescent="0.3">
      <c r="K63" s="73">
        <v>11</v>
      </c>
      <c r="L63" s="109">
        <f t="shared" si="22"/>
        <v>1083.7108404786034</v>
      </c>
      <c r="M63" s="70">
        <f t="shared" si="23"/>
        <v>10</v>
      </c>
      <c r="N63" s="72">
        <f t="shared" si="24"/>
        <v>85.230617777044245</v>
      </c>
      <c r="O63" s="70">
        <f>4.5+R63+'Material Proprieties'!$Q$6</f>
        <v>9.4649999999999999</v>
      </c>
      <c r="P63" s="72">
        <f t="shared" si="25"/>
        <v>71.743824547695539</v>
      </c>
      <c r="Q63" s="70">
        <f>'Midship Section'!$C$14/1000</f>
        <v>3.6720000000000002</v>
      </c>
      <c r="R63" s="70">
        <f t="shared" si="26"/>
        <v>3.4649999999999999</v>
      </c>
      <c r="S63" s="70">
        <v>0.75</v>
      </c>
      <c r="T63" s="70">
        <f>1+0.06*'Material Proprieties'!$Q$6</f>
        <v>1.0900000000000001</v>
      </c>
      <c r="U63" s="72">
        <f t="shared" si="27"/>
        <v>130.30353535353532</v>
      </c>
      <c r="V63" s="72">
        <f t="shared" si="28"/>
        <v>154.34708006750125</v>
      </c>
      <c r="W63" s="72">
        <f>ro*(g+0.5*' Design Load and Acceleration'!$C$22)*AE63-10*$C$32</f>
        <v>-22.735650695868706</v>
      </c>
      <c r="X63" s="72">
        <f t="shared" si="29"/>
        <v>-11.089499999999987</v>
      </c>
      <c r="Y63" s="72">
        <f t="shared" si="30"/>
        <v>154.34708006750125</v>
      </c>
      <c r="Z63" s="70">
        <f t="shared" si="31"/>
        <v>64</v>
      </c>
      <c r="AA63" s="71">
        <f t="shared" si="32"/>
        <v>22.347080067501253</v>
      </c>
      <c r="AB63" s="71">
        <f t="shared" si="33"/>
        <v>25.253685906917308</v>
      </c>
      <c r="AC63" s="70">
        <f t="shared" ref="AC63:AC64" si="36">AC62+0.75</f>
        <v>10.5</v>
      </c>
      <c r="AD63" s="70">
        <v>0</v>
      </c>
      <c r="AE63" s="70">
        <v>2</v>
      </c>
      <c r="AF63" s="70">
        <f t="shared" si="35"/>
        <v>4.9000000000000021</v>
      </c>
      <c r="AG63" s="70">
        <f>'Material Proprieties'!$E$7</f>
        <v>1.28</v>
      </c>
    </row>
    <row r="64" spans="11:34" ht="15.75" customHeight="1" x14ac:dyDescent="0.3">
      <c r="K64" s="73">
        <v>12</v>
      </c>
      <c r="L64" s="109">
        <f t="shared" si="22"/>
        <v>1090.1971770102869</v>
      </c>
      <c r="M64" s="70">
        <f t="shared" si="23"/>
        <v>10</v>
      </c>
      <c r="N64" s="72">
        <f t="shared" si="24"/>
        <v>85.230617777044245</v>
      </c>
      <c r="O64" s="70">
        <f>4.5+R64+'Material Proprieties'!$Q$6</f>
        <v>9.4649999999999999</v>
      </c>
      <c r="P64" s="72">
        <f t="shared" si="25"/>
        <v>72.029812032353817</v>
      </c>
      <c r="Q64" s="70">
        <f>'Midship Section'!$C$14/1000</f>
        <v>3.6720000000000002</v>
      </c>
      <c r="R64" s="70">
        <f t="shared" si="26"/>
        <v>3.4649999999999999</v>
      </c>
      <c r="S64" s="70">
        <v>0.75</v>
      </c>
      <c r="T64" s="70">
        <f>1+0.06*'Material Proprieties'!$Q$6</f>
        <v>1.0900000000000001</v>
      </c>
      <c r="U64" s="72">
        <f t="shared" si="27"/>
        <v>130.30353535353532</v>
      </c>
      <c r="V64" s="72">
        <f t="shared" si="28"/>
        <v>155.27089393611439</v>
      </c>
      <c r="W64" s="72">
        <f>ro*(g+0.5*' Design Load and Acceleration'!$C$22)*AE64-10*$C$32</f>
        <v>-22.735650695868706</v>
      </c>
      <c r="X64" s="72">
        <f t="shared" si="29"/>
        <v>-11.089499999999987</v>
      </c>
      <c r="Y64" s="72">
        <f t="shared" si="30"/>
        <v>155.27089393611439</v>
      </c>
      <c r="Z64" s="70">
        <f t="shared" si="31"/>
        <v>64</v>
      </c>
      <c r="AA64" s="71">
        <f t="shared" si="32"/>
        <v>23.27089393611439</v>
      </c>
      <c r="AB64" s="71">
        <f t="shared" si="33"/>
        <v>25.253685906917308</v>
      </c>
      <c r="AC64" s="70">
        <f t="shared" si="36"/>
        <v>11.25</v>
      </c>
      <c r="AD64" s="70">
        <v>0</v>
      </c>
      <c r="AE64" s="70">
        <v>2</v>
      </c>
      <c r="AF64" s="70">
        <f t="shared" si="35"/>
        <v>4.9000000000000021</v>
      </c>
      <c r="AG64" s="70">
        <f>'Material Proprieties'!$E$7</f>
        <v>1.28</v>
      </c>
    </row>
    <row r="65" spans="11:34" ht="15.75" customHeight="1" x14ac:dyDescent="0.3">
      <c r="K65" s="73">
        <v>13</v>
      </c>
      <c r="L65" s="109">
        <f t="shared" si="22"/>
        <v>1221.5112672414941</v>
      </c>
      <c r="M65" s="70">
        <f t="shared" si="23"/>
        <v>10</v>
      </c>
      <c r="N65" s="72">
        <f t="shared" si="24"/>
        <v>85.230617777044245</v>
      </c>
      <c r="O65" s="70">
        <f>4.5+R65+'Material Proprieties'!$Q$6</f>
        <v>9.4649999999999999</v>
      </c>
      <c r="P65" s="72">
        <f t="shared" si="25"/>
        <v>77.703496966133685</v>
      </c>
      <c r="Q65" s="70">
        <f>'Midship Section'!$C$14/1000</f>
        <v>3.6720000000000002</v>
      </c>
      <c r="R65" s="70">
        <f t="shared" si="26"/>
        <v>3.4649999999999999</v>
      </c>
      <c r="S65" s="70">
        <v>0.83</v>
      </c>
      <c r="T65" s="70">
        <f>1+0.06*'Material Proprieties'!$Q$6</f>
        <v>1.0900000000000001</v>
      </c>
      <c r="U65" s="72">
        <f t="shared" si="27"/>
        <v>130.30353535353532</v>
      </c>
      <c r="V65" s="72">
        <f t="shared" si="28"/>
        <v>157.20474430107788</v>
      </c>
      <c r="W65" s="72">
        <f>ro*(g+0.5*' Design Load and Acceleration'!$C$22)*AE65-10*$C$32</f>
        <v>-16.869563369835888</v>
      </c>
      <c r="X65" s="72">
        <f t="shared" si="29"/>
        <v>-6.0618749999999864</v>
      </c>
      <c r="Y65" s="72">
        <f t="shared" si="30"/>
        <v>157.20474430107788</v>
      </c>
      <c r="Z65" s="70">
        <f t="shared" si="31"/>
        <v>64</v>
      </c>
      <c r="AA65" s="71">
        <f t="shared" si="32"/>
        <v>25.204744301077895</v>
      </c>
      <c r="AB65" s="71">
        <f t="shared" si="33"/>
        <v>25.253685906917308</v>
      </c>
      <c r="AC65" s="70">
        <v>12.82</v>
      </c>
      <c r="AD65" s="70">
        <v>0</v>
      </c>
      <c r="AE65" s="70">
        <v>2.5</v>
      </c>
      <c r="AF65" s="70">
        <f t="shared" si="35"/>
        <v>4.9000000000000021</v>
      </c>
      <c r="AG65" s="70">
        <f>'Material Proprieties'!$E$7</f>
        <v>1.28</v>
      </c>
    </row>
    <row r="66" spans="11:34" ht="15.75" customHeight="1" x14ac:dyDescent="0.3">
      <c r="K66" s="73">
        <v>14</v>
      </c>
      <c r="L66" s="109">
        <f t="shared" si="22"/>
        <v>1229.4551556622532</v>
      </c>
      <c r="M66" s="70">
        <f t="shared" si="23"/>
        <v>10</v>
      </c>
      <c r="N66" s="72">
        <f t="shared" si="24"/>
        <v>85.230617777044245</v>
      </c>
      <c r="O66" s="70">
        <f>4.5+R66+'Material Proprieties'!$Q$6</f>
        <v>9.4649999999999999</v>
      </c>
      <c r="P66" s="72">
        <f t="shared" si="25"/>
        <v>78.040020420618433</v>
      </c>
      <c r="Q66" s="70">
        <f>'Midship Section'!$C$14/1000</f>
        <v>3.6720000000000002</v>
      </c>
      <c r="R66" s="70">
        <f t="shared" si="26"/>
        <v>3.4649999999999999</v>
      </c>
      <c r="S66" s="70">
        <v>0.83</v>
      </c>
      <c r="T66" s="70">
        <f>1+0.06*'Material Proprieties'!$Q$6</f>
        <v>1.0900000000000001</v>
      </c>
      <c r="U66" s="72">
        <f t="shared" si="27"/>
        <v>130.30353535353532</v>
      </c>
      <c r="V66" s="72">
        <f t="shared" si="28"/>
        <v>158.22709831567644</v>
      </c>
      <c r="W66" s="72">
        <f>ro*(g+0.5*' Design Load and Acceleration'!$C$22)*AE66-10*$C$32</f>
        <v>-7.4838236481833746</v>
      </c>
      <c r="X66" s="72">
        <f t="shared" si="29"/>
        <v>1.9823250000000101</v>
      </c>
      <c r="Y66" s="72">
        <f t="shared" si="30"/>
        <v>158.22709831567644</v>
      </c>
      <c r="Z66" s="70">
        <f t="shared" si="31"/>
        <v>64</v>
      </c>
      <c r="AA66" s="71">
        <f t="shared" si="32"/>
        <v>26.227098315676436</v>
      </c>
      <c r="AB66" s="71">
        <f t="shared" si="33"/>
        <v>25.253685906917308</v>
      </c>
      <c r="AC66" s="70">
        <f t="shared" ref="AC66:AC67" si="37">AC65+0.83</f>
        <v>13.65</v>
      </c>
      <c r="AD66" s="70">
        <v>0</v>
      </c>
      <c r="AE66" s="70">
        <v>3.3</v>
      </c>
      <c r="AF66" s="70">
        <f t="shared" si="35"/>
        <v>4.9000000000000021</v>
      </c>
      <c r="AG66" s="70">
        <f>'Material Proprieties'!$E$7</f>
        <v>1.28</v>
      </c>
    </row>
    <row r="67" spans="11:34" ht="15.75" customHeight="1" x14ac:dyDescent="0.3">
      <c r="K67" s="73">
        <v>15</v>
      </c>
      <c r="L67" s="109">
        <f t="shared" si="22"/>
        <v>1237.3990440830123</v>
      </c>
      <c r="M67" s="70">
        <f t="shared" si="23"/>
        <v>10</v>
      </c>
      <c r="N67" s="72">
        <f t="shared" si="24"/>
        <v>85.230617777044245</v>
      </c>
      <c r="O67" s="70">
        <f>4.5+R67+'Material Proprieties'!$Q$6</f>
        <v>9.4649999999999999</v>
      </c>
      <c r="P67" s="72">
        <f t="shared" si="25"/>
        <v>78.375819855296342</v>
      </c>
      <c r="Q67" s="70">
        <f>'Midship Section'!$C$14/1000</f>
        <v>3.6720000000000002</v>
      </c>
      <c r="R67" s="70">
        <f t="shared" si="26"/>
        <v>3.4649999999999999</v>
      </c>
      <c r="S67" s="70">
        <v>0.83</v>
      </c>
      <c r="T67" s="70">
        <f>1+0.06*'Material Proprieties'!$Q$6</f>
        <v>1.0900000000000001</v>
      </c>
      <c r="U67" s="72">
        <f t="shared" si="27"/>
        <v>130.30353535353532</v>
      </c>
      <c r="V67" s="72">
        <f t="shared" si="28"/>
        <v>159.24945233027498</v>
      </c>
      <c r="W67" s="72">
        <f>ro*(g+0.5*' Design Load and Acceleration'!$C$22)*AE67-10*$C$32</f>
        <v>2.7231682991137376</v>
      </c>
      <c r="X67" s="72">
        <f t="shared" si="29"/>
        <v>10.730392500000008</v>
      </c>
      <c r="Y67" s="72">
        <f t="shared" si="30"/>
        <v>159.24945233027498</v>
      </c>
      <c r="Z67" s="70">
        <f t="shared" si="31"/>
        <v>64</v>
      </c>
      <c r="AA67" s="71">
        <f t="shared" si="32"/>
        <v>27.249452330274977</v>
      </c>
      <c r="AB67" s="71">
        <f t="shared" si="33"/>
        <v>25.253685906917308</v>
      </c>
      <c r="AC67" s="70">
        <f t="shared" si="37"/>
        <v>14.48</v>
      </c>
      <c r="AD67" s="70">
        <v>0</v>
      </c>
      <c r="AE67" s="70">
        <v>4.17</v>
      </c>
      <c r="AF67" s="70">
        <f t="shared" si="35"/>
        <v>4.9000000000000021</v>
      </c>
      <c r="AG67" s="70">
        <f>'Material Proprieties'!$E$7</f>
        <v>1.28</v>
      </c>
    </row>
    <row r="68" spans="11:34" ht="15.75" customHeight="1" x14ac:dyDescent="0.3">
      <c r="K68" s="73">
        <v>16</v>
      </c>
      <c r="L68" s="109">
        <f t="shared" si="22"/>
        <v>1368.4354727923958</v>
      </c>
      <c r="M68" s="70">
        <f t="shared" si="23"/>
        <v>10</v>
      </c>
      <c r="N68" s="72">
        <f t="shared" si="24"/>
        <v>85.230617777044245</v>
      </c>
      <c r="O68" s="70">
        <f>4.5+R68+'Material Proprieties'!$Q$6</f>
        <v>9.4649999999999999</v>
      </c>
      <c r="P68" s="72">
        <f t="shared" si="25"/>
        <v>83.815652125068723</v>
      </c>
      <c r="Q68" s="70">
        <f>'Midship Section'!$C$14/1000</f>
        <v>3.6720000000000002</v>
      </c>
      <c r="R68" s="70">
        <f t="shared" si="26"/>
        <v>3.4649999999999999</v>
      </c>
      <c r="S68" s="70">
        <v>0.88</v>
      </c>
      <c r="T68" s="70">
        <f>1+0.06*'Material Proprieties'!$Q$6</f>
        <v>1.0900000000000001</v>
      </c>
      <c r="U68" s="72">
        <f t="shared" si="27"/>
        <v>130.30353535353532</v>
      </c>
      <c r="V68" s="72">
        <f t="shared" si="28"/>
        <v>166.10699247626039</v>
      </c>
      <c r="W68" s="72">
        <f>ro*(g+0.5*' Design Load and Acceleration'!$C$22)*AE68-10*$C$32</f>
        <v>6.3601424412540908</v>
      </c>
      <c r="X68" s="72">
        <f t="shared" si="29"/>
        <v>13.84752000000001</v>
      </c>
      <c r="Y68" s="72">
        <f t="shared" si="30"/>
        <v>166.10699247626039</v>
      </c>
      <c r="Z68" s="70">
        <f t="shared" si="31"/>
        <v>64</v>
      </c>
      <c r="AA68" s="71">
        <f t="shared" si="32"/>
        <v>34.10699247626038</v>
      </c>
      <c r="AB68" s="71">
        <f t="shared" si="33"/>
        <v>25.253685906917308</v>
      </c>
      <c r="AC68" s="70">
        <f>B/2</f>
        <v>17.3</v>
      </c>
      <c r="AD68" s="70">
        <v>2.82</v>
      </c>
      <c r="AE68" s="70">
        <v>4.4800000000000004</v>
      </c>
      <c r="AF68" s="70">
        <f t="shared" si="35"/>
        <v>4.9000000000000021</v>
      </c>
      <c r="AG68" s="70">
        <f>'Material Proprieties'!$E$7</f>
        <v>1.28</v>
      </c>
    </row>
    <row r="69" spans="11:34" ht="15.75" customHeight="1" x14ac:dyDescent="0.3">
      <c r="K69" s="73">
        <v>17</v>
      </c>
      <c r="L69" s="109">
        <f t="shared" si="22"/>
        <v>1377.1350936676295</v>
      </c>
      <c r="M69" s="70">
        <f t="shared" si="23"/>
        <v>10</v>
      </c>
      <c r="N69" s="72">
        <f t="shared" si="24"/>
        <v>85.230617777044245</v>
      </c>
      <c r="O69" s="70">
        <f>4.5+R69+'Material Proprieties'!$Q$6</f>
        <v>9.4649999999999999</v>
      </c>
      <c r="P69" s="72">
        <f t="shared" si="25"/>
        <v>84.170506991211866</v>
      </c>
      <c r="Q69" s="70">
        <f>'Midship Section'!$C$14/1000</f>
        <v>3.6720000000000002</v>
      </c>
      <c r="R69" s="70">
        <f t="shared" si="26"/>
        <v>3.4649999999999999</v>
      </c>
      <c r="S69" s="70">
        <v>0.88</v>
      </c>
      <c r="T69" s="70">
        <f>1+0.06*'Material Proprieties'!$Q$6</f>
        <v>1.0900000000000001</v>
      </c>
      <c r="U69" s="72">
        <f t="shared" si="27"/>
        <v>130.30353535353532</v>
      </c>
      <c r="V69" s="72">
        <f t="shared" si="28"/>
        <v>167.16299247626037</v>
      </c>
      <c r="W69" s="72">
        <f>ro*(g+0.5*' Design Load and Acceleration'!$C$22)*AE69-10*$C$32</f>
        <v>-3.9641712525636805</v>
      </c>
      <c r="X69" s="72">
        <f t="shared" si="29"/>
        <v>4.9989000000000061</v>
      </c>
      <c r="Y69" s="72">
        <f t="shared" si="30"/>
        <v>167.16299247626037</v>
      </c>
      <c r="Z69" s="70">
        <f t="shared" si="31"/>
        <v>64</v>
      </c>
      <c r="AA69" s="71">
        <f t="shared" si="32"/>
        <v>35.162992476260378</v>
      </c>
      <c r="AB69" s="71">
        <f t="shared" si="33"/>
        <v>25.253685906917308</v>
      </c>
      <c r="AC69" s="70">
        <f>B/2</f>
        <v>17.3</v>
      </c>
      <c r="AD69" s="70">
        <v>3.7</v>
      </c>
      <c r="AE69" s="70">
        <v>3.6</v>
      </c>
      <c r="AF69" s="70">
        <f t="shared" si="35"/>
        <v>4.9000000000000021</v>
      </c>
      <c r="AG69" s="70">
        <f>'Material Proprieties'!$E$7</f>
        <v>1.28</v>
      </c>
    </row>
    <row r="70" spans="11:34" ht="15.75" customHeight="1" x14ac:dyDescent="0.3">
      <c r="K70" s="73">
        <v>18</v>
      </c>
      <c r="L70" s="109">
        <f t="shared" si="22"/>
        <v>1385.8347145428634</v>
      </c>
      <c r="M70" s="70">
        <f t="shared" si="23"/>
        <v>10</v>
      </c>
      <c r="N70" s="72">
        <f t="shared" si="24"/>
        <v>85.230617777044245</v>
      </c>
      <c r="O70" s="70">
        <f>4.5+R70+'Material Proprieties'!$Q$6</f>
        <v>9.4649999999999999</v>
      </c>
      <c r="P70" s="72">
        <f t="shared" si="25"/>
        <v>84.524615409481896</v>
      </c>
      <c r="Q70" s="70">
        <f>'Midship Section'!$C$14/1000</f>
        <v>3.6720000000000002</v>
      </c>
      <c r="R70" s="70">
        <f t="shared" si="26"/>
        <v>3.4649999999999999</v>
      </c>
      <c r="S70" s="70">
        <v>0.88</v>
      </c>
      <c r="T70" s="70">
        <f>1+0.06*'Material Proprieties'!$Q$6</f>
        <v>1.0900000000000001</v>
      </c>
      <c r="U70" s="72">
        <f t="shared" si="27"/>
        <v>130.30353535353532</v>
      </c>
      <c r="V70" s="72">
        <f t="shared" si="28"/>
        <v>168.21899247626038</v>
      </c>
      <c r="W70" s="72">
        <f>ro*(g+0.5*' Design Load and Acceleration'!$C$22)*AE70-10*$C$32</f>
        <v>-14.288484946381441</v>
      </c>
      <c r="X70" s="72">
        <f t="shared" si="29"/>
        <v>-3.8497199999999907</v>
      </c>
      <c r="Y70" s="72">
        <f t="shared" si="30"/>
        <v>168.21899247626038</v>
      </c>
      <c r="Z70" s="70">
        <f t="shared" si="31"/>
        <v>64</v>
      </c>
      <c r="AA70" s="71">
        <f t="shared" si="32"/>
        <v>36.218992476260375</v>
      </c>
      <c r="AB70" s="71">
        <f t="shared" si="33"/>
        <v>25.253685906917308</v>
      </c>
      <c r="AC70" s="70">
        <f>B/2</f>
        <v>17.3</v>
      </c>
      <c r="AD70" s="70">
        <f t="shared" ref="AD70:AD72" si="38">AD69+0.88</f>
        <v>4.58</v>
      </c>
      <c r="AE70" s="70">
        <v>2.72</v>
      </c>
      <c r="AF70" s="70">
        <f t="shared" si="35"/>
        <v>4.9000000000000021</v>
      </c>
      <c r="AG70" s="70">
        <f>'Material Proprieties'!$E$7</f>
        <v>1.28</v>
      </c>
    </row>
    <row r="71" spans="11:34" ht="15.75" customHeight="1" x14ac:dyDescent="0.3">
      <c r="K71" s="73">
        <v>19</v>
      </c>
      <c r="L71" s="109">
        <f t="shared" si="22"/>
        <v>1394.534335418097</v>
      </c>
      <c r="M71" s="70">
        <f t="shared" si="23"/>
        <v>10</v>
      </c>
      <c r="N71" s="72">
        <f t="shared" si="24"/>
        <v>85.230617777044245</v>
      </c>
      <c r="O71" s="70">
        <f>4.5+R71+'Material Proprieties'!$Q$6</f>
        <v>9.4649999999999999</v>
      </c>
      <c r="P71" s="72">
        <f t="shared" si="25"/>
        <v>84.877983621228594</v>
      </c>
      <c r="Q71" s="70">
        <f>'Midship Section'!$C$14/1000</f>
        <v>3.6720000000000002</v>
      </c>
      <c r="R71" s="70">
        <f t="shared" si="26"/>
        <v>3.4649999999999999</v>
      </c>
      <c r="S71" s="70">
        <v>0.88</v>
      </c>
      <c r="T71" s="70">
        <f>1+0.06*'Material Proprieties'!$Q$6</f>
        <v>1.0900000000000001</v>
      </c>
      <c r="U71" s="72">
        <f t="shared" si="27"/>
        <v>130.30353535353532</v>
      </c>
      <c r="V71" s="72">
        <f t="shared" si="28"/>
        <v>169.27499247626037</v>
      </c>
      <c r="W71" s="72">
        <f>ro*(g+0.5*' Design Load and Acceleration'!$C$22)*AE71-10*$C$32</f>
        <v>-24.612798640199209</v>
      </c>
      <c r="X71" s="72">
        <f t="shared" si="29"/>
        <v>-12.698339999999988</v>
      </c>
      <c r="Y71" s="72">
        <f t="shared" si="30"/>
        <v>169.27499247626037</v>
      </c>
      <c r="Z71" s="70">
        <f t="shared" si="31"/>
        <v>64</v>
      </c>
      <c r="AA71" s="71">
        <f t="shared" si="32"/>
        <v>37.27499247626038</v>
      </c>
      <c r="AB71" s="71">
        <f t="shared" si="33"/>
        <v>25.253685906917308</v>
      </c>
      <c r="AC71" s="70">
        <f>B/2</f>
        <v>17.3</v>
      </c>
      <c r="AD71" s="70">
        <f t="shared" si="38"/>
        <v>5.46</v>
      </c>
      <c r="AE71" s="70">
        <v>1.84</v>
      </c>
      <c r="AF71" s="70">
        <f t="shared" si="35"/>
        <v>4.9000000000000021</v>
      </c>
      <c r="AG71" s="70">
        <f>'Material Proprieties'!$E$7</f>
        <v>1.28</v>
      </c>
    </row>
    <row r="72" spans="11:34" ht="15.75" customHeight="1" x14ac:dyDescent="0.3">
      <c r="K72" s="73">
        <v>20</v>
      </c>
      <c r="L72" s="109">
        <f t="shared" si="22"/>
        <v>1403.2339562933307</v>
      </c>
      <c r="M72" s="70">
        <f t="shared" si="23"/>
        <v>10</v>
      </c>
      <c r="N72" s="72">
        <f t="shared" si="24"/>
        <v>85.230617777044245</v>
      </c>
      <c r="O72" s="70">
        <f>4.5+R72+'Material Proprieties'!$Q$6</f>
        <v>9.4649999999999999</v>
      </c>
      <c r="P72" s="72">
        <f t="shared" si="25"/>
        <v>85.230617777044245</v>
      </c>
      <c r="Q72" s="70">
        <f>'Midship Section'!$C$14/1000</f>
        <v>3.6720000000000002</v>
      </c>
      <c r="R72" s="70">
        <f t="shared" si="26"/>
        <v>3.4649999999999999</v>
      </c>
      <c r="S72" s="70">
        <v>0.88</v>
      </c>
      <c r="T72" s="70">
        <f>1+0.06*'Material Proprieties'!$Q$6</f>
        <v>1.0900000000000001</v>
      </c>
      <c r="U72" s="72">
        <f t="shared" si="27"/>
        <v>130.30353535353532</v>
      </c>
      <c r="V72" s="72">
        <f t="shared" si="28"/>
        <v>170.33099247626038</v>
      </c>
      <c r="W72" s="72">
        <f>ro*(g+0.5*' Design Load and Acceleration'!$C$22)*AE72-10*$C$32</f>
        <v>-35.875686306182224</v>
      </c>
      <c r="X72" s="72">
        <f t="shared" si="29"/>
        <v>-22.351379999999992</v>
      </c>
      <c r="Y72" s="72">
        <f t="shared" si="30"/>
        <v>170.33099247626038</v>
      </c>
      <c r="Z72" s="70">
        <f t="shared" si="31"/>
        <v>64</v>
      </c>
      <c r="AA72" s="71">
        <f t="shared" si="32"/>
        <v>38.330992476260377</v>
      </c>
      <c r="AB72" s="71">
        <f t="shared" si="33"/>
        <v>25.253685906917308</v>
      </c>
      <c r="AC72" s="70">
        <f>B/2</f>
        <v>17.3</v>
      </c>
      <c r="AD72" s="70">
        <f t="shared" si="38"/>
        <v>6.34</v>
      </c>
      <c r="AE72" s="70">
        <v>0.88</v>
      </c>
      <c r="AF72" s="70">
        <f t="shared" si="35"/>
        <v>4.9000000000000021</v>
      </c>
      <c r="AG72" s="70">
        <f>'Material Proprieties'!$E$7</f>
        <v>1.28</v>
      </c>
    </row>
    <row r="73" spans="11:34" ht="15.75" customHeight="1" x14ac:dyDescent="0.3">
      <c r="K73" s="101"/>
      <c r="L73" s="111" t="s">
        <v>230</v>
      </c>
      <c r="M73" s="101"/>
      <c r="N73" s="101"/>
      <c r="O73" s="111" t="s">
        <v>231</v>
      </c>
      <c r="P73" s="101"/>
      <c r="Q73" s="110"/>
      <c r="R73" s="111" t="s">
        <v>231</v>
      </c>
      <c r="S73" s="101"/>
      <c r="T73" s="111" t="s">
        <v>232</v>
      </c>
      <c r="U73" s="116" t="s">
        <v>230</v>
      </c>
      <c r="V73" s="235" t="s">
        <v>204</v>
      </c>
      <c r="W73" s="236"/>
      <c r="X73" s="236"/>
      <c r="Y73" s="237"/>
      <c r="Z73" s="110"/>
      <c r="AA73" s="111" t="s">
        <v>230</v>
      </c>
      <c r="AB73" s="238" t="s">
        <v>233</v>
      </c>
      <c r="AC73" s="239"/>
      <c r="AD73" s="239"/>
      <c r="AE73" s="239"/>
      <c r="AF73" s="239"/>
      <c r="AG73" s="239"/>
      <c r="AH73" s="240"/>
    </row>
    <row r="74" spans="11:34" ht="15.75" customHeight="1" x14ac:dyDescent="0.3"/>
    <row r="75" spans="11:34" ht="15.75" customHeight="1" x14ac:dyDescent="0.3">
      <c r="K75" s="228" t="s">
        <v>234</v>
      </c>
      <c r="L75" s="229"/>
      <c r="M75" s="229"/>
      <c r="N75" s="229"/>
      <c r="O75" s="229"/>
      <c r="P75" s="229"/>
      <c r="Q75" s="229"/>
      <c r="R75" s="229"/>
      <c r="S75" s="229"/>
      <c r="T75" s="229"/>
      <c r="U75" s="229"/>
      <c r="V75" s="229"/>
      <c r="W75" s="229"/>
      <c r="X75" s="229"/>
      <c r="Y75" s="229"/>
      <c r="Z75" s="229"/>
      <c r="AA75" s="229"/>
      <c r="AB75" s="229"/>
      <c r="AC75" s="229"/>
      <c r="AD75" s="229"/>
      <c r="AE75" s="229"/>
      <c r="AF75" s="229"/>
      <c r="AG75" s="230"/>
    </row>
    <row r="76" spans="11:34" ht="15.75" customHeight="1" x14ac:dyDescent="0.3">
      <c r="K76" s="74" t="s">
        <v>219</v>
      </c>
      <c r="L76" s="74" t="s">
        <v>220</v>
      </c>
      <c r="M76" s="74" t="s">
        <v>158</v>
      </c>
      <c r="N76" s="74" t="s">
        <v>221</v>
      </c>
      <c r="O76" s="74" t="s">
        <v>167</v>
      </c>
      <c r="P76" s="74" t="s">
        <v>222</v>
      </c>
      <c r="Q76" s="74" t="s">
        <v>40</v>
      </c>
      <c r="R76" s="74" t="s">
        <v>123</v>
      </c>
      <c r="S76" s="74" t="s">
        <v>182</v>
      </c>
      <c r="T76" s="74" t="s">
        <v>223</v>
      </c>
      <c r="U76" s="74" t="s">
        <v>187</v>
      </c>
      <c r="V76" s="74" t="s">
        <v>206</v>
      </c>
      <c r="W76" s="74" t="s">
        <v>207</v>
      </c>
      <c r="X76" s="74" t="s">
        <v>208</v>
      </c>
      <c r="Y76" s="74" t="s">
        <v>209</v>
      </c>
      <c r="Z76" s="74" t="s">
        <v>224</v>
      </c>
      <c r="AA76" s="74" t="s">
        <v>225</v>
      </c>
      <c r="AB76" s="74" t="s">
        <v>193</v>
      </c>
      <c r="AC76" s="74" t="s">
        <v>192</v>
      </c>
      <c r="AD76" s="74" t="s">
        <v>211</v>
      </c>
      <c r="AE76" s="74" t="s">
        <v>212</v>
      </c>
      <c r="AF76" s="74" t="s">
        <v>210</v>
      </c>
      <c r="AG76" s="73" t="s">
        <v>157</v>
      </c>
    </row>
    <row r="77" spans="11:34" ht="15.75" customHeight="1" x14ac:dyDescent="0.3">
      <c r="K77" s="74" t="s">
        <v>164</v>
      </c>
      <c r="L77" s="118" t="s">
        <v>227</v>
      </c>
      <c r="M77" s="118" t="s">
        <v>169</v>
      </c>
      <c r="N77" s="118" t="s">
        <v>26</v>
      </c>
      <c r="O77" s="118" t="s">
        <v>30</v>
      </c>
      <c r="P77" s="118" t="s">
        <v>228</v>
      </c>
      <c r="Q77" s="118" t="s">
        <v>3</v>
      </c>
      <c r="R77" s="118" t="s">
        <v>15</v>
      </c>
      <c r="S77" s="118" t="s">
        <v>3</v>
      </c>
      <c r="T77" s="118" t="s">
        <v>15</v>
      </c>
      <c r="U77" s="118" t="s">
        <v>15</v>
      </c>
      <c r="V77" s="118" t="s">
        <v>229</v>
      </c>
      <c r="W77" s="118" t="s">
        <v>229</v>
      </c>
      <c r="X77" s="118" t="s">
        <v>229</v>
      </c>
      <c r="Y77" s="118" t="s">
        <v>229</v>
      </c>
      <c r="Z77" s="118" t="s">
        <v>229</v>
      </c>
      <c r="AA77" s="118" t="s">
        <v>15</v>
      </c>
      <c r="AB77" s="118" t="s">
        <v>3</v>
      </c>
      <c r="AC77" s="118" t="s">
        <v>3</v>
      </c>
      <c r="AD77" s="118" t="s">
        <v>3</v>
      </c>
      <c r="AE77" s="118" t="s">
        <v>197</v>
      </c>
      <c r="AF77" s="118" t="s">
        <v>3</v>
      </c>
      <c r="AG77" s="117" t="s">
        <v>64</v>
      </c>
    </row>
    <row r="78" spans="11:34" ht="15.75" customHeight="1" x14ac:dyDescent="0.3">
      <c r="K78" s="74">
        <v>50</v>
      </c>
      <c r="L78" s="109">
        <f t="shared" ref="L78:L97" si="39">83*(Q78^2)*S78*Z78*T78/U78</f>
        <v>1025.6655293244332</v>
      </c>
      <c r="M78" s="63">
        <f>ROUNDUP(O78:O97,0)</f>
        <v>10</v>
      </c>
      <c r="N78" s="109">
        <f t="shared" ref="N78:N97" si="40">MAX($P$78:$P$97)</f>
        <v>69.582376476978069</v>
      </c>
      <c r="O78" s="71">
        <f>4.5+R78+'Material Proprieties'!$Q$55</f>
        <v>9.4649999999999999</v>
      </c>
      <c r="P78" s="109">
        <f t="shared" ref="P78:P97" si="41">0.68*(L78^(2/3))</f>
        <v>69.158582941413542</v>
      </c>
      <c r="Q78" s="63">
        <f>'Midship Section'!$C$14/1000</f>
        <v>3.6720000000000002</v>
      </c>
      <c r="R78" s="63">
        <f t="shared" ref="R78:R97" si="42">0.015*Lbp</f>
        <v>3.4649999999999999</v>
      </c>
      <c r="S78" s="63">
        <v>0.83</v>
      </c>
      <c r="T78" s="63">
        <f>1+0.06*'Material Proprieties'!$Q$55</f>
        <v>1.0900000000000001</v>
      </c>
      <c r="U78" s="72">
        <f t="shared" ref="U78:U97" si="43">IF(225*AG78-130*$C$29-0.7*AA78&lt;160*AG78,225*AG78-130*$C$29-0.7*AA78,160*AG78)</f>
        <v>130.30353535353532</v>
      </c>
      <c r="V78" s="63">
        <f>'Ship Characteristics'!$H$17*(g+0.5*' Design Load and Acceleration'!$C$22)*AF78</f>
        <v>57.687961216010571</v>
      </c>
      <c r="W78" s="63">
        <f t="shared" ref="W78:W97" si="44">0.67*(10*AD78+AE78)</f>
        <v>104.587</v>
      </c>
      <c r="X78" s="63">
        <f t="shared" ref="X78:X97" si="45">10*AB78+$C$26</f>
        <v>15</v>
      </c>
      <c r="Y78" s="63">
        <f t="shared" ref="Y78:Y97" si="46">10*T</f>
        <v>132</v>
      </c>
      <c r="Z78" s="63">
        <f t="shared" ref="Z78:Z97" si="47">MAX(V78:Y78)</f>
        <v>132</v>
      </c>
      <c r="AA78" s="63">
        <f t="shared" ref="AA78:AA97" si="48">50*AG78</f>
        <v>64</v>
      </c>
      <c r="AB78" s="63">
        <v>0</v>
      </c>
      <c r="AC78" s="70">
        <f t="shared" ref="AC78:AC97" si="49">MIN(T,$C$34)</f>
        <v>4.9000000000000021</v>
      </c>
      <c r="AD78" s="63">
        <v>13.11</v>
      </c>
      <c r="AE78" s="63">
        <v>25</v>
      </c>
      <c r="AF78" s="63">
        <v>6.3</v>
      </c>
      <c r="AG78" s="70">
        <v>1.28</v>
      </c>
    </row>
    <row r="79" spans="11:34" ht="15.75" customHeight="1" x14ac:dyDescent="0.3">
      <c r="K79" s="74">
        <v>51</v>
      </c>
      <c r="L79" s="109">
        <f t="shared" si="39"/>
        <v>1025.6655293244332</v>
      </c>
      <c r="M79" s="63">
        <f>ROUNDUP(O79:O98,0)</f>
        <v>10</v>
      </c>
      <c r="N79" s="109">
        <f t="shared" si="40"/>
        <v>69.582376476978069</v>
      </c>
      <c r="O79" s="71">
        <f>4.5+R79+'Material Proprieties'!$Q$55</f>
        <v>9.4649999999999999</v>
      </c>
      <c r="P79" s="109">
        <f t="shared" si="41"/>
        <v>69.158582941413542</v>
      </c>
      <c r="Q79" s="63">
        <f>'Midship Section'!$C$14/1000</f>
        <v>3.6720000000000002</v>
      </c>
      <c r="R79" s="63">
        <f t="shared" si="42"/>
        <v>3.4649999999999999</v>
      </c>
      <c r="S79" s="63">
        <v>0.83</v>
      </c>
      <c r="T79" s="63">
        <f>1+0.06*'Material Proprieties'!$Q$55</f>
        <v>1.0900000000000001</v>
      </c>
      <c r="U79" s="72">
        <f t="shared" si="43"/>
        <v>130.30353535353532</v>
      </c>
      <c r="V79" s="63">
        <f>'Ship Characteristics'!$H$17*(g+0.5*' Design Load and Acceleration'!$C$22)*AF79</f>
        <v>65.929098532583509</v>
      </c>
      <c r="W79" s="63">
        <f t="shared" si="44"/>
        <v>108.54</v>
      </c>
      <c r="X79" s="63">
        <f t="shared" si="45"/>
        <v>15</v>
      </c>
      <c r="Y79" s="63">
        <f t="shared" si="46"/>
        <v>132</v>
      </c>
      <c r="Z79" s="63">
        <f t="shared" si="47"/>
        <v>132</v>
      </c>
      <c r="AA79" s="63">
        <f t="shared" si="48"/>
        <v>64</v>
      </c>
      <c r="AB79" s="63">
        <v>0</v>
      </c>
      <c r="AC79" s="70">
        <f t="shared" si="49"/>
        <v>4.9000000000000021</v>
      </c>
      <c r="AD79" s="63">
        <v>13.7</v>
      </c>
      <c r="AE79" s="63">
        <v>25</v>
      </c>
      <c r="AF79" s="63">
        <v>7.2</v>
      </c>
      <c r="AG79" s="70">
        <v>1.28</v>
      </c>
    </row>
    <row r="80" spans="11:34" ht="15.75" customHeight="1" x14ac:dyDescent="0.3">
      <c r="K80" s="74">
        <v>52</v>
      </c>
      <c r="L80" s="109">
        <f t="shared" si="39"/>
        <v>1025.6655293244332</v>
      </c>
      <c r="M80" s="63">
        <f t="shared" ref="M80:M97" si="50">ROUNDUP(O80:O111,0)</f>
        <v>10</v>
      </c>
      <c r="N80" s="109">
        <f t="shared" si="40"/>
        <v>69.582376476978069</v>
      </c>
      <c r="O80" s="71">
        <f>4.5+R80+'Material Proprieties'!$Q$55</f>
        <v>9.4649999999999999</v>
      </c>
      <c r="P80" s="109">
        <f t="shared" si="41"/>
        <v>69.158582941413542</v>
      </c>
      <c r="Q80" s="63">
        <f>'Midship Section'!$C$14/1000</f>
        <v>3.6720000000000002</v>
      </c>
      <c r="R80" s="63">
        <f t="shared" si="42"/>
        <v>3.4649999999999999</v>
      </c>
      <c r="S80" s="63">
        <v>0.83</v>
      </c>
      <c r="T80" s="63">
        <f>1+0.06*'Material Proprieties'!$Q$55</f>
        <v>1.0900000000000001</v>
      </c>
      <c r="U80" s="72">
        <f t="shared" si="43"/>
        <v>130.30353535353532</v>
      </c>
      <c r="V80" s="63">
        <f>'Ship Characteristics'!$H$17*(g+0.5*' Design Load and Acceleration'!$C$22)*AF80</f>
        <v>75.085917773220103</v>
      </c>
      <c r="W80" s="63">
        <f t="shared" si="44"/>
        <v>112.49299999999999</v>
      </c>
      <c r="X80" s="63">
        <f t="shared" si="45"/>
        <v>15</v>
      </c>
      <c r="Y80" s="63">
        <f t="shared" si="46"/>
        <v>132</v>
      </c>
      <c r="Z80" s="63">
        <f t="shared" si="47"/>
        <v>132</v>
      </c>
      <c r="AA80" s="63">
        <f t="shared" si="48"/>
        <v>64</v>
      </c>
      <c r="AB80" s="63">
        <v>0</v>
      </c>
      <c r="AC80" s="70">
        <f t="shared" si="49"/>
        <v>4.9000000000000021</v>
      </c>
      <c r="AD80" s="63">
        <v>14.29</v>
      </c>
      <c r="AE80" s="63">
        <v>25</v>
      </c>
      <c r="AF80" s="63">
        <v>8.1999999999999993</v>
      </c>
      <c r="AG80" s="70">
        <v>1.28</v>
      </c>
    </row>
    <row r="81" spans="11:34" ht="15.75" customHeight="1" x14ac:dyDescent="0.3">
      <c r="K81" s="74">
        <v>53</v>
      </c>
      <c r="L81" s="109">
        <f t="shared" si="39"/>
        <v>1025.6655293244332</v>
      </c>
      <c r="M81" s="63">
        <f t="shared" si="50"/>
        <v>10</v>
      </c>
      <c r="N81" s="109">
        <f t="shared" si="40"/>
        <v>69.582376476978069</v>
      </c>
      <c r="O81" s="71">
        <f>4.5+R81+'Material Proprieties'!$Q$55</f>
        <v>9.4649999999999999</v>
      </c>
      <c r="P81" s="109">
        <f t="shared" si="41"/>
        <v>69.158582941413542</v>
      </c>
      <c r="Q81" s="63">
        <f>'Midship Section'!$C$14/1000</f>
        <v>3.6720000000000002</v>
      </c>
      <c r="R81" s="63">
        <f t="shared" si="42"/>
        <v>3.4649999999999999</v>
      </c>
      <c r="S81" s="63">
        <v>0.83</v>
      </c>
      <c r="T81" s="63">
        <f>1+0.06*'Material Proprieties'!$Q$55</f>
        <v>1.0900000000000001</v>
      </c>
      <c r="U81" s="72">
        <f t="shared" si="43"/>
        <v>130.30353535353532</v>
      </c>
      <c r="V81" s="63">
        <f>'Ship Characteristics'!$H$17*(g+0.5*' Design Load and Acceleration'!$C$22)*AF81</f>
        <v>82.411373165729387</v>
      </c>
      <c r="W81" s="63">
        <f t="shared" si="44"/>
        <v>116.51300000000001</v>
      </c>
      <c r="X81" s="63">
        <f t="shared" si="45"/>
        <v>15</v>
      </c>
      <c r="Y81" s="63">
        <f t="shared" si="46"/>
        <v>132</v>
      </c>
      <c r="Z81" s="63">
        <f t="shared" si="47"/>
        <v>132</v>
      </c>
      <c r="AA81" s="63">
        <f t="shared" si="48"/>
        <v>64</v>
      </c>
      <c r="AB81" s="63">
        <v>0</v>
      </c>
      <c r="AC81" s="70">
        <f t="shared" si="49"/>
        <v>4.9000000000000021</v>
      </c>
      <c r="AD81" s="63">
        <v>14.89</v>
      </c>
      <c r="AE81" s="63">
        <v>25</v>
      </c>
      <c r="AF81" s="63">
        <v>9</v>
      </c>
      <c r="AG81" s="70">
        <v>1.28</v>
      </c>
    </row>
    <row r="82" spans="11:34" ht="15.75" customHeight="1" x14ac:dyDescent="0.3">
      <c r="K82" s="74">
        <v>54</v>
      </c>
      <c r="L82" s="109">
        <f t="shared" si="39"/>
        <v>1025.6655293244332</v>
      </c>
      <c r="M82" s="63">
        <f t="shared" si="50"/>
        <v>10</v>
      </c>
      <c r="N82" s="109">
        <f t="shared" si="40"/>
        <v>69.582376476978069</v>
      </c>
      <c r="O82" s="71">
        <f>4.5+R82+'Material Proprieties'!$Q$55</f>
        <v>9.4649999999999999</v>
      </c>
      <c r="P82" s="109">
        <f t="shared" si="41"/>
        <v>69.158582941413542</v>
      </c>
      <c r="Q82" s="63">
        <f>'Midship Section'!$C$14/1000</f>
        <v>3.6720000000000002</v>
      </c>
      <c r="R82" s="63">
        <f t="shared" si="42"/>
        <v>3.4649999999999999</v>
      </c>
      <c r="S82" s="63">
        <v>0.83</v>
      </c>
      <c r="T82" s="63">
        <f>1+0.06*'Material Proprieties'!$Q$55</f>
        <v>1.0900000000000001</v>
      </c>
      <c r="U82" s="72">
        <f t="shared" si="43"/>
        <v>130.30353535353532</v>
      </c>
      <c r="V82" s="63">
        <f>'Ship Characteristics'!$H$17*(g+0.5*' Design Load and Acceleration'!$C$22)*AF82</f>
        <v>91.568192406365995</v>
      </c>
      <c r="W82" s="63">
        <f t="shared" si="44"/>
        <v>120.39900000000002</v>
      </c>
      <c r="X82" s="63">
        <f t="shared" si="45"/>
        <v>15</v>
      </c>
      <c r="Y82" s="63">
        <f t="shared" si="46"/>
        <v>132</v>
      </c>
      <c r="Z82" s="63">
        <f t="shared" si="47"/>
        <v>132</v>
      </c>
      <c r="AA82" s="63">
        <f t="shared" si="48"/>
        <v>64</v>
      </c>
      <c r="AB82" s="63">
        <v>0</v>
      </c>
      <c r="AC82" s="70">
        <f t="shared" si="49"/>
        <v>4.9000000000000021</v>
      </c>
      <c r="AD82" s="63">
        <v>15.47</v>
      </c>
      <c r="AE82" s="63">
        <v>25</v>
      </c>
      <c r="AF82" s="63">
        <v>10</v>
      </c>
      <c r="AG82" s="70">
        <v>1.28</v>
      </c>
    </row>
    <row r="83" spans="11:34" ht="15.75" customHeight="1" x14ac:dyDescent="0.3">
      <c r="K83" s="74">
        <v>55</v>
      </c>
      <c r="L83" s="109">
        <f t="shared" si="39"/>
        <v>1025.6655293244332</v>
      </c>
      <c r="M83" s="63">
        <f t="shared" si="50"/>
        <v>10</v>
      </c>
      <c r="N83" s="109">
        <f t="shared" si="40"/>
        <v>69.582376476978069</v>
      </c>
      <c r="O83" s="71">
        <f>4.5+R83+'Material Proprieties'!$Q$55</f>
        <v>9.4649999999999999</v>
      </c>
      <c r="P83" s="109">
        <f t="shared" si="41"/>
        <v>69.158582941413542</v>
      </c>
      <c r="Q83" s="63">
        <f>'Midship Section'!$C$14/1000</f>
        <v>3.6720000000000002</v>
      </c>
      <c r="R83" s="63">
        <f t="shared" si="42"/>
        <v>3.4649999999999999</v>
      </c>
      <c r="S83" s="63">
        <v>0.83</v>
      </c>
      <c r="T83" s="63">
        <f>1+0.06*'Material Proprieties'!$Q$55</f>
        <v>1.0900000000000001</v>
      </c>
      <c r="U83" s="72">
        <f t="shared" si="43"/>
        <v>130.30353535353532</v>
      </c>
      <c r="V83" s="63">
        <f>'Ship Characteristics'!$H$17*(g+0.5*' Design Load and Acceleration'!$C$22)*AF83</f>
        <v>98.893647798875278</v>
      </c>
      <c r="W83" s="63">
        <f t="shared" si="44"/>
        <v>123.95</v>
      </c>
      <c r="X83" s="63">
        <f t="shared" si="45"/>
        <v>15</v>
      </c>
      <c r="Y83" s="63">
        <f t="shared" si="46"/>
        <v>132</v>
      </c>
      <c r="Z83" s="63">
        <f t="shared" si="47"/>
        <v>132</v>
      </c>
      <c r="AA83" s="63">
        <f t="shared" si="48"/>
        <v>64</v>
      </c>
      <c r="AB83" s="63">
        <v>0</v>
      </c>
      <c r="AC83" s="70">
        <f t="shared" si="49"/>
        <v>4.9000000000000021</v>
      </c>
      <c r="AD83" s="63">
        <v>16</v>
      </c>
      <c r="AE83" s="63">
        <v>25</v>
      </c>
      <c r="AF83" s="63">
        <v>10.8</v>
      </c>
      <c r="AG83" s="70">
        <v>1.28</v>
      </c>
    </row>
    <row r="84" spans="11:34" ht="15.75" customHeight="1" x14ac:dyDescent="0.3">
      <c r="K84" s="74">
        <v>56</v>
      </c>
      <c r="L84" s="109">
        <f t="shared" si="39"/>
        <v>1025.6655293244332</v>
      </c>
      <c r="M84" s="63">
        <f t="shared" si="50"/>
        <v>10</v>
      </c>
      <c r="N84" s="109">
        <f t="shared" si="40"/>
        <v>69.582376476978069</v>
      </c>
      <c r="O84" s="71">
        <f>4.5+R84+'Material Proprieties'!$Q$55</f>
        <v>9.4649999999999999</v>
      </c>
      <c r="P84" s="109">
        <f t="shared" si="41"/>
        <v>69.158582941413542</v>
      </c>
      <c r="Q84" s="63">
        <f>'Midship Section'!$C$14/1000</f>
        <v>3.6720000000000002</v>
      </c>
      <c r="R84" s="63">
        <f t="shared" si="42"/>
        <v>3.4649999999999999</v>
      </c>
      <c r="S84" s="63">
        <v>0.83</v>
      </c>
      <c r="T84" s="63">
        <f>1+0.06*'Material Proprieties'!$Q$55</f>
        <v>1.0900000000000001</v>
      </c>
      <c r="U84" s="72">
        <f t="shared" si="43"/>
        <v>130.30353535353532</v>
      </c>
      <c r="V84" s="63">
        <f>'Ship Characteristics'!$H$17*(g+0.5*' Design Load and Acceleration'!$C$22)*AF84</f>
        <v>108.41673980913733</v>
      </c>
      <c r="W84" s="63">
        <f t="shared" si="44"/>
        <v>128.30500000000001</v>
      </c>
      <c r="X84" s="63">
        <f t="shared" si="45"/>
        <v>15</v>
      </c>
      <c r="Y84" s="63">
        <f t="shared" si="46"/>
        <v>132</v>
      </c>
      <c r="Z84" s="63">
        <f t="shared" si="47"/>
        <v>132</v>
      </c>
      <c r="AA84" s="63">
        <f t="shared" si="48"/>
        <v>64</v>
      </c>
      <c r="AB84" s="63">
        <v>0</v>
      </c>
      <c r="AC84" s="70">
        <f t="shared" si="49"/>
        <v>4.9000000000000021</v>
      </c>
      <c r="AD84" s="63">
        <v>16.649999999999999</v>
      </c>
      <c r="AE84" s="63">
        <v>25</v>
      </c>
      <c r="AF84" s="63">
        <v>11.84</v>
      </c>
      <c r="AG84" s="70">
        <v>1.28</v>
      </c>
    </row>
    <row r="85" spans="11:34" ht="15.75" customHeight="1" x14ac:dyDescent="0.3">
      <c r="K85" s="74">
        <v>57</v>
      </c>
      <c r="L85" s="109">
        <f t="shared" si="39"/>
        <v>1027.1496362645921</v>
      </c>
      <c r="M85" s="63">
        <f t="shared" si="50"/>
        <v>10</v>
      </c>
      <c r="N85" s="109">
        <f t="shared" si="40"/>
        <v>69.582376476978069</v>
      </c>
      <c r="O85" s="71">
        <f>4.5+R85+'Material Proprieties'!$Q$55</f>
        <v>9.4649999999999999</v>
      </c>
      <c r="P85" s="109">
        <f t="shared" si="41"/>
        <v>69.225280445530473</v>
      </c>
      <c r="Q85" s="63">
        <f>'Midship Section'!$C$14/1000</f>
        <v>3.6720000000000002</v>
      </c>
      <c r="R85" s="63">
        <f t="shared" si="42"/>
        <v>3.4649999999999999</v>
      </c>
      <c r="S85" s="63">
        <v>0.83</v>
      </c>
      <c r="T85" s="63">
        <f>1+0.06*'Material Proprieties'!$Q$55</f>
        <v>1.0900000000000001</v>
      </c>
      <c r="U85" s="72">
        <f t="shared" si="43"/>
        <v>130.30353535353532</v>
      </c>
      <c r="V85" s="63">
        <f>'Ship Characteristics'!$H$17*(g+0.5*' Design Load and Acceleration'!$C$22)*AF85</f>
        <v>116.841013510523</v>
      </c>
      <c r="W85" s="63">
        <f t="shared" si="44"/>
        <v>132.191</v>
      </c>
      <c r="X85" s="63">
        <f t="shared" si="45"/>
        <v>15</v>
      </c>
      <c r="Y85" s="63">
        <f t="shared" si="46"/>
        <v>132</v>
      </c>
      <c r="Z85" s="63">
        <f t="shared" si="47"/>
        <v>132.191</v>
      </c>
      <c r="AA85" s="63">
        <f t="shared" si="48"/>
        <v>64</v>
      </c>
      <c r="AB85" s="63">
        <v>0</v>
      </c>
      <c r="AC85" s="70">
        <f t="shared" si="49"/>
        <v>4.9000000000000021</v>
      </c>
      <c r="AD85" s="63">
        <v>17.23</v>
      </c>
      <c r="AE85" s="63">
        <v>25</v>
      </c>
      <c r="AF85" s="63">
        <v>12.76</v>
      </c>
      <c r="AG85" s="70">
        <v>1.28</v>
      </c>
    </row>
    <row r="86" spans="11:34" ht="15.75" customHeight="1" x14ac:dyDescent="0.3">
      <c r="K86" s="74">
        <v>58</v>
      </c>
      <c r="L86" s="109">
        <f t="shared" si="39"/>
        <v>1035.107646764435</v>
      </c>
      <c r="M86" s="63">
        <f t="shared" si="50"/>
        <v>10</v>
      </c>
      <c r="N86" s="109">
        <f t="shared" si="40"/>
        <v>69.582376476978069</v>
      </c>
      <c r="O86" s="71">
        <f>4.5+R86+'Material Proprieties'!$Q$55</f>
        <v>9.4649999999999999</v>
      </c>
      <c r="P86" s="109">
        <f t="shared" si="41"/>
        <v>69.582376476978069</v>
      </c>
      <c r="Q86" s="63">
        <f>'Midship Section'!$C$14/1000</f>
        <v>3.6720000000000002</v>
      </c>
      <c r="R86" s="63">
        <f t="shared" si="42"/>
        <v>3.4649999999999999</v>
      </c>
      <c r="S86" s="63">
        <v>0.75</v>
      </c>
      <c r="T86" s="63">
        <f>1+0.06*'Material Proprieties'!$Q$55</f>
        <v>1.0900000000000001</v>
      </c>
      <c r="U86" s="72">
        <f t="shared" si="43"/>
        <v>130.30353535353532</v>
      </c>
      <c r="V86" s="63">
        <f>'Ship Characteristics'!$H$17*(g+0.5*' Design Load and Acceleration'!$C$22)*AF86</f>
        <v>147.42478977424926</v>
      </c>
      <c r="W86" s="63">
        <f t="shared" si="44"/>
        <v>134.67000000000002</v>
      </c>
      <c r="X86" s="63">
        <f t="shared" si="45"/>
        <v>15</v>
      </c>
      <c r="Y86" s="63">
        <f t="shared" si="46"/>
        <v>132</v>
      </c>
      <c r="Z86" s="63">
        <f t="shared" si="47"/>
        <v>147.42478977424926</v>
      </c>
      <c r="AA86" s="63">
        <f t="shared" si="48"/>
        <v>64</v>
      </c>
      <c r="AB86" s="63">
        <v>0</v>
      </c>
      <c r="AC86" s="70">
        <f t="shared" si="49"/>
        <v>4.9000000000000021</v>
      </c>
      <c r="AD86" s="63">
        <v>17.600000000000001</v>
      </c>
      <c r="AE86" s="63">
        <v>25</v>
      </c>
      <c r="AF86" s="63">
        <v>16.100000000000001</v>
      </c>
      <c r="AG86" s="70">
        <v>1.28</v>
      </c>
    </row>
    <row r="87" spans="11:34" ht="15.75" customHeight="1" x14ac:dyDescent="0.3">
      <c r="K87" s="74">
        <v>59</v>
      </c>
      <c r="L87" s="109">
        <f t="shared" si="39"/>
        <v>1035.107646764435</v>
      </c>
      <c r="M87" s="63">
        <f t="shared" si="50"/>
        <v>10</v>
      </c>
      <c r="N87" s="109">
        <f t="shared" si="40"/>
        <v>69.582376476978069</v>
      </c>
      <c r="O87" s="71">
        <f>4.5+R87+'Material Proprieties'!$Q$55</f>
        <v>9.4649999999999999</v>
      </c>
      <c r="P87" s="109">
        <f t="shared" si="41"/>
        <v>69.582376476978069</v>
      </c>
      <c r="Q87" s="63">
        <f>'Midship Section'!$C$14/1000</f>
        <v>3.6720000000000002</v>
      </c>
      <c r="R87" s="63">
        <f t="shared" si="42"/>
        <v>3.4649999999999999</v>
      </c>
      <c r="S87" s="63">
        <v>0.75</v>
      </c>
      <c r="T87" s="63">
        <f>1+0.06*'Material Proprieties'!$Q$55</f>
        <v>1.0900000000000001</v>
      </c>
      <c r="U87" s="72">
        <f t="shared" si="43"/>
        <v>130.30353535353532</v>
      </c>
      <c r="V87" s="63">
        <f>'Ship Characteristics'!$H$17*(g+0.5*' Design Load and Acceleration'!$C$22)*AF87</f>
        <v>147.42478977424926</v>
      </c>
      <c r="W87" s="63">
        <f t="shared" si="44"/>
        <v>134.67000000000002</v>
      </c>
      <c r="X87" s="63">
        <f t="shared" si="45"/>
        <v>15</v>
      </c>
      <c r="Y87" s="63">
        <f t="shared" si="46"/>
        <v>132</v>
      </c>
      <c r="Z87" s="63">
        <f t="shared" si="47"/>
        <v>147.42478977424926</v>
      </c>
      <c r="AA87" s="63">
        <f t="shared" si="48"/>
        <v>64</v>
      </c>
      <c r="AB87" s="63">
        <v>0</v>
      </c>
      <c r="AC87" s="70">
        <f t="shared" si="49"/>
        <v>4.9000000000000021</v>
      </c>
      <c r="AD87" s="63">
        <v>17.600000000000001</v>
      </c>
      <c r="AE87" s="63">
        <v>25</v>
      </c>
      <c r="AF87" s="63">
        <v>16.100000000000001</v>
      </c>
      <c r="AG87" s="70">
        <v>1.28</v>
      </c>
    </row>
    <row r="88" spans="11:34" ht="15.75" customHeight="1" x14ac:dyDescent="0.3">
      <c r="K88" s="74">
        <v>60</v>
      </c>
      <c r="L88" s="109">
        <f t="shared" si="39"/>
        <v>1035.107646764435</v>
      </c>
      <c r="M88" s="63">
        <f t="shared" si="50"/>
        <v>10</v>
      </c>
      <c r="N88" s="109">
        <f t="shared" si="40"/>
        <v>69.582376476978069</v>
      </c>
      <c r="O88" s="71">
        <f>4.5+R88+'Material Proprieties'!$Q$55</f>
        <v>9.4649999999999999</v>
      </c>
      <c r="P88" s="109">
        <f t="shared" si="41"/>
        <v>69.582376476978069</v>
      </c>
      <c r="Q88" s="63">
        <f>'Midship Section'!$C$14/1000</f>
        <v>3.6720000000000002</v>
      </c>
      <c r="R88" s="63">
        <f t="shared" si="42"/>
        <v>3.4649999999999999</v>
      </c>
      <c r="S88" s="63">
        <v>0.75</v>
      </c>
      <c r="T88" s="63">
        <f>1+0.06*'Material Proprieties'!$Q$55</f>
        <v>1.0900000000000001</v>
      </c>
      <c r="U88" s="72">
        <f t="shared" si="43"/>
        <v>130.30353535353532</v>
      </c>
      <c r="V88" s="63">
        <f>'Ship Characteristics'!$H$17*(g+0.5*' Design Load and Acceleration'!$C$22)*AF88</f>
        <v>147.42478977424926</v>
      </c>
      <c r="W88" s="63">
        <f t="shared" si="44"/>
        <v>134.67000000000002</v>
      </c>
      <c r="X88" s="63">
        <f t="shared" si="45"/>
        <v>15</v>
      </c>
      <c r="Y88" s="63">
        <f t="shared" si="46"/>
        <v>132</v>
      </c>
      <c r="Z88" s="63">
        <f t="shared" si="47"/>
        <v>147.42478977424926</v>
      </c>
      <c r="AA88" s="63">
        <f t="shared" si="48"/>
        <v>64</v>
      </c>
      <c r="AB88" s="63">
        <v>0</v>
      </c>
      <c r="AC88" s="70">
        <f t="shared" si="49"/>
        <v>4.9000000000000021</v>
      </c>
      <c r="AD88" s="63">
        <v>17.600000000000001</v>
      </c>
      <c r="AE88" s="63">
        <v>25</v>
      </c>
      <c r="AF88" s="63">
        <v>16.100000000000001</v>
      </c>
      <c r="AG88" s="70">
        <v>1.28</v>
      </c>
    </row>
    <row r="89" spans="11:34" ht="15.75" customHeight="1" x14ac:dyDescent="0.3">
      <c r="K89" s="74">
        <v>61</v>
      </c>
      <c r="L89" s="109">
        <f t="shared" si="39"/>
        <v>1035.107646764435</v>
      </c>
      <c r="M89" s="63">
        <f t="shared" si="50"/>
        <v>10</v>
      </c>
      <c r="N89" s="109">
        <f t="shared" si="40"/>
        <v>69.582376476978069</v>
      </c>
      <c r="O89" s="71">
        <f>4.5+R89+'Material Proprieties'!$Q$55</f>
        <v>9.4649999999999999</v>
      </c>
      <c r="P89" s="109">
        <f t="shared" si="41"/>
        <v>69.582376476978069</v>
      </c>
      <c r="Q89" s="63">
        <f>'Midship Section'!$C$14/1000</f>
        <v>3.6720000000000002</v>
      </c>
      <c r="R89" s="63">
        <f t="shared" si="42"/>
        <v>3.4649999999999999</v>
      </c>
      <c r="S89" s="63">
        <v>0.75</v>
      </c>
      <c r="T89" s="63">
        <f>1+0.06*'Material Proprieties'!$Q$55</f>
        <v>1.0900000000000001</v>
      </c>
      <c r="U89" s="72">
        <f t="shared" si="43"/>
        <v>130.30353535353532</v>
      </c>
      <c r="V89" s="63">
        <f>'Ship Characteristics'!$H$17*(g+0.5*' Design Load and Acceleration'!$C$22)*AF89</f>
        <v>147.42478977424926</v>
      </c>
      <c r="W89" s="63">
        <f t="shared" si="44"/>
        <v>134.67000000000002</v>
      </c>
      <c r="X89" s="63">
        <f t="shared" si="45"/>
        <v>15</v>
      </c>
      <c r="Y89" s="63">
        <f t="shared" si="46"/>
        <v>132</v>
      </c>
      <c r="Z89" s="63">
        <f t="shared" si="47"/>
        <v>147.42478977424926</v>
      </c>
      <c r="AA89" s="63">
        <f t="shared" si="48"/>
        <v>64</v>
      </c>
      <c r="AB89" s="63">
        <v>0</v>
      </c>
      <c r="AC89" s="70">
        <f t="shared" si="49"/>
        <v>4.9000000000000021</v>
      </c>
      <c r="AD89" s="63">
        <v>17.600000000000001</v>
      </c>
      <c r="AE89" s="63">
        <v>25</v>
      </c>
      <c r="AF89" s="63">
        <v>16.100000000000001</v>
      </c>
      <c r="AG89" s="70">
        <v>1.28</v>
      </c>
    </row>
    <row r="90" spans="11:34" ht="15.75" customHeight="1" x14ac:dyDescent="0.3">
      <c r="K90" s="74">
        <v>62</v>
      </c>
      <c r="L90" s="109">
        <f t="shared" si="39"/>
        <v>1035.107646764435</v>
      </c>
      <c r="M90" s="63">
        <f t="shared" si="50"/>
        <v>10</v>
      </c>
      <c r="N90" s="109">
        <f t="shared" si="40"/>
        <v>69.582376476978069</v>
      </c>
      <c r="O90" s="71">
        <f>4.5+R90+'Material Proprieties'!$Q$55</f>
        <v>9.4649999999999999</v>
      </c>
      <c r="P90" s="109">
        <f t="shared" si="41"/>
        <v>69.582376476978069</v>
      </c>
      <c r="Q90" s="63">
        <f>'Midship Section'!$C$14/1000</f>
        <v>3.6720000000000002</v>
      </c>
      <c r="R90" s="63">
        <f t="shared" si="42"/>
        <v>3.4649999999999999</v>
      </c>
      <c r="S90" s="63">
        <v>0.75</v>
      </c>
      <c r="T90" s="63">
        <f>1+0.06*'Material Proprieties'!$Q$55</f>
        <v>1.0900000000000001</v>
      </c>
      <c r="U90" s="72">
        <f t="shared" si="43"/>
        <v>130.30353535353532</v>
      </c>
      <c r="V90" s="63">
        <f>'Ship Characteristics'!$H$17*(g+0.5*' Design Load and Acceleration'!$C$22)*AF90</f>
        <v>147.42478977424926</v>
      </c>
      <c r="W90" s="63">
        <f t="shared" si="44"/>
        <v>134.67000000000002</v>
      </c>
      <c r="X90" s="63">
        <f t="shared" si="45"/>
        <v>15</v>
      </c>
      <c r="Y90" s="63">
        <f t="shared" si="46"/>
        <v>132</v>
      </c>
      <c r="Z90" s="63">
        <f t="shared" si="47"/>
        <v>147.42478977424926</v>
      </c>
      <c r="AA90" s="63">
        <f t="shared" si="48"/>
        <v>64</v>
      </c>
      <c r="AB90" s="63">
        <v>0</v>
      </c>
      <c r="AC90" s="70">
        <f t="shared" si="49"/>
        <v>4.9000000000000021</v>
      </c>
      <c r="AD90" s="63">
        <v>17.600000000000001</v>
      </c>
      <c r="AE90" s="63">
        <v>25</v>
      </c>
      <c r="AF90" s="63">
        <v>16.100000000000001</v>
      </c>
      <c r="AG90" s="70">
        <v>1.28</v>
      </c>
      <c r="AH90" s="11"/>
    </row>
    <row r="91" spans="11:34" ht="15.75" customHeight="1" x14ac:dyDescent="0.3">
      <c r="K91" s="74">
        <v>63</v>
      </c>
      <c r="L91" s="109">
        <f t="shared" si="39"/>
        <v>1035.107646764435</v>
      </c>
      <c r="M91" s="63">
        <f t="shared" si="50"/>
        <v>10</v>
      </c>
      <c r="N91" s="109">
        <f t="shared" si="40"/>
        <v>69.582376476978069</v>
      </c>
      <c r="O91" s="71">
        <f>4.5+R91+'Material Proprieties'!$Q$55</f>
        <v>9.4649999999999999</v>
      </c>
      <c r="P91" s="109">
        <f t="shared" si="41"/>
        <v>69.582376476978069</v>
      </c>
      <c r="Q91" s="63">
        <f>'Midship Section'!$C$14/1000</f>
        <v>3.6720000000000002</v>
      </c>
      <c r="R91" s="63">
        <f t="shared" si="42"/>
        <v>3.4649999999999999</v>
      </c>
      <c r="S91" s="63">
        <v>0.75</v>
      </c>
      <c r="T91" s="63">
        <f>1+0.06*'Material Proprieties'!$Q$55</f>
        <v>1.0900000000000001</v>
      </c>
      <c r="U91" s="72">
        <f t="shared" si="43"/>
        <v>130.30353535353532</v>
      </c>
      <c r="V91" s="63">
        <f>'Ship Characteristics'!$H$17*(g+0.5*' Design Load and Acceleration'!$C$22)*AF91</f>
        <v>147.42478977424926</v>
      </c>
      <c r="W91" s="63">
        <f t="shared" si="44"/>
        <v>134.67000000000002</v>
      </c>
      <c r="X91" s="63">
        <f t="shared" si="45"/>
        <v>15</v>
      </c>
      <c r="Y91" s="63">
        <f t="shared" si="46"/>
        <v>132</v>
      </c>
      <c r="Z91" s="63">
        <f t="shared" si="47"/>
        <v>147.42478977424926</v>
      </c>
      <c r="AA91" s="63">
        <f t="shared" si="48"/>
        <v>64</v>
      </c>
      <c r="AB91" s="63">
        <v>0</v>
      </c>
      <c r="AC91" s="70">
        <f t="shared" si="49"/>
        <v>4.9000000000000021</v>
      </c>
      <c r="AD91" s="63">
        <v>17.600000000000001</v>
      </c>
      <c r="AE91" s="63">
        <v>25</v>
      </c>
      <c r="AF91" s="63">
        <v>16.100000000000001</v>
      </c>
      <c r="AG91" s="70">
        <v>1.28</v>
      </c>
    </row>
    <row r="92" spans="11:34" ht="15.75" customHeight="1" x14ac:dyDescent="0.3">
      <c r="K92" s="74">
        <v>64</v>
      </c>
      <c r="L92" s="109">
        <f t="shared" si="39"/>
        <v>1035.107646764435</v>
      </c>
      <c r="M92" s="63">
        <f t="shared" si="50"/>
        <v>10</v>
      </c>
      <c r="N92" s="109">
        <f t="shared" si="40"/>
        <v>69.582376476978069</v>
      </c>
      <c r="O92" s="71">
        <f>4.5+R92+'Material Proprieties'!$Q$55</f>
        <v>9.4649999999999999</v>
      </c>
      <c r="P92" s="109">
        <f t="shared" si="41"/>
        <v>69.582376476978069</v>
      </c>
      <c r="Q92" s="63">
        <f>'Midship Section'!$C$14/1000</f>
        <v>3.6720000000000002</v>
      </c>
      <c r="R92" s="63">
        <f t="shared" si="42"/>
        <v>3.4649999999999999</v>
      </c>
      <c r="S92" s="63">
        <v>0.75</v>
      </c>
      <c r="T92" s="63">
        <f>1+0.06*'Material Proprieties'!$Q$55</f>
        <v>1.0900000000000001</v>
      </c>
      <c r="U92" s="72">
        <f t="shared" si="43"/>
        <v>130.30353535353532</v>
      </c>
      <c r="V92" s="63">
        <f>'Ship Characteristics'!$H$17*(g+0.5*' Design Load and Acceleration'!$C$22)*AF92</f>
        <v>147.42478977424926</v>
      </c>
      <c r="W92" s="63">
        <f t="shared" si="44"/>
        <v>134.67000000000002</v>
      </c>
      <c r="X92" s="63">
        <f t="shared" si="45"/>
        <v>15</v>
      </c>
      <c r="Y92" s="63">
        <f t="shared" si="46"/>
        <v>132</v>
      </c>
      <c r="Z92" s="63">
        <f t="shared" si="47"/>
        <v>147.42478977424926</v>
      </c>
      <c r="AA92" s="63">
        <f t="shared" si="48"/>
        <v>64</v>
      </c>
      <c r="AB92" s="63">
        <v>0</v>
      </c>
      <c r="AC92" s="70">
        <f t="shared" si="49"/>
        <v>4.9000000000000021</v>
      </c>
      <c r="AD92" s="63">
        <v>17.600000000000001</v>
      </c>
      <c r="AE92" s="63">
        <v>25</v>
      </c>
      <c r="AF92" s="63">
        <v>16.100000000000001</v>
      </c>
      <c r="AG92" s="70">
        <v>1.28</v>
      </c>
    </row>
    <row r="93" spans="11:34" ht="15.75" customHeight="1" x14ac:dyDescent="0.3">
      <c r="K93" s="74">
        <v>65</v>
      </c>
      <c r="L93" s="109">
        <f t="shared" si="39"/>
        <v>1035.107646764435</v>
      </c>
      <c r="M93" s="63">
        <f t="shared" si="50"/>
        <v>10</v>
      </c>
      <c r="N93" s="109">
        <f t="shared" si="40"/>
        <v>69.582376476978069</v>
      </c>
      <c r="O93" s="71">
        <f>4.5+R93+'Material Proprieties'!$Q$55</f>
        <v>9.4649999999999999</v>
      </c>
      <c r="P93" s="109">
        <f t="shared" si="41"/>
        <v>69.582376476978069</v>
      </c>
      <c r="Q93" s="63">
        <f>'Midship Section'!$C$14/1000</f>
        <v>3.6720000000000002</v>
      </c>
      <c r="R93" s="63">
        <f t="shared" si="42"/>
        <v>3.4649999999999999</v>
      </c>
      <c r="S93" s="63">
        <v>0.75</v>
      </c>
      <c r="T93" s="63">
        <f>1+0.06*'Material Proprieties'!$Q$55</f>
        <v>1.0900000000000001</v>
      </c>
      <c r="U93" s="72">
        <f t="shared" si="43"/>
        <v>130.30353535353532</v>
      </c>
      <c r="V93" s="63">
        <f>'Ship Characteristics'!$H$17*(g+0.5*' Design Load and Acceleration'!$C$22)*AF93</f>
        <v>147.42478977424926</v>
      </c>
      <c r="W93" s="63">
        <f t="shared" si="44"/>
        <v>134.67000000000002</v>
      </c>
      <c r="X93" s="63">
        <f t="shared" si="45"/>
        <v>15</v>
      </c>
      <c r="Y93" s="63">
        <f t="shared" si="46"/>
        <v>132</v>
      </c>
      <c r="Z93" s="63">
        <f t="shared" si="47"/>
        <v>147.42478977424926</v>
      </c>
      <c r="AA93" s="63">
        <f t="shared" si="48"/>
        <v>64</v>
      </c>
      <c r="AB93" s="63">
        <v>0</v>
      </c>
      <c r="AC93" s="70">
        <f t="shared" si="49"/>
        <v>4.9000000000000021</v>
      </c>
      <c r="AD93" s="63">
        <v>17.600000000000001</v>
      </c>
      <c r="AE93" s="63">
        <v>25</v>
      </c>
      <c r="AF93" s="63">
        <v>16.100000000000001</v>
      </c>
      <c r="AG93" s="70">
        <v>1.28</v>
      </c>
    </row>
    <row r="94" spans="11:34" ht="15.75" customHeight="1" x14ac:dyDescent="0.3">
      <c r="K94" s="74">
        <v>66</v>
      </c>
      <c r="L94" s="109">
        <f t="shared" si="39"/>
        <v>1035.107646764435</v>
      </c>
      <c r="M94" s="63">
        <f t="shared" si="50"/>
        <v>10</v>
      </c>
      <c r="N94" s="109">
        <f t="shared" si="40"/>
        <v>69.582376476978069</v>
      </c>
      <c r="O94" s="71">
        <f>4.5+R94+'Material Proprieties'!$Q$55</f>
        <v>9.4649999999999999</v>
      </c>
      <c r="P94" s="109">
        <f t="shared" si="41"/>
        <v>69.582376476978069</v>
      </c>
      <c r="Q94" s="63">
        <f>'Midship Section'!$C$14/1000</f>
        <v>3.6720000000000002</v>
      </c>
      <c r="R94" s="63">
        <f t="shared" si="42"/>
        <v>3.4649999999999999</v>
      </c>
      <c r="S94" s="63">
        <v>0.75</v>
      </c>
      <c r="T94" s="63">
        <f>1+0.06*'Material Proprieties'!$Q$55</f>
        <v>1.0900000000000001</v>
      </c>
      <c r="U94" s="72">
        <f t="shared" si="43"/>
        <v>130.30353535353532</v>
      </c>
      <c r="V94" s="63">
        <f>'Ship Characteristics'!$H$17*(g+0.5*' Design Load and Acceleration'!$C$22)*AF94</f>
        <v>147.42478977424926</v>
      </c>
      <c r="W94" s="63">
        <f t="shared" si="44"/>
        <v>134.67000000000002</v>
      </c>
      <c r="X94" s="63">
        <f t="shared" si="45"/>
        <v>15</v>
      </c>
      <c r="Y94" s="63">
        <f t="shared" si="46"/>
        <v>132</v>
      </c>
      <c r="Z94" s="63">
        <f t="shared" si="47"/>
        <v>147.42478977424926</v>
      </c>
      <c r="AA94" s="63">
        <f t="shared" si="48"/>
        <v>64</v>
      </c>
      <c r="AB94" s="63">
        <v>0</v>
      </c>
      <c r="AC94" s="70">
        <f t="shared" si="49"/>
        <v>4.9000000000000021</v>
      </c>
      <c r="AD94" s="63">
        <v>17.600000000000001</v>
      </c>
      <c r="AE94" s="63">
        <v>25</v>
      </c>
      <c r="AF94" s="63">
        <v>16.100000000000001</v>
      </c>
      <c r="AG94" s="70">
        <v>1.28</v>
      </c>
    </row>
    <row r="95" spans="11:34" ht="15.75" customHeight="1" x14ac:dyDescent="0.3">
      <c r="K95" s="74">
        <v>67</v>
      </c>
      <c r="L95" s="109">
        <f t="shared" si="39"/>
        <v>1035.107646764435</v>
      </c>
      <c r="M95" s="63">
        <f t="shared" si="50"/>
        <v>10</v>
      </c>
      <c r="N95" s="109">
        <f t="shared" si="40"/>
        <v>69.582376476978069</v>
      </c>
      <c r="O95" s="71">
        <f>4.5+R95+'Material Proprieties'!$Q$55</f>
        <v>9.4649999999999999</v>
      </c>
      <c r="P95" s="109">
        <f t="shared" si="41"/>
        <v>69.582376476978069</v>
      </c>
      <c r="Q95" s="63">
        <f>'Midship Section'!$C$14/1000</f>
        <v>3.6720000000000002</v>
      </c>
      <c r="R95" s="63">
        <f t="shared" si="42"/>
        <v>3.4649999999999999</v>
      </c>
      <c r="S95" s="63">
        <v>0.75</v>
      </c>
      <c r="T95" s="63">
        <f>1+0.06*'Material Proprieties'!$Q$55</f>
        <v>1.0900000000000001</v>
      </c>
      <c r="U95" s="72">
        <f t="shared" si="43"/>
        <v>130.30353535353532</v>
      </c>
      <c r="V95" s="63">
        <f>'Ship Characteristics'!$H$17*(g+0.5*' Design Load and Acceleration'!$C$22)*AF95</f>
        <v>147.42478977424926</v>
      </c>
      <c r="W95" s="63">
        <f t="shared" si="44"/>
        <v>134.67000000000002</v>
      </c>
      <c r="X95" s="63">
        <f t="shared" si="45"/>
        <v>15</v>
      </c>
      <c r="Y95" s="63">
        <f t="shared" si="46"/>
        <v>132</v>
      </c>
      <c r="Z95" s="63">
        <f t="shared" si="47"/>
        <v>147.42478977424926</v>
      </c>
      <c r="AA95" s="63">
        <f t="shared" si="48"/>
        <v>64</v>
      </c>
      <c r="AB95" s="63">
        <v>0</v>
      </c>
      <c r="AC95" s="70">
        <f t="shared" si="49"/>
        <v>4.9000000000000021</v>
      </c>
      <c r="AD95" s="63">
        <v>17.600000000000001</v>
      </c>
      <c r="AE95" s="63">
        <v>25</v>
      </c>
      <c r="AF95" s="63">
        <v>16.100000000000001</v>
      </c>
      <c r="AG95" s="70">
        <v>1.28</v>
      </c>
    </row>
    <row r="96" spans="11:34" ht="15.75" customHeight="1" x14ac:dyDescent="0.3">
      <c r="K96" s="74">
        <v>68</v>
      </c>
      <c r="L96" s="109">
        <f t="shared" si="39"/>
        <v>1035.107646764435</v>
      </c>
      <c r="M96" s="63">
        <f t="shared" si="50"/>
        <v>10</v>
      </c>
      <c r="N96" s="109">
        <f t="shared" si="40"/>
        <v>69.582376476978069</v>
      </c>
      <c r="O96" s="71">
        <f>4.5+R96+'Material Proprieties'!$Q$55</f>
        <v>9.4649999999999999</v>
      </c>
      <c r="P96" s="109">
        <f t="shared" si="41"/>
        <v>69.582376476978069</v>
      </c>
      <c r="Q96" s="63">
        <f>'Midship Section'!$C$14/1000</f>
        <v>3.6720000000000002</v>
      </c>
      <c r="R96" s="63">
        <f t="shared" si="42"/>
        <v>3.4649999999999999</v>
      </c>
      <c r="S96" s="63">
        <v>0.75</v>
      </c>
      <c r="T96" s="63">
        <f>1+0.06*'Material Proprieties'!$Q$55</f>
        <v>1.0900000000000001</v>
      </c>
      <c r="U96" s="72">
        <f t="shared" si="43"/>
        <v>130.30353535353532</v>
      </c>
      <c r="V96" s="63">
        <f>'Ship Characteristics'!$H$17*(g+0.5*' Design Load and Acceleration'!$C$22)*AF96</f>
        <v>147.42478977424926</v>
      </c>
      <c r="W96" s="63">
        <f t="shared" si="44"/>
        <v>134.67000000000002</v>
      </c>
      <c r="X96" s="63">
        <f t="shared" si="45"/>
        <v>15</v>
      </c>
      <c r="Y96" s="63">
        <f t="shared" si="46"/>
        <v>132</v>
      </c>
      <c r="Z96" s="63">
        <f t="shared" si="47"/>
        <v>147.42478977424926</v>
      </c>
      <c r="AA96" s="63">
        <f t="shared" si="48"/>
        <v>64</v>
      </c>
      <c r="AB96" s="63">
        <v>0</v>
      </c>
      <c r="AC96" s="70">
        <f t="shared" si="49"/>
        <v>4.9000000000000021</v>
      </c>
      <c r="AD96" s="63">
        <v>17.600000000000001</v>
      </c>
      <c r="AE96" s="63">
        <v>25</v>
      </c>
      <c r="AF96" s="63">
        <v>16.100000000000001</v>
      </c>
      <c r="AG96" s="70">
        <v>1.28</v>
      </c>
    </row>
    <row r="97" spans="11:33" ht="15.75" customHeight="1" x14ac:dyDescent="0.3">
      <c r="K97" s="74">
        <v>69</v>
      </c>
      <c r="L97" s="109">
        <f t="shared" si="39"/>
        <v>1035.107646764435</v>
      </c>
      <c r="M97" s="63">
        <f t="shared" si="50"/>
        <v>10</v>
      </c>
      <c r="N97" s="109">
        <f t="shared" si="40"/>
        <v>69.582376476978069</v>
      </c>
      <c r="O97" s="71">
        <f>4.5+R97+'Material Proprieties'!$Q$55</f>
        <v>9.4649999999999999</v>
      </c>
      <c r="P97" s="109">
        <f t="shared" si="41"/>
        <v>69.582376476978069</v>
      </c>
      <c r="Q97" s="63">
        <f>'Midship Section'!$C$14/1000</f>
        <v>3.6720000000000002</v>
      </c>
      <c r="R97" s="63">
        <f t="shared" si="42"/>
        <v>3.4649999999999999</v>
      </c>
      <c r="S97" s="63">
        <v>0.75</v>
      </c>
      <c r="T97" s="63">
        <f>1+0.06*'Material Proprieties'!$Q$55</f>
        <v>1.0900000000000001</v>
      </c>
      <c r="U97" s="72">
        <f t="shared" si="43"/>
        <v>130.30353535353532</v>
      </c>
      <c r="V97" s="63">
        <f>'Ship Characteristics'!$H$17*(g+0.5*' Design Load and Acceleration'!$C$22)*AF97</f>
        <v>147.42478977424926</v>
      </c>
      <c r="W97" s="63">
        <f t="shared" si="44"/>
        <v>134.67000000000002</v>
      </c>
      <c r="X97" s="63">
        <f t="shared" si="45"/>
        <v>15</v>
      </c>
      <c r="Y97" s="63">
        <f t="shared" si="46"/>
        <v>132</v>
      </c>
      <c r="Z97" s="63">
        <f t="shared" si="47"/>
        <v>147.42478977424926</v>
      </c>
      <c r="AA97" s="63">
        <f t="shared" si="48"/>
        <v>64</v>
      </c>
      <c r="AB97" s="63">
        <v>0</v>
      </c>
      <c r="AC97" s="70">
        <f t="shared" si="49"/>
        <v>4.9000000000000021</v>
      </c>
      <c r="AD97" s="63">
        <v>17.600000000000001</v>
      </c>
      <c r="AE97" s="63">
        <v>25</v>
      </c>
      <c r="AF97" s="63">
        <v>16.100000000000001</v>
      </c>
      <c r="AG97" s="70">
        <v>1.28</v>
      </c>
    </row>
    <row r="98" spans="11:33" ht="15.75" customHeight="1" x14ac:dyDescent="0.3">
      <c r="K98" s="101"/>
      <c r="L98" s="111" t="s">
        <v>235</v>
      </c>
      <c r="M98" s="101"/>
      <c r="N98" s="101"/>
      <c r="O98" s="111" t="s">
        <v>231</v>
      </c>
      <c r="P98" s="101"/>
      <c r="Q98" s="110"/>
      <c r="R98" s="111" t="s">
        <v>231</v>
      </c>
      <c r="S98" s="101"/>
      <c r="T98" s="111" t="s">
        <v>232</v>
      </c>
      <c r="U98" s="111" t="s">
        <v>230</v>
      </c>
      <c r="V98" s="238" t="s">
        <v>204</v>
      </c>
      <c r="W98" s="241"/>
      <c r="X98" s="242"/>
      <c r="Y98" s="110"/>
      <c r="Z98" s="111" t="s">
        <v>230</v>
      </c>
      <c r="AA98" s="238" t="s">
        <v>233</v>
      </c>
      <c r="AB98" s="241"/>
      <c r="AC98" s="241"/>
      <c r="AD98" s="242"/>
      <c r="AE98" s="101"/>
      <c r="AF98" s="101"/>
      <c r="AG98" s="110"/>
    </row>
    <row r="99" spans="11:33" ht="15.75" customHeight="1" x14ac:dyDescent="0.3"/>
    <row r="100" spans="11:33" ht="15.75" customHeight="1" x14ac:dyDescent="0.3">
      <c r="K100" s="225" t="s">
        <v>542</v>
      </c>
      <c r="L100" s="234"/>
      <c r="M100" s="234"/>
      <c r="N100" s="234"/>
      <c r="O100" s="234"/>
      <c r="P100" s="234"/>
      <c r="Q100" s="234"/>
      <c r="R100" s="234"/>
      <c r="S100" s="234"/>
      <c r="T100" s="234"/>
      <c r="U100" s="234"/>
      <c r="V100" s="234"/>
      <c r="W100" s="234"/>
      <c r="X100" s="234"/>
      <c r="Y100" s="234"/>
      <c r="Z100" s="234"/>
      <c r="AA100" s="234"/>
      <c r="AB100" s="234"/>
      <c r="AC100" s="234"/>
    </row>
    <row r="101" spans="11:33" ht="15.75" customHeight="1" x14ac:dyDescent="0.3">
      <c r="K101" s="73" t="s">
        <v>219</v>
      </c>
      <c r="L101" s="73" t="s">
        <v>220</v>
      </c>
      <c r="M101" s="73" t="s">
        <v>158</v>
      </c>
      <c r="N101" s="73" t="s">
        <v>221</v>
      </c>
      <c r="O101" s="73" t="s">
        <v>167</v>
      </c>
      <c r="P101" s="73" t="s">
        <v>222</v>
      </c>
      <c r="Q101" s="73" t="s">
        <v>40</v>
      </c>
      <c r="R101" s="73" t="s">
        <v>123</v>
      </c>
      <c r="S101" s="73" t="s">
        <v>182</v>
      </c>
      <c r="T101" s="73" t="s">
        <v>223</v>
      </c>
      <c r="U101" s="73" t="s">
        <v>187</v>
      </c>
      <c r="V101" s="73" t="s">
        <v>224</v>
      </c>
      <c r="W101" s="73" t="s">
        <v>207</v>
      </c>
      <c r="X101" s="73" t="s">
        <v>208</v>
      </c>
      <c r="Y101" s="73" t="s">
        <v>209</v>
      </c>
      <c r="Z101" s="73" t="s">
        <v>193</v>
      </c>
      <c r="AA101" s="73" t="s">
        <v>211</v>
      </c>
      <c r="AB101" s="73" t="s">
        <v>212</v>
      </c>
      <c r="AC101" s="73" t="s">
        <v>157</v>
      </c>
    </row>
    <row r="102" spans="11:33" ht="15.75" customHeight="1" x14ac:dyDescent="0.3">
      <c r="K102" s="73" t="s">
        <v>164</v>
      </c>
      <c r="L102" s="117" t="s">
        <v>227</v>
      </c>
      <c r="M102" s="117" t="s">
        <v>169</v>
      </c>
      <c r="N102" s="117" t="s">
        <v>26</v>
      </c>
      <c r="O102" s="117" t="s">
        <v>30</v>
      </c>
      <c r="P102" s="117" t="s">
        <v>228</v>
      </c>
      <c r="Q102" s="117" t="s">
        <v>3</v>
      </c>
      <c r="R102" s="117" t="s">
        <v>15</v>
      </c>
      <c r="S102" s="117" t="s">
        <v>3</v>
      </c>
      <c r="T102" s="117" t="s">
        <v>15</v>
      </c>
      <c r="U102" s="117" t="s">
        <v>15</v>
      </c>
      <c r="V102" s="117" t="s">
        <v>229</v>
      </c>
      <c r="W102" s="117" t="s">
        <v>229</v>
      </c>
      <c r="X102" s="117" t="s">
        <v>229</v>
      </c>
      <c r="Y102" s="117" t="s">
        <v>229</v>
      </c>
      <c r="Z102" s="117" t="s">
        <v>3</v>
      </c>
      <c r="AA102" s="117" t="s">
        <v>3</v>
      </c>
      <c r="AB102" s="117" t="s">
        <v>197</v>
      </c>
      <c r="AC102" s="117" t="s">
        <v>64</v>
      </c>
    </row>
    <row r="103" spans="11:33" ht="15.75" customHeight="1" x14ac:dyDescent="0.3">
      <c r="K103" s="73">
        <v>70</v>
      </c>
      <c r="L103" s="109">
        <f t="shared" ref="L103:L112" si="51">100*(Q103^2)*S103*V103*T103/U103</f>
        <v>936.05214248387426</v>
      </c>
      <c r="M103" s="72">
        <f t="shared" ref="M103:M112" si="52">ROUNDUP(O103,0)</f>
        <v>10</v>
      </c>
      <c r="N103" s="109">
        <f t="shared" ref="N103:N112" si="53">MAX($P$103:$P$112)</f>
        <v>66.735105306268395</v>
      </c>
      <c r="O103" s="72">
        <f>4.5+R103+'Material Proprieties'!Q75</f>
        <v>9.4649999999999999</v>
      </c>
      <c r="P103" s="109">
        <f t="shared" ref="P103:P112" si="54">0.68*(L103^(2/3))</f>
        <v>65.06922095320239</v>
      </c>
      <c r="Q103" s="70">
        <f>'Midship Section'!$C$14/1000</f>
        <v>3.6720000000000002</v>
      </c>
      <c r="R103" s="70">
        <f t="shared" ref="R103:R112" si="55">0.015*Lbp</f>
        <v>3.4649999999999999</v>
      </c>
      <c r="S103" s="70">
        <f t="shared" ref="S103:S112" si="56">0.8</f>
        <v>0.8</v>
      </c>
      <c r="T103" s="70">
        <f>1+0.06*'Material Proprieties'!$Q$75</f>
        <v>1.0900000000000001</v>
      </c>
      <c r="U103" s="72">
        <f t="shared" ref="U103:U112" si="57">IF(225*AC103-130*$C$29-0.7*AC103&lt;160*AC103,225*AC103-130*$C$29-0.7*AC103,160*AC103)</f>
        <v>174.20753535353535</v>
      </c>
      <c r="V103" s="70">
        <f t="shared" ref="V103:V112" si="58">MAX(W103:Y103)</f>
        <v>138.69</v>
      </c>
      <c r="W103" s="70">
        <f t="shared" ref="W103:W112" si="59">0.67*(10*AA103+AB103)</f>
        <v>138.69</v>
      </c>
      <c r="X103" s="70">
        <f t="shared" ref="X103:X112" si="60">10*Z103+$C$26</f>
        <v>21</v>
      </c>
      <c r="Y103" s="70">
        <f t="shared" ref="Y103:Y112" si="61">10*T</f>
        <v>132</v>
      </c>
      <c r="Z103" s="70">
        <v>0.6</v>
      </c>
      <c r="AA103" s="70">
        <v>18.2</v>
      </c>
      <c r="AB103" s="70">
        <v>25</v>
      </c>
      <c r="AC103" s="70">
        <f>'Material Proprieties'!$E$7</f>
        <v>1.28</v>
      </c>
    </row>
    <row r="104" spans="11:33" ht="15.75" customHeight="1" x14ac:dyDescent="0.3">
      <c r="K104" s="73">
        <v>71</v>
      </c>
      <c r="L104" s="109">
        <f t="shared" si="51"/>
        <v>972.22807069581143</v>
      </c>
      <c r="M104" s="70">
        <f t="shared" si="52"/>
        <v>10</v>
      </c>
      <c r="N104" s="109">
        <f t="shared" si="53"/>
        <v>66.735105306268395</v>
      </c>
      <c r="O104" s="72">
        <f>4.5+R104+'Material Proprieties'!Q76</f>
        <v>9.4649999999999999</v>
      </c>
      <c r="P104" s="109">
        <f t="shared" si="54"/>
        <v>66.735105306268395</v>
      </c>
      <c r="Q104" s="70">
        <f>'Midship Section'!$C$14/1000</f>
        <v>3.6720000000000002</v>
      </c>
      <c r="R104" s="70">
        <f t="shared" si="55"/>
        <v>3.4649999999999999</v>
      </c>
      <c r="S104" s="70">
        <f t="shared" si="56"/>
        <v>0.8</v>
      </c>
      <c r="T104" s="70">
        <f>1+0.06*'Material Proprieties'!$Q$75</f>
        <v>1.0900000000000001</v>
      </c>
      <c r="U104" s="72">
        <f t="shared" si="57"/>
        <v>174.20753535353535</v>
      </c>
      <c r="V104" s="70">
        <f t="shared" si="58"/>
        <v>144.05000000000001</v>
      </c>
      <c r="W104" s="70">
        <f t="shared" si="59"/>
        <v>144.05000000000001</v>
      </c>
      <c r="X104" s="70">
        <f t="shared" si="60"/>
        <v>29</v>
      </c>
      <c r="Y104" s="70">
        <f t="shared" si="61"/>
        <v>132</v>
      </c>
      <c r="Z104" s="70">
        <v>1.4</v>
      </c>
      <c r="AA104" s="70">
        <v>19</v>
      </c>
      <c r="AB104" s="70">
        <v>25</v>
      </c>
      <c r="AC104" s="70">
        <f>'Material Proprieties'!$E$7</f>
        <v>1.28</v>
      </c>
    </row>
    <row r="105" spans="11:33" ht="15.75" customHeight="1" x14ac:dyDescent="0.3">
      <c r="K105" s="73">
        <v>72</v>
      </c>
      <c r="L105" s="109">
        <f t="shared" si="51"/>
        <v>936.05214248387426</v>
      </c>
      <c r="M105" s="70">
        <f t="shared" si="52"/>
        <v>10</v>
      </c>
      <c r="N105" s="109">
        <f t="shared" si="53"/>
        <v>66.735105306268395</v>
      </c>
      <c r="O105" s="72">
        <f>4.5+R105+'Material Proprieties'!Q77</f>
        <v>9.4649999999999999</v>
      </c>
      <c r="P105" s="109">
        <f t="shared" si="54"/>
        <v>65.06922095320239</v>
      </c>
      <c r="Q105" s="70">
        <f>'Midship Section'!$C$14/1000</f>
        <v>3.6720000000000002</v>
      </c>
      <c r="R105" s="70">
        <f t="shared" si="55"/>
        <v>3.4649999999999999</v>
      </c>
      <c r="S105" s="70">
        <f t="shared" si="56"/>
        <v>0.8</v>
      </c>
      <c r="T105" s="70">
        <f>1+0.06*'Material Proprieties'!$Q$75</f>
        <v>1.0900000000000001</v>
      </c>
      <c r="U105" s="72">
        <f t="shared" si="57"/>
        <v>174.20753535353535</v>
      </c>
      <c r="V105" s="70">
        <f t="shared" si="58"/>
        <v>138.69</v>
      </c>
      <c r="W105" s="70">
        <f t="shared" si="59"/>
        <v>138.69</v>
      </c>
      <c r="X105" s="70">
        <f t="shared" si="60"/>
        <v>21</v>
      </c>
      <c r="Y105" s="70">
        <f t="shared" si="61"/>
        <v>132</v>
      </c>
      <c r="Z105" s="70">
        <f t="shared" ref="Z105:AA105" si="62">Z103</f>
        <v>0.6</v>
      </c>
      <c r="AA105" s="70">
        <f t="shared" si="62"/>
        <v>18.2</v>
      </c>
      <c r="AB105" s="70">
        <v>25</v>
      </c>
      <c r="AC105" s="70">
        <f>'Material Proprieties'!$E$7</f>
        <v>1.28</v>
      </c>
    </row>
    <row r="106" spans="11:33" ht="15.75" customHeight="1" x14ac:dyDescent="0.3">
      <c r="K106" s="73">
        <v>73</v>
      </c>
      <c r="L106" s="109">
        <f t="shared" si="51"/>
        <v>972.22807069581143</v>
      </c>
      <c r="M106" s="70">
        <f t="shared" si="52"/>
        <v>10</v>
      </c>
      <c r="N106" s="109">
        <f t="shared" si="53"/>
        <v>66.735105306268395</v>
      </c>
      <c r="O106" s="72">
        <f>4.5+R106+'Material Proprieties'!Q78</f>
        <v>9.4649999999999999</v>
      </c>
      <c r="P106" s="109">
        <f t="shared" si="54"/>
        <v>66.735105306268395</v>
      </c>
      <c r="Q106" s="70">
        <f>'Midship Section'!$C$14/1000</f>
        <v>3.6720000000000002</v>
      </c>
      <c r="R106" s="70">
        <f t="shared" si="55"/>
        <v>3.4649999999999999</v>
      </c>
      <c r="S106" s="70">
        <f t="shared" si="56"/>
        <v>0.8</v>
      </c>
      <c r="T106" s="70">
        <f>1+0.06*'Material Proprieties'!$Q$75</f>
        <v>1.0900000000000001</v>
      </c>
      <c r="U106" s="72">
        <f t="shared" si="57"/>
        <v>174.20753535353535</v>
      </c>
      <c r="V106" s="70">
        <f t="shared" si="58"/>
        <v>144.05000000000001</v>
      </c>
      <c r="W106" s="70">
        <f t="shared" si="59"/>
        <v>144.05000000000001</v>
      </c>
      <c r="X106" s="70">
        <f t="shared" si="60"/>
        <v>29</v>
      </c>
      <c r="Y106" s="70">
        <f t="shared" si="61"/>
        <v>132</v>
      </c>
      <c r="Z106" s="70">
        <f t="shared" ref="Z106:AA106" si="63">Z104</f>
        <v>1.4</v>
      </c>
      <c r="AA106" s="70">
        <f t="shared" si="63"/>
        <v>19</v>
      </c>
      <c r="AB106" s="70">
        <v>25</v>
      </c>
      <c r="AC106" s="70">
        <f>'Material Proprieties'!$E$7</f>
        <v>1.28</v>
      </c>
    </row>
    <row r="107" spans="11:33" ht="15.75" customHeight="1" x14ac:dyDescent="0.3">
      <c r="K107" s="73">
        <v>74</v>
      </c>
      <c r="L107" s="109">
        <f t="shared" si="51"/>
        <v>936.05214248387426</v>
      </c>
      <c r="M107" s="70">
        <f t="shared" si="52"/>
        <v>10</v>
      </c>
      <c r="N107" s="109">
        <f t="shared" si="53"/>
        <v>66.735105306268395</v>
      </c>
      <c r="O107" s="72">
        <f>4.5+R107+'Material Proprieties'!Q79</f>
        <v>9.4649999999999999</v>
      </c>
      <c r="P107" s="109">
        <f t="shared" si="54"/>
        <v>65.06922095320239</v>
      </c>
      <c r="Q107" s="70">
        <f>'Midship Section'!$C$14/1000</f>
        <v>3.6720000000000002</v>
      </c>
      <c r="R107" s="70">
        <f t="shared" si="55"/>
        <v>3.4649999999999999</v>
      </c>
      <c r="S107" s="70">
        <f t="shared" si="56"/>
        <v>0.8</v>
      </c>
      <c r="T107" s="70">
        <f>1+0.06*'Material Proprieties'!$Q$75</f>
        <v>1.0900000000000001</v>
      </c>
      <c r="U107" s="72">
        <f t="shared" si="57"/>
        <v>174.20753535353535</v>
      </c>
      <c r="V107" s="70">
        <f t="shared" si="58"/>
        <v>138.69</v>
      </c>
      <c r="W107" s="70">
        <f t="shared" si="59"/>
        <v>138.69</v>
      </c>
      <c r="X107" s="70">
        <f t="shared" si="60"/>
        <v>21</v>
      </c>
      <c r="Y107" s="70">
        <f t="shared" si="61"/>
        <v>132</v>
      </c>
      <c r="Z107" s="70">
        <f t="shared" ref="Z107:AA107" si="64">Z103</f>
        <v>0.6</v>
      </c>
      <c r="AA107" s="70">
        <f t="shared" si="64"/>
        <v>18.2</v>
      </c>
      <c r="AB107" s="70">
        <v>25</v>
      </c>
      <c r="AC107" s="70">
        <f>'Material Proprieties'!$E$7</f>
        <v>1.28</v>
      </c>
    </row>
    <row r="108" spans="11:33" ht="15.75" customHeight="1" x14ac:dyDescent="0.3">
      <c r="K108" s="73">
        <v>75</v>
      </c>
      <c r="L108" s="109">
        <f t="shared" si="51"/>
        <v>972.22807069581143</v>
      </c>
      <c r="M108" s="70">
        <f t="shared" si="52"/>
        <v>10</v>
      </c>
      <c r="N108" s="109">
        <f t="shared" si="53"/>
        <v>66.735105306268395</v>
      </c>
      <c r="O108" s="72">
        <f>4.5+R108+'Material Proprieties'!Q80</f>
        <v>9.4649999999999999</v>
      </c>
      <c r="P108" s="109">
        <f t="shared" si="54"/>
        <v>66.735105306268395</v>
      </c>
      <c r="Q108" s="70">
        <f>'Midship Section'!$C$14/1000</f>
        <v>3.6720000000000002</v>
      </c>
      <c r="R108" s="70">
        <f t="shared" si="55"/>
        <v>3.4649999999999999</v>
      </c>
      <c r="S108" s="70">
        <f t="shared" si="56"/>
        <v>0.8</v>
      </c>
      <c r="T108" s="70">
        <f>1+0.06*'Material Proprieties'!$Q$75</f>
        <v>1.0900000000000001</v>
      </c>
      <c r="U108" s="72">
        <f t="shared" si="57"/>
        <v>174.20753535353535</v>
      </c>
      <c r="V108" s="70">
        <f t="shared" si="58"/>
        <v>144.05000000000001</v>
      </c>
      <c r="W108" s="70">
        <f t="shared" si="59"/>
        <v>144.05000000000001</v>
      </c>
      <c r="X108" s="70">
        <f t="shared" si="60"/>
        <v>29</v>
      </c>
      <c r="Y108" s="70">
        <f t="shared" si="61"/>
        <v>132</v>
      </c>
      <c r="Z108" s="70">
        <f t="shared" ref="Z108:AA108" si="65">Z104</f>
        <v>1.4</v>
      </c>
      <c r="AA108" s="70">
        <f t="shared" si="65"/>
        <v>19</v>
      </c>
      <c r="AB108" s="70">
        <v>25</v>
      </c>
      <c r="AC108" s="70">
        <f>'Material Proprieties'!$E$7</f>
        <v>1.28</v>
      </c>
    </row>
    <row r="109" spans="11:33" ht="15.75" customHeight="1" x14ac:dyDescent="0.3">
      <c r="K109" s="73">
        <v>76</v>
      </c>
      <c r="L109" s="109">
        <f t="shared" si="51"/>
        <v>936.05214248387426</v>
      </c>
      <c r="M109" s="70">
        <f t="shared" si="52"/>
        <v>10</v>
      </c>
      <c r="N109" s="109">
        <f t="shared" si="53"/>
        <v>66.735105306268395</v>
      </c>
      <c r="O109" s="72">
        <f>4.5+R109+'Material Proprieties'!Q81</f>
        <v>9.4649999999999999</v>
      </c>
      <c r="P109" s="109">
        <f t="shared" si="54"/>
        <v>65.06922095320239</v>
      </c>
      <c r="Q109" s="70">
        <f>'Midship Section'!$C$14/1000</f>
        <v>3.6720000000000002</v>
      </c>
      <c r="R109" s="70">
        <f t="shared" si="55"/>
        <v>3.4649999999999999</v>
      </c>
      <c r="S109" s="70">
        <f t="shared" si="56"/>
        <v>0.8</v>
      </c>
      <c r="T109" s="70">
        <f>1+0.06*'Material Proprieties'!$Q$75</f>
        <v>1.0900000000000001</v>
      </c>
      <c r="U109" s="72">
        <f t="shared" si="57"/>
        <v>174.20753535353535</v>
      </c>
      <c r="V109" s="70">
        <f t="shared" si="58"/>
        <v>138.69</v>
      </c>
      <c r="W109" s="70">
        <f t="shared" si="59"/>
        <v>138.69</v>
      </c>
      <c r="X109" s="70">
        <f t="shared" si="60"/>
        <v>21</v>
      </c>
      <c r="Y109" s="70">
        <f t="shared" si="61"/>
        <v>132</v>
      </c>
      <c r="Z109" s="70">
        <f t="shared" ref="Z109:AA109" si="66">Z103</f>
        <v>0.6</v>
      </c>
      <c r="AA109" s="70">
        <f t="shared" si="66"/>
        <v>18.2</v>
      </c>
      <c r="AB109" s="70">
        <v>25</v>
      </c>
      <c r="AC109" s="70">
        <f>'Material Proprieties'!$E$7</f>
        <v>1.28</v>
      </c>
    </row>
    <row r="110" spans="11:33" ht="15.75" customHeight="1" x14ac:dyDescent="0.3">
      <c r="K110" s="73">
        <v>77</v>
      </c>
      <c r="L110" s="109">
        <f t="shared" si="51"/>
        <v>972.22807069581143</v>
      </c>
      <c r="M110" s="70">
        <f t="shared" si="52"/>
        <v>10</v>
      </c>
      <c r="N110" s="109">
        <f t="shared" si="53"/>
        <v>66.735105306268395</v>
      </c>
      <c r="O110" s="72">
        <f>4.5+R110+'Material Proprieties'!Q82</f>
        <v>9.4649999999999999</v>
      </c>
      <c r="P110" s="109">
        <f t="shared" si="54"/>
        <v>66.735105306268395</v>
      </c>
      <c r="Q110" s="70">
        <f>'Midship Section'!$C$14/1000</f>
        <v>3.6720000000000002</v>
      </c>
      <c r="R110" s="70">
        <f t="shared" si="55"/>
        <v>3.4649999999999999</v>
      </c>
      <c r="S110" s="70">
        <f t="shared" si="56"/>
        <v>0.8</v>
      </c>
      <c r="T110" s="70">
        <f>1+0.06*'Material Proprieties'!$Q$75</f>
        <v>1.0900000000000001</v>
      </c>
      <c r="U110" s="72">
        <f t="shared" si="57"/>
        <v>174.20753535353535</v>
      </c>
      <c r="V110" s="70">
        <f t="shared" si="58"/>
        <v>144.05000000000001</v>
      </c>
      <c r="W110" s="70">
        <f t="shared" si="59"/>
        <v>144.05000000000001</v>
      </c>
      <c r="X110" s="70">
        <f t="shared" si="60"/>
        <v>29</v>
      </c>
      <c r="Y110" s="70">
        <f t="shared" si="61"/>
        <v>132</v>
      </c>
      <c r="Z110" s="70">
        <f t="shared" ref="Z110:AA110" si="67">Z104</f>
        <v>1.4</v>
      </c>
      <c r="AA110" s="70">
        <f t="shared" si="67"/>
        <v>19</v>
      </c>
      <c r="AB110" s="70">
        <v>25</v>
      </c>
      <c r="AC110" s="70">
        <f>'Material Proprieties'!$E$7</f>
        <v>1.28</v>
      </c>
    </row>
    <row r="111" spans="11:33" ht="15.75" customHeight="1" x14ac:dyDescent="0.3">
      <c r="K111" s="73">
        <v>78</v>
      </c>
      <c r="L111" s="109">
        <f t="shared" si="51"/>
        <v>936.05214248387426</v>
      </c>
      <c r="M111" s="70">
        <f t="shared" si="52"/>
        <v>10</v>
      </c>
      <c r="N111" s="109">
        <f t="shared" si="53"/>
        <v>66.735105306268395</v>
      </c>
      <c r="O111" s="72">
        <f>4.5+R111+'Material Proprieties'!Q83</f>
        <v>9.4649999999999999</v>
      </c>
      <c r="P111" s="109">
        <f t="shared" si="54"/>
        <v>65.06922095320239</v>
      </c>
      <c r="Q111" s="70">
        <f>'Midship Section'!$C$14/1000</f>
        <v>3.6720000000000002</v>
      </c>
      <c r="R111" s="70">
        <f t="shared" si="55"/>
        <v>3.4649999999999999</v>
      </c>
      <c r="S111" s="70">
        <f t="shared" si="56"/>
        <v>0.8</v>
      </c>
      <c r="T111" s="70">
        <f>1+0.06*'Material Proprieties'!$Q$75</f>
        <v>1.0900000000000001</v>
      </c>
      <c r="U111" s="72">
        <f t="shared" si="57"/>
        <v>174.20753535353535</v>
      </c>
      <c r="V111" s="70">
        <f t="shared" si="58"/>
        <v>138.69</v>
      </c>
      <c r="W111" s="70">
        <f t="shared" si="59"/>
        <v>138.69</v>
      </c>
      <c r="X111" s="70">
        <f t="shared" si="60"/>
        <v>21</v>
      </c>
      <c r="Y111" s="70">
        <f t="shared" si="61"/>
        <v>132</v>
      </c>
      <c r="Z111" s="70">
        <f t="shared" ref="Z111:AA111" si="68">Z103</f>
        <v>0.6</v>
      </c>
      <c r="AA111" s="70">
        <f t="shared" si="68"/>
        <v>18.2</v>
      </c>
      <c r="AB111" s="70">
        <v>25</v>
      </c>
      <c r="AC111" s="70">
        <f>'Material Proprieties'!$E$7</f>
        <v>1.28</v>
      </c>
      <c r="AD111" s="26"/>
    </row>
    <row r="112" spans="11:33" ht="15.75" customHeight="1" x14ac:dyDescent="0.3">
      <c r="K112" s="73">
        <v>79</v>
      </c>
      <c r="L112" s="109">
        <f t="shared" si="51"/>
        <v>972.22807069581143</v>
      </c>
      <c r="M112" s="70">
        <f t="shared" si="52"/>
        <v>10</v>
      </c>
      <c r="N112" s="109">
        <f t="shared" si="53"/>
        <v>66.735105306268395</v>
      </c>
      <c r="O112" s="72">
        <f>4.5+R112+'Material Proprieties'!Q84</f>
        <v>9.4649999999999999</v>
      </c>
      <c r="P112" s="109">
        <f t="shared" si="54"/>
        <v>66.735105306268395</v>
      </c>
      <c r="Q112" s="70">
        <f>'Midship Section'!$C$14/1000</f>
        <v>3.6720000000000002</v>
      </c>
      <c r="R112" s="70">
        <f t="shared" si="55"/>
        <v>3.4649999999999999</v>
      </c>
      <c r="S112" s="70">
        <f t="shared" si="56"/>
        <v>0.8</v>
      </c>
      <c r="T112" s="70">
        <f>1+0.06*'Material Proprieties'!$Q$75</f>
        <v>1.0900000000000001</v>
      </c>
      <c r="U112" s="72">
        <f t="shared" si="57"/>
        <v>174.20753535353535</v>
      </c>
      <c r="V112" s="70">
        <f t="shared" si="58"/>
        <v>144.05000000000001</v>
      </c>
      <c r="W112" s="70">
        <f t="shared" si="59"/>
        <v>144.05000000000001</v>
      </c>
      <c r="X112" s="70">
        <f t="shared" si="60"/>
        <v>29</v>
      </c>
      <c r="Y112" s="70">
        <f t="shared" si="61"/>
        <v>132</v>
      </c>
      <c r="Z112" s="70">
        <f t="shared" ref="Z112:AA112" si="69">Z104</f>
        <v>1.4</v>
      </c>
      <c r="AA112" s="70">
        <f t="shared" si="69"/>
        <v>19</v>
      </c>
      <c r="AB112" s="70">
        <v>25</v>
      </c>
      <c r="AC112" s="70">
        <f>'Material Proprieties'!$E$7</f>
        <v>1.28</v>
      </c>
    </row>
    <row r="113" spans="11:30" ht="15.75" customHeight="1" x14ac:dyDescent="0.3">
      <c r="K113" s="21"/>
    </row>
    <row r="114" spans="11:30" ht="15.75" customHeight="1" x14ac:dyDescent="0.3"/>
    <row r="115" spans="11:30" ht="15.75" customHeight="1" x14ac:dyDescent="0.3"/>
    <row r="116" spans="11:30" ht="15.75" customHeight="1" x14ac:dyDescent="0.3"/>
    <row r="117" spans="11:30" ht="15.75" customHeight="1" x14ac:dyDescent="0.3"/>
    <row r="118" spans="11:30" ht="15.75" customHeight="1" x14ac:dyDescent="0.3">
      <c r="AD118" s="11"/>
    </row>
    <row r="119" spans="11:30" ht="15.75" customHeight="1" x14ac:dyDescent="0.3"/>
    <row r="120" spans="11:30" ht="15.75" customHeight="1" x14ac:dyDescent="0.3"/>
    <row r="121" spans="11:30" ht="15.75" customHeight="1" x14ac:dyDescent="0.3"/>
    <row r="122" spans="11:30" ht="15.75" customHeight="1" x14ac:dyDescent="0.3"/>
    <row r="123" spans="11:30" ht="15.75" customHeight="1" x14ac:dyDescent="0.3"/>
    <row r="124" spans="11:30" ht="15.75" customHeight="1" x14ac:dyDescent="0.3"/>
    <row r="125" spans="11:30" ht="15.75" customHeight="1" x14ac:dyDescent="0.3"/>
    <row r="126" spans="11:30" ht="15.75" customHeight="1" x14ac:dyDescent="0.3"/>
    <row r="127" spans="11:30" ht="15.75" customHeight="1" x14ac:dyDescent="0.3"/>
    <row r="128" spans="11:30" ht="15.75" customHeight="1" x14ac:dyDescent="0.3"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4"/>
      <c r="AB128" s="114"/>
      <c r="AC128" s="110"/>
    </row>
    <row r="129" spans="11:11" ht="15.75" customHeight="1" x14ac:dyDescent="0.3">
      <c r="K129" s="27"/>
    </row>
    <row r="130" spans="11:11" ht="15.75" customHeight="1" x14ac:dyDescent="0.3"/>
    <row r="131" spans="11:11" ht="15.75" customHeight="1" x14ac:dyDescent="0.3"/>
    <row r="132" spans="11:11" ht="15.75" customHeight="1" x14ac:dyDescent="0.3"/>
    <row r="133" spans="11:11" ht="15.75" customHeight="1" x14ac:dyDescent="0.3"/>
    <row r="134" spans="11:11" ht="15.75" customHeight="1" x14ac:dyDescent="0.3"/>
    <row r="135" spans="11:11" ht="15.75" customHeight="1" x14ac:dyDescent="0.3"/>
    <row r="136" spans="11:11" ht="15.75" customHeight="1" x14ac:dyDescent="0.3"/>
    <row r="137" spans="11:11" ht="15.75" customHeight="1" x14ac:dyDescent="0.3"/>
    <row r="138" spans="11:11" ht="15.75" customHeight="1" x14ac:dyDescent="0.3"/>
    <row r="139" spans="11:11" ht="15.75" customHeight="1" x14ac:dyDescent="0.3"/>
    <row r="140" spans="11:11" ht="15.75" customHeight="1" x14ac:dyDescent="0.3"/>
    <row r="141" spans="11:11" ht="15.75" customHeight="1" x14ac:dyDescent="0.3"/>
    <row r="142" spans="11:11" ht="15.75" customHeight="1" x14ac:dyDescent="0.3"/>
    <row r="143" spans="11:11" ht="15.75" customHeight="1" x14ac:dyDescent="0.3"/>
    <row r="144" spans="11:11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1">
    <mergeCell ref="K50:AG50"/>
    <mergeCell ref="K75:AG75"/>
    <mergeCell ref="K100:AC100"/>
    <mergeCell ref="O10:P10"/>
    <mergeCell ref="O24:P24"/>
    <mergeCell ref="V73:Y73"/>
    <mergeCell ref="AB73:AH73"/>
    <mergeCell ref="V98:X98"/>
    <mergeCell ref="AA98:AD98"/>
    <mergeCell ref="R33:U33"/>
    <mergeCell ref="X33:AD33"/>
    <mergeCell ref="AE33:AF33"/>
    <mergeCell ref="N36:O36"/>
    <mergeCell ref="R43:T43"/>
    <mergeCell ref="X43:Y43"/>
    <mergeCell ref="K23:AG23"/>
    <mergeCell ref="K35:Z35"/>
    <mergeCell ref="B25:E25"/>
    <mergeCell ref="E28:E30"/>
    <mergeCell ref="K3:Q3"/>
    <mergeCell ref="K9:AC9"/>
  </mergeCells>
  <pageMargins left="0.511811024" right="0.511811024" top="0.78740157499999996" bottom="0.78740157499999996" header="0" footer="0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F1000"/>
  <sheetViews>
    <sheetView topLeftCell="G1" zoomScale="70" zoomScaleNormal="70" workbookViewId="0">
      <selection activeCell="H14" sqref="H14:AA17"/>
    </sheetView>
  </sheetViews>
  <sheetFormatPr defaultColWidth="14.44140625" defaultRowHeight="15" customHeight="1" x14ac:dyDescent="0.3"/>
  <cols>
    <col min="1" max="2" width="8.6640625" customWidth="1"/>
    <col min="3" max="3" width="16.88671875" customWidth="1"/>
    <col min="4" max="4" width="15" customWidth="1"/>
    <col min="5" max="5" width="11.5546875" customWidth="1"/>
    <col min="6" max="8" width="8.6640625" customWidth="1"/>
    <col min="9" max="9" width="23.33203125" customWidth="1"/>
    <col min="10" max="10" width="15" customWidth="1"/>
    <col min="11" max="11" width="11.5546875" customWidth="1"/>
    <col min="12" max="12" width="9" customWidth="1"/>
    <col min="13" max="30" width="8.6640625" customWidth="1"/>
    <col min="31" max="31" width="7.109375" customWidth="1"/>
    <col min="32" max="32" width="8.6640625" bestFit="1" customWidth="1"/>
    <col min="33" max="33" width="8.44140625" customWidth="1"/>
    <col min="34" max="35" width="5.88671875" customWidth="1"/>
    <col min="36" max="36" width="9" customWidth="1"/>
  </cols>
  <sheetData>
    <row r="2" spans="3:29" ht="14.4" customHeight="1" x14ac:dyDescent="0.55000000000000004">
      <c r="H2" s="107"/>
    </row>
    <row r="3" spans="3:29" ht="14.4" x14ac:dyDescent="0.3">
      <c r="H3" s="99" t="s">
        <v>66</v>
      </c>
    </row>
    <row r="4" spans="3:29" ht="14.4" x14ac:dyDescent="0.3">
      <c r="H4" s="222" t="s">
        <v>543</v>
      </c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4"/>
    </row>
    <row r="5" spans="3:29" ht="14.4" x14ac:dyDescent="0.3">
      <c r="H5" s="73" t="s">
        <v>241</v>
      </c>
      <c r="I5" s="73" t="s">
        <v>156</v>
      </c>
      <c r="J5" s="73" t="s">
        <v>158</v>
      </c>
      <c r="K5" s="73" t="s">
        <v>167</v>
      </c>
      <c r="L5" s="73" t="s">
        <v>196</v>
      </c>
      <c r="M5" s="73" t="s">
        <v>123</v>
      </c>
      <c r="N5" s="73" t="s">
        <v>187</v>
      </c>
      <c r="O5" s="73" t="s">
        <v>182</v>
      </c>
      <c r="P5" s="73" t="s">
        <v>186</v>
      </c>
      <c r="Q5" s="73" t="s">
        <v>183</v>
      </c>
      <c r="R5" s="73" t="s">
        <v>184</v>
      </c>
      <c r="S5" s="73" t="s">
        <v>242</v>
      </c>
      <c r="T5" s="73" t="s">
        <v>243</v>
      </c>
      <c r="U5" s="73" t="s">
        <v>188</v>
      </c>
      <c r="V5" s="73" t="s">
        <v>189</v>
      </c>
      <c r="W5" s="73" t="s">
        <v>190</v>
      </c>
      <c r="X5" s="73" t="s">
        <v>191</v>
      </c>
      <c r="Y5" s="73" t="s">
        <v>192</v>
      </c>
      <c r="Z5" s="73" t="s">
        <v>244</v>
      </c>
      <c r="AA5" s="73" t="s">
        <v>193</v>
      </c>
      <c r="AB5" s="73" t="s">
        <v>245</v>
      </c>
      <c r="AC5" s="73" t="s">
        <v>157</v>
      </c>
    </row>
    <row r="6" spans="3:29" ht="14.4" x14ac:dyDescent="0.3">
      <c r="H6" s="73" t="s">
        <v>164</v>
      </c>
      <c r="I6" s="117" t="s">
        <v>166</v>
      </c>
      <c r="J6" s="117" t="s">
        <v>169</v>
      </c>
      <c r="K6" s="117" t="s">
        <v>30</v>
      </c>
      <c r="L6" s="117" t="s">
        <v>30</v>
      </c>
      <c r="M6" s="117" t="s">
        <v>15</v>
      </c>
      <c r="N6" s="117" t="s">
        <v>15</v>
      </c>
      <c r="O6" s="117" t="s">
        <v>3</v>
      </c>
      <c r="P6" s="117" t="s">
        <v>197</v>
      </c>
      <c r="Q6" s="117" t="s">
        <v>197</v>
      </c>
      <c r="R6" s="117" t="s">
        <v>197</v>
      </c>
      <c r="S6" s="117" t="s">
        <v>197</v>
      </c>
      <c r="T6" s="117" t="s">
        <v>197</v>
      </c>
      <c r="U6" s="117" t="s">
        <v>246</v>
      </c>
      <c r="V6" s="117" t="s">
        <v>15</v>
      </c>
      <c r="W6" s="117" t="s">
        <v>3</v>
      </c>
      <c r="X6" s="117" t="s">
        <v>3</v>
      </c>
      <c r="Y6" s="117" t="s">
        <v>3</v>
      </c>
      <c r="Z6" s="117" t="s">
        <v>3</v>
      </c>
      <c r="AA6" s="117" t="s">
        <v>3</v>
      </c>
      <c r="AB6" s="117" t="s">
        <v>3</v>
      </c>
      <c r="AC6" s="117" t="s">
        <v>64</v>
      </c>
    </row>
    <row r="7" spans="3:29" ht="14.4" x14ac:dyDescent="0.3">
      <c r="F7" s="11"/>
      <c r="H7" s="73">
        <v>11</v>
      </c>
      <c r="I7" s="70">
        <v>1.8</v>
      </c>
      <c r="J7" s="70">
        <f t="shared" ref="J7:J11" si="0">ROUNDUP(LARGE(K7:L7,1),0)</f>
        <v>14</v>
      </c>
      <c r="K7" s="71">
        <f>5+(M7*Lbp/SQRT(AC7))+'Material Proprieties'!N16</f>
        <v>7.5417708306761559</v>
      </c>
      <c r="L7" s="71">
        <f>15.8*$C$39*O7*SQRT(P7/N7)+'Material Proprieties'!N16</f>
        <v>13.300078529908857</v>
      </c>
      <c r="M7" s="70">
        <v>0.01</v>
      </c>
      <c r="N7" s="70">
        <f t="shared" ref="N7:N9" si="1">120*AC7</f>
        <v>153.6</v>
      </c>
      <c r="O7" s="80">
        <v>0.91800000000000004</v>
      </c>
      <c r="P7" s="109">
        <f t="shared" ref="P7:P11" si="2">LARGE(Q7:T7,1)</f>
        <v>103.24392961027328</v>
      </c>
      <c r="Q7" s="109">
        <f t="shared" ref="Q7:Q9" si="3">10*Z7+U7</f>
        <v>77.643723929714426</v>
      </c>
      <c r="R7" s="109" t="s">
        <v>37</v>
      </c>
      <c r="S7" s="109">
        <f>'Ship Characteristics'!$H$17*g*(0.67*(AA7+$C$40*' Design Load and Acceleration'!$H$4)-0.12*SQRT($C$33*$C$34*' Design Load and Acceleration'!$H$4))</f>
        <v>103.24392961027328</v>
      </c>
      <c r="T7" s="109">
        <f>'Ship Characteristics'!$H$17*(3-0.01*B)*AB7</f>
        <v>73.462720000000004</v>
      </c>
      <c r="U7" s="109">
        <f>V7+135*W7/(B+75)-1.2*(T-X7)</f>
        <v>31.643723929714422</v>
      </c>
      <c r="V7" s="109">
        <f>$C$39*Cw+Y7</f>
        <v>15.854417360371357</v>
      </c>
      <c r="W7" s="70">
        <f>B/2</f>
        <v>17.3</v>
      </c>
      <c r="X7" s="70">
        <f>8.6</f>
        <v>8.6</v>
      </c>
      <c r="Y7" s="72">
        <f>MIN('Bottom structures'!$C$34,T)</f>
        <v>4.9000000000000021</v>
      </c>
      <c r="Z7" s="70">
        <v>4.5999999999999996</v>
      </c>
      <c r="AA7" s="70">
        <v>9.5</v>
      </c>
      <c r="AB7" s="70">
        <f>B</f>
        <v>34.6</v>
      </c>
      <c r="AC7" s="70">
        <f>'Material Proprieties'!$E$7</f>
        <v>1.28</v>
      </c>
    </row>
    <row r="8" spans="3:29" ht="14.4" x14ac:dyDescent="0.3">
      <c r="F8" s="11"/>
      <c r="H8" s="73">
        <v>12</v>
      </c>
      <c r="I8" s="70">
        <v>1.8</v>
      </c>
      <c r="J8" s="70">
        <f t="shared" si="0"/>
        <v>13</v>
      </c>
      <c r="K8" s="71">
        <f>5+(M8*Lbp/SQRT(AC8))+'Material Proprieties'!N17</f>
        <v>7.5417708306761559</v>
      </c>
      <c r="L8" s="71">
        <f>15.8*$C$39*O8*SQRT(P8/N8)+'Material Proprieties'!N17</f>
        <v>12.699266792075491</v>
      </c>
      <c r="M8" s="70">
        <v>0.01</v>
      </c>
      <c r="N8" s="70">
        <f t="shared" si="1"/>
        <v>153.6</v>
      </c>
      <c r="O8" s="80">
        <v>0.91800000000000004</v>
      </c>
      <c r="P8" s="109">
        <f t="shared" si="2"/>
        <v>93.779241610273303</v>
      </c>
      <c r="Q8" s="109">
        <f t="shared" si="3"/>
        <v>61.803723929714423</v>
      </c>
      <c r="R8" s="109" t="s">
        <v>37</v>
      </c>
      <c r="S8" s="109">
        <f>'Ship Characteristics'!$H$17*g*(0.67*(AA8+$C$40*' Design Load and Acceleration'!$H$4)-0.12*SQRT($C$33*$C$34*' Design Load and Acceleration'!$H$4))</f>
        <v>93.779241610273303</v>
      </c>
      <c r="T8" s="109">
        <f>'Ship Characteristics'!$H$17*(3-0.01*B)*AB8</f>
        <v>73.462720000000004</v>
      </c>
      <c r="U8" s="109">
        <f>V8+135*W8/(B+75)-1.2*(T-X8)</f>
        <v>33.803723929714423</v>
      </c>
      <c r="V8" s="109">
        <f>$C$39*Cw+Y8</f>
        <v>15.854417360371357</v>
      </c>
      <c r="W8" s="70">
        <f>B/2</f>
        <v>17.3</v>
      </c>
      <c r="X8" s="70">
        <f t="shared" ref="X8:X9" si="4">X7+1.8</f>
        <v>10.4</v>
      </c>
      <c r="Y8" s="72">
        <f>MIN('Bottom structures'!$C$34,T)</f>
        <v>4.9000000000000021</v>
      </c>
      <c r="Z8" s="70">
        <v>2.8</v>
      </c>
      <c r="AA8" s="70">
        <f t="shared" ref="AA8:AA11" si="5">AA7-1.8</f>
        <v>7.7</v>
      </c>
      <c r="AB8" s="70">
        <f>B</f>
        <v>34.6</v>
      </c>
      <c r="AC8" s="70">
        <f>'Material Proprieties'!$E$7</f>
        <v>1.28</v>
      </c>
    </row>
    <row r="9" spans="3:29" ht="14.4" x14ac:dyDescent="0.3">
      <c r="H9" s="73">
        <v>13</v>
      </c>
      <c r="I9" s="70">
        <v>1.8</v>
      </c>
      <c r="J9" s="70">
        <f t="shared" si="0"/>
        <v>13</v>
      </c>
      <c r="K9" s="71">
        <f>5+(M9*Lbp/SQRT(AC9))+'Material Proprieties'!N18</f>
        <v>7.5417708306761559</v>
      </c>
      <c r="L9" s="71">
        <f>15.8*$C$39*O9*SQRT(P9/N9)+'Material Proprieties'!N18</f>
        <v>12.06729052789105</v>
      </c>
      <c r="M9" s="70">
        <v>0.01</v>
      </c>
      <c r="N9" s="70">
        <f t="shared" si="1"/>
        <v>153.6</v>
      </c>
      <c r="O9" s="80">
        <v>0.91800000000000004</v>
      </c>
      <c r="P9" s="109">
        <f t="shared" si="2"/>
        <v>84.314553610273293</v>
      </c>
      <c r="Q9" s="109">
        <f t="shared" si="3"/>
        <v>45.963723929714426</v>
      </c>
      <c r="R9" s="109" t="s">
        <v>37</v>
      </c>
      <c r="S9" s="109">
        <f>'Ship Characteristics'!$H$17*g*(0.67*(AA9+$C$40*' Design Load and Acceleration'!$H$4)-0.12*SQRT($C$33*$C$34*' Design Load and Acceleration'!$H$4))</f>
        <v>84.314553610273293</v>
      </c>
      <c r="T9" s="109">
        <f>'Ship Characteristics'!$H$17*(3-0.01*B)*AB9</f>
        <v>73.462720000000004</v>
      </c>
      <c r="U9" s="109">
        <f>V9+135*W9/(B+75)-1.2*(T-X9)</f>
        <v>35.963723929714426</v>
      </c>
      <c r="V9" s="109">
        <f>$C$39*Cw+Y9</f>
        <v>15.854417360371357</v>
      </c>
      <c r="W9" s="70">
        <f>B/2</f>
        <v>17.3</v>
      </c>
      <c r="X9" s="70">
        <f t="shared" si="4"/>
        <v>12.200000000000001</v>
      </c>
      <c r="Y9" s="72">
        <f>MIN('Bottom structures'!$C$34,T)</f>
        <v>4.9000000000000021</v>
      </c>
      <c r="Z9" s="70">
        <v>1</v>
      </c>
      <c r="AA9" s="70">
        <f t="shared" si="5"/>
        <v>5.9</v>
      </c>
      <c r="AB9" s="70">
        <f>B</f>
        <v>34.6</v>
      </c>
      <c r="AC9" s="70">
        <f>'Material Proprieties'!$E$7</f>
        <v>1.28</v>
      </c>
    </row>
    <row r="10" spans="3:29" ht="14.4" x14ac:dyDescent="0.3">
      <c r="H10" s="73">
        <v>14</v>
      </c>
      <c r="I10" s="70">
        <v>1.8</v>
      </c>
      <c r="J10" s="70">
        <f t="shared" si="0"/>
        <v>11</v>
      </c>
      <c r="K10" s="71">
        <f>5+(M10*Lbp/SQRT(AC10))+'Material Proprieties'!N19</f>
        <v>8.0417708306761568</v>
      </c>
      <c r="L10" s="71">
        <f>15.8*$C$39*O10*SQRT(P10/N10)+'Material Proprieties'!N19</f>
        <v>10.020170637132811</v>
      </c>
      <c r="M10" s="70">
        <v>0.01</v>
      </c>
      <c r="N10" s="109">
        <f t="shared" ref="N10:N11" si="6">140*AC10</f>
        <v>179.20000000000002</v>
      </c>
      <c r="O10" s="80">
        <v>0.72499999999999998</v>
      </c>
      <c r="P10" s="109">
        <f t="shared" si="2"/>
        <v>95.901390313162636</v>
      </c>
      <c r="Q10" s="109" t="s">
        <v>37</v>
      </c>
      <c r="R10" s="109">
        <f>IF(U10-Z10*(4-0.2*$C$36)&lt;6.25+0.025*Lbp,6.25+0.025*Lbp,U10-Z10*(4-0.2*$C$36))</f>
        <v>34.283723929714419</v>
      </c>
      <c r="S10" s="109">
        <f>ro*g*(0.67*(AA10+$C$40*' Design Load and Acceleration'!$H$4)-0.12*SQRT($C$33*$C$34*' Design Load and Acceleration'!$H$4))</f>
        <v>95.901390313162636</v>
      </c>
      <c r="T10" s="109" t="s">
        <v>37</v>
      </c>
      <c r="U10" s="109">
        <f>V10+135*W10/(B+75)-1.2*(T-X10)</f>
        <v>37.163723929714422</v>
      </c>
      <c r="V10" s="109">
        <f>$C$39*Cw+Y10</f>
        <v>15.854417360371357</v>
      </c>
      <c r="W10" s="70">
        <f>B/2</f>
        <v>17.3</v>
      </c>
      <c r="X10" s="70">
        <f>T</f>
        <v>13.2</v>
      </c>
      <c r="Y10" s="72">
        <f>MIN('Bottom structures'!$C$34,T)</f>
        <v>4.9000000000000021</v>
      </c>
      <c r="Z10" s="70">
        <v>0.8</v>
      </c>
      <c r="AA10" s="70">
        <f t="shared" si="5"/>
        <v>4.1000000000000005</v>
      </c>
      <c r="AB10" s="70">
        <f>B</f>
        <v>34.6</v>
      </c>
      <c r="AC10" s="70">
        <f>'Material Proprieties'!$E$7</f>
        <v>1.28</v>
      </c>
    </row>
    <row r="11" spans="3:29" ht="14.4" x14ac:dyDescent="0.3">
      <c r="F11" s="3"/>
      <c r="H11" s="73">
        <v>15</v>
      </c>
      <c r="I11" s="70">
        <v>1.8</v>
      </c>
      <c r="J11" s="70">
        <f t="shared" si="0"/>
        <v>10</v>
      </c>
      <c r="K11" s="71">
        <f>5+(M11*Lbp/SQRT(AC11))+'Material Proprieties'!N20</f>
        <v>8.0417708306761568</v>
      </c>
      <c r="L11" s="71">
        <f>15.8*$C$39*O11*SQRT(P11/N11)+'Material Proprieties'!N20</f>
        <v>9.430607969788527</v>
      </c>
      <c r="M11" s="70">
        <v>0.01</v>
      </c>
      <c r="N11" s="109">
        <f t="shared" si="6"/>
        <v>179.20000000000002</v>
      </c>
      <c r="O11" s="80">
        <v>0.72499999999999998</v>
      </c>
      <c r="P11" s="109">
        <f t="shared" si="2"/>
        <v>83.774758813162634</v>
      </c>
      <c r="Q11" s="109" t="s">
        <v>37</v>
      </c>
      <c r="R11" s="109">
        <f>IF(U11-Z11*(4-0.2*$C$36)&lt;6.25+0.025*Lbp,6.25+0.025*Lbp,U11-Z11*(4-0.2*$C$36))</f>
        <v>27.803723929714423</v>
      </c>
      <c r="S11" s="109">
        <f>ro*g*(0.67*(AA11+$C$40*' Design Load and Acceleration'!$H$4)-0.12*SQRT($C$33*$C$34*' Design Load and Acceleration'!$H$4))</f>
        <v>83.774758813162634</v>
      </c>
      <c r="T11" s="109" t="s">
        <v>37</v>
      </c>
      <c r="U11" s="109">
        <f>V11+135*W11/(B+75)-1.2*(T-X11)</f>
        <v>37.163723929714422</v>
      </c>
      <c r="V11" s="109">
        <f>$C$39*Cw+Y11</f>
        <v>15.854417360371357</v>
      </c>
      <c r="W11" s="70">
        <f>B/2</f>
        <v>17.3</v>
      </c>
      <c r="X11" s="70">
        <f>T</f>
        <v>13.2</v>
      </c>
      <c r="Y11" s="72">
        <f>MIN('Bottom structures'!$C$34,T)</f>
        <v>4.9000000000000021</v>
      </c>
      <c r="Z11" s="70">
        <v>2.6</v>
      </c>
      <c r="AA11" s="70">
        <f t="shared" si="5"/>
        <v>2.3000000000000007</v>
      </c>
      <c r="AB11" s="70">
        <f>B</f>
        <v>34.6</v>
      </c>
      <c r="AC11" s="70">
        <f>'Material Proprieties'!$E$7</f>
        <v>1.28</v>
      </c>
    </row>
    <row r="12" spans="3:29" ht="14.4" x14ac:dyDescent="0.3">
      <c r="F12" s="3"/>
      <c r="G12" s="3"/>
      <c r="H12" s="12"/>
      <c r="I12" s="36"/>
      <c r="J12" s="29"/>
      <c r="K12" s="120" t="s">
        <v>249</v>
      </c>
      <c r="L12" s="120" t="s">
        <v>250</v>
      </c>
      <c r="M12" s="120" t="s">
        <v>249</v>
      </c>
      <c r="N12" s="35"/>
      <c r="O12" s="29"/>
      <c r="P12" s="245" t="s">
        <v>251</v>
      </c>
      <c r="Q12" s="246"/>
      <c r="R12" s="246"/>
      <c r="S12" s="246"/>
      <c r="T12" s="246"/>
      <c r="U12" s="12"/>
      <c r="V12" s="12"/>
      <c r="W12" s="12"/>
      <c r="X12" s="12"/>
      <c r="Y12" s="12"/>
      <c r="Z12" s="12"/>
      <c r="AA12" s="12"/>
      <c r="AB12" s="12"/>
      <c r="AC12" s="12"/>
    </row>
    <row r="13" spans="3:29" ht="14.4" x14ac:dyDescent="0.3">
      <c r="C13" s="10"/>
      <c r="D13" s="14"/>
      <c r="E13" s="14"/>
      <c r="F13" s="3"/>
      <c r="G13" s="3"/>
    </row>
    <row r="14" spans="3:29" ht="14.4" x14ac:dyDescent="0.3">
      <c r="C14" s="10"/>
      <c r="D14" s="14"/>
      <c r="E14" s="14"/>
      <c r="F14" s="3"/>
      <c r="G14" s="3"/>
      <c r="H14" s="228" t="s">
        <v>252</v>
      </c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30"/>
    </row>
    <row r="15" spans="3:29" ht="14.4" x14ac:dyDescent="0.3">
      <c r="C15" s="10"/>
      <c r="D15" s="14"/>
      <c r="E15" s="14"/>
      <c r="F15" s="3"/>
      <c r="G15" s="3"/>
      <c r="H15" s="73" t="s">
        <v>241</v>
      </c>
      <c r="I15" s="73" t="s">
        <v>156</v>
      </c>
      <c r="J15" s="73" t="s">
        <v>158</v>
      </c>
      <c r="K15" s="73" t="s">
        <v>253</v>
      </c>
      <c r="L15" s="73" t="s">
        <v>254</v>
      </c>
      <c r="M15" s="73" t="s">
        <v>123</v>
      </c>
      <c r="N15" s="73" t="s">
        <v>187</v>
      </c>
      <c r="O15" s="73" t="s">
        <v>182</v>
      </c>
      <c r="P15" s="73" t="s">
        <v>186</v>
      </c>
      <c r="Q15" s="73" t="s">
        <v>184</v>
      </c>
      <c r="R15" s="73" t="s">
        <v>242</v>
      </c>
      <c r="S15" s="73" t="s">
        <v>188</v>
      </c>
      <c r="T15" s="73" t="s">
        <v>189</v>
      </c>
      <c r="U15" s="73" t="s">
        <v>190</v>
      </c>
      <c r="V15" s="73" t="s">
        <v>191</v>
      </c>
      <c r="W15" s="73" t="s">
        <v>192</v>
      </c>
      <c r="X15" s="73" t="s">
        <v>244</v>
      </c>
      <c r="Y15" s="73" t="s">
        <v>193</v>
      </c>
      <c r="Z15" s="73" t="s">
        <v>245</v>
      </c>
      <c r="AA15" s="73" t="s">
        <v>157</v>
      </c>
    </row>
    <row r="16" spans="3:29" ht="14.4" x14ac:dyDescent="0.3">
      <c r="C16" s="10"/>
      <c r="D16" s="14"/>
      <c r="E16" s="14"/>
      <c r="F16" s="3"/>
      <c r="G16" s="3"/>
      <c r="H16" s="73" t="s">
        <v>164</v>
      </c>
      <c r="I16" s="117" t="s">
        <v>166</v>
      </c>
      <c r="J16" s="117" t="s">
        <v>169</v>
      </c>
      <c r="K16" s="117" t="s">
        <v>30</v>
      </c>
      <c r="L16" s="117" t="s">
        <v>30</v>
      </c>
      <c r="M16" s="117" t="s">
        <v>15</v>
      </c>
      <c r="N16" s="117" t="s">
        <v>15</v>
      </c>
      <c r="O16" s="117" t="s">
        <v>3</v>
      </c>
      <c r="P16" s="117" t="s">
        <v>197</v>
      </c>
      <c r="Q16" s="117" t="s">
        <v>197</v>
      </c>
      <c r="R16" s="117" t="s">
        <v>197</v>
      </c>
      <c r="S16" s="117" t="s">
        <v>246</v>
      </c>
      <c r="T16" s="117" t="s">
        <v>15</v>
      </c>
      <c r="U16" s="117" t="s">
        <v>3</v>
      </c>
      <c r="V16" s="117" t="s">
        <v>3</v>
      </c>
      <c r="W16" s="117" t="s">
        <v>3</v>
      </c>
      <c r="X16" s="117" t="s">
        <v>3</v>
      </c>
      <c r="Y16" s="117" t="s">
        <v>3</v>
      </c>
      <c r="Z16" s="117" t="s">
        <v>3</v>
      </c>
      <c r="AA16" s="117" t="s">
        <v>64</v>
      </c>
    </row>
    <row r="17" spans="2:32" ht="14.4" x14ac:dyDescent="0.3">
      <c r="B17" s="12"/>
      <c r="C17" s="12"/>
      <c r="D17" s="12"/>
      <c r="E17" s="12"/>
      <c r="F17" s="12"/>
      <c r="G17" s="12"/>
      <c r="H17" s="74">
        <v>16</v>
      </c>
      <c r="I17" s="63">
        <v>1.8</v>
      </c>
      <c r="J17" s="63">
        <f>ROUNDUP(AVERAGE(K17:L17),0)</f>
        <v>11</v>
      </c>
      <c r="K17" s="71">
        <f>15.8*C39*O17*SQRT(P17/N17)+'Material Proprieties'!N21</f>
        <v>9.7918821109304712</v>
      </c>
      <c r="L17" s="63">
        <f>AVERAGE('Deck structures'!L7:L11)</f>
        <v>12</v>
      </c>
      <c r="M17" s="70">
        <v>0.01</v>
      </c>
      <c r="N17" s="109">
        <f>140*AA17</f>
        <v>194.6</v>
      </c>
      <c r="O17" s="63">
        <f>0.725</f>
        <v>0.72499999999999998</v>
      </c>
      <c r="P17" s="109">
        <f>LARGE(Q17:R17,1)</f>
        <v>77.711443063162633</v>
      </c>
      <c r="Q17" s="109">
        <f>IF(S17-X17*(4-0.2*$C$36)&lt;6.25+0.025*Lbp,6.25+0.025*Lbp,S17-X17*(4-0.2*$C$36))</f>
        <v>19.163723929714422</v>
      </c>
      <c r="R17" s="109">
        <f>ro*g*(0.67*(Y17+$C$40*' Design Load and Acceleration'!$H$4)-0.12*SQRT($C$33*$C$34*' Design Load and Acceleration'!$H$4))</f>
        <v>77.711443063162633</v>
      </c>
      <c r="S17" s="109">
        <f>T17+135*U17/(B+75)-1.2*(T-V17)</f>
        <v>37.163723929714422</v>
      </c>
      <c r="T17" s="109">
        <f>$C$39*Cw+W17</f>
        <v>15.854417360371357</v>
      </c>
      <c r="U17" s="70">
        <f>B/2</f>
        <v>17.3</v>
      </c>
      <c r="V17" s="70">
        <f>T</f>
        <v>13.2</v>
      </c>
      <c r="W17" s="72">
        <f>MIN('Bottom structures'!$C$34,T)</f>
        <v>4.9000000000000021</v>
      </c>
      <c r="X17" s="70">
        <v>5</v>
      </c>
      <c r="Y17" s="70">
        <f>AA11-0.9</f>
        <v>1.4000000000000008</v>
      </c>
      <c r="Z17" s="70">
        <f>B</f>
        <v>34.6</v>
      </c>
      <c r="AA17" s="70">
        <f>'Material Proprieties'!$E$8</f>
        <v>1.39</v>
      </c>
    </row>
    <row r="18" spans="2:32" ht="14.4" x14ac:dyDescent="0.3">
      <c r="B18" s="25"/>
      <c r="C18" s="25"/>
      <c r="D18" s="25"/>
      <c r="E18" s="25"/>
      <c r="F18" s="25"/>
      <c r="G18" s="25"/>
      <c r="H18" s="12"/>
      <c r="I18" s="12"/>
      <c r="J18" s="66" t="s">
        <v>255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2:32" ht="14.4" x14ac:dyDescent="0.3">
      <c r="B19" s="27"/>
      <c r="C19" s="3"/>
      <c r="D19" s="3"/>
      <c r="E19" s="3"/>
      <c r="F19" s="3"/>
      <c r="G19" s="3"/>
    </row>
    <row r="20" spans="2:32" ht="14.4" x14ac:dyDescent="0.3">
      <c r="B20" s="27"/>
      <c r="C20" s="3"/>
      <c r="D20" s="3"/>
      <c r="E20" s="3"/>
      <c r="F20" s="3"/>
      <c r="G20" s="3"/>
    </row>
    <row r="21" spans="2:32" ht="15.75" customHeight="1" x14ac:dyDescent="0.3">
      <c r="B21" s="27"/>
      <c r="H21" s="99" t="s">
        <v>529</v>
      </c>
    </row>
    <row r="22" spans="2:32" ht="15.75" customHeight="1" x14ac:dyDescent="0.3">
      <c r="B22" s="27"/>
      <c r="H22" s="73" t="s">
        <v>219</v>
      </c>
      <c r="I22" s="73" t="s">
        <v>256</v>
      </c>
      <c r="J22" s="73" t="s">
        <v>158</v>
      </c>
      <c r="K22" s="73" t="s">
        <v>221</v>
      </c>
      <c r="L22" s="73" t="s">
        <v>167</v>
      </c>
      <c r="M22" s="73" t="s">
        <v>257</v>
      </c>
      <c r="N22" s="73" t="s">
        <v>40</v>
      </c>
      <c r="O22" s="73" t="s">
        <v>182</v>
      </c>
      <c r="P22" s="73" t="s">
        <v>223</v>
      </c>
      <c r="Q22" s="73" t="s">
        <v>187</v>
      </c>
      <c r="R22" s="73" t="s">
        <v>186</v>
      </c>
      <c r="S22" s="73" t="s">
        <v>184</v>
      </c>
      <c r="T22" s="73" t="s">
        <v>242</v>
      </c>
      <c r="U22" s="73" t="s">
        <v>243</v>
      </c>
      <c r="V22" s="73" t="s">
        <v>188</v>
      </c>
      <c r="W22" s="73" t="s">
        <v>189</v>
      </c>
      <c r="X22" s="73" t="s">
        <v>190</v>
      </c>
      <c r="Y22" s="73" t="s">
        <v>191</v>
      </c>
      <c r="Z22" s="73" t="s">
        <v>192</v>
      </c>
      <c r="AA22" s="73" t="s">
        <v>193</v>
      </c>
      <c r="AB22" s="73" t="s">
        <v>245</v>
      </c>
      <c r="AC22" s="73" t="s">
        <v>123</v>
      </c>
      <c r="AD22" s="73" t="s">
        <v>258</v>
      </c>
      <c r="AE22" s="73" t="s">
        <v>259</v>
      </c>
      <c r="AF22" s="73" t="s">
        <v>157</v>
      </c>
    </row>
    <row r="23" spans="2:32" ht="15.75" customHeight="1" x14ac:dyDescent="0.3">
      <c r="H23" s="73" t="s">
        <v>164</v>
      </c>
      <c r="I23" s="117" t="s">
        <v>260</v>
      </c>
      <c r="J23" s="117" t="s">
        <v>169</v>
      </c>
      <c r="K23" s="117" t="s">
        <v>26</v>
      </c>
      <c r="L23" s="117" t="s">
        <v>30</v>
      </c>
      <c r="M23" s="117" t="s">
        <v>228</v>
      </c>
      <c r="N23" s="117" t="s">
        <v>3</v>
      </c>
      <c r="O23" s="117" t="s">
        <v>3</v>
      </c>
      <c r="P23" s="117" t="s">
        <v>15</v>
      </c>
      <c r="Q23" s="117" t="s">
        <v>15</v>
      </c>
      <c r="R23" s="117" t="s">
        <v>246</v>
      </c>
      <c r="S23" s="117" t="s">
        <v>246</v>
      </c>
      <c r="T23" s="117" t="s">
        <v>246</v>
      </c>
      <c r="U23" s="117" t="s">
        <v>246</v>
      </c>
      <c r="V23" s="117" t="s">
        <v>246</v>
      </c>
      <c r="W23" s="117" t="s">
        <v>15</v>
      </c>
      <c r="X23" s="117" t="s">
        <v>3</v>
      </c>
      <c r="Y23" s="117" t="s">
        <v>3</v>
      </c>
      <c r="Z23" s="117" t="s">
        <v>3</v>
      </c>
      <c r="AA23" s="117" t="s">
        <v>3</v>
      </c>
      <c r="AB23" s="117" t="s">
        <v>3</v>
      </c>
      <c r="AC23" s="117" t="s">
        <v>15</v>
      </c>
      <c r="AD23" s="117" t="s">
        <v>3</v>
      </c>
      <c r="AE23" s="117" t="s">
        <v>3</v>
      </c>
      <c r="AF23" s="117" t="s">
        <v>64</v>
      </c>
    </row>
    <row r="24" spans="2:32" ht="15.75" customHeight="1" x14ac:dyDescent="0.3">
      <c r="B24" s="3"/>
      <c r="H24" s="73">
        <v>21</v>
      </c>
      <c r="I24" s="109">
        <f t="shared" ref="I24:I30" si="7">83*(N24^2)*O24*P24*R24/Q24</f>
        <v>275.90686861832705</v>
      </c>
      <c r="J24" s="70">
        <f>ROUNDUP(LARGE(L24:L30,1),0)</f>
        <v>10</v>
      </c>
      <c r="K24" s="70">
        <f t="shared" ref="K24:K30" si="8">ROUNDUP(LARGE($M$24:$M$30,1),0)</f>
        <v>29</v>
      </c>
      <c r="L24" s="109">
        <f>4.5+0.01*Lbp+'Material Proprieties'!Q26</f>
        <v>8.31</v>
      </c>
      <c r="M24" s="109">
        <f t="shared" ref="M24:M30" si="9">0.68*I24^(2/3)</f>
        <v>28.819332712454866</v>
      </c>
      <c r="N24" s="70">
        <f t="shared" ref="N24:N30" si="10">4*O24</f>
        <v>2.9</v>
      </c>
      <c r="O24" s="70">
        <v>0.72499999999999998</v>
      </c>
      <c r="P24" s="70">
        <f>1+0.06*'Material Proprieties'!Q26</f>
        <v>1.0900000000000001</v>
      </c>
      <c r="Q24" s="109">
        <f t="shared" ref="Q24:Q30" si="11">IF(225*AF24-130*$C$41*((AD24-AE24)/AD24)&gt;160*AF24,160*AF24,225*AF24-130*$C$41*((AD24-AE24)/AD24))</f>
        <v>204.8</v>
      </c>
      <c r="R24" s="109">
        <f t="shared" ref="R24:R30" si="12">LARGE(S24:U24,1)</f>
        <v>102.43629728816262</v>
      </c>
      <c r="S24" s="109">
        <f t="shared" ref="S24:S30" si="13">IF(V24-AA24*(4-0.2*$C$36)&lt;6.25+0.025*Lbp,6.25+0.025*Lbp,V24-AA24*(4-0.2*$C$36))</f>
        <v>18.91172392971442</v>
      </c>
      <c r="T24" s="109">
        <f>ro*g*(0.67*(AA24+$C$40*' Design Load and Acceleration'!$H$4)-0.12*SQRT($C$33*$C$34*' Design Load and Acceleration'!$H$4))</f>
        <v>102.43629728816262</v>
      </c>
      <c r="U24" s="109" t="s">
        <v>37</v>
      </c>
      <c r="V24" s="109">
        <f t="shared" ref="V24:V30" si="14">W24+135*X24/(B+75)-1.2*(T-Y24)</f>
        <v>37.163723929714422</v>
      </c>
      <c r="W24" s="109">
        <f t="shared" ref="W24:W30" si="15">$C$39*Cw+Z24</f>
        <v>15.854417360371357</v>
      </c>
      <c r="X24" s="70">
        <f t="shared" ref="X24:X30" si="16">B/2</f>
        <v>17.3</v>
      </c>
      <c r="Y24" s="70">
        <f t="shared" ref="Y24:Y30" si="17">T</f>
        <v>13.2</v>
      </c>
      <c r="Z24" s="72">
        <f>MIN('Bottom structures'!$C$34,T)</f>
        <v>4.9000000000000021</v>
      </c>
      <c r="AA24" s="70">
        <f>5.07</f>
        <v>5.07</v>
      </c>
      <c r="AB24" s="70">
        <f t="shared" ref="AB24:AB30" si="18">B</f>
        <v>34.6</v>
      </c>
      <c r="AC24" s="70">
        <f t="shared" ref="AC24:AC30" si="19">0.01*Lbp</f>
        <v>2.31</v>
      </c>
      <c r="AD24" s="71">
        <f>'Bottom structures'!$C$35</f>
        <v>6.0333333333333341</v>
      </c>
      <c r="AE24" s="70">
        <f>13.33</f>
        <v>13.33</v>
      </c>
      <c r="AF24" s="70">
        <f>'Material Proprieties'!$E$7</f>
        <v>1.28</v>
      </c>
    </row>
    <row r="25" spans="2:32" ht="15.75" customHeight="1" x14ac:dyDescent="0.3">
      <c r="H25" s="73">
        <v>22</v>
      </c>
      <c r="I25" s="109">
        <f t="shared" si="7"/>
        <v>262.75115768081025</v>
      </c>
      <c r="J25" s="70">
        <f>ROUNDUP(LARGE(L25:L31,1),0)</f>
        <v>10</v>
      </c>
      <c r="K25" s="70">
        <f t="shared" si="8"/>
        <v>29</v>
      </c>
      <c r="L25" s="109">
        <f>4.5+0.01*Lbp+'Material Proprieties'!Q27</f>
        <v>8.31</v>
      </c>
      <c r="M25" s="109">
        <f t="shared" si="9"/>
        <v>27.895790417874405</v>
      </c>
      <c r="N25" s="70">
        <f t="shared" si="10"/>
        <v>2.9</v>
      </c>
      <c r="O25" s="70">
        <v>0.72499999999999998</v>
      </c>
      <c r="P25" s="70">
        <f>1+0.06*'Material Proprieties'!Q27</f>
        <v>1.0900000000000001</v>
      </c>
      <c r="Q25" s="109">
        <f t="shared" si="11"/>
        <v>204.8</v>
      </c>
      <c r="R25" s="109">
        <f t="shared" si="12"/>
        <v>97.551959600662641</v>
      </c>
      <c r="S25" s="109">
        <f t="shared" si="13"/>
        <v>21.521723929714419</v>
      </c>
      <c r="T25" s="109">
        <f>ro*g*(0.67*(AA25+$C$40*' Design Load and Acceleration'!$H$4)-0.12*SQRT($C$33*$C$34*' Design Load and Acceleration'!$H$4))</f>
        <v>97.551959600662641</v>
      </c>
      <c r="U25" s="109" t="s">
        <v>37</v>
      </c>
      <c r="V25" s="109">
        <f t="shared" si="14"/>
        <v>37.163723929714422</v>
      </c>
      <c r="W25" s="109">
        <f t="shared" si="15"/>
        <v>15.854417360371357</v>
      </c>
      <c r="X25" s="70">
        <f t="shared" si="16"/>
        <v>17.3</v>
      </c>
      <c r="Y25" s="70">
        <f t="shared" si="17"/>
        <v>13.2</v>
      </c>
      <c r="Z25" s="72">
        <f>MIN('Bottom structures'!$C$34,T)</f>
        <v>4.9000000000000021</v>
      </c>
      <c r="AA25" s="70">
        <f t="shared" ref="AA25:AA30" si="20">AA24-$O$24</f>
        <v>4.3450000000000006</v>
      </c>
      <c r="AB25" s="70">
        <f t="shared" si="18"/>
        <v>34.6</v>
      </c>
      <c r="AC25" s="70">
        <f t="shared" si="19"/>
        <v>2.31</v>
      </c>
      <c r="AD25" s="71">
        <f>'Bottom structures'!$C$35</f>
        <v>6.0333333333333341</v>
      </c>
      <c r="AE25" s="70">
        <f t="shared" ref="AE25:AE30" si="21">AE24+$O$24</f>
        <v>14.055</v>
      </c>
      <c r="AF25" s="70">
        <f>'Material Proprieties'!$E$7</f>
        <v>1.28</v>
      </c>
    </row>
    <row r="26" spans="2:32" ht="15.75" customHeight="1" x14ac:dyDescent="0.3">
      <c r="H26" s="73">
        <v>23</v>
      </c>
      <c r="I26" s="109">
        <f t="shared" si="7"/>
        <v>249.59544674329345</v>
      </c>
      <c r="J26" s="70">
        <f>ROUNDUP(LARGE(L26:L32,1),0)</f>
        <v>10</v>
      </c>
      <c r="K26" s="70">
        <f t="shared" si="8"/>
        <v>29</v>
      </c>
      <c r="L26" s="109">
        <f>4.5+0.01*Lbp+'Material Proprieties'!Q28</f>
        <v>8.31</v>
      </c>
      <c r="M26" s="109">
        <f t="shared" si="9"/>
        <v>26.956697491400856</v>
      </c>
      <c r="N26" s="70">
        <f t="shared" si="10"/>
        <v>2.9</v>
      </c>
      <c r="O26" s="70">
        <v>0.72499999999999998</v>
      </c>
      <c r="P26" s="70">
        <f>1+0.06*'Material Proprieties'!Q28</f>
        <v>1.0900000000000001</v>
      </c>
      <c r="Q26" s="109">
        <f t="shared" si="11"/>
        <v>204.8</v>
      </c>
      <c r="R26" s="109">
        <f t="shared" si="12"/>
        <v>92.667621913162648</v>
      </c>
      <c r="S26" s="109">
        <f t="shared" si="13"/>
        <v>24.131723929714418</v>
      </c>
      <c r="T26" s="109">
        <f>ro*g*(0.67*(AA26+$C$40*' Design Load and Acceleration'!$H$4)-0.12*SQRT($C$33*$C$34*' Design Load and Acceleration'!$H$4))</f>
        <v>92.667621913162648</v>
      </c>
      <c r="U26" s="109" t="s">
        <v>37</v>
      </c>
      <c r="V26" s="109">
        <f t="shared" si="14"/>
        <v>37.163723929714422</v>
      </c>
      <c r="W26" s="109">
        <f t="shared" si="15"/>
        <v>15.854417360371357</v>
      </c>
      <c r="X26" s="70">
        <f t="shared" si="16"/>
        <v>17.3</v>
      </c>
      <c r="Y26" s="70">
        <f t="shared" si="17"/>
        <v>13.2</v>
      </c>
      <c r="Z26" s="72">
        <f>MIN('Bottom structures'!$C$34,T)</f>
        <v>4.9000000000000021</v>
      </c>
      <c r="AA26" s="70">
        <f t="shared" si="20"/>
        <v>3.6200000000000006</v>
      </c>
      <c r="AB26" s="70">
        <f t="shared" si="18"/>
        <v>34.6</v>
      </c>
      <c r="AC26" s="70">
        <f t="shared" si="19"/>
        <v>2.31</v>
      </c>
      <c r="AD26" s="71">
        <f>'Bottom structures'!$C$35</f>
        <v>6.0333333333333341</v>
      </c>
      <c r="AE26" s="70">
        <f t="shared" si="21"/>
        <v>14.78</v>
      </c>
      <c r="AF26" s="70">
        <f>'Material Proprieties'!$E$7</f>
        <v>1.28</v>
      </c>
    </row>
    <row r="27" spans="2:32" ht="15.75" customHeight="1" x14ac:dyDescent="0.3">
      <c r="H27" s="73">
        <v>24</v>
      </c>
      <c r="I27" s="109">
        <f t="shared" si="7"/>
        <v>236.43973580577665</v>
      </c>
      <c r="J27" s="70">
        <f>ROUNDUP(LARGE(L27:L33,1),0)</f>
        <v>10</v>
      </c>
      <c r="K27" s="70">
        <f t="shared" si="8"/>
        <v>29</v>
      </c>
      <c r="L27" s="109">
        <f>4.5+0.01*Lbp+'Material Proprieties'!Q29</f>
        <v>8.31</v>
      </c>
      <c r="M27" s="109">
        <f t="shared" si="9"/>
        <v>26.000950409610592</v>
      </c>
      <c r="N27" s="70">
        <f t="shared" si="10"/>
        <v>2.9</v>
      </c>
      <c r="O27" s="70">
        <v>0.72499999999999998</v>
      </c>
      <c r="P27" s="70">
        <f>1+0.06*'Material Proprieties'!Q29</f>
        <v>1.0900000000000001</v>
      </c>
      <c r="Q27" s="109">
        <f t="shared" si="11"/>
        <v>204.8</v>
      </c>
      <c r="R27" s="109">
        <f t="shared" si="12"/>
        <v>87.783284225662641</v>
      </c>
      <c r="S27" s="109">
        <f t="shared" si="13"/>
        <v>26.741723929714418</v>
      </c>
      <c r="T27" s="109">
        <f>ro*g*(0.67*(AA27+$C$40*' Design Load and Acceleration'!$H$4)-0.12*SQRT($C$33*$C$34*' Design Load and Acceleration'!$H$4))</f>
        <v>87.783284225662641</v>
      </c>
      <c r="U27" s="109" t="s">
        <v>37</v>
      </c>
      <c r="V27" s="109">
        <f t="shared" si="14"/>
        <v>37.163723929714422</v>
      </c>
      <c r="W27" s="109">
        <f t="shared" si="15"/>
        <v>15.854417360371357</v>
      </c>
      <c r="X27" s="70">
        <f t="shared" si="16"/>
        <v>17.3</v>
      </c>
      <c r="Y27" s="70">
        <f t="shared" si="17"/>
        <v>13.2</v>
      </c>
      <c r="Z27" s="72">
        <f>MIN('Bottom structures'!$C$34,T)</f>
        <v>4.9000000000000021</v>
      </c>
      <c r="AA27" s="70">
        <f t="shared" si="20"/>
        <v>2.8950000000000005</v>
      </c>
      <c r="AB27" s="70">
        <f t="shared" si="18"/>
        <v>34.6</v>
      </c>
      <c r="AC27" s="70">
        <f t="shared" si="19"/>
        <v>2.31</v>
      </c>
      <c r="AD27" s="71">
        <f>'Bottom structures'!$C$35</f>
        <v>6.0333333333333341</v>
      </c>
      <c r="AE27" s="70">
        <f t="shared" si="21"/>
        <v>15.504999999999999</v>
      </c>
      <c r="AF27" s="70">
        <f>'Material Proprieties'!$E$7</f>
        <v>1.28</v>
      </c>
    </row>
    <row r="28" spans="2:32" ht="15.75" customHeight="1" x14ac:dyDescent="0.3">
      <c r="H28" s="73">
        <v>25</v>
      </c>
      <c r="I28" s="109">
        <f t="shared" si="7"/>
        <v>223.28402486825982</v>
      </c>
      <c r="J28" s="70">
        <f>ROUNDUP(LARGE(L28:L33,1),0)</f>
        <v>10</v>
      </c>
      <c r="K28" s="70">
        <f t="shared" si="8"/>
        <v>29</v>
      </c>
      <c r="L28" s="109">
        <f>4.5+0.01*Lbp+'Material Proprieties'!Q30</f>
        <v>8.31</v>
      </c>
      <c r="M28" s="109">
        <f t="shared" si="9"/>
        <v>25.027300840011097</v>
      </c>
      <c r="N28" s="70">
        <f t="shared" si="10"/>
        <v>2.9</v>
      </c>
      <c r="O28" s="70">
        <v>0.72499999999999998</v>
      </c>
      <c r="P28" s="70">
        <f>1+0.06*'Material Proprieties'!Q30</f>
        <v>1.0900000000000001</v>
      </c>
      <c r="Q28" s="109">
        <f t="shared" si="11"/>
        <v>204.8</v>
      </c>
      <c r="R28" s="109">
        <f t="shared" si="12"/>
        <v>82.898946538162647</v>
      </c>
      <c r="S28" s="109">
        <f t="shared" si="13"/>
        <v>29.351723929714421</v>
      </c>
      <c r="T28" s="109">
        <f>ro*g*(0.67*(AA28+$C$40*' Design Load and Acceleration'!$H$4)-0.12*SQRT($C$33*$C$34*' Design Load and Acceleration'!$H$4))</f>
        <v>82.898946538162647</v>
      </c>
      <c r="U28" s="109" t="s">
        <v>37</v>
      </c>
      <c r="V28" s="109">
        <f t="shared" si="14"/>
        <v>37.163723929714422</v>
      </c>
      <c r="W28" s="109">
        <f t="shared" si="15"/>
        <v>15.854417360371357</v>
      </c>
      <c r="X28" s="70">
        <f t="shared" si="16"/>
        <v>17.3</v>
      </c>
      <c r="Y28" s="70">
        <f t="shared" si="17"/>
        <v>13.2</v>
      </c>
      <c r="Z28" s="72">
        <f>MIN('Bottom structures'!$C$34,T)</f>
        <v>4.9000000000000021</v>
      </c>
      <c r="AA28" s="70">
        <f t="shared" si="20"/>
        <v>2.1700000000000004</v>
      </c>
      <c r="AB28" s="70">
        <f t="shared" si="18"/>
        <v>34.6</v>
      </c>
      <c r="AC28" s="70">
        <f t="shared" si="19"/>
        <v>2.31</v>
      </c>
      <c r="AD28" s="71">
        <f>'Bottom structures'!$C$35</f>
        <v>6.0333333333333341</v>
      </c>
      <c r="AE28" s="70">
        <f t="shared" si="21"/>
        <v>16.23</v>
      </c>
      <c r="AF28" s="70">
        <f>'Material Proprieties'!$E$7</f>
        <v>1.28</v>
      </c>
    </row>
    <row r="29" spans="2:32" ht="15.75" customHeight="1" x14ac:dyDescent="0.3">
      <c r="H29" s="73">
        <v>26</v>
      </c>
      <c r="I29" s="109">
        <f t="shared" si="7"/>
        <v>227.47835820025378</v>
      </c>
      <c r="J29" s="70">
        <f>ROUNDUP(LARGE(L29:L34,1),0)</f>
        <v>10</v>
      </c>
      <c r="K29" s="70">
        <f t="shared" si="8"/>
        <v>29</v>
      </c>
      <c r="L29" s="109">
        <f>4.5+0.01*Lbp+'Material Proprieties'!Q31</f>
        <v>9.81</v>
      </c>
      <c r="M29" s="109">
        <f t="shared" si="9"/>
        <v>25.339748654097644</v>
      </c>
      <c r="N29" s="70">
        <f t="shared" si="10"/>
        <v>2.9</v>
      </c>
      <c r="O29" s="70">
        <v>0.72499999999999998</v>
      </c>
      <c r="P29" s="70">
        <f>1+0.06*'Material Proprieties'!Q31</f>
        <v>1.18</v>
      </c>
      <c r="Q29" s="109">
        <f t="shared" si="11"/>
        <v>204.8</v>
      </c>
      <c r="R29" s="109">
        <f t="shared" si="12"/>
        <v>78.014608850662626</v>
      </c>
      <c r="S29" s="109">
        <f t="shared" si="13"/>
        <v>31.96172392971442</v>
      </c>
      <c r="T29" s="109">
        <f>ro*g*(0.67*(AA29+$C$40*' Design Load and Acceleration'!$H$4)-0.12*SQRT($C$33*$C$34*' Design Load and Acceleration'!$H$4))</f>
        <v>78.014608850662626</v>
      </c>
      <c r="U29" s="109" t="s">
        <v>37</v>
      </c>
      <c r="V29" s="109">
        <f t="shared" si="14"/>
        <v>37.163723929714422</v>
      </c>
      <c r="W29" s="109">
        <f t="shared" si="15"/>
        <v>15.854417360371357</v>
      </c>
      <c r="X29" s="70">
        <f t="shared" si="16"/>
        <v>17.3</v>
      </c>
      <c r="Y29" s="70">
        <f t="shared" si="17"/>
        <v>13.2</v>
      </c>
      <c r="Z29" s="72">
        <f>MIN('Bottom structures'!$C$34,T)</f>
        <v>4.9000000000000021</v>
      </c>
      <c r="AA29" s="70">
        <f t="shared" si="20"/>
        <v>1.4450000000000003</v>
      </c>
      <c r="AB29" s="70">
        <f t="shared" si="18"/>
        <v>34.6</v>
      </c>
      <c r="AC29" s="70">
        <f t="shared" si="19"/>
        <v>2.31</v>
      </c>
      <c r="AD29" s="71">
        <f>'Bottom structures'!$C$35</f>
        <v>6.0333333333333341</v>
      </c>
      <c r="AE29" s="70">
        <f t="shared" si="21"/>
        <v>16.955000000000002</v>
      </c>
      <c r="AF29" s="70">
        <f>'Material Proprieties'!$E$7</f>
        <v>1.28</v>
      </c>
    </row>
    <row r="30" spans="2:32" ht="15.75" customHeight="1" x14ac:dyDescent="0.3">
      <c r="H30" s="73">
        <v>27</v>
      </c>
      <c r="I30" s="109">
        <f t="shared" si="7"/>
        <v>213.23639590092364</v>
      </c>
      <c r="J30" s="70">
        <f>ROUNDUP(LARGE(L30:L35,1),0)</f>
        <v>10</v>
      </c>
      <c r="K30" s="70">
        <f t="shared" si="8"/>
        <v>29</v>
      </c>
      <c r="L30" s="109">
        <f>4.5+0.01*Lbp+'Material Proprieties'!Q32</f>
        <v>9.81</v>
      </c>
      <c r="M30" s="109">
        <f t="shared" si="9"/>
        <v>24.270746546603323</v>
      </c>
      <c r="N30" s="70">
        <f t="shared" si="10"/>
        <v>2.9</v>
      </c>
      <c r="O30" s="70">
        <v>0.72499999999999998</v>
      </c>
      <c r="P30" s="70">
        <f>1+0.06*'Material Proprieties'!Q32</f>
        <v>1.18</v>
      </c>
      <c r="Q30" s="109">
        <f t="shared" si="11"/>
        <v>204.8</v>
      </c>
      <c r="R30" s="109">
        <f t="shared" si="12"/>
        <v>73.130271163162632</v>
      </c>
      <c r="S30" s="109">
        <f t="shared" si="13"/>
        <v>34.571723929714423</v>
      </c>
      <c r="T30" s="109">
        <f>ro*g*(0.67*(AA30+$C$40*' Design Load and Acceleration'!$H$4)-0.12*SQRT($C$33*$C$34*' Design Load and Acceleration'!$H$4))</f>
        <v>73.130271163162632</v>
      </c>
      <c r="U30" s="109" t="s">
        <v>37</v>
      </c>
      <c r="V30" s="109">
        <f t="shared" si="14"/>
        <v>37.163723929714422</v>
      </c>
      <c r="W30" s="109">
        <f t="shared" si="15"/>
        <v>15.854417360371357</v>
      </c>
      <c r="X30" s="70">
        <f t="shared" si="16"/>
        <v>17.3</v>
      </c>
      <c r="Y30" s="70">
        <f t="shared" si="17"/>
        <v>13.2</v>
      </c>
      <c r="Z30" s="72">
        <f>MIN('Bottom structures'!$C$34,T)</f>
        <v>4.9000000000000021</v>
      </c>
      <c r="AA30" s="70">
        <f t="shared" si="20"/>
        <v>0.72000000000000031</v>
      </c>
      <c r="AB30" s="70">
        <f t="shared" si="18"/>
        <v>34.6</v>
      </c>
      <c r="AC30" s="70">
        <f t="shared" si="19"/>
        <v>2.31</v>
      </c>
      <c r="AD30" s="71">
        <f>'Bottom structures'!$C$35</f>
        <v>6.0333333333333341</v>
      </c>
      <c r="AE30" s="70">
        <f t="shared" si="21"/>
        <v>17.680000000000003</v>
      </c>
      <c r="AF30" s="70">
        <f>'Material Proprieties'!$E$7</f>
        <v>1.28</v>
      </c>
    </row>
    <row r="31" spans="2:32" ht="15.75" customHeight="1" x14ac:dyDescent="0.3">
      <c r="I31" s="95" t="s">
        <v>261</v>
      </c>
      <c r="J31" s="65"/>
      <c r="K31" s="65"/>
      <c r="L31" s="95" t="s">
        <v>262</v>
      </c>
      <c r="M31" s="65"/>
      <c r="N31" s="65"/>
      <c r="O31" s="65"/>
      <c r="P31" s="65"/>
      <c r="Q31" s="95" t="s">
        <v>261</v>
      </c>
    </row>
    <row r="32" spans="2:32" ht="15.75" customHeight="1" x14ac:dyDescent="0.3">
      <c r="B32" s="222" t="s">
        <v>540</v>
      </c>
      <c r="C32" s="223"/>
      <c r="D32" s="223"/>
      <c r="E32" s="224"/>
    </row>
    <row r="33" spans="2:30" ht="15.75" customHeight="1" x14ac:dyDescent="0.3">
      <c r="B33" s="73" t="s">
        <v>236</v>
      </c>
      <c r="C33" s="70">
        <v>17.600000000000001</v>
      </c>
      <c r="D33" s="70" t="s">
        <v>3</v>
      </c>
      <c r="E33" s="95" t="s">
        <v>237</v>
      </c>
      <c r="H33" s="222" t="s">
        <v>263</v>
      </c>
      <c r="I33" s="223"/>
      <c r="J33" s="223"/>
      <c r="K33" s="223"/>
      <c r="L33" s="223"/>
      <c r="M33" s="223"/>
      <c r="N33" s="223"/>
      <c r="O33" s="223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23"/>
      <c r="AB33" s="223"/>
      <c r="AC33" s="223"/>
      <c r="AD33" s="224"/>
    </row>
    <row r="34" spans="2:30" ht="15.75" customHeight="1" x14ac:dyDescent="0.3">
      <c r="B34" s="73" t="s">
        <v>238</v>
      </c>
      <c r="C34" s="70">
        <f>B/2</f>
        <v>17.3</v>
      </c>
      <c r="D34" s="70" t="s">
        <v>3</v>
      </c>
      <c r="E34" s="63"/>
      <c r="H34" s="74" t="s">
        <v>264</v>
      </c>
      <c r="I34" s="73" t="s">
        <v>220</v>
      </c>
      <c r="J34" s="73" t="s">
        <v>221</v>
      </c>
      <c r="K34" s="73" t="s">
        <v>265</v>
      </c>
      <c r="L34" s="121" t="s">
        <v>40</v>
      </c>
      <c r="M34" s="121" t="s">
        <v>182</v>
      </c>
      <c r="N34" s="121" t="s">
        <v>223</v>
      </c>
      <c r="O34" s="121" t="s">
        <v>224</v>
      </c>
      <c r="P34" s="121" t="s">
        <v>185</v>
      </c>
      <c r="Q34" s="122" t="s">
        <v>206</v>
      </c>
      <c r="R34" s="122" t="s">
        <v>266</v>
      </c>
      <c r="S34" s="73" t="s">
        <v>242</v>
      </c>
      <c r="T34" s="73" t="s">
        <v>226</v>
      </c>
      <c r="U34" s="73" t="s">
        <v>189</v>
      </c>
      <c r="V34" s="73" t="s">
        <v>190</v>
      </c>
      <c r="W34" s="73" t="s">
        <v>191</v>
      </c>
      <c r="X34" s="73" t="s">
        <v>192</v>
      </c>
      <c r="Y34" s="73" t="s">
        <v>193</v>
      </c>
      <c r="Z34" s="73" t="s">
        <v>211</v>
      </c>
      <c r="AA34" s="123" t="s">
        <v>212</v>
      </c>
      <c r="AB34" s="73" t="s">
        <v>166</v>
      </c>
      <c r="AC34" s="123" t="s">
        <v>60</v>
      </c>
      <c r="AD34" s="73" t="s">
        <v>157</v>
      </c>
    </row>
    <row r="35" spans="2:30" ht="15.75" customHeight="1" x14ac:dyDescent="0.3">
      <c r="B35" s="73" t="s">
        <v>239</v>
      </c>
      <c r="C35" s="70">
        <f>0.35*T</f>
        <v>4.6199999999999992</v>
      </c>
      <c r="D35" s="70" t="s">
        <v>3</v>
      </c>
      <c r="E35" s="63"/>
      <c r="G35" s="10"/>
      <c r="H35" s="74"/>
      <c r="I35" s="117" t="s">
        <v>260</v>
      </c>
      <c r="J35" s="117" t="s">
        <v>26</v>
      </c>
      <c r="K35" s="117" t="s">
        <v>15</v>
      </c>
      <c r="L35" s="124" t="s">
        <v>3</v>
      </c>
      <c r="M35" s="124" t="s">
        <v>3</v>
      </c>
      <c r="N35" s="124" t="s">
        <v>15</v>
      </c>
      <c r="O35" s="124" t="s">
        <v>229</v>
      </c>
      <c r="P35" s="124" t="s">
        <v>229</v>
      </c>
      <c r="Q35" s="125" t="s">
        <v>229</v>
      </c>
      <c r="R35" s="125" t="s">
        <v>229</v>
      </c>
      <c r="S35" s="117" t="s">
        <v>229</v>
      </c>
      <c r="T35" s="117" t="s">
        <v>197</v>
      </c>
      <c r="U35" s="117" t="s">
        <v>15</v>
      </c>
      <c r="V35" s="117" t="s">
        <v>3</v>
      </c>
      <c r="W35" s="117" t="s">
        <v>3</v>
      </c>
      <c r="X35" s="117" t="s">
        <v>3</v>
      </c>
      <c r="Y35" s="117" t="s">
        <v>3</v>
      </c>
      <c r="Z35" s="117" t="s">
        <v>3</v>
      </c>
      <c r="AA35" s="126" t="s">
        <v>197</v>
      </c>
      <c r="AB35" s="117" t="s">
        <v>3</v>
      </c>
      <c r="AC35" s="126" t="s">
        <v>30</v>
      </c>
      <c r="AD35" s="117" t="s">
        <v>64</v>
      </c>
    </row>
    <row r="36" spans="2:30" ht="15.75" customHeight="1" x14ac:dyDescent="0.3">
      <c r="B36" s="73" t="s">
        <v>194</v>
      </c>
      <c r="C36" s="70">
        <v>2</v>
      </c>
      <c r="D36" s="63" t="s">
        <v>15</v>
      </c>
      <c r="E36" s="95" t="s">
        <v>195</v>
      </c>
      <c r="G36" s="10"/>
      <c r="H36" s="73" t="s">
        <v>198</v>
      </c>
      <c r="I36" s="109">
        <f>K36*(L36^2)*M36*N36*O36/AD36</f>
        <v>425.61385232252263</v>
      </c>
      <c r="J36" s="109">
        <f>0.68*I36^(2/3)</f>
        <v>38.475660350621112</v>
      </c>
      <c r="K36" s="70">
        <v>0.43</v>
      </c>
      <c r="L36" s="80">
        <f>M36*4</f>
        <v>3.6720000000000002</v>
      </c>
      <c r="M36" s="80">
        <f>0.918</f>
        <v>0.91800000000000004</v>
      </c>
      <c r="N36" s="80">
        <f>P24</f>
        <v>1.0900000000000001</v>
      </c>
      <c r="O36" s="109">
        <f>LARGE(P36:S36,1)</f>
        <v>93.903708547061541</v>
      </c>
      <c r="P36" s="109">
        <f>'Ship Characteristics'!H17*(g+0.5*' Design Load and Acceleration'!C22)*Y36-10*C35</f>
        <v>24.307508152901832</v>
      </c>
      <c r="Q36" s="109">
        <f>'Ship Characteristics'!H17*g*Y36+15-10*C35</f>
        <v>29.229600000000019</v>
      </c>
      <c r="R36" s="109">
        <f>0.67*('Ship Characteristics'!H17*g*Z36+AA36)-10*C35</f>
        <v>-5.7121679999999841</v>
      </c>
      <c r="S36" s="109">
        <f>'Ship Characteristics'!H17*g*(0.67*(Y36+AB36*' Design Load and Acceleration'!H4)-0.12*SQRT(' Design Load and Acceleration'!H4*'Side structures'!C33*'Side structures'!C34))</f>
        <v>93.903708547061541</v>
      </c>
      <c r="T36" s="109">
        <f>U36+135*V36/(B+75)-1.2*(T-W36)</f>
        <v>33.323723929714426</v>
      </c>
      <c r="U36" s="109">
        <f>$C$39*Cw+X36</f>
        <v>15.854417360371357</v>
      </c>
      <c r="V36" s="70">
        <f>B/2</f>
        <v>17.3</v>
      </c>
      <c r="W36" s="70">
        <v>10</v>
      </c>
      <c r="X36" s="72">
        <f>MIN('Bottom structures'!$C$34,T)</f>
        <v>4.9000000000000021</v>
      </c>
      <c r="Y36" s="70">
        <v>7.7</v>
      </c>
      <c r="Z36" s="70">
        <v>7.7</v>
      </c>
      <c r="AA36" s="71">
        <v>0</v>
      </c>
      <c r="AB36" s="70">
        <v>26</v>
      </c>
      <c r="AC36" s="71">
        <v>1</v>
      </c>
      <c r="AD36" s="70">
        <f>'Material Proprieties'!$E$7</f>
        <v>1.28</v>
      </c>
    </row>
    <row r="37" spans="2:30" ht="15.75" customHeight="1" x14ac:dyDescent="0.3">
      <c r="B37" s="204" t="s">
        <v>152</v>
      </c>
      <c r="C37" s="70">
        <v>15</v>
      </c>
      <c r="D37" s="244" t="s">
        <v>240</v>
      </c>
      <c r="E37" s="105" t="s">
        <v>154</v>
      </c>
      <c r="G37" s="10"/>
    </row>
    <row r="38" spans="2:30" ht="15.75" customHeight="1" x14ac:dyDescent="0.3">
      <c r="B38" s="204"/>
      <c r="C38" s="70">
        <v>25</v>
      </c>
      <c r="D38" s="244"/>
      <c r="E38" s="63"/>
      <c r="G38" s="10"/>
    </row>
    <row r="39" spans="2:30" ht="15.75" customHeight="1" x14ac:dyDescent="0.3">
      <c r="B39" s="73" t="str">
        <f>'Bottom structures'!B28</f>
        <v>ka</v>
      </c>
      <c r="C39" s="71">
        <f>'Bottom structures'!C28</f>
        <v>1.0764062500000002</v>
      </c>
      <c r="D39" s="70" t="str">
        <f>'Bottom structures'!D28</f>
        <v>[-]</v>
      </c>
      <c r="E39" s="63"/>
      <c r="G39" s="10"/>
    </row>
    <row r="40" spans="2:30" ht="15.75" customHeight="1" x14ac:dyDescent="0.3">
      <c r="B40" s="73" t="s">
        <v>166</v>
      </c>
      <c r="C40" s="70">
        <f>B-8.65</f>
        <v>25.950000000000003</v>
      </c>
      <c r="D40" s="63" t="s">
        <v>247</v>
      </c>
      <c r="E40" s="95" t="s">
        <v>237</v>
      </c>
      <c r="G40" s="10"/>
    </row>
    <row r="41" spans="2:30" ht="15.75" customHeight="1" x14ac:dyDescent="0.3">
      <c r="B41" s="73" t="str">
        <f>'Deck structures'!C28</f>
        <v>f2d</v>
      </c>
      <c r="C41" s="71">
        <f>'Deck structures'!D28</f>
        <v>1.7368686868686871</v>
      </c>
      <c r="D41" s="70" t="str">
        <f>'Deck structures'!E28</f>
        <v>[-]</v>
      </c>
      <c r="E41" s="63"/>
      <c r="G41" s="10"/>
      <c r="L41" s="10"/>
      <c r="M41" s="10"/>
      <c r="N41" s="10"/>
      <c r="O41" s="10"/>
      <c r="P41" s="10"/>
      <c r="Q41" s="19"/>
      <c r="R41" s="19"/>
      <c r="AA41" s="14"/>
      <c r="AC41" s="14"/>
    </row>
    <row r="42" spans="2:30" ht="15.75" customHeight="1" x14ac:dyDescent="0.3">
      <c r="B42" s="73" t="s">
        <v>248</v>
      </c>
      <c r="C42" s="71">
        <f>'Bottom structures'!C32</f>
        <v>4.6199999999999992</v>
      </c>
      <c r="D42" s="109" t="str">
        <f>'Bottom structures'!D32</f>
        <v>[m]</v>
      </c>
      <c r="E42" s="119" t="str">
        <f>'Bottom structures'!E32</f>
        <v>S6 - C 402</v>
      </c>
    </row>
    <row r="43" spans="2:30" ht="15.75" customHeight="1" x14ac:dyDescent="0.3"/>
    <row r="44" spans="2:30" ht="15.75" customHeight="1" x14ac:dyDescent="0.3"/>
    <row r="45" spans="2:30" ht="15.75" customHeight="1" x14ac:dyDescent="0.3"/>
    <row r="46" spans="2:30" ht="15.75" customHeight="1" x14ac:dyDescent="0.3"/>
    <row r="47" spans="2:30" ht="15.75" customHeight="1" x14ac:dyDescent="0.3"/>
    <row r="48" spans="2:3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7">
    <mergeCell ref="B32:E32"/>
    <mergeCell ref="H4:AC4"/>
    <mergeCell ref="H14:AA14"/>
    <mergeCell ref="H33:AD33"/>
    <mergeCell ref="B37:B38"/>
    <mergeCell ref="D37:D38"/>
    <mergeCell ref="P12:T12"/>
  </mergeCells>
  <pageMargins left="0.511811024" right="0.511811024" top="0.78740157499999996" bottom="0.78740157499999996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2:AJ1000"/>
  <sheetViews>
    <sheetView topLeftCell="A16" zoomScale="70" zoomScaleNormal="70" workbookViewId="0">
      <selection activeCell="C4" sqref="C4"/>
    </sheetView>
  </sheetViews>
  <sheetFormatPr defaultColWidth="14.44140625" defaultRowHeight="15" customHeight="1" x14ac:dyDescent="0.3"/>
  <cols>
    <col min="1" max="2" width="8.6640625" customWidth="1"/>
    <col min="3" max="3" width="10.109375" customWidth="1"/>
    <col min="4" max="9" width="8.6640625" customWidth="1"/>
    <col min="10" max="10" width="9.44140625" bestFit="1" customWidth="1"/>
    <col min="11" max="11" width="16.33203125" bestFit="1" customWidth="1"/>
    <col min="12" max="12" width="18.109375" customWidth="1"/>
    <col min="13" max="13" width="15" customWidth="1"/>
    <col min="14" max="15" width="12" customWidth="1"/>
    <col min="16" max="18" width="8.6640625" customWidth="1"/>
    <col min="19" max="19" width="12.109375" customWidth="1"/>
    <col min="20" max="20" width="14.88671875" customWidth="1"/>
    <col min="21" max="21" width="11.109375" customWidth="1"/>
    <col min="22" max="36" width="8.6640625" customWidth="1"/>
  </cols>
  <sheetData>
    <row r="2" spans="6:34" ht="14.4" customHeight="1" x14ac:dyDescent="0.55000000000000004">
      <c r="K2" s="107"/>
    </row>
    <row r="3" spans="6:34" ht="14.4" x14ac:dyDescent="0.3">
      <c r="F3" s="20" t="s">
        <v>544</v>
      </c>
      <c r="J3" s="99" t="s">
        <v>66</v>
      </c>
    </row>
    <row r="4" spans="6:34" ht="14.4" x14ac:dyDescent="0.3">
      <c r="F4" s="11"/>
      <c r="J4" s="222" t="s">
        <v>547</v>
      </c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4"/>
    </row>
    <row r="5" spans="6:34" ht="14.4" x14ac:dyDescent="0.3">
      <c r="J5" s="73" t="s">
        <v>241</v>
      </c>
      <c r="K5" s="73" t="s">
        <v>156</v>
      </c>
      <c r="L5" s="73" t="s">
        <v>158</v>
      </c>
      <c r="M5" s="73" t="s">
        <v>167</v>
      </c>
      <c r="N5" s="73" t="s">
        <v>196</v>
      </c>
      <c r="O5" s="73" t="s">
        <v>161</v>
      </c>
      <c r="P5" s="73" t="s">
        <v>123</v>
      </c>
      <c r="Q5" s="73" t="s">
        <v>182</v>
      </c>
      <c r="R5" s="73" t="s">
        <v>187</v>
      </c>
      <c r="S5" s="73" t="s">
        <v>186</v>
      </c>
      <c r="T5" s="73" t="s">
        <v>183</v>
      </c>
      <c r="U5" s="73" t="s">
        <v>272</v>
      </c>
      <c r="V5" s="73" t="s">
        <v>243</v>
      </c>
      <c r="W5" s="73" t="s">
        <v>188</v>
      </c>
      <c r="X5" s="73" t="s">
        <v>189</v>
      </c>
      <c r="Y5" s="73" t="s">
        <v>190</v>
      </c>
      <c r="Z5" s="73" t="s">
        <v>191</v>
      </c>
      <c r="AA5" s="73" t="s">
        <v>192</v>
      </c>
      <c r="AB5" s="73" t="s">
        <v>211</v>
      </c>
      <c r="AC5" s="73" t="s">
        <v>212</v>
      </c>
      <c r="AD5" s="73" t="s">
        <v>193</v>
      </c>
      <c r="AE5" s="73" t="s">
        <v>244</v>
      </c>
      <c r="AF5" s="73" t="s">
        <v>157</v>
      </c>
    </row>
    <row r="6" spans="6:34" ht="14.4" x14ac:dyDescent="0.3">
      <c r="J6" s="73" t="s">
        <v>164</v>
      </c>
      <c r="K6" s="117" t="s">
        <v>166</v>
      </c>
      <c r="L6" s="117" t="s">
        <v>169</v>
      </c>
      <c r="M6" s="117" t="s">
        <v>30</v>
      </c>
      <c r="N6" s="117" t="s">
        <v>30</v>
      </c>
      <c r="O6" s="117" t="s">
        <v>15</v>
      </c>
      <c r="P6" s="117" t="s">
        <v>15</v>
      </c>
      <c r="Q6" s="117" t="s">
        <v>3</v>
      </c>
      <c r="R6" s="117" t="s">
        <v>15</v>
      </c>
      <c r="S6" s="117" t="s">
        <v>246</v>
      </c>
      <c r="T6" s="117" t="s">
        <v>246</v>
      </c>
      <c r="U6" s="117" t="s">
        <v>246</v>
      </c>
      <c r="V6" s="117" t="s">
        <v>246</v>
      </c>
      <c r="W6" s="117" t="s">
        <v>246</v>
      </c>
      <c r="X6" s="117" t="s">
        <v>15</v>
      </c>
      <c r="Y6" s="117" t="s">
        <v>3</v>
      </c>
      <c r="Z6" s="117" t="s">
        <v>3</v>
      </c>
      <c r="AA6" s="117" t="s">
        <v>3</v>
      </c>
      <c r="AB6" s="117" t="s">
        <v>3</v>
      </c>
      <c r="AC6" s="117" t="s">
        <v>197</v>
      </c>
      <c r="AD6" s="117" t="s">
        <v>3</v>
      </c>
      <c r="AE6" s="117" t="s">
        <v>3</v>
      </c>
      <c r="AF6" s="117" t="s">
        <v>64</v>
      </c>
    </row>
    <row r="7" spans="6:34" ht="14.4" x14ac:dyDescent="0.3">
      <c r="J7" s="73">
        <v>17</v>
      </c>
      <c r="K7" s="70">
        <v>1.8</v>
      </c>
      <c r="L7" s="70">
        <f t="shared" ref="L7:L11" si="0">ROUNDUP(LARGE(M7:N7,1),0)</f>
        <v>12</v>
      </c>
      <c r="M7" s="71">
        <f>O7+(P7*Lbp/SQRT(AF7))+'Material Proprieties'!N22</f>
        <v>11.418632855121466</v>
      </c>
      <c r="N7" s="71">
        <f>15.8*$D$32*SQRT(S7/R7)+'Material Proprieties'!N22</f>
        <v>8.8242056832267188</v>
      </c>
      <c r="O7" s="70">
        <v>5.5</v>
      </c>
      <c r="P7" s="70">
        <v>0.02</v>
      </c>
      <c r="Q7" s="70">
        <v>0.86499999999999999</v>
      </c>
      <c r="R7" s="70">
        <f t="shared" ref="R7:R11" si="1">120*AF7</f>
        <v>166.79999999999998</v>
      </c>
      <c r="S7" s="72">
        <f t="shared" ref="S7:S11" si="2">LARGE(T7:V7,1)</f>
        <v>26.855526250000004</v>
      </c>
      <c r="T7" s="72">
        <f>$D$27*(W7-(4+0.2*$D$33)*AE7)</f>
        <v>19.115532667139686</v>
      </c>
      <c r="U7" s="72">
        <f>0.67*(ro*g*AB7+AC7)</f>
        <v>26.855526250000004</v>
      </c>
      <c r="V7" s="72">
        <f>ro*g*AD7+$D$34</f>
        <v>15</v>
      </c>
      <c r="W7" s="109">
        <f>X7+135*Y7/(B+75)-1.2*(T-Z7)</f>
        <v>45.454415833924614</v>
      </c>
      <c r="X7" s="109">
        <f>$D$33*Cw+AA7</f>
        <v>25.253685906917308</v>
      </c>
      <c r="Y7" s="70">
        <v>16.399999999999999</v>
      </c>
      <c r="Z7" s="70">
        <f>T</f>
        <v>13.2</v>
      </c>
      <c r="AA7" s="72">
        <f>MIN($D$35,T)</f>
        <v>4.9000000000000021</v>
      </c>
      <c r="AB7" s="70">
        <f t="shared" ref="AB7:AB11" si="3">1.5</f>
        <v>1.5</v>
      </c>
      <c r="AC7" s="70">
        <v>25</v>
      </c>
      <c r="AD7" s="70">
        <v>0</v>
      </c>
      <c r="AE7" s="70">
        <f>D-T</f>
        <v>4.9000000000000021</v>
      </c>
      <c r="AF7" s="70">
        <f>'Material Proprieties'!$E$8</f>
        <v>1.39</v>
      </c>
    </row>
    <row r="8" spans="6:34" ht="14.4" x14ac:dyDescent="0.3">
      <c r="J8" s="73">
        <v>18</v>
      </c>
      <c r="K8" s="70">
        <v>1.8</v>
      </c>
      <c r="L8" s="70">
        <f t="shared" si="0"/>
        <v>12</v>
      </c>
      <c r="M8" s="71">
        <f>O8+(P8*Lbp/SQRT(AF8))+'Material Proprieties'!N23</f>
        <v>11.418632855121466</v>
      </c>
      <c r="N8" s="71">
        <f>15.8*$D$32*SQRT(S8/R8)+'Material Proprieties'!N23</f>
        <v>8.8242056832267188</v>
      </c>
      <c r="O8" s="70">
        <v>5.5</v>
      </c>
      <c r="P8" s="70">
        <v>0.02</v>
      </c>
      <c r="Q8" s="70">
        <v>0.86499999999999999</v>
      </c>
      <c r="R8" s="70">
        <f t="shared" si="1"/>
        <v>166.79999999999998</v>
      </c>
      <c r="S8" s="72">
        <f t="shared" si="2"/>
        <v>26.855526250000004</v>
      </c>
      <c r="T8" s="72">
        <f>$D$27*(W8-(4+0.2*$D$33)*AE8)</f>
        <v>17.341810039402453</v>
      </c>
      <c r="U8" s="72">
        <f>0.67*(ro*g*AB8+AC8)</f>
        <v>26.855526250000004</v>
      </c>
      <c r="V8" s="72">
        <f>ro*g*AD8+$D$34</f>
        <v>15</v>
      </c>
      <c r="W8" s="109">
        <f>X8+135*Y8/(B+75)-1.2*(T-Z8)</f>
        <v>43.237262549253074</v>
      </c>
      <c r="X8" s="109">
        <f>$D$33*Cw+AA8</f>
        <v>25.253685906917308</v>
      </c>
      <c r="Y8" s="70">
        <v>14.6</v>
      </c>
      <c r="Z8" s="70">
        <f>T</f>
        <v>13.2</v>
      </c>
      <c r="AA8" s="72">
        <f>MIN($D$35,T)</f>
        <v>4.9000000000000021</v>
      </c>
      <c r="AB8" s="70">
        <f t="shared" si="3"/>
        <v>1.5</v>
      </c>
      <c r="AC8" s="70">
        <v>25</v>
      </c>
      <c r="AD8" s="70">
        <v>0</v>
      </c>
      <c r="AE8" s="70">
        <f>D-T</f>
        <v>4.9000000000000021</v>
      </c>
      <c r="AF8" s="70">
        <f>'Material Proprieties'!$E$8</f>
        <v>1.39</v>
      </c>
    </row>
    <row r="9" spans="6:34" ht="14.4" x14ac:dyDescent="0.3">
      <c r="J9" s="73">
        <v>19</v>
      </c>
      <c r="K9" s="70">
        <v>1.8</v>
      </c>
      <c r="L9" s="70">
        <f t="shared" si="0"/>
        <v>12</v>
      </c>
      <c r="M9" s="71">
        <f>O9+(P9*Lbp/SQRT(AF9))+'Material Proprieties'!N24</f>
        <v>11.418632855121466</v>
      </c>
      <c r="N9" s="71">
        <f>15.8*$D$32*SQRT(S9/R9)+'Material Proprieties'!N24</f>
        <v>8.8242056832267188</v>
      </c>
      <c r="O9" s="70">
        <v>5.5</v>
      </c>
      <c r="P9" s="70">
        <v>0.02</v>
      </c>
      <c r="Q9" s="70">
        <v>0.86499999999999999</v>
      </c>
      <c r="R9" s="70">
        <f t="shared" si="1"/>
        <v>166.79999999999998</v>
      </c>
      <c r="S9" s="72">
        <f t="shared" si="2"/>
        <v>26.855526250000004</v>
      </c>
      <c r="T9" s="72">
        <f>$D$27*(W9-(4+0.2*$D$33)*AE9)</f>
        <v>15.568087411665227</v>
      </c>
      <c r="U9" s="72">
        <f>0.67*(ro*g*AB9+AC9)</f>
        <v>26.855526250000004</v>
      </c>
      <c r="V9" s="72">
        <f>ro*g*AD9+$D$34</f>
        <v>15</v>
      </c>
      <c r="W9" s="109">
        <f>X9+135*Y9/(B+75)-1.2*(T-Z9)</f>
        <v>41.020109264581542</v>
      </c>
      <c r="X9" s="109">
        <f>$D$33*Cw+AA9</f>
        <v>25.253685906917308</v>
      </c>
      <c r="Y9" s="70">
        <v>12.8</v>
      </c>
      <c r="Z9" s="70">
        <f>T</f>
        <v>13.2</v>
      </c>
      <c r="AA9" s="72">
        <f>MIN($D$35,T)</f>
        <v>4.9000000000000021</v>
      </c>
      <c r="AB9" s="70">
        <f t="shared" si="3"/>
        <v>1.5</v>
      </c>
      <c r="AC9" s="70">
        <v>25</v>
      </c>
      <c r="AD9" s="70">
        <v>0</v>
      </c>
      <c r="AE9" s="70">
        <f>D-T</f>
        <v>4.9000000000000021</v>
      </c>
      <c r="AF9" s="70">
        <f>'Material Proprieties'!$E$8</f>
        <v>1.39</v>
      </c>
      <c r="AH9" s="11"/>
    </row>
    <row r="10" spans="6:34" ht="14.4" x14ac:dyDescent="0.3">
      <c r="J10" s="73">
        <v>20</v>
      </c>
      <c r="K10" s="70">
        <v>1.8</v>
      </c>
      <c r="L10" s="70">
        <f t="shared" si="0"/>
        <v>12</v>
      </c>
      <c r="M10" s="71">
        <f>O10+(P10*Lbp/SQRT(AF10))+'Material Proprieties'!N25</f>
        <v>11.418632855121466</v>
      </c>
      <c r="N10" s="71">
        <f>15.8*$D$32*SQRT(S10/R10)+'Material Proprieties'!N25</f>
        <v>8.8242056832267188</v>
      </c>
      <c r="O10" s="70">
        <v>5.5</v>
      </c>
      <c r="P10" s="70">
        <v>0.02</v>
      </c>
      <c r="Q10" s="70">
        <v>0.86499999999999999</v>
      </c>
      <c r="R10" s="70">
        <f t="shared" si="1"/>
        <v>166.79999999999998</v>
      </c>
      <c r="S10" s="72">
        <f t="shared" si="2"/>
        <v>26.855526250000004</v>
      </c>
      <c r="T10" s="72">
        <f>$D$27*(W10-(4+0.2*$D$33)*AE10)</f>
        <v>13.794364783928001</v>
      </c>
      <c r="U10" s="72">
        <f>0.67*(ro*g*AB10+AC10)</f>
        <v>26.855526250000004</v>
      </c>
      <c r="V10" s="72">
        <f>ro*g*AD10+$D$34</f>
        <v>15</v>
      </c>
      <c r="W10" s="109">
        <f>X10+135*Y10/(B+75)-1.2*(T-Z10)</f>
        <v>38.80295597991001</v>
      </c>
      <c r="X10" s="109">
        <f>$D$33*Cw+AA10</f>
        <v>25.253685906917308</v>
      </c>
      <c r="Y10" s="70">
        <v>11</v>
      </c>
      <c r="Z10" s="70">
        <f>T</f>
        <v>13.2</v>
      </c>
      <c r="AA10" s="72">
        <f>MIN($D$35,T)</f>
        <v>4.9000000000000021</v>
      </c>
      <c r="AB10" s="70">
        <f t="shared" si="3"/>
        <v>1.5</v>
      </c>
      <c r="AC10" s="70">
        <v>25</v>
      </c>
      <c r="AD10" s="70">
        <v>0</v>
      </c>
      <c r="AE10" s="70">
        <f>D-T</f>
        <v>4.9000000000000021</v>
      </c>
      <c r="AF10" s="70">
        <f>'Material Proprieties'!$E$8</f>
        <v>1.39</v>
      </c>
    </row>
    <row r="11" spans="6:34" ht="14.4" x14ac:dyDescent="0.3">
      <c r="J11" s="73">
        <v>21</v>
      </c>
      <c r="K11" s="70">
        <v>1.8</v>
      </c>
      <c r="L11" s="70">
        <f t="shared" si="0"/>
        <v>12</v>
      </c>
      <c r="M11" s="71">
        <f>O11+(P11*Lbp/SQRT(AF11))+'Material Proprieties'!N26</f>
        <v>11.418632855121466</v>
      </c>
      <c r="N11" s="71">
        <f>15.8*$D$32*SQRT(S11/R11)+'Material Proprieties'!N26</f>
        <v>8.8242056832267188</v>
      </c>
      <c r="O11" s="70">
        <v>5.5</v>
      </c>
      <c r="P11" s="70">
        <v>0.02</v>
      </c>
      <c r="Q11" s="70">
        <v>0.86499999999999999</v>
      </c>
      <c r="R11" s="70">
        <f t="shared" si="1"/>
        <v>166.79999999999998</v>
      </c>
      <c r="S11" s="72">
        <f t="shared" si="2"/>
        <v>26.855526250000004</v>
      </c>
      <c r="T11" s="72">
        <f>$D$27*(W11-(4+0.2*$D$33)*AE11)</f>
        <v>12.020642156190775</v>
      </c>
      <c r="U11" s="72">
        <f>0.67*(ro*g*AB11+AC11)</f>
        <v>26.855526250000004</v>
      </c>
      <c r="V11" s="72">
        <f>ro*g*AD11+$D$34</f>
        <v>15</v>
      </c>
      <c r="W11" s="109">
        <f>X11+135*Y11/(B+75)-1.2*(T-Z11)</f>
        <v>36.585802695238478</v>
      </c>
      <c r="X11" s="109">
        <f>$D$33*Cw+AA11</f>
        <v>25.253685906917308</v>
      </c>
      <c r="Y11" s="70">
        <v>9.1999999999999993</v>
      </c>
      <c r="Z11" s="70">
        <f>T</f>
        <v>13.2</v>
      </c>
      <c r="AA11" s="72">
        <f>MIN($D$35,T)</f>
        <v>4.9000000000000021</v>
      </c>
      <c r="AB11" s="70">
        <f t="shared" si="3"/>
        <v>1.5</v>
      </c>
      <c r="AC11" s="70">
        <v>25</v>
      </c>
      <c r="AD11" s="70">
        <v>0</v>
      </c>
      <c r="AE11" s="70">
        <f>D-T</f>
        <v>4.9000000000000021</v>
      </c>
      <c r="AF11" s="70">
        <f>'Material Proprieties'!$E$8</f>
        <v>1.39</v>
      </c>
    </row>
    <row r="12" spans="6:34" ht="14.4" x14ac:dyDescent="0.3">
      <c r="M12" s="56" t="s">
        <v>273</v>
      </c>
      <c r="N12" s="56" t="s">
        <v>274</v>
      </c>
      <c r="O12" s="56" t="s">
        <v>273</v>
      </c>
      <c r="R12" s="56" t="s">
        <v>274</v>
      </c>
      <c r="T12" s="56" t="s">
        <v>545</v>
      </c>
      <c r="X12" s="56" t="s">
        <v>199</v>
      </c>
      <c r="AF12" s="56" t="s">
        <v>268</v>
      </c>
    </row>
    <row r="13" spans="6:34" ht="14.4" x14ac:dyDescent="0.3"/>
    <row r="14" spans="6:34" ht="14.4" x14ac:dyDescent="0.3">
      <c r="J14" s="234" t="s">
        <v>546</v>
      </c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</row>
    <row r="15" spans="6:34" ht="14.4" x14ac:dyDescent="0.3">
      <c r="J15" s="73" t="s">
        <v>241</v>
      </c>
      <c r="K15" s="73" t="s">
        <v>156</v>
      </c>
      <c r="L15" s="73" t="s">
        <v>158</v>
      </c>
      <c r="M15" s="73" t="s">
        <v>167</v>
      </c>
      <c r="N15" s="73" t="s">
        <v>196</v>
      </c>
      <c r="O15" s="73" t="s">
        <v>161</v>
      </c>
      <c r="P15" s="73" t="s">
        <v>123</v>
      </c>
      <c r="Q15" s="73" t="s">
        <v>182</v>
      </c>
      <c r="R15" s="73" t="s">
        <v>187</v>
      </c>
      <c r="S15" s="73" t="s">
        <v>186</v>
      </c>
      <c r="T15" s="73" t="s">
        <v>272</v>
      </c>
      <c r="U15" s="73" t="s">
        <v>243</v>
      </c>
      <c r="V15" s="73" t="s">
        <v>188</v>
      </c>
      <c r="W15" s="73" t="s">
        <v>189</v>
      </c>
      <c r="X15" s="73" t="s">
        <v>190</v>
      </c>
      <c r="Y15" s="73" t="s">
        <v>191</v>
      </c>
      <c r="Z15" s="73" t="s">
        <v>192</v>
      </c>
      <c r="AA15" s="73" t="s">
        <v>211</v>
      </c>
      <c r="AB15" s="73" t="s">
        <v>212</v>
      </c>
      <c r="AC15" s="73" t="s">
        <v>193</v>
      </c>
      <c r="AD15" s="73" t="s">
        <v>157</v>
      </c>
    </row>
    <row r="16" spans="6:34" ht="14.4" x14ac:dyDescent="0.3">
      <c r="J16" s="73" t="s">
        <v>164</v>
      </c>
      <c r="K16" s="117" t="s">
        <v>166</v>
      </c>
      <c r="L16" s="117" t="s">
        <v>169</v>
      </c>
      <c r="M16" s="117" t="s">
        <v>30</v>
      </c>
      <c r="N16" s="117" t="s">
        <v>30</v>
      </c>
      <c r="O16" s="117" t="s">
        <v>15</v>
      </c>
      <c r="P16" s="117" t="s">
        <v>15</v>
      </c>
      <c r="Q16" s="117" t="s">
        <v>3</v>
      </c>
      <c r="R16" s="117" t="s">
        <v>15</v>
      </c>
      <c r="S16" s="117" t="s">
        <v>246</v>
      </c>
      <c r="T16" s="117" t="s">
        <v>246</v>
      </c>
      <c r="U16" s="117" t="s">
        <v>246</v>
      </c>
      <c r="V16" s="117" t="s">
        <v>246</v>
      </c>
      <c r="W16" s="117" t="s">
        <v>15</v>
      </c>
      <c r="X16" s="117" t="s">
        <v>3</v>
      </c>
      <c r="Y16" s="117" t="s">
        <v>3</v>
      </c>
      <c r="Z16" s="117" t="s">
        <v>3</v>
      </c>
      <c r="AA16" s="117" t="s">
        <v>3</v>
      </c>
      <c r="AB16" s="117" t="s">
        <v>197</v>
      </c>
      <c r="AC16" s="117" t="s">
        <v>3</v>
      </c>
      <c r="AD16" s="117" t="s">
        <v>64</v>
      </c>
    </row>
    <row r="17" spans="3:34" ht="14.4" x14ac:dyDescent="0.3">
      <c r="J17" s="73">
        <v>22</v>
      </c>
      <c r="K17" s="70">
        <v>1.5</v>
      </c>
      <c r="L17" s="70">
        <f t="shared" ref="L17:L22" si="4">ROUNDUP(LARGE(M17:N17,1),0)</f>
        <v>12</v>
      </c>
      <c r="M17" s="71">
        <f>O17+(P17*Lbp/SQRT(AD17))+'Material Proprieties'!N27</f>
        <v>11.583541661352312</v>
      </c>
      <c r="N17" s="71">
        <f>15.8*$D$32*Q17*SQRT(S17/R17)+'Material Proprieties'!N27</f>
        <v>2</v>
      </c>
      <c r="O17" s="70">
        <v>5.5</v>
      </c>
      <c r="P17" s="70">
        <v>0.02</v>
      </c>
      <c r="Q17" s="70">
        <v>0.75</v>
      </c>
      <c r="R17" s="70">
        <f t="shared" ref="R17:R22" si="5">160*AD17</f>
        <v>204.8</v>
      </c>
      <c r="S17" s="72">
        <f t="shared" ref="S17:S22" si="6">LARGE(T17:U17,1)</f>
        <v>0</v>
      </c>
      <c r="T17" s="72">
        <v>0</v>
      </c>
      <c r="U17" s="72">
        <v>0</v>
      </c>
      <c r="V17" s="109">
        <f t="shared" ref="V17:V22" si="7">W17+135*X17/(B+75)-1.2*(T-Y17)</f>
        <v>35.908339191588844</v>
      </c>
      <c r="W17" s="109">
        <f t="shared" ref="W17:W22" si="8">$D$33*Cw+Z17</f>
        <v>25.253685906917308</v>
      </c>
      <c r="X17" s="70">
        <f>8.65</f>
        <v>8.65</v>
      </c>
      <c r="Y17" s="70">
        <f>T</f>
        <v>13.2</v>
      </c>
      <c r="Z17" s="72">
        <f t="shared" ref="Z17:Z22" si="9">MIN($D$35,T)</f>
        <v>4.9000000000000021</v>
      </c>
      <c r="AA17" s="71">
        <v>0.75</v>
      </c>
      <c r="AB17" s="70">
        <v>0</v>
      </c>
      <c r="AC17" s="70">
        <v>0.75</v>
      </c>
      <c r="AD17" s="70">
        <f>'Material Proprieties'!$E$7</f>
        <v>1.28</v>
      </c>
    </row>
    <row r="18" spans="3:34" ht="14.4" x14ac:dyDescent="0.3">
      <c r="J18" s="73">
        <v>23</v>
      </c>
      <c r="K18" s="70">
        <v>0.8</v>
      </c>
      <c r="L18" s="70">
        <f t="shared" si="4"/>
        <v>12</v>
      </c>
      <c r="M18" s="71">
        <f>O18+(P18*Lbp/SQRT(AD18))+'Material Proprieties'!N28</f>
        <v>11.583541661352312</v>
      </c>
      <c r="N18" s="71">
        <f>15.8*$D$32*Q18*SQRT(S18/R18)+'Material Proprieties'!N28</f>
        <v>4.5841011204704518</v>
      </c>
      <c r="O18" s="70">
        <v>5.5</v>
      </c>
      <c r="P18" s="70">
        <v>0.02</v>
      </c>
      <c r="Q18" s="70">
        <v>0.4</v>
      </c>
      <c r="R18" s="70">
        <f t="shared" si="5"/>
        <v>204.8</v>
      </c>
      <c r="S18" s="72">
        <f t="shared" si="6"/>
        <v>29.550333249999998</v>
      </c>
      <c r="T18" s="72">
        <f>0.67*(ro*g*AA18+AB18)</f>
        <v>29.550333249999998</v>
      </c>
      <c r="U18" s="72">
        <f>ro*g*AC18+$D$34</f>
        <v>19.022099999999998</v>
      </c>
      <c r="V18" s="109">
        <f t="shared" si="7"/>
        <v>35.908339191588844</v>
      </c>
      <c r="W18" s="109">
        <f t="shared" si="8"/>
        <v>25.253685906917308</v>
      </c>
      <c r="X18" s="70">
        <v>8.65</v>
      </c>
      <c r="Y18" s="70">
        <f>T</f>
        <v>13.2</v>
      </c>
      <c r="Z18" s="72">
        <f t="shared" si="9"/>
        <v>4.9000000000000021</v>
      </c>
      <c r="AA18" s="71">
        <f>0.4+1.5</f>
        <v>1.9</v>
      </c>
      <c r="AB18" s="70">
        <v>25</v>
      </c>
      <c r="AC18" s="129">
        <f t="shared" ref="AC18:AC22" si="10">AA18-1.5</f>
        <v>0.39999999999999991</v>
      </c>
      <c r="AD18" s="70">
        <f>'Material Proprieties'!$E$7</f>
        <v>1.28</v>
      </c>
    </row>
    <row r="19" spans="3:34" ht="14.4" x14ac:dyDescent="0.3">
      <c r="J19" s="73">
        <v>24</v>
      </c>
      <c r="K19" s="70">
        <v>2.5</v>
      </c>
      <c r="L19" s="70">
        <f t="shared" si="4"/>
        <v>12</v>
      </c>
      <c r="M19" s="71">
        <f>O19+(P19*Lbp/SQRT(AD19))+'Material Proprieties'!N29</f>
        <v>11.583541661352312</v>
      </c>
      <c r="N19" s="71">
        <f>15.8*$D$32*Q19*SQRT(S19/R19)+'Material Proprieties'!N29</f>
        <v>8.5290915173981485</v>
      </c>
      <c r="O19" s="70">
        <v>5.5</v>
      </c>
      <c r="P19" s="70">
        <v>0.02</v>
      </c>
      <c r="Q19" s="70">
        <v>0.91</v>
      </c>
      <c r="R19" s="70">
        <f t="shared" si="5"/>
        <v>204.8</v>
      </c>
      <c r="S19" s="72">
        <f t="shared" si="6"/>
        <v>36.449039169999999</v>
      </c>
      <c r="T19" s="72">
        <f>0.67*(ro*g*AA19+AB19)</f>
        <v>36.449039169999999</v>
      </c>
      <c r="U19" s="72">
        <f>ro*g*AC19+$D$34</f>
        <v>29.318675999999996</v>
      </c>
      <c r="V19" s="109">
        <f t="shared" si="7"/>
        <v>37.23986291421658</v>
      </c>
      <c r="W19" s="109">
        <f t="shared" si="8"/>
        <v>25.253685906917308</v>
      </c>
      <c r="X19" s="71">
        <f>9.731</f>
        <v>9.7309999999999999</v>
      </c>
      <c r="Y19" s="70">
        <f>T</f>
        <v>13.2</v>
      </c>
      <c r="Z19" s="72">
        <f t="shared" si="9"/>
        <v>4.9000000000000021</v>
      </c>
      <c r="AA19" s="71">
        <f>1.5+1.424</f>
        <v>2.9239999999999999</v>
      </c>
      <c r="AB19" s="70">
        <v>25</v>
      </c>
      <c r="AC19" s="129">
        <f t="shared" si="10"/>
        <v>1.4239999999999999</v>
      </c>
      <c r="AD19" s="70">
        <f>'Material Proprieties'!$E$7</f>
        <v>1.28</v>
      </c>
    </row>
    <row r="20" spans="3:34" ht="14.4" x14ac:dyDescent="0.3">
      <c r="J20" s="73">
        <v>25</v>
      </c>
      <c r="K20" s="70">
        <v>2.5</v>
      </c>
      <c r="L20" s="70">
        <f t="shared" si="4"/>
        <v>12</v>
      </c>
      <c r="M20" s="71">
        <f>O20+(P20*Lbp/SQRT(AD20))+'Material Proprieties'!N30</f>
        <v>11.083541661352312</v>
      </c>
      <c r="N20" s="71">
        <f>15.8*$D$32*Q20*SQRT(S20/R20)+'Material Proprieties'!N30</f>
        <v>8.7430925972904916</v>
      </c>
      <c r="O20" s="70">
        <v>5.5</v>
      </c>
      <c r="P20" s="70">
        <v>0.02</v>
      </c>
      <c r="Q20" s="70">
        <v>0.91</v>
      </c>
      <c r="R20" s="70">
        <f t="shared" si="5"/>
        <v>204.8</v>
      </c>
      <c r="S20" s="72">
        <f t="shared" si="6"/>
        <v>44.85683701</v>
      </c>
      <c r="T20" s="72">
        <f>0.67*(ro*g*AA20+AB20)</f>
        <v>44.85683701</v>
      </c>
      <c r="U20" s="72">
        <f>ro*g*AC20+$D$34</f>
        <v>41.867628000000003</v>
      </c>
      <c r="V20" s="109">
        <f t="shared" si="7"/>
        <v>39.902910359472052</v>
      </c>
      <c r="W20" s="109">
        <f t="shared" si="8"/>
        <v>25.253685906917308</v>
      </c>
      <c r="X20" s="71">
        <v>11.893000000000001</v>
      </c>
      <c r="Y20" s="70">
        <f>T</f>
        <v>13.2</v>
      </c>
      <c r="Z20" s="72">
        <f t="shared" si="9"/>
        <v>4.9000000000000021</v>
      </c>
      <c r="AA20" s="71">
        <f>1.5+2.672</f>
        <v>4.1720000000000006</v>
      </c>
      <c r="AB20" s="70">
        <v>25</v>
      </c>
      <c r="AC20" s="129">
        <f t="shared" si="10"/>
        <v>2.6720000000000006</v>
      </c>
      <c r="AD20" s="70">
        <f>'Material Proprieties'!$E$7</f>
        <v>1.28</v>
      </c>
    </row>
    <row r="21" spans="3:34" ht="15.75" customHeight="1" x14ac:dyDescent="0.3">
      <c r="J21" s="73">
        <v>26</v>
      </c>
      <c r="K21" s="70">
        <v>2.5</v>
      </c>
      <c r="L21" s="70">
        <f t="shared" si="4"/>
        <v>12</v>
      </c>
      <c r="M21" s="71">
        <f>O21+(P21*Lbp/SQRT(AD21))+'Material Proprieties'!N31</f>
        <v>11.083541661352312</v>
      </c>
      <c r="N21" s="71">
        <f>15.8*$D$32*Q21*SQRT(S21/R21)+'Material Proprieties'!N31</f>
        <v>9.4783935887272577</v>
      </c>
      <c r="O21" s="70">
        <v>5.5</v>
      </c>
      <c r="P21" s="70">
        <v>0.02</v>
      </c>
      <c r="Q21" s="70">
        <v>0.91</v>
      </c>
      <c r="R21" s="70">
        <f t="shared" si="5"/>
        <v>204.8</v>
      </c>
      <c r="S21" s="72">
        <f t="shared" si="6"/>
        <v>54.42663524999999</v>
      </c>
      <c r="T21" s="72">
        <f>0.67*(ro*g*AA21+AB21)</f>
        <v>53.271371867499994</v>
      </c>
      <c r="U21" s="72">
        <f>ro*g*AC21+$D$34</f>
        <v>54.42663524999999</v>
      </c>
      <c r="V21" s="109">
        <f t="shared" si="7"/>
        <v>42.572116563851615</v>
      </c>
      <c r="W21" s="109">
        <f t="shared" si="8"/>
        <v>25.253685906917308</v>
      </c>
      <c r="X21" s="71">
        <v>14.06</v>
      </c>
      <c r="Y21" s="70">
        <f>T</f>
        <v>13.2</v>
      </c>
      <c r="Z21" s="72">
        <f t="shared" si="9"/>
        <v>4.9000000000000021</v>
      </c>
      <c r="AA21" s="71">
        <f>1.5+3.921</f>
        <v>5.4209999999999994</v>
      </c>
      <c r="AB21" s="70">
        <v>25</v>
      </c>
      <c r="AC21" s="129">
        <f t="shared" si="10"/>
        <v>3.9209999999999994</v>
      </c>
      <c r="AD21" s="70">
        <f>'Material Proprieties'!$E$7</f>
        <v>1.28</v>
      </c>
    </row>
    <row r="22" spans="3:34" ht="15.75" customHeight="1" x14ac:dyDescent="0.3">
      <c r="J22" s="73">
        <v>27</v>
      </c>
      <c r="K22" s="70">
        <v>2.5</v>
      </c>
      <c r="L22" s="70">
        <f t="shared" si="4"/>
        <v>12</v>
      </c>
      <c r="M22" s="71">
        <f>O22+(P22*Lbp/SQRT(AD22))+'Material Proprieties'!N32</f>
        <v>11.083541661352312</v>
      </c>
      <c r="N22" s="71">
        <f>15.8*$D$32*Q22*SQRT(S22/R22)+'Material Proprieties'!N32</f>
        <v>10.350503517366606</v>
      </c>
      <c r="O22" s="70">
        <v>5.5</v>
      </c>
      <c r="P22" s="70">
        <v>0.02</v>
      </c>
      <c r="Q22" s="70">
        <v>0.91</v>
      </c>
      <c r="R22" s="70">
        <f t="shared" si="5"/>
        <v>204.8</v>
      </c>
      <c r="S22" s="72">
        <f t="shared" si="6"/>
        <v>66.97558724999999</v>
      </c>
      <c r="T22" s="72">
        <f>0.67*(ro*g*AA22+AB22)</f>
        <v>61.679169707499995</v>
      </c>
      <c r="U22" s="72">
        <f>ro*g*AC22+$D$34</f>
        <v>66.97558724999999</v>
      </c>
      <c r="V22" s="109">
        <f t="shared" si="7"/>
        <v>44.90870050545746</v>
      </c>
      <c r="W22" s="109">
        <f t="shared" si="8"/>
        <v>25.253685906917308</v>
      </c>
      <c r="X22" s="71">
        <v>16.22</v>
      </c>
      <c r="Y22" s="70">
        <f>13.2-0.27</f>
        <v>12.93</v>
      </c>
      <c r="Z22" s="72">
        <f t="shared" si="9"/>
        <v>4.9000000000000021</v>
      </c>
      <c r="AA22" s="71">
        <f>1.5+5.169</f>
        <v>6.6689999999999996</v>
      </c>
      <c r="AB22" s="70">
        <v>25</v>
      </c>
      <c r="AC22" s="129">
        <f t="shared" si="10"/>
        <v>5.1689999999999996</v>
      </c>
      <c r="AD22" s="70">
        <f>'Material Proprieties'!$E$7</f>
        <v>1.28</v>
      </c>
    </row>
    <row r="23" spans="3:34" ht="15.75" customHeight="1" x14ac:dyDescent="0.3">
      <c r="M23" s="95" t="s">
        <v>276</v>
      </c>
      <c r="N23" s="95" t="s">
        <v>274</v>
      </c>
      <c r="O23" s="95" t="s">
        <v>273</v>
      </c>
      <c r="P23" s="12"/>
      <c r="Q23" s="12"/>
      <c r="R23" s="95" t="s">
        <v>277</v>
      </c>
      <c r="S23" s="12"/>
      <c r="T23" s="95" t="s">
        <v>275</v>
      </c>
      <c r="U23" s="12"/>
      <c r="V23" s="95" t="s">
        <v>199</v>
      </c>
    </row>
    <row r="24" spans="3:34" ht="15.75" customHeight="1" x14ac:dyDescent="0.3"/>
    <row r="25" spans="3:34" ht="15.75" customHeight="1" x14ac:dyDescent="0.3"/>
    <row r="26" spans="3:34" ht="15.75" customHeight="1" x14ac:dyDescent="0.3">
      <c r="C26" s="210" t="s">
        <v>540</v>
      </c>
      <c r="D26" s="210"/>
      <c r="E26" s="210"/>
      <c r="F26" s="210"/>
      <c r="J26" s="130" t="s">
        <v>529</v>
      </c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</row>
    <row r="27" spans="3:34" ht="15.75" customHeight="1" x14ac:dyDescent="0.3">
      <c r="C27" s="73" t="s">
        <v>267</v>
      </c>
      <c r="D27" s="70">
        <v>0.8</v>
      </c>
      <c r="E27" s="63" t="s">
        <v>15</v>
      </c>
      <c r="F27" s="106" t="s">
        <v>268</v>
      </c>
      <c r="J27" s="234" t="s">
        <v>278</v>
      </c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4"/>
      <c r="AH27" s="234"/>
    </row>
    <row r="28" spans="3:34" ht="15.75" customHeight="1" x14ac:dyDescent="0.3">
      <c r="C28" s="73" t="s">
        <v>269</v>
      </c>
      <c r="D28" s="80">
        <f>(5.7/D29)*('Longitudinal design strenght'!G28+'Longitudinal design strenght'!R28)</f>
        <v>1.7368686868686871</v>
      </c>
      <c r="E28" s="63" t="s">
        <v>15</v>
      </c>
      <c r="F28" s="128" t="s">
        <v>270</v>
      </c>
      <c r="J28" s="74" t="s">
        <v>219</v>
      </c>
      <c r="K28" s="74" t="s">
        <v>256</v>
      </c>
      <c r="L28" s="74" t="s">
        <v>158</v>
      </c>
      <c r="M28" s="74" t="s">
        <v>221</v>
      </c>
      <c r="N28" s="74" t="s">
        <v>167</v>
      </c>
      <c r="O28" s="74" t="s">
        <v>257</v>
      </c>
      <c r="P28" s="74" t="s">
        <v>40</v>
      </c>
      <c r="Q28" s="74" t="s">
        <v>182</v>
      </c>
      <c r="R28" s="74" t="s">
        <v>223</v>
      </c>
      <c r="S28" s="74" t="s">
        <v>187</v>
      </c>
      <c r="T28" s="74" t="s">
        <v>186</v>
      </c>
      <c r="U28" s="74" t="s">
        <v>183</v>
      </c>
      <c r="V28" s="74" t="s">
        <v>242</v>
      </c>
      <c r="W28" s="74" t="s">
        <v>272</v>
      </c>
      <c r="X28" s="74" t="s">
        <v>243</v>
      </c>
      <c r="Y28" s="73" t="s">
        <v>188</v>
      </c>
      <c r="Z28" s="73" t="s">
        <v>189</v>
      </c>
      <c r="AA28" s="73" t="s">
        <v>190</v>
      </c>
      <c r="AB28" s="73" t="s">
        <v>191</v>
      </c>
      <c r="AC28" s="73" t="s">
        <v>192</v>
      </c>
      <c r="AD28" s="73" t="s">
        <v>244</v>
      </c>
      <c r="AE28" s="73" t="s">
        <v>193</v>
      </c>
      <c r="AF28" s="73" t="s">
        <v>211</v>
      </c>
      <c r="AG28" s="73" t="s">
        <v>212</v>
      </c>
      <c r="AH28" s="73" t="s">
        <v>157</v>
      </c>
    </row>
    <row r="29" spans="3:34" ht="15.75" customHeight="1" x14ac:dyDescent="0.3">
      <c r="C29" s="73" t="s">
        <v>271</v>
      </c>
      <c r="D29" s="103">
        <f>D30/((D-D31)*100)</f>
        <v>15970582.824681228</v>
      </c>
      <c r="E29" s="63" t="s">
        <v>176</v>
      </c>
      <c r="F29" s="127"/>
      <c r="J29" s="74" t="s">
        <v>164</v>
      </c>
      <c r="K29" s="118" t="s">
        <v>260</v>
      </c>
      <c r="L29" s="118" t="s">
        <v>169</v>
      </c>
      <c r="M29" s="118" t="s">
        <v>26</v>
      </c>
      <c r="N29" s="118" t="s">
        <v>30</v>
      </c>
      <c r="O29" s="118" t="s">
        <v>228</v>
      </c>
      <c r="P29" s="118" t="s">
        <v>3</v>
      </c>
      <c r="Q29" s="118" t="s">
        <v>3</v>
      </c>
      <c r="R29" s="118" t="s">
        <v>15</v>
      </c>
      <c r="S29" s="118" t="s">
        <v>15</v>
      </c>
      <c r="T29" s="118" t="s">
        <v>246</v>
      </c>
      <c r="U29" s="118" t="s">
        <v>246</v>
      </c>
      <c r="V29" s="118" t="s">
        <v>246</v>
      </c>
      <c r="W29" s="118" t="s">
        <v>246</v>
      </c>
      <c r="X29" s="118" t="s">
        <v>246</v>
      </c>
      <c r="Y29" s="117" t="s">
        <v>197</v>
      </c>
      <c r="Z29" s="117" t="s">
        <v>15</v>
      </c>
      <c r="AA29" s="117" t="s">
        <v>3</v>
      </c>
      <c r="AB29" s="117" t="s">
        <v>3</v>
      </c>
      <c r="AC29" s="117" t="s">
        <v>3</v>
      </c>
      <c r="AD29" s="117" t="s">
        <v>3</v>
      </c>
      <c r="AE29" s="117" t="s">
        <v>3</v>
      </c>
      <c r="AF29" s="117" t="s">
        <v>3</v>
      </c>
      <c r="AG29" s="117" t="s">
        <v>197</v>
      </c>
      <c r="AH29" s="117" t="s">
        <v>64</v>
      </c>
    </row>
    <row r="30" spans="3:34" ht="15.75" customHeight="1" x14ac:dyDescent="0.3">
      <c r="C30" s="73" t="s">
        <v>177</v>
      </c>
      <c r="D30" s="103">
        <f>'Bottom structures'!C31</f>
        <v>19271169941.782017</v>
      </c>
      <c r="E30" s="63" t="s">
        <v>178</v>
      </c>
      <c r="F30" s="96" t="s">
        <v>179</v>
      </c>
      <c r="J30" s="74">
        <v>28</v>
      </c>
      <c r="K30" s="109">
        <f t="shared" ref="K30:K38" si="11">83*(P30^2)*Q30*T30*R30/S30</f>
        <v>437.84694175620569</v>
      </c>
      <c r="L30" s="63">
        <f t="shared" ref="L30:L38" si="12">ROUNDUP(MAX($N$30:$N$38),0)</f>
        <v>10</v>
      </c>
      <c r="M30" s="109">
        <f t="shared" ref="M30:M38" si="13">ROUNDUP(MAX($O$30:$O$38),0)</f>
        <v>40</v>
      </c>
      <c r="N30" s="63">
        <f>4.5+0.01*Lbp+'Material Proprieties'!Q33</f>
        <v>9.81</v>
      </c>
      <c r="O30" s="109">
        <f t="shared" ref="O30:O38" si="14">0.68*K30^(2/3)</f>
        <v>39.209423763244978</v>
      </c>
      <c r="P30" s="63">
        <f t="shared" ref="P30:P38" si="15">Q30*4</f>
        <v>3.46</v>
      </c>
      <c r="Q30" s="63">
        <v>0.86499999999999999</v>
      </c>
      <c r="R30" s="63">
        <f>1+0.06*'Material Proprieties'!Q33</f>
        <v>1.18</v>
      </c>
      <c r="S30" s="72">
        <f t="shared" ref="S30:S38" si="16">IF(225*AH30-130*$D$28&gt;160*AH30,160*AH30,225*AH30-130*$D$28)</f>
        <v>62.20707070707067</v>
      </c>
      <c r="T30" s="109">
        <f t="shared" ref="T30:T38" si="17">MAX(U30:X30)</f>
        <v>26.855526250000004</v>
      </c>
      <c r="U30" s="109">
        <f t="shared" ref="U30:U38" si="18">$D$27*(Y30-(4+0.2*$D$33)*AD30)</f>
        <v>19.150021718234569</v>
      </c>
      <c r="V30" s="109">
        <f>ro*(g+0.5*' Design Load and Acceleration'!$C$22)*AE30</f>
        <v>0</v>
      </c>
      <c r="W30" s="109">
        <f t="shared" ref="W30:W38" si="19">0.67*(ro*g*AF30+AG30)</f>
        <v>26.855526250000004</v>
      </c>
      <c r="X30" s="109">
        <f t="shared" ref="X30:X38" si="20">ro*g*AE30+$D$34</f>
        <v>15</v>
      </c>
      <c r="Y30" s="72">
        <f t="shared" ref="Y30:Y38" si="21">Z30+135*AA30/(B+75)-1.2*(T-AB30)</f>
        <v>45.497527147793221</v>
      </c>
      <c r="Z30" s="72">
        <f>'Bottom structures'!$C$33*Cw+AC30</f>
        <v>25.253685906917308</v>
      </c>
      <c r="AA30" s="70">
        <f>16.435</f>
        <v>16.434999999999999</v>
      </c>
      <c r="AB30" s="70">
        <f t="shared" ref="AB30:AB38" si="22">T</f>
        <v>13.2</v>
      </c>
      <c r="AC30" s="70">
        <f>MIN(T,'Bottom structures'!$C$34)</f>
        <v>4.9000000000000021</v>
      </c>
      <c r="AD30" s="70">
        <f t="shared" ref="AD30:AD38" si="23">D-T</f>
        <v>4.9000000000000021</v>
      </c>
      <c r="AE30" s="70">
        <v>0</v>
      </c>
      <c r="AF30" s="70">
        <v>1.5</v>
      </c>
      <c r="AG30" s="70">
        <v>25</v>
      </c>
      <c r="AH30" s="70">
        <f>'Material Proprieties'!$E$7</f>
        <v>1.28</v>
      </c>
    </row>
    <row r="31" spans="3:34" ht="15.75" customHeight="1" x14ac:dyDescent="0.3">
      <c r="C31" s="73" t="s">
        <v>200</v>
      </c>
      <c r="D31" s="71">
        <f>'Bottom structures'!C35</f>
        <v>6.0333333333333341</v>
      </c>
      <c r="E31" s="63" t="s">
        <v>3</v>
      </c>
      <c r="F31" s="63"/>
      <c r="J31" s="74">
        <v>29</v>
      </c>
      <c r="K31" s="109">
        <f t="shared" si="11"/>
        <v>437.84694175620569</v>
      </c>
      <c r="L31" s="63">
        <f t="shared" si="12"/>
        <v>10</v>
      </c>
      <c r="M31" s="63">
        <f t="shared" si="13"/>
        <v>40</v>
      </c>
      <c r="N31" s="63">
        <f>4.5+0.01*Lbp+'Material Proprieties'!Q34</f>
        <v>9.81</v>
      </c>
      <c r="O31" s="109">
        <f t="shared" si="14"/>
        <v>39.209423763244978</v>
      </c>
      <c r="P31" s="63">
        <f t="shared" si="15"/>
        <v>3.46</v>
      </c>
      <c r="Q31" s="63">
        <v>0.86499999999999999</v>
      </c>
      <c r="R31" s="63">
        <f>1+0.06*'Material Proprieties'!Q34</f>
        <v>1.18</v>
      </c>
      <c r="S31" s="72">
        <f t="shared" si="16"/>
        <v>62.20707070707067</v>
      </c>
      <c r="T31" s="109">
        <f t="shared" si="17"/>
        <v>26.855526250000004</v>
      </c>
      <c r="U31" s="109">
        <f t="shared" si="18"/>
        <v>18.297649455460846</v>
      </c>
      <c r="V31" s="109">
        <f>ro*(g+0.5*' Design Load and Acceleration'!$C$22)*AE31</f>
        <v>0</v>
      </c>
      <c r="W31" s="109">
        <f t="shared" si="19"/>
        <v>26.855526250000004</v>
      </c>
      <c r="X31" s="109">
        <f t="shared" si="20"/>
        <v>15</v>
      </c>
      <c r="Y31" s="72">
        <f t="shared" si="21"/>
        <v>44.432061819326066</v>
      </c>
      <c r="Z31" s="72">
        <f>'Bottom structures'!$C$33*Cw+AC31</f>
        <v>25.253685906917308</v>
      </c>
      <c r="AA31" s="63">
        <f t="shared" ref="AA31:AA38" si="24">AA30-$Q$30</f>
        <v>15.569999999999999</v>
      </c>
      <c r="AB31" s="70">
        <f t="shared" si="22"/>
        <v>13.2</v>
      </c>
      <c r="AC31" s="70">
        <f>MIN(T,'Bottom structures'!$C$34)</f>
        <v>4.9000000000000021</v>
      </c>
      <c r="AD31" s="70">
        <f t="shared" si="23"/>
        <v>4.9000000000000021</v>
      </c>
      <c r="AE31" s="70">
        <v>0</v>
      </c>
      <c r="AF31" s="70">
        <v>1.5</v>
      </c>
      <c r="AG31" s="70">
        <v>25</v>
      </c>
      <c r="AH31" s="70">
        <f>'Material Proprieties'!$E$7</f>
        <v>1.28</v>
      </c>
    </row>
    <row r="32" spans="3:34" ht="15.75" customHeight="1" x14ac:dyDescent="0.3">
      <c r="C32" s="73" t="s">
        <v>170</v>
      </c>
      <c r="D32" s="71">
        <f>'Bottom structures'!C28</f>
        <v>1.0764062500000002</v>
      </c>
      <c r="E32" s="63"/>
      <c r="F32" s="63"/>
      <c r="J32" s="74">
        <v>30</v>
      </c>
      <c r="K32" s="109">
        <f t="shared" si="11"/>
        <v>437.84694175620569</v>
      </c>
      <c r="L32" s="63">
        <f t="shared" si="12"/>
        <v>10</v>
      </c>
      <c r="M32" s="63">
        <f t="shared" si="13"/>
        <v>40</v>
      </c>
      <c r="N32" s="63">
        <f>4.5+0.01*Lbp+'Material Proprieties'!Q35</f>
        <v>9.81</v>
      </c>
      <c r="O32" s="109">
        <f t="shared" si="14"/>
        <v>39.209423763244978</v>
      </c>
      <c r="P32" s="63">
        <f t="shared" si="15"/>
        <v>3.46</v>
      </c>
      <c r="Q32" s="63">
        <v>0.86499999999999999</v>
      </c>
      <c r="R32" s="63">
        <f>1+0.06*'Material Proprieties'!Q35</f>
        <v>1.18</v>
      </c>
      <c r="S32" s="72">
        <f t="shared" si="16"/>
        <v>62.20707070707067</v>
      </c>
      <c r="T32" s="109">
        <f t="shared" si="17"/>
        <v>26.855526250000004</v>
      </c>
      <c r="U32" s="109">
        <f t="shared" si="18"/>
        <v>17.445277192687122</v>
      </c>
      <c r="V32" s="109">
        <f>ro*(g+0.5*' Design Load and Acceleration'!$C$22)*AE32</f>
        <v>0</v>
      </c>
      <c r="W32" s="109">
        <f t="shared" si="19"/>
        <v>26.855526250000004</v>
      </c>
      <c r="X32" s="109">
        <f t="shared" si="20"/>
        <v>15</v>
      </c>
      <c r="Y32" s="72">
        <f t="shared" si="21"/>
        <v>43.36659649085891</v>
      </c>
      <c r="Z32" s="72">
        <f>'Bottom structures'!$C$33*Cw+AC32</f>
        <v>25.253685906917308</v>
      </c>
      <c r="AA32" s="63">
        <f t="shared" si="24"/>
        <v>14.704999999999998</v>
      </c>
      <c r="AB32" s="70">
        <f t="shared" si="22"/>
        <v>13.2</v>
      </c>
      <c r="AC32" s="70">
        <f>MIN(T,'Bottom structures'!$C$34)</f>
        <v>4.9000000000000021</v>
      </c>
      <c r="AD32" s="70">
        <f t="shared" si="23"/>
        <v>4.9000000000000021</v>
      </c>
      <c r="AE32" s="70">
        <v>0</v>
      </c>
      <c r="AF32" s="70">
        <v>1.5</v>
      </c>
      <c r="AG32" s="70">
        <v>25</v>
      </c>
      <c r="AH32" s="70">
        <f>'Material Proprieties'!$E$7</f>
        <v>1.28</v>
      </c>
    </row>
    <row r="33" spans="3:34" ht="15.75" customHeight="1" x14ac:dyDescent="0.3">
      <c r="C33" s="73" t="s">
        <v>194</v>
      </c>
      <c r="D33" s="70">
        <f>'Bottom structures'!C33</f>
        <v>2</v>
      </c>
      <c r="E33" s="70" t="str">
        <f>'Bottom structures'!D33</f>
        <v>[-]</v>
      </c>
      <c r="F33" s="95" t="str">
        <f>'Bottom structures'!E33</f>
        <v>S4-C201</v>
      </c>
      <c r="J33" s="74">
        <v>31</v>
      </c>
      <c r="K33" s="109">
        <f t="shared" si="11"/>
        <v>437.84694175620569</v>
      </c>
      <c r="L33" s="63">
        <f t="shared" si="12"/>
        <v>10</v>
      </c>
      <c r="M33" s="63">
        <f t="shared" si="13"/>
        <v>40</v>
      </c>
      <c r="N33" s="63">
        <f>4.5+0.01*Lbp+'Material Proprieties'!Q36</f>
        <v>9.81</v>
      </c>
      <c r="O33" s="109">
        <f t="shared" si="14"/>
        <v>39.209423763244978</v>
      </c>
      <c r="P33" s="63">
        <f t="shared" si="15"/>
        <v>3.46</v>
      </c>
      <c r="Q33" s="63">
        <v>0.86499999999999999</v>
      </c>
      <c r="R33" s="63">
        <f>1+0.06*'Material Proprieties'!Q36</f>
        <v>1.18</v>
      </c>
      <c r="S33" s="72">
        <f t="shared" si="16"/>
        <v>62.20707070707067</v>
      </c>
      <c r="T33" s="109">
        <f t="shared" si="17"/>
        <v>26.855526250000004</v>
      </c>
      <c r="U33" s="109">
        <f t="shared" si="18"/>
        <v>16.592904929913399</v>
      </c>
      <c r="V33" s="109">
        <f>ro*(g+0.5*' Design Load and Acceleration'!$C$22)*AE33</f>
        <v>0</v>
      </c>
      <c r="W33" s="109">
        <f t="shared" si="19"/>
        <v>26.855526250000004</v>
      </c>
      <c r="X33" s="109">
        <f t="shared" si="20"/>
        <v>15</v>
      </c>
      <c r="Y33" s="72">
        <f t="shared" si="21"/>
        <v>42.301131162391755</v>
      </c>
      <c r="Z33" s="72">
        <f>'Bottom structures'!$C$33*Cw+AC33</f>
        <v>25.253685906917308</v>
      </c>
      <c r="AA33" s="63">
        <f t="shared" si="24"/>
        <v>13.839999999999998</v>
      </c>
      <c r="AB33" s="70">
        <f t="shared" si="22"/>
        <v>13.2</v>
      </c>
      <c r="AC33" s="70">
        <f>MIN(T,'Bottom structures'!$C$34)</f>
        <v>4.9000000000000021</v>
      </c>
      <c r="AD33" s="70">
        <f t="shared" si="23"/>
        <v>4.9000000000000021</v>
      </c>
      <c r="AE33" s="70">
        <v>0</v>
      </c>
      <c r="AF33" s="70">
        <v>1.5</v>
      </c>
      <c r="AG33" s="70">
        <v>25</v>
      </c>
      <c r="AH33" s="70">
        <f>'Material Proprieties'!$E$7</f>
        <v>1.28</v>
      </c>
    </row>
    <row r="34" spans="3:34" ht="15.75" customHeight="1" x14ac:dyDescent="0.3">
      <c r="C34" s="73" t="s">
        <v>152</v>
      </c>
      <c r="D34" s="70">
        <f>'Bottom structures'!C26</f>
        <v>15</v>
      </c>
      <c r="E34" s="70" t="str">
        <f>'Bottom structures'!D26</f>
        <v>kN/m~2</v>
      </c>
      <c r="F34" s="95" t="str">
        <f>'Bottom structures'!E26</f>
        <v>S4 - C 302</v>
      </c>
      <c r="J34" s="74">
        <v>32</v>
      </c>
      <c r="K34" s="109">
        <f t="shared" si="11"/>
        <v>437.84694175620569</v>
      </c>
      <c r="L34" s="63">
        <f t="shared" si="12"/>
        <v>10</v>
      </c>
      <c r="M34" s="63">
        <f t="shared" si="13"/>
        <v>40</v>
      </c>
      <c r="N34" s="63">
        <f>4.5+0.01*Lbp+'Material Proprieties'!Q37</f>
        <v>9.81</v>
      </c>
      <c r="O34" s="109">
        <f t="shared" si="14"/>
        <v>39.209423763244978</v>
      </c>
      <c r="P34" s="63">
        <f t="shared" si="15"/>
        <v>3.46</v>
      </c>
      <c r="Q34" s="63">
        <v>0.86499999999999999</v>
      </c>
      <c r="R34" s="63">
        <f>1+0.06*'Material Proprieties'!Q37</f>
        <v>1.18</v>
      </c>
      <c r="S34" s="72">
        <f t="shared" si="16"/>
        <v>62.20707070707067</v>
      </c>
      <c r="T34" s="109">
        <f t="shared" si="17"/>
        <v>26.855526250000004</v>
      </c>
      <c r="U34" s="109">
        <f t="shared" si="18"/>
        <v>15.740532667139679</v>
      </c>
      <c r="V34" s="109">
        <f>ro*(g+0.5*' Design Load and Acceleration'!$C$22)*AE34</f>
        <v>0</v>
      </c>
      <c r="W34" s="109">
        <f t="shared" si="19"/>
        <v>26.855526250000004</v>
      </c>
      <c r="X34" s="109">
        <f t="shared" si="20"/>
        <v>15</v>
      </c>
      <c r="Y34" s="72">
        <f t="shared" si="21"/>
        <v>41.235665833924607</v>
      </c>
      <c r="Z34" s="72">
        <f>'Bottom structures'!$C$33*Cw+AC34</f>
        <v>25.253685906917308</v>
      </c>
      <c r="AA34" s="63">
        <f t="shared" si="24"/>
        <v>12.974999999999998</v>
      </c>
      <c r="AB34" s="70">
        <f t="shared" si="22"/>
        <v>13.2</v>
      </c>
      <c r="AC34" s="70">
        <f>MIN(T,'Bottom structures'!$C$34)</f>
        <v>4.9000000000000021</v>
      </c>
      <c r="AD34" s="70">
        <f t="shared" si="23"/>
        <v>4.9000000000000021</v>
      </c>
      <c r="AE34" s="70">
        <v>0</v>
      </c>
      <c r="AF34" s="70">
        <v>1.5</v>
      </c>
      <c r="AG34" s="70">
        <v>25</v>
      </c>
      <c r="AH34" s="70">
        <f>'Material Proprieties'!$E$7</f>
        <v>1.28</v>
      </c>
    </row>
    <row r="35" spans="3:34" ht="15.75" customHeight="1" x14ac:dyDescent="0.3">
      <c r="C35" s="73" t="str">
        <f>'Bottom structures'!B34</f>
        <v>f</v>
      </c>
      <c r="D35" s="70">
        <f>'Bottom structures'!C34</f>
        <v>4.9000000000000021</v>
      </c>
      <c r="E35" s="70" t="str">
        <f>'Bottom structures'!D34</f>
        <v>[m]</v>
      </c>
      <c r="F35" s="95" t="str">
        <f>'Bottom structures'!E34</f>
        <v>S4 - C 201</v>
      </c>
      <c r="J35" s="74">
        <v>33</v>
      </c>
      <c r="K35" s="109">
        <f t="shared" si="11"/>
        <v>437.84694175620569</v>
      </c>
      <c r="L35" s="63">
        <f t="shared" si="12"/>
        <v>10</v>
      </c>
      <c r="M35" s="63">
        <f t="shared" si="13"/>
        <v>40</v>
      </c>
      <c r="N35" s="63">
        <f>4.5+0.01*Lbp+'Material Proprieties'!Q38</f>
        <v>9.81</v>
      </c>
      <c r="O35" s="109">
        <f t="shared" si="14"/>
        <v>39.209423763244978</v>
      </c>
      <c r="P35" s="63">
        <f t="shared" si="15"/>
        <v>3.46</v>
      </c>
      <c r="Q35" s="63">
        <v>0.86499999999999999</v>
      </c>
      <c r="R35" s="63">
        <f>1+0.06*'Material Proprieties'!Q38</f>
        <v>1.18</v>
      </c>
      <c r="S35" s="72">
        <f t="shared" si="16"/>
        <v>62.20707070707067</v>
      </c>
      <c r="T35" s="109">
        <f t="shared" si="17"/>
        <v>26.855526250000004</v>
      </c>
      <c r="U35" s="109">
        <f t="shared" si="18"/>
        <v>14.888160404365955</v>
      </c>
      <c r="V35" s="109">
        <f>ro*(g+0.5*' Design Load and Acceleration'!$C$22)*AE35</f>
        <v>0</v>
      </c>
      <c r="W35" s="109">
        <f t="shared" si="19"/>
        <v>26.855526250000004</v>
      </c>
      <c r="X35" s="109">
        <f t="shared" si="20"/>
        <v>15</v>
      </c>
      <c r="Y35" s="72">
        <f t="shared" si="21"/>
        <v>40.170200505457451</v>
      </c>
      <c r="Z35" s="72">
        <f>'Bottom structures'!$C$33*Cw+AC35</f>
        <v>25.253685906917308</v>
      </c>
      <c r="AA35" s="63">
        <f t="shared" si="24"/>
        <v>12.109999999999998</v>
      </c>
      <c r="AB35" s="70">
        <f t="shared" si="22"/>
        <v>13.2</v>
      </c>
      <c r="AC35" s="70">
        <f>MIN(T,'Bottom structures'!$C$34)</f>
        <v>4.9000000000000021</v>
      </c>
      <c r="AD35" s="70">
        <f t="shared" si="23"/>
        <v>4.9000000000000021</v>
      </c>
      <c r="AE35" s="70">
        <v>0</v>
      </c>
      <c r="AF35" s="70">
        <v>1.5</v>
      </c>
      <c r="AG35" s="70">
        <v>25</v>
      </c>
      <c r="AH35" s="70">
        <f>'Material Proprieties'!$E$7</f>
        <v>1.28</v>
      </c>
    </row>
    <row r="36" spans="3:34" ht="15.75" customHeight="1" x14ac:dyDescent="0.3">
      <c r="J36" s="74">
        <v>34</v>
      </c>
      <c r="K36" s="109">
        <f t="shared" si="11"/>
        <v>437.84694175620569</v>
      </c>
      <c r="L36" s="63">
        <f t="shared" si="12"/>
        <v>10</v>
      </c>
      <c r="M36" s="63">
        <f t="shared" si="13"/>
        <v>40</v>
      </c>
      <c r="N36" s="63">
        <f>4.5+0.01*Lbp+'Material Proprieties'!Q39</f>
        <v>9.81</v>
      </c>
      <c r="O36" s="109">
        <f t="shared" si="14"/>
        <v>39.209423763244978</v>
      </c>
      <c r="P36" s="63">
        <f t="shared" si="15"/>
        <v>3.46</v>
      </c>
      <c r="Q36" s="63">
        <v>0.86499999999999999</v>
      </c>
      <c r="R36" s="63">
        <f>1+0.06*'Material Proprieties'!Q39</f>
        <v>1.18</v>
      </c>
      <c r="S36" s="72">
        <f t="shared" si="16"/>
        <v>62.20707070707067</v>
      </c>
      <c r="T36" s="109">
        <f t="shared" si="17"/>
        <v>26.855526250000004</v>
      </c>
      <c r="U36" s="109">
        <f t="shared" si="18"/>
        <v>14.03578814159223</v>
      </c>
      <c r="V36" s="109">
        <f>ro*(g+0.5*' Design Load and Acceleration'!$C$22)*AE36</f>
        <v>0</v>
      </c>
      <c r="W36" s="109">
        <f t="shared" si="19"/>
        <v>26.855526250000004</v>
      </c>
      <c r="X36" s="109">
        <f t="shared" si="20"/>
        <v>15</v>
      </c>
      <c r="Y36" s="72">
        <f t="shared" si="21"/>
        <v>39.104735176990296</v>
      </c>
      <c r="Z36" s="72">
        <f>'Bottom structures'!$C$33*Cw+AC36</f>
        <v>25.253685906917308</v>
      </c>
      <c r="AA36" s="63">
        <f t="shared" si="24"/>
        <v>11.244999999999997</v>
      </c>
      <c r="AB36" s="70">
        <f t="shared" si="22"/>
        <v>13.2</v>
      </c>
      <c r="AC36" s="70">
        <f>MIN(T,'Bottom structures'!$C$34)</f>
        <v>4.9000000000000021</v>
      </c>
      <c r="AD36" s="70">
        <f t="shared" si="23"/>
        <v>4.9000000000000021</v>
      </c>
      <c r="AE36" s="70">
        <v>0</v>
      </c>
      <c r="AF36" s="70">
        <v>1.5</v>
      </c>
      <c r="AG36" s="70">
        <v>25</v>
      </c>
      <c r="AH36" s="70">
        <f>'Material Proprieties'!$E$7</f>
        <v>1.28</v>
      </c>
    </row>
    <row r="37" spans="3:34" ht="15.75" customHeight="1" x14ac:dyDescent="0.3">
      <c r="J37" s="74">
        <v>35</v>
      </c>
      <c r="K37" s="109">
        <f t="shared" si="11"/>
        <v>437.84694175620569</v>
      </c>
      <c r="L37" s="63">
        <f t="shared" si="12"/>
        <v>10</v>
      </c>
      <c r="M37" s="63">
        <f t="shared" si="13"/>
        <v>40</v>
      </c>
      <c r="N37" s="63">
        <f>4.5+0.01*Lbp+'Material Proprieties'!Q40</f>
        <v>9.81</v>
      </c>
      <c r="O37" s="109">
        <f t="shared" si="14"/>
        <v>39.209423763244978</v>
      </c>
      <c r="P37" s="63">
        <f t="shared" si="15"/>
        <v>3.46</v>
      </c>
      <c r="Q37" s="63">
        <v>0.86499999999999999</v>
      </c>
      <c r="R37" s="63">
        <f>1+0.06*'Material Proprieties'!Q40</f>
        <v>1.18</v>
      </c>
      <c r="S37" s="72">
        <f t="shared" si="16"/>
        <v>62.20707070707067</v>
      </c>
      <c r="T37" s="109">
        <f t="shared" si="17"/>
        <v>26.855526250000004</v>
      </c>
      <c r="U37" s="109">
        <f t="shared" si="18"/>
        <v>13.183415878818511</v>
      </c>
      <c r="V37" s="109">
        <f>ro*(g+0.5*' Design Load and Acceleration'!$C$22)*AE37</f>
        <v>0</v>
      </c>
      <c r="W37" s="109">
        <f t="shared" si="19"/>
        <v>26.855526250000004</v>
      </c>
      <c r="X37" s="109">
        <f t="shared" si="20"/>
        <v>15</v>
      </c>
      <c r="Y37" s="72">
        <f t="shared" si="21"/>
        <v>38.039269848523148</v>
      </c>
      <c r="Z37" s="72">
        <f>'Bottom structures'!$C$33*Cw+AC37</f>
        <v>25.253685906917308</v>
      </c>
      <c r="AA37" s="63">
        <f t="shared" si="24"/>
        <v>10.379999999999997</v>
      </c>
      <c r="AB37" s="70">
        <f t="shared" si="22"/>
        <v>13.2</v>
      </c>
      <c r="AC37" s="70">
        <f>MIN(T,'Bottom structures'!$C$34)</f>
        <v>4.9000000000000021</v>
      </c>
      <c r="AD37" s="70">
        <f t="shared" si="23"/>
        <v>4.9000000000000021</v>
      </c>
      <c r="AE37" s="70">
        <v>0</v>
      </c>
      <c r="AF37" s="70">
        <v>1.5</v>
      </c>
      <c r="AG37" s="70">
        <v>25</v>
      </c>
      <c r="AH37" s="70">
        <f>'Material Proprieties'!$E$7</f>
        <v>1.28</v>
      </c>
    </row>
    <row r="38" spans="3:34" ht="15.75" customHeight="1" x14ac:dyDescent="0.3">
      <c r="J38" s="74">
        <v>36</v>
      </c>
      <c r="K38" s="109">
        <f t="shared" si="11"/>
        <v>437.84694175620569</v>
      </c>
      <c r="L38" s="63">
        <f t="shared" si="12"/>
        <v>10</v>
      </c>
      <c r="M38" s="63">
        <f t="shared" si="13"/>
        <v>40</v>
      </c>
      <c r="N38" s="63">
        <f>4.5+0.01*Lbp+'Material Proprieties'!Q41</f>
        <v>9.81</v>
      </c>
      <c r="O38" s="109">
        <f t="shared" si="14"/>
        <v>39.209423763244978</v>
      </c>
      <c r="P38" s="63">
        <f t="shared" si="15"/>
        <v>3.46</v>
      </c>
      <c r="Q38" s="63">
        <v>0.86499999999999999</v>
      </c>
      <c r="R38" s="63">
        <f>1+0.06*'Material Proprieties'!Q41</f>
        <v>1.18</v>
      </c>
      <c r="S38" s="72">
        <f t="shared" si="16"/>
        <v>62.20707070707067</v>
      </c>
      <c r="T38" s="109">
        <f t="shared" si="17"/>
        <v>26.855526250000004</v>
      </c>
      <c r="U38" s="109">
        <f t="shared" si="18"/>
        <v>12.331043616044788</v>
      </c>
      <c r="V38" s="109">
        <f>ro*(g+0.5*' Design Load and Acceleration'!$C$22)*AE38</f>
        <v>0</v>
      </c>
      <c r="W38" s="109">
        <f t="shared" si="19"/>
        <v>26.855526250000004</v>
      </c>
      <c r="X38" s="109">
        <f t="shared" si="20"/>
        <v>15</v>
      </c>
      <c r="Y38" s="72">
        <f t="shared" si="21"/>
        <v>36.973804520055992</v>
      </c>
      <c r="Z38" s="72">
        <f>'Bottom structures'!$C$33*Cw+AC38</f>
        <v>25.253685906917308</v>
      </c>
      <c r="AA38" s="63">
        <f t="shared" si="24"/>
        <v>9.514999999999997</v>
      </c>
      <c r="AB38" s="70">
        <f t="shared" si="22"/>
        <v>13.2</v>
      </c>
      <c r="AC38" s="70">
        <f>MIN(T,'Bottom structures'!$C$34)</f>
        <v>4.9000000000000021</v>
      </c>
      <c r="AD38" s="70">
        <f t="shared" si="23"/>
        <v>4.9000000000000021</v>
      </c>
      <c r="AE38" s="70">
        <v>0</v>
      </c>
      <c r="AF38" s="70">
        <v>1.5</v>
      </c>
      <c r="AG38" s="70">
        <v>25</v>
      </c>
      <c r="AH38" s="70">
        <f>'Material Proprieties'!$E$7</f>
        <v>1.28</v>
      </c>
    </row>
    <row r="39" spans="3:34" ht="15.75" customHeight="1" x14ac:dyDescent="0.3">
      <c r="J39" s="113"/>
      <c r="K39" s="113"/>
      <c r="L39" s="113"/>
      <c r="M39" s="113"/>
      <c r="N39" s="113"/>
      <c r="O39" s="113"/>
      <c r="P39" s="113"/>
      <c r="Q39" s="113"/>
      <c r="R39" s="131" t="s">
        <v>232</v>
      </c>
      <c r="S39" s="131" t="s">
        <v>279</v>
      </c>
      <c r="T39" s="113"/>
      <c r="U39" s="247" t="s">
        <v>275</v>
      </c>
      <c r="V39" s="248"/>
      <c r="W39" s="248"/>
      <c r="X39" s="248"/>
      <c r="Y39" s="113"/>
      <c r="Z39" s="113"/>
      <c r="AA39" s="113"/>
      <c r="AB39" s="113"/>
      <c r="AC39" s="113"/>
      <c r="AD39" s="110"/>
      <c r="AE39" s="110"/>
      <c r="AF39" s="110"/>
      <c r="AG39" s="110"/>
      <c r="AH39" s="110"/>
    </row>
    <row r="40" spans="3:34" ht="15.75" customHeight="1" x14ac:dyDescent="0.3"/>
    <row r="41" spans="3:34" ht="15.75" customHeight="1" x14ac:dyDescent="0.3">
      <c r="K41" s="228" t="s">
        <v>280</v>
      </c>
      <c r="L41" s="229"/>
      <c r="M41" s="229"/>
      <c r="N41" s="229"/>
      <c r="O41" s="229"/>
      <c r="P41" s="229"/>
      <c r="Q41" s="229"/>
      <c r="R41" s="229"/>
      <c r="S41" s="229"/>
      <c r="T41" s="229"/>
      <c r="U41" s="229"/>
      <c r="V41" s="229"/>
      <c r="W41" s="229"/>
      <c r="X41" s="229"/>
      <c r="Y41" s="229"/>
      <c r="Z41" s="229"/>
      <c r="AA41" s="229"/>
      <c r="AB41" s="229"/>
      <c r="AC41" s="229"/>
      <c r="AD41" s="230"/>
    </row>
    <row r="42" spans="3:34" ht="15.75" customHeight="1" x14ac:dyDescent="0.3">
      <c r="K42" s="74" t="s">
        <v>219</v>
      </c>
      <c r="L42" s="74" t="s">
        <v>256</v>
      </c>
      <c r="M42" s="74" t="s">
        <v>158</v>
      </c>
      <c r="N42" s="74" t="s">
        <v>221</v>
      </c>
      <c r="O42" s="74" t="s">
        <v>167</v>
      </c>
      <c r="P42" s="74" t="s">
        <v>257</v>
      </c>
      <c r="Q42" s="74" t="s">
        <v>40</v>
      </c>
      <c r="R42" s="74" t="s">
        <v>182</v>
      </c>
      <c r="S42" s="74" t="s">
        <v>223</v>
      </c>
      <c r="T42" s="74" t="s">
        <v>187</v>
      </c>
      <c r="U42" s="74" t="s">
        <v>186</v>
      </c>
      <c r="V42" s="74" t="s">
        <v>242</v>
      </c>
      <c r="W42" s="74" t="s">
        <v>272</v>
      </c>
      <c r="X42" s="74" t="s">
        <v>243</v>
      </c>
      <c r="Y42" s="73" t="s">
        <v>193</v>
      </c>
      <c r="Z42" s="73" t="s">
        <v>211</v>
      </c>
      <c r="AA42" s="73" t="s">
        <v>212</v>
      </c>
      <c r="AB42" s="73" t="s">
        <v>258</v>
      </c>
      <c r="AC42" s="73" t="s">
        <v>259</v>
      </c>
      <c r="AD42" s="73" t="s">
        <v>157</v>
      </c>
    </row>
    <row r="43" spans="3:34" ht="15.75" customHeight="1" x14ac:dyDescent="0.3">
      <c r="K43" s="74" t="s">
        <v>164</v>
      </c>
      <c r="L43" s="118" t="s">
        <v>260</v>
      </c>
      <c r="M43" s="118" t="s">
        <v>169</v>
      </c>
      <c r="N43" s="118" t="s">
        <v>26</v>
      </c>
      <c r="O43" s="118" t="s">
        <v>30</v>
      </c>
      <c r="P43" s="118" t="s">
        <v>228</v>
      </c>
      <c r="Q43" s="118" t="s">
        <v>3</v>
      </c>
      <c r="R43" s="118" t="s">
        <v>3</v>
      </c>
      <c r="S43" s="118" t="s">
        <v>15</v>
      </c>
      <c r="T43" s="118" t="s">
        <v>15</v>
      </c>
      <c r="U43" s="118" t="s">
        <v>246</v>
      </c>
      <c r="V43" s="118" t="s">
        <v>246</v>
      </c>
      <c r="W43" s="118" t="s">
        <v>246</v>
      </c>
      <c r="X43" s="118" t="s">
        <v>246</v>
      </c>
      <c r="Y43" s="117" t="s">
        <v>3</v>
      </c>
      <c r="Z43" s="117" t="s">
        <v>3</v>
      </c>
      <c r="AA43" s="117" t="s">
        <v>197</v>
      </c>
      <c r="AB43" s="117" t="s">
        <v>3</v>
      </c>
      <c r="AC43" s="117" t="s">
        <v>3</v>
      </c>
      <c r="AD43" s="117" t="s">
        <v>64</v>
      </c>
    </row>
    <row r="44" spans="3:34" ht="15.75" customHeight="1" x14ac:dyDescent="0.3">
      <c r="K44" s="74">
        <v>37</v>
      </c>
      <c r="L44" s="109">
        <f t="shared" ref="L44:L54" si="25">83*(Q44^2)*R44*U44*S44/T44</f>
        <v>47.641199563705946</v>
      </c>
      <c r="M44" s="63">
        <f>ROUNDUP(MAX(O44:O54),0)</f>
        <v>10</v>
      </c>
      <c r="N44" s="109">
        <f t="shared" ref="N44:N54" si="26">ROUNDUP(MAX($P$44:$P$54),0)</f>
        <v>78</v>
      </c>
      <c r="O44" s="63">
        <f>4.5+0.01*Lbp+'Material Proprieties'!Q42</f>
        <v>9.81</v>
      </c>
      <c r="P44" s="109">
        <f t="shared" ref="P44:P54" si="27">0.68*L44^(2/3)</f>
        <v>8.9364295939930116</v>
      </c>
      <c r="Q44" s="63">
        <f t="shared" ref="Q44:Q54" si="28">R44*4</f>
        <v>1.6</v>
      </c>
      <c r="R44" s="63">
        <f>0.4</f>
        <v>0.4</v>
      </c>
      <c r="S44" s="63">
        <f>1+0.06*'Material Proprieties'!Q42</f>
        <v>1.18</v>
      </c>
      <c r="T44" s="72">
        <f t="shared" ref="T44:T54" si="29">IF(225*AD44-130*$D$28&gt;160*AD44,160*AD44,225*AD44-130*$D$28)</f>
        <v>62.20707070707067</v>
      </c>
      <c r="U44" s="109">
        <f t="shared" ref="U44:U54" si="30">MAX(V44:X44)</f>
        <v>29.550333249999998</v>
      </c>
      <c r="V44" s="109" t="s">
        <v>37</v>
      </c>
      <c r="W44" s="109">
        <f t="shared" ref="W44:W54" si="31">0.67*(ro*g*Z44+AA44)</f>
        <v>29.550333249999998</v>
      </c>
      <c r="X44" s="109">
        <f t="shared" ref="X44:X54" si="32">ro*g*Y44+$D$34</f>
        <v>19.022100000000002</v>
      </c>
      <c r="Y44" s="63">
        <v>0.4</v>
      </c>
      <c r="Z44" s="63">
        <f t="shared" ref="Z44:Z54" si="33">Y44+1.5</f>
        <v>1.9</v>
      </c>
      <c r="AA44" s="63">
        <v>25</v>
      </c>
      <c r="AB44" s="71">
        <f t="shared" ref="AB44:AB54" si="34">$D$31</f>
        <v>6.0333333333333341</v>
      </c>
      <c r="AC44" s="70">
        <v>17.7</v>
      </c>
      <c r="AD44" s="70">
        <f>'Material Proprieties'!$E$7</f>
        <v>1.28</v>
      </c>
    </row>
    <row r="45" spans="3:34" ht="15.75" customHeight="1" x14ac:dyDescent="0.3">
      <c r="K45" s="74">
        <v>38</v>
      </c>
      <c r="L45" s="109">
        <f t="shared" si="25"/>
        <v>670.29837867943047</v>
      </c>
      <c r="M45" s="63">
        <f>ROUNDUP(MAX(O45:O73),0)</f>
        <v>10</v>
      </c>
      <c r="N45" s="109">
        <f t="shared" si="26"/>
        <v>78</v>
      </c>
      <c r="O45" s="63">
        <f>4.5+0.01*Lbp+'Material Proprieties'!Q43</f>
        <v>9.81</v>
      </c>
      <c r="P45" s="109">
        <f t="shared" si="27"/>
        <v>52.082004649656625</v>
      </c>
      <c r="Q45" s="63">
        <f t="shared" si="28"/>
        <v>3.64</v>
      </c>
      <c r="R45" s="63">
        <v>0.91</v>
      </c>
      <c r="S45" s="63">
        <f>1+0.06*'Material Proprieties'!Q43</f>
        <v>1.18</v>
      </c>
      <c r="T45" s="72">
        <f t="shared" si="29"/>
        <v>62.20707070707067</v>
      </c>
      <c r="U45" s="109">
        <f t="shared" si="30"/>
        <v>35.310483212500003</v>
      </c>
      <c r="V45" s="109" t="s">
        <v>37</v>
      </c>
      <c r="W45" s="109">
        <f t="shared" si="31"/>
        <v>35.310483212500003</v>
      </c>
      <c r="X45" s="109">
        <f t="shared" si="32"/>
        <v>27.619338749999997</v>
      </c>
      <c r="Y45" s="63">
        <v>1.2549999999999999</v>
      </c>
      <c r="Z45" s="63">
        <f t="shared" si="33"/>
        <v>2.7549999999999999</v>
      </c>
      <c r="AA45" s="63">
        <v>25</v>
      </c>
      <c r="AB45" s="71">
        <f t="shared" si="34"/>
        <v>6.0333333333333341</v>
      </c>
      <c r="AC45" s="70">
        <v>16.844999999999999</v>
      </c>
      <c r="AD45" s="70">
        <f>'Material Proprieties'!$E$7</f>
        <v>1.28</v>
      </c>
    </row>
    <row r="46" spans="3:34" ht="15.75" customHeight="1" x14ac:dyDescent="0.3">
      <c r="K46" s="74">
        <v>39</v>
      </c>
      <c r="L46" s="109">
        <f t="shared" si="25"/>
        <v>672.92511450189772</v>
      </c>
      <c r="M46" s="63">
        <f>ROUNDUP(MAX(O46:O56),0)</f>
        <v>9</v>
      </c>
      <c r="N46" s="109">
        <f t="shared" si="26"/>
        <v>78</v>
      </c>
      <c r="O46" s="63">
        <f>4.5+0.01*Lbp+'Material Proprieties'!Q44</f>
        <v>8.31</v>
      </c>
      <c r="P46" s="109">
        <f t="shared" si="27"/>
        <v>52.217980383841265</v>
      </c>
      <c r="Q46" s="63">
        <f t="shared" si="28"/>
        <v>3.64</v>
      </c>
      <c r="R46" s="63">
        <v>0.91</v>
      </c>
      <c r="S46" s="63">
        <f>1+0.06*'Material Proprieties'!Q44</f>
        <v>1.0900000000000001</v>
      </c>
      <c r="T46" s="72">
        <f t="shared" si="29"/>
        <v>62.20707070707067</v>
      </c>
      <c r="U46" s="109">
        <f t="shared" si="30"/>
        <v>38.375826175</v>
      </c>
      <c r="V46" s="109" t="s">
        <v>37</v>
      </c>
      <c r="W46" s="109">
        <f t="shared" si="31"/>
        <v>38.375826175</v>
      </c>
      <c r="X46" s="109">
        <f t="shared" si="32"/>
        <v>32.194477499999998</v>
      </c>
      <c r="Y46" s="63">
        <f t="shared" ref="Y46:Y54" si="35">Y45+0.455</f>
        <v>1.71</v>
      </c>
      <c r="Z46" s="63">
        <f t="shared" si="33"/>
        <v>3.21</v>
      </c>
      <c r="AA46" s="63">
        <v>25</v>
      </c>
      <c r="AB46" s="71">
        <f t="shared" si="34"/>
        <v>6.0333333333333341</v>
      </c>
      <c r="AC46" s="70">
        <f>16.39</f>
        <v>16.39</v>
      </c>
      <c r="AD46" s="70">
        <f>'Material Proprieties'!$E$7</f>
        <v>1.28</v>
      </c>
    </row>
    <row r="47" spans="3:34" ht="15.75" customHeight="1" x14ac:dyDescent="0.3">
      <c r="J47" s="3"/>
      <c r="K47" s="74">
        <v>40</v>
      </c>
      <c r="L47" s="109">
        <f t="shared" si="25"/>
        <v>726.67630293550815</v>
      </c>
      <c r="M47" s="63">
        <f>ROUNDUP(MAX(O47:O57),0)</f>
        <v>9</v>
      </c>
      <c r="N47" s="109">
        <f t="shared" si="26"/>
        <v>78</v>
      </c>
      <c r="O47" s="63">
        <f>4.5+0.01*Lbp+'Material Proprieties'!Q45</f>
        <v>8.31</v>
      </c>
      <c r="P47" s="109">
        <f t="shared" si="27"/>
        <v>54.962892249311068</v>
      </c>
      <c r="Q47" s="63">
        <f t="shared" si="28"/>
        <v>3.64</v>
      </c>
      <c r="R47" s="63">
        <v>0.91</v>
      </c>
      <c r="S47" s="63">
        <f>1+0.06*'Material Proprieties'!Q45</f>
        <v>1.0900000000000001</v>
      </c>
      <c r="T47" s="72">
        <f t="shared" si="29"/>
        <v>62.20707070707067</v>
      </c>
      <c r="U47" s="109">
        <f t="shared" si="30"/>
        <v>41.441169137500005</v>
      </c>
      <c r="V47" s="109" t="s">
        <v>37</v>
      </c>
      <c r="W47" s="109">
        <f t="shared" si="31"/>
        <v>41.441169137500005</v>
      </c>
      <c r="X47" s="109">
        <f t="shared" si="32"/>
        <v>36.769616249999999</v>
      </c>
      <c r="Y47" s="63">
        <f t="shared" si="35"/>
        <v>2.165</v>
      </c>
      <c r="Z47" s="63">
        <f t="shared" si="33"/>
        <v>3.665</v>
      </c>
      <c r="AA47" s="63">
        <v>25</v>
      </c>
      <c r="AB47" s="71">
        <f t="shared" si="34"/>
        <v>6.0333333333333341</v>
      </c>
      <c r="AC47" s="70">
        <f t="shared" ref="AC47:AC54" si="36">AC46-($AC$45-$AC$46)</f>
        <v>15.935000000000002</v>
      </c>
      <c r="AD47" s="70">
        <f>'Material Proprieties'!$E$7</f>
        <v>1.28</v>
      </c>
    </row>
    <row r="48" spans="3:34" ht="15.75" customHeight="1" x14ac:dyDescent="0.3">
      <c r="J48" s="3"/>
      <c r="K48" s="74">
        <v>41</v>
      </c>
      <c r="L48" s="109">
        <f t="shared" si="25"/>
        <v>780.42749136911823</v>
      </c>
      <c r="M48" s="63">
        <f>ROUNDUP(MAX(O48:O58),0)</f>
        <v>9</v>
      </c>
      <c r="N48" s="109">
        <f t="shared" si="26"/>
        <v>78</v>
      </c>
      <c r="O48" s="63">
        <f>4.5+0.01*Lbp+'Material Proprieties'!Q46</f>
        <v>8.31</v>
      </c>
      <c r="P48" s="109">
        <f t="shared" si="27"/>
        <v>57.640882186692771</v>
      </c>
      <c r="Q48" s="63">
        <f t="shared" si="28"/>
        <v>3.64</v>
      </c>
      <c r="R48" s="63">
        <v>0.91</v>
      </c>
      <c r="S48" s="63">
        <f>1+0.06*'Material Proprieties'!Q46</f>
        <v>1.0900000000000001</v>
      </c>
      <c r="T48" s="72">
        <f t="shared" si="29"/>
        <v>62.20707070707067</v>
      </c>
      <c r="U48" s="109">
        <f t="shared" si="30"/>
        <v>44.506512099999995</v>
      </c>
      <c r="V48" s="109" t="s">
        <v>37</v>
      </c>
      <c r="W48" s="109">
        <f t="shared" si="31"/>
        <v>44.506512099999995</v>
      </c>
      <c r="X48" s="109">
        <f t="shared" si="32"/>
        <v>41.344754999999999</v>
      </c>
      <c r="Y48" s="63">
        <f t="shared" si="35"/>
        <v>2.62</v>
      </c>
      <c r="Z48" s="63">
        <f t="shared" si="33"/>
        <v>4.12</v>
      </c>
      <c r="AA48" s="63">
        <v>25</v>
      </c>
      <c r="AB48" s="71">
        <f t="shared" si="34"/>
        <v>6.0333333333333341</v>
      </c>
      <c r="AC48" s="70">
        <f t="shared" si="36"/>
        <v>15.480000000000004</v>
      </c>
      <c r="AD48" s="70">
        <f>'Material Proprieties'!$E$7</f>
        <v>1.28</v>
      </c>
    </row>
    <row r="49" spans="10:36" ht="15.75" customHeight="1" x14ac:dyDescent="0.3">
      <c r="J49" s="3"/>
      <c r="K49" s="74">
        <v>42</v>
      </c>
      <c r="L49" s="109">
        <f t="shared" si="25"/>
        <v>834.17867980272865</v>
      </c>
      <c r="M49" s="63">
        <f>ROUNDUP(MAX(O49:O59),0)</f>
        <v>9</v>
      </c>
      <c r="N49" s="109">
        <f t="shared" si="26"/>
        <v>78</v>
      </c>
      <c r="O49" s="63">
        <f>4.5+0.01*Lbp+'Material Proprieties'!Q47</f>
        <v>8.31</v>
      </c>
      <c r="P49" s="109">
        <f t="shared" si="27"/>
        <v>60.258035636696889</v>
      </c>
      <c r="Q49" s="63">
        <f t="shared" si="28"/>
        <v>3.64</v>
      </c>
      <c r="R49" s="63">
        <v>0.91</v>
      </c>
      <c r="S49" s="63">
        <f>1+0.06*'Material Proprieties'!Q47</f>
        <v>1.0900000000000001</v>
      </c>
      <c r="T49" s="72">
        <f t="shared" si="29"/>
        <v>62.20707070707067</v>
      </c>
      <c r="U49" s="109">
        <f t="shared" si="30"/>
        <v>47.571855062500006</v>
      </c>
      <c r="V49" s="109" t="s">
        <v>37</v>
      </c>
      <c r="W49" s="109">
        <f t="shared" si="31"/>
        <v>47.571855062500006</v>
      </c>
      <c r="X49" s="109">
        <f t="shared" si="32"/>
        <v>45.91989375</v>
      </c>
      <c r="Y49" s="63">
        <f t="shared" si="35"/>
        <v>3.0750000000000002</v>
      </c>
      <c r="Z49" s="63">
        <f t="shared" si="33"/>
        <v>4.5750000000000002</v>
      </c>
      <c r="AA49" s="63">
        <v>25</v>
      </c>
      <c r="AB49" s="71">
        <f t="shared" si="34"/>
        <v>6.0333333333333341</v>
      </c>
      <c r="AC49" s="70">
        <f t="shared" si="36"/>
        <v>15.025000000000006</v>
      </c>
      <c r="AD49" s="70">
        <f>'Material Proprieties'!$E$7</f>
        <v>1.28</v>
      </c>
      <c r="AJ49" s="11"/>
    </row>
    <row r="50" spans="10:36" ht="15.75" customHeight="1" x14ac:dyDescent="0.3">
      <c r="J50" s="3"/>
      <c r="K50" s="74">
        <v>43</v>
      </c>
      <c r="L50" s="109">
        <f t="shared" si="25"/>
        <v>887.92986823633873</v>
      </c>
      <c r="M50" s="63">
        <f>ROUNDUP(MAX(O50:O73),0)</f>
        <v>9</v>
      </c>
      <c r="N50" s="109">
        <f t="shared" si="26"/>
        <v>78</v>
      </c>
      <c r="O50" s="63">
        <f>4.5+0.01*Lbp+'Material Proprieties'!Q48</f>
        <v>8.31</v>
      </c>
      <c r="P50" s="109">
        <f t="shared" si="27"/>
        <v>62.819530957404069</v>
      </c>
      <c r="Q50" s="63">
        <f t="shared" si="28"/>
        <v>3.64</v>
      </c>
      <c r="R50" s="63">
        <v>0.91</v>
      </c>
      <c r="S50" s="63">
        <f>1+0.06*'Material Proprieties'!Q48</f>
        <v>1.0900000000000001</v>
      </c>
      <c r="T50" s="72">
        <f t="shared" si="29"/>
        <v>62.20707070707067</v>
      </c>
      <c r="U50" s="109">
        <f t="shared" si="30"/>
        <v>50.637198024999996</v>
      </c>
      <c r="V50" s="109" t="s">
        <v>37</v>
      </c>
      <c r="W50" s="109">
        <f t="shared" si="31"/>
        <v>50.637198024999996</v>
      </c>
      <c r="X50" s="109">
        <f t="shared" si="32"/>
        <v>50.495032500000001</v>
      </c>
      <c r="Y50" s="63">
        <f t="shared" si="35"/>
        <v>3.5300000000000002</v>
      </c>
      <c r="Z50" s="63">
        <f t="shared" si="33"/>
        <v>5.03</v>
      </c>
      <c r="AA50" s="63">
        <v>25</v>
      </c>
      <c r="AB50" s="71">
        <f t="shared" si="34"/>
        <v>6.0333333333333341</v>
      </c>
      <c r="AC50" s="70">
        <f t="shared" si="36"/>
        <v>14.570000000000007</v>
      </c>
      <c r="AD50" s="70">
        <f>'Material Proprieties'!$E$7</f>
        <v>1.28</v>
      </c>
    </row>
    <row r="51" spans="10:36" ht="15.75" customHeight="1" x14ac:dyDescent="0.3">
      <c r="J51" s="3"/>
      <c r="K51" s="74">
        <v>44</v>
      </c>
      <c r="L51" s="109">
        <f t="shared" si="25"/>
        <v>965.66263160184235</v>
      </c>
      <c r="M51" s="63">
        <f>ROUNDUP(MAX(O51:O79),0)</f>
        <v>9</v>
      </c>
      <c r="N51" s="109">
        <f t="shared" si="26"/>
        <v>78</v>
      </c>
      <c r="O51" s="63">
        <f>4.5+0.01*Lbp+'Material Proprieties'!Q49</f>
        <v>8.31</v>
      </c>
      <c r="P51" s="109">
        <f t="shared" si="27"/>
        <v>66.434325479214962</v>
      </c>
      <c r="Q51" s="63">
        <f t="shared" si="28"/>
        <v>3.64</v>
      </c>
      <c r="R51" s="63">
        <v>0.91</v>
      </c>
      <c r="S51" s="63">
        <f>1+0.06*'Material Proprieties'!Q49</f>
        <v>1.0900000000000001</v>
      </c>
      <c r="T51" s="72">
        <f t="shared" si="29"/>
        <v>62.20707070707067</v>
      </c>
      <c r="U51" s="109">
        <f t="shared" si="30"/>
        <v>55.070171250000001</v>
      </c>
      <c r="V51" s="109" t="s">
        <v>37</v>
      </c>
      <c r="W51" s="109">
        <f t="shared" si="31"/>
        <v>53.702540987499994</v>
      </c>
      <c r="X51" s="109">
        <f t="shared" si="32"/>
        <v>55.070171250000001</v>
      </c>
      <c r="Y51" s="63">
        <f t="shared" si="35"/>
        <v>3.9850000000000003</v>
      </c>
      <c r="Z51" s="63">
        <f t="shared" si="33"/>
        <v>5.4850000000000003</v>
      </c>
      <c r="AA51" s="63">
        <v>25</v>
      </c>
      <c r="AB51" s="71">
        <f t="shared" si="34"/>
        <v>6.0333333333333341</v>
      </c>
      <c r="AC51" s="70">
        <f t="shared" si="36"/>
        <v>14.115000000000009</v>
      </c>
      <c r="AD51" s="70">
        <f>'Material Proprieties'!$E$7</f>
        <v>1.28</v>
      </c>
    </row>
    <row r="52" spans="10:36" ht="15.75" customHeight="1" x14ac:dyDescent="0.3">
      <c r="J52" s="3"/>
      <c r="K52" s="74">
        <v>45</v>
      </c>
      <c r="L52" s="109">
        <f t="shared" si="25"/>
        <v>1045.8882859803653</v>
      </c>
      <c r="M52" s="63">
        <f>ROUNDUP(MAX(O52:O80),0)</f>
        <v>9</v>
      </c>
      <c r="N52" s="109">
        <f t="shared" si="26"/>
        <v>78</v>
      </c>
      <c r="O52" s="63">
        <f>4.5+0.01*Lbp+'Material Proprieties'!Q50</f>
        <v>8.31</v>
      </c>
      <c r="P52" s="109">
        <f t="shared" si="27"/>
        <v>70.064675020785074</v>
      </c>
      <c r="Q52" s="63">
        <f t="shared" si="28"/>
        <v>3.64</v>
      </c>
      <c r="R52" s="63">
        <v>0.91</v>
      </c>
      <c r="S52" s="63">
        <f>1+0.06*'Material Proprieties'!Q50</f>
        <v>1.0900000000000001</v>
      </c>
      <c r="T52" s="72">
        <f t="shared" si="29"/>
        <v>62.20707070707067</v>
      </c>
      <c r="U52" s="109">
        <f t="shared" si="30"/>
        <v>59.645310000000002</v>
      </c>
      <c r="V52" s="109" t="s">
        <v>37</v>
      </c>
      <c r="W52" s="109">
        <f t="shared" si="31"/>
        <v>56.767883949999998</v>
      </c>
      <c r="X52" s="109">
        <f t="shared" si="32"/>
        <v>59.645310000000002</v>
      </c>
      <c r="Y52" s="63">
        <f t="shared" si="35"/>
        <v>4.4400000000000004</v>
      </c>
      <c r="Z52" s="63">
        <f t="shared" si="33"/>
        <v>5.94</v>
      </c>
      <c r="AA52" s="63">
        <v>25</v>
      </c>
      <c r="AB52" s="71">
        <f t="shared" si="34"/>
        <v>6.0333333333333341</v>
      </c>
      <c r="AC52" s="70">
        <f t="shared" si="36"/>
        <v>13.660000000000011</v>
      </c>
      <c r="AD52" s="70">
        <f>'Material Proprieties'!$E$7</f>
        <v>1.28</v>
      </c>
    </row>
    <row r="53" spans="10:36" ht="15.75" customHeight="1" x14ac:dyDescent="0.3">
      <c r="J53" s="3"/>
      <c r="K53" s="74">
        <v>46</v>
      </c>
      <c r="L53" s="109">
        <f t="shared" si="25"/>
        <v>1126.1139403588879</v>
      </c>
      <c r="M53" s="63">
        <f>ROUNDUP(MAX(O53:O81),0)</f>
        <v>9</v>
      </c>
      <c r="N53" s="109">
        <f t="shared" si="26"/>
        <v>78</v>
      </c>
      <c r="O53" s="63">
        <f>4.5+0.01*Lbp+'Material Proprieties'!Q51</f>
        <v>8.31</v>
      </c>
      <c r="P53" s="109">
        <f t="shared" si="27"/>
        <v>73.603274494251067</v>
      </c>
      <c r="Q53" s="63">
        <f t="shared" si="28"/>
        <v>3.64</v>
      </c>
      <c r="R53" s="63">
        <v>0.91</v>
      </c>
      <c r="S53" s="63">
        <f>1+0.06*'Material Proprieties'!Q51</f>
        <v>1.0900000000000001</v>
      </c>
      <c r="T53" s="72">
        <f t="shared" si="29"/>
        <v>62.20707070707067</v>
      </c>
      <c r="U53" s="109">
        <f t="shared" si="30"/>
        <v>64.220448750000003</v>
      </c>
      <c r="V53" s="109" t="s">
        <v>37</v>
      </c>
      <c r="W53" s="109">
        <f t="shared" si="31"/>
        <v>59.83322691250001</v>
      </c>
      <c r="X53" s="109">
        <f t="shared" si="32"/>
        <v>64.220448750000003</v>
      </c>
      <c r="Y53" s="63">
        <f t="shared" si="35"/>
        <v>4.8950000000000005</v>
      </c>
      <c r="Z53" s="63">
        <f t="shared" si="33"/>
        <v>6.3950000000000005</v>
      </c>
      <c r="AA53" s="63">
        <v>25</v>
      </c>
      <c r="AB53" s="71">
        <f t="shared" si="34"/>
        <v>6.0333333333333341</v>
      </c>
      <c r="AC53" s="70">
        <f t="shared" si="36"/>
        <v>13.205000000000013</v>
      </c>
      <c r="AD53" s="70">
        <f>'Material Proprieties'!$E$7</f>
        <v>1.28</v>
      </c>
    </row>
    <row r="54" spans="10:36" ht="15.75" customHeight="1" x14ac:dyDescent="0.3">
      <c r="J54" s="3"/>
      <c r="K54" s="74">
        <v>47</v>
      </c>
      <c r="L54" s="109">
        <f t="shared" si="25"/>
        <v>1206.3395947374111</v>
      </c>
      <c r="M54" s="63">
        <f>ROUNDUP(MAX(O54:O82),0)</f>
        <v>9</v>
      </c>
      <c r="N54" s="109">
        <f t="shared" si="26"/>
        <v>78</v>
      </c>
      <c r="O54" s="63">
        <f>4.5+0.01*Lbp+'Material Proprieties'!Q52</f>
        <v>8.31</v>
      </c>
      <c r="P54" s="109">
        <f t="shared" si="27"/>
        <v>77.05875139716936</v>
      </c>
      <c r="Q54" s="63">
        <f t="shared" si="28"/>
        <v>3.64</v>
      </c>
      <c r="R54" s="63">
        <v>0.91</v>
      </c>
      <c r="S54" s="63">
        <f>1+0.06*'Material Proprieties'!Q52</f>
        <v>1.0900000000000001</v>
      </c>
      <c r="T54" s="72">
        <f t="shared" si="29"/>
        <v>62.20707070707067</v>
      </c>
      <c r="U54" s="109">
        <f t="shared" si="30"/>
        <v>68.795587500000011</v>
      </c>
      <c r="V54" s="109" t="s">
        <v>37</v>
      </c>
      <c r="W54" s="109">
        <f t="shared" si="31"/>
        <v>62.898569875</v>
      </c>
      <c r="X54" s="109">
        <f t="shared" si="32"/>
        <v>68.795587500000011</v>
      </c>
      <c r="Y54" s="63">
        <f t="shared" si="35"/>
        <v>5.3500000000000005</v>
      </c>
      <c r="Z54" s="63">
        <f t="shared" si="33"/>
        <v>6.8500000000000005</v>
      </c>
      <c r="AA54" s="63">
        <v>25</v>
      </c>
      <c r="AB54" s="71">
        <f t="shared" si="34"/>
        <v>6.0333333333333341</v>
      </c>
      <c r="AC54" s="70">
        <f t="shared" si="36"/>
        <v>12.750000000000014</v>
      </c>
      <c r="AD54" s="70">
        <f>'Material Proprieties'!$E$7</f>
        <v>1.28</v>
      </c>
    </row>
    <row r="55" spans="10:36" ht="15.75" customHeight="1" x14ac:dyDescent="0.3">
      <c r="J55" s="3"/>
    </row>
    <row r="56" spans="10:36" ht="15.75" customHeight="1" x14ac:dyDescent="0.3">
      <c r="J56" s="3"/>
      <c r="K56" s="222" t="s">
        <v>281</v>
      </c>
      <c r="L56" s="223"/>
      <c r="M56" s="223"/>
      <c r="N56" s="223"/>
      <c r="O56" s="223"/>
      <c r="P56" s="223"/>
      <c r="Q56" s="223"/>
      <c r="R56" s="223"/>
      <c r="S56" s="223"/>
      <c r="T56" s="223"/>
      <c r="U56" s="223"/>
      <c r="V56" s="223"/>
      <c r="W56" s="223"/>
      <c r="X56" s="223"/>
      <c r="Y56" s="223"/>
      <c r="Z56" s="223"/>
      <c r="AA56" s="223"/>
      <c r="AB56" s="223"/>
      <c r="AC56" s="224"/>
    </row>
    <row r="57" spans="10:36" ht="15.75" customHeight="1" x14ac:dyDescent="0.3">
      <c r="J57" s="3"/>
      <c r="K57" s="74" t="s">
        <v>219</v>
      </c>
      <c r="L57" s="74" t="s">
        <v>256</v>
      </c>
      <c r="M57" s="74" t="s">
        <v>158</v>
      </c>
      <c r="N57" s="74" t="s">
        <v>221</v>
      </c>
      <c r="O57" s="74" t="s">
        <v>167</v>
      </c>
      <c r="P57" s="74" t="s">
        <v>257</v>
      </c>
      <c r="Q57" s="74" t="s">
        <v>40</v>
      </c>
      <c r="R57" s="74" t="s">
        <v>182</v>
      </c>
      <c r="S57" s="74" t="s">
        <v>223</v>
      </c>
      <c r="T57" s="74" t="s">
        <v>187</v>
      </c>
      <c r="U57" s="74" t="s">
        <v>183</v>
      </c>
      <c r="V57" s="73" t="s">
        <v>188</v>
      </c>
      <c r="W57" s="73" t="s">
        <v>189</v>
      </c>
      <c r="X57" s="73" t="s">
        <v>190</v>
      </c>
      <c r="Y57" s="73" t="s">
        <v>191</v>
      </c>
      <c r="Z57" s="73" t="s">
        <v>192</v>
      </c>
      <c r="AA57" s="73" t="s">
        <v>244</v>
      </c>
      <c r="AB57" s="73" t="s">
        <v>157</v>
      </c>
      <c r="AC57" s="74"/>
    </row>
    <row r="58" spans="10:36" ht="15.75" customHeight="1" x14ac:dyDescent="0.3">
      <c r="J58" s="3"/>
      <c r="K58" s="74" t="s">
        <v>164</v>
      </c>
      <c r="L58" s="118" t="s">
        <v>260</v>
      </c>
      <c r="M58" s="118" t="s">
        <v>169</v>
      </c>
      <c r="N58" s="118" t="s">
        <v>26</v>
      </c>
      <c r="O58" s="118" t="s">
        <v>30</v>
      </c>
      <c r="P58" s="118" t="s">
        <v>228</v>
      </c>
      <c r="Q58" s="118" t="s">
        <v>3</v>
      </c>
      <c r="R58" s="118" t="s">
        <v>3</v>
      </c>
      <c r="S58" s="118" t="s">
        <v>15</v>
      </c>
      <c r="T58" s="118" t="s">
        <v>15</v>
      </c>
      <c r="U58" s="118" t="s">
        <v>246</v>
      </c>
      <c r="V58" s="117" t="s">
        <v>197</v>
      </c>
      <c r="W58" s="117" t="s">
        <v>15</v>
      </c>
      <c r="X58" s="117" t="s">
        <v>3</v>
      </c>
      <c r="Y58" s="117" t="s">
        <v>3</v>
      </c>
      <c r="Z58" s="117" t="s">
        <v>3</v>
      </c>
      <c r="AA58" s="117" t="s">
        <v>3</v>
      </c>
      <c r="AB58" s="117" t="s">
        <v>64</v>
      </c>
      <c r="AC58" s="63"/>
    </row>
    <row r="59" spans="10:36" ht="15.75" customHeight="1" x14ac:dyDescent="0.3">
      <c r="J59" s="3"/>
      <c r="K59" s="73">
        <v>48</v>
      </c>
      <c r="L59" s="109">
        <f>83*(Q59^2)*R59*U59*S59/T59</f>
        <v>86.767202998467567</v>
      </c>
      <c r="M59" s="63">
        <f>ROUNDUP(MAX($O$59:$O$60),0)</f>
        <v>9</v>
      </c>
      <c r="N59" s="109">
        <f>ROUNDUP(MAX($P$59:$P$60),0)</f>
        <v>14</v>
      </c>
      <c r="O59" s="63">
        <f>4.5+0.01*Lbp+'Material Proprieties'!Q57</f>
        <v>8.31</v>
      </c>
      <c r="P59" s="109">
        <f>0.68*L59^(2/3)</f>
        <v>13.327416737456698</v>
      </c>
      <c r="Q59" s="63">
        <f>R59*4</f>
        <v>3</v>
      </c>
      <c r="R59" s="63">
        <v>0.75</v>
      </c>
      <c r="S59" s="63">
        <f>1+0.06*'Material Proprieties'!Q57</f>
        <v>1.0900000000000001</v>
      </c>
      <c r="T59" s="72">
        <f>IF(225*AB59-130*$D$28&gt;160*AB59,160*AB59,225*AB59-130*$D$28)</f>
        <v>62.20707070707067</v>
      </c>
      <c r="U59" s="109">
        <f>$D$27*(V59-(4+0.2*$D$33)*AA59)</f>
        <v>8.8386713532710672</v>
      </c>
      <c r="V59" s="72">
        <f>W59+135*X59/(B+75)-1.2*(T-Y59)</f>
        <v>35.908339191588844</v>
      </c>
      <c r="W59" s="72">
        <f>'Bottom structures'!$C$33*Cw+Z59</f>
        <v>25.253685906917308</v>
      </c>
      <c r="X59" s="70">
        <v>8.65</v>
      </c>
      <c r="Y59" s="70">
        <f>T</f>
        <v>13.2</v>
      </c>
      <c r="Z59" s="70">
        <f>MIN(T,'Bottom structures'!$C$34)</f>
        <v>4.9000000000000021</v>
      </c>
      <c r="AA59" s="70">
        <f>D+0.75-T</f>
        <v>5.6500000000000021</v>
      </c>
      <c r="AB59" s="70">
        <f>'Material Proprieties'!$E$7</f>
        <v>1.28</v>
      </c>
      <c r="AC59" s="70" t="s">
        <v>74</v>
      </c>
    </row>
    <row r="60" spans="10:36" ht="15.75" customHeight="1" x14ac:dyDescent="0.3">
      <c r="J60" s="3"/>
      <c r="K60" s="73">
        <v>49</v>
      </c>
      <c r="L60" s="109">
        <f>83*(Q60^2)*R60*U60*S60/T60</f>
        <v>60.850930432095865</v>
      </c>
      <c r="M60" s="63">
        <f>ROUNDUP(MAX($O$59:$O$60),0)</f>
        <v>9</v>
      </c>
      <c r="N60" s="109">
        <f>ROUNDUP(MAX($P$59:$P$60),0)</f>
        <v>14</v>
      </c>
      <c r="O60" s="63">
        <f>4.5+0.01*Lbp+'Material Proprieties'!Q58</f>
        <v>8.31</v>
      </c>
      <c r="P60" s="109">
        <f>0.68*L60^(2/3)</f>
        <v>10.520112759008928</v>
      </c>
      <c r="Q60" s="63">
        <f>R60*4</f>
        <v>3</v>
      </c>
      <c r="R60" s="63">
        <v>0.75</v>
      </c>
      <c r="S60" s="63">
        <f>1+0.06*'Material Proprieties'!Q58</f>
        <v>1.0900000000000001</v>
      </c>
      <c r="T60" s="72">
        <f>IF(225*AB60-130*$D$28&gt;160*AB60,160*AB60,225*AB60-130*$D$28)</f>
        <v>62.20707070707067</v>
      </c>
      <c r="U60" s="109">
        <f>$D$27*(V60-(4+0.2*$D$33)*AA60)</f>
        <v>6.1986713532710667</v>
      </c>
      <c r="V60" s="72">
        <f>W60+135*X60/(B+75)-1.2*(T-Y60)</f>
        <v>35.908339191588844</v>
      </c>
      <c r="W60" s="72">
        <f>'Bottom structures'!$C$33*Cw+Z60</f>
        <v>25.253685906917308</v>
      </c>
      <c r="X60" s="70">
        <v>8.65</v>
      </c>
      <c r="Y60" s="70">
        <f>T</f>
        <v>13.2</v>
      </c>
      <c r="Z60" s="70">
        <f>MIN(T,'Bottom structures'!$C$34)</f>
        <v>4.9000000000000021</v>
      </c>
      <c r="AA60" s="70">
        <f>D+1.5-T</f>
        <v>6.4000000000000021</v>
      </c>
      <c r="AB60" s="70">
        <f>'Material Proprieties'!$E$7</f>
        <v>1.28</v>
      </c>
      <c r="AC60" s="63"/>
      <c r="AE60" s="3"/>
    </row>
    <row r="61" spans="10:36" ht="15.75" customHeight="1" x14ac:dyDescent="0.3">
      <c r="J61" s="3"/>
      <c r="AE61" s="3"/>
    </row>
    <row r="62" spans="10:36" ht="15.75" customHeight="1" x14ac:dyDescent="0.3">
      <c r="J62" s="3"/>
      <c r="AE62" s="11"/>
    </row>
    <row r="63" spans="10:36" ht="15.75" customHeight="1" x14ac:dyDescent="0.3">
      <c r="J63" s="3"/>
    </row>
    <row r="64" spans="10:36" ht="15.75" customHeight="1" x14ac:dyDescent="0.3">
      <c r="J64" s="3"/>
    </row>
    <row r="65" spans="10:10" ht="15.75" customHeight="1" x14ac:dyDescent="0.3">
      <c r="J65" s="3"/>
    </row>
    <row r="66" spans="10:10" ht="15.75" customHeight="1" x14ac:dyDescent="0.3">
      <c r="J66" s="3"/>
    </row>
    <row r="67" spans="10:10" ht="15.75" customHeight="1" x14ac:dyDescent="0.3">
      <c r="J67" s="3"/>
    </row>
    <row r="68" spans="10:10" ht="15.75" customHeight="1" x14ac:dyDescent="0.3">
      <c r="J68" s="3"/>
    </row>
    <row r="69" spans="10:10" ht="15.75" customHeight="1" x14ac:dyDescent="0.3">
      <c r="J69" s="3"/>
    </row>
    <row r="70" spans="10:10" ht="15.75" customHeight="1" x14ac:dyDescent="0.3">
      <c r="J70" s="3"/>
    </row>
    <row r="71" spans="10:10" ht="15.75" customHeight="1" x14ac:dyDescent="0.3"/>
    <row r="72" spans="10:10" ht="15.75" customHeight="1" x14ac:dyDescent="0.3"/>
    <row r="73" spans="10:10" ht="15.75" customHeight="1" x14ac:dyDescent="0.3"/>
    <row r="74" spans="10:10" ht="15.75" customHeight="1" x14ac:dyDescent="0.3"/>
    <row r="75" spans="10:10" ht="15.75" customHeight="1" x14ac:dyDescent="0.3"/>
    <row r="76" spans="10:10" ht="15.75" customHeight="1" x14ac:dyDescent="0.3"/>
    <row r="77" spans="10:10" ht="15.75" customHeight="1" x14ac:dyDescent="0.3"/>
    <row r="78" spans="10:10" ht="15.75" customHeight="1" x14ac:dyDescent="0.3"/>
    <row r="79" spans="10:10" ht="15.75" customHeight="1" x14ac:dyDescent="0.3"/>
    <row r="80" spans="10:1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7">
    <mergeCell ref="K41:AD41"/>
    <mergeCell ref="K56:AC56"/>
    <mergeCell ref="U39:X39"/>
    <mergeCell ref="C26:F26"/>
    <mergeCell ref="J4:AF4"/>
    <mergeCell ref="J14:AD14"/>
    <mergeCell ref="J27:AH27"/>
  </mergeCells>
  <pageMargins left="0.511811024" right="0.511811024" top="0.78740157499999996" bottom="0.78740157499999996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1000"/>
  <sheetViews>
    <sheetView tabSelected="1" topLeftCell="H1" zoomScale="65" zoomScaleNormal="65" workbookViewId="0">
      <selection activeCell="P14" sqref="P14"/>
    </sheetView>
  </sheetViews>
  <sheetFormatPr defaultColWidth="14.44140625" defaultRowHeight="15" customHeight="1" x14ac:dyDescent="0.3"/>
  <cols>
    <col min="1" max="1" width="8.6640625" customWidth="1"/>
    <col min="2" max="2" width="8.88671875" customWidth="1"/>
    <col min="3" max="3" width="9.21875" bestFit="1" customWidth="1"/>
    <col min="4" max="4" width="17.33203125" bestFit="1" customWidth="1"/>
    <col min="5" max="5" width="15.88671875" bestFit="1" customWidth="1"/>
    <col min="6" max="6" width="11.88671875" bestFit="1" customWidth="1"/>
    <col min="7" max="7" width="9.21875" bestFit="1" customWidth="1"/>
    <col min="8" max="9" width="8.6640625" customWidth="1"/>
    <col min="10" max="10" width="16.109375" bestFit="1" customWidth="1"/>
    <col min="11" max="11" width="17.33203125" bestFit="1" customWidth="1"/>
    <col min="12" max="12" width="16.5546875" bestFit="1" customWidth="1"/>
    <col min="13" max="13" width="11.88671875" bestFit="1" customWidth="1"/>
    <col min="14" max="14" width="17.109375" customWidth="1"/>
    <col min="15" max="15" width="15.5546875" customWidth="1"/>
    <col min="16" max="16" width="11.6640625" customWidth="1"/>
    <col min="17" max="17" width="9" customWidth="1"/>
    <col min="18" max="19" width="8.6640625" customWidth="1"/>
    <col min="20" max="20" width="15.109375" customWidth="1"/>
    <col min="21" max="21" width="17.109375" customWidth="1"/>
    <col min="22" max="22" width="15.5546875" customWidth="1"/>
    <col min="23" max="23" width="11.6640625" customWidth="1"/>
    <col min="24" max="24" width="12.6640625" customWidth="1"/>
    <col min="25" max="27" width="8.6640625" customWidth="1"/>
  </cols>
  <sheetData>
    <row r="2" spans="2:14" ht="14.4" x14ac:dyDescent="0.3">
      <c r="B2" s="252" t="s">
        <v>282</v>
      </c>
      <c r="C2" s="253"/>
      <c r="D2" s="253"/>
      <c r="E2" s="253"/>
      <c r="F2" s="253"/>
      <c r="G2" s="253"/>
      <c r="H2" s="253"/>
      <c r="J2" s="254" t="s">
        <v>283</v>
      </c>
      <c r="K2" s="255"/>
      <c r="L2" s="255"/>
      <c r="M2" s="255"/>
      <c r="N2" s="256"/>
    </row>
    <row r="3" spans="2:14" ht="14.4" x14ac:dyDescent="0.3">
      <c r="B3" s="204" t="s">
        <v>284</v>
      </c>
      <c r="C3" s="135" t="s">
        <v>219</v>
      </c>
      <c r="D3" s="135" t="s">
        <v>256</v>
      </c>
      <c r="E3" s="135" t="s">
        <v>158</v>
      </c>
      <c r="F3" s="135" t="s">
        <v>221</v>
      </c>
      <c r="G3" s="135" t="s">
        <v>157</v>
      </c>
      <c r="H3" s="135" t="s">
        <v>155</v>
      </c>
      <c r="J3" s="257" t="s">
        <v>284</v>
      </c>
      <c r="K3" s="49" t="s">
        <v>256</v>
      </c>
      <c r="L3" s="49" t="s">
        <v>158</v>
      </c>
      <c r="M3" s="49" t="s">
        <v>221</v>
      </c>
      <c r="N3" s="257" t="s">
        <v>285</v>
      </c>
    </row>
    <row r="4" spans="2:14" ht="14.4" x14ac:dyDescent="0.3">
      <c r="B4" s="251"/>
      <c r="C4" s="135" t="s">
        <v>164</v>
      </c>
      <c r="D4" s="135" t="s">
        <v>260</v>
      </c>
      <c r="E4" s="135" t="s">
        <v>169</v>
      </c>
      <c r="F4" s="135" t="s">
        <v>26</v>
      </c>
      <c r="G4" s="135" t="s">
        <v>64</v>
      </c>
      <c r="H4" s="135" t="s">
        <v>164</v>
      </c>
      <c r="J4" s="258"/>
      <c r="K4" s="49" t="s">
        <v>260</v>
      </c>
      <c r="L4" s="49" t="s">
        <v>169</v>
      </c>
      <c r="M4" s="49" t="s">
        <v>26</v>
      </c>
      <c r="N4" s="258"/>
    </row>
    <row r="5" spans="2:14" ht="14.4" x14ac:dyDescent="0.3">
      <c r="B5" s="250" t="s">
        <v>286</v>
      </c>
      <c r="C5" s="86">
        <f>'Bottom structures'!K53</f>
        <v>1</v>
      </c>
      <c r="D5" s="132">
        <f>'Bottom structures'!L53</f>
        <v>1067.711210367117</v>
      </c>
      <c r="E5" s="133">
        <f>'Bottom structures'!M53</f>
        <v>10</v>
      </c>
      <c r="F5" s="133">
        <f>'Bottom structures'!N53</f>
        <v>85.230617777044245</v>
      </c>
      <c r="G5" s="86">
        <f>'Bottom structures'!AG53</f>
        <v>1.28</v>
      </c>
      <c r="H5" s="86">
        <v>1</v>
      </c>
      <c r="J5" s="50" t="s">
        <v>286</v>
      </c>
      <c r="K5" s="5">
        <f>ROUNDUP(LARGE(D5:D24,1),0)</f>
        <v>1404</v>
      </c>
      <c r="L5" s="5">
        <f>ROUNDUP(LARGE(E5:E24,1),0)</f>
        <v>10</v>
      </c>
      <c r="M5" s="5">
        <f>ROUNDUP(LARGE(F5:F24,1),0)</f>
        <v>86</v>
      </c>
      <c r="N5" s="59" t="s">
        <v>287</v>
      </c>
    </row>
    <row r="6" spans="2:14" ht="14.4" x14ac:dyDescent="0.3">
      <c r="B6" s="251"/>
      <c r="C6" s="86">
        <f>'Bottom structures'!K54</f>
        <v>2</v>
      </c>
      <c r="D6" s="132">
        <f>'Bottom structures'!L54</f>
        <v>1067.711210367117</v>
      </c>
      <c r="E6" s="133">
        <f>'Bottom structures'!M54</f>
        <v>10</v>
      </c>
      <c r="F6" s="133">
        <f>'Bottom structures'!N54</f>
        <v>85.230617777044245</v>
      </c>
      <c r="G6" s="86">
        <f>'Bottom structures'!AG54</f>
        <v>1.28</v>
      </c>
      <c r="H6" s="244">
        <v>2</v>
      </c>
      <c r="J6" s="50" t="s">
        <v>53</v>
      </c>
      <c r="K6" s="5">
        <f>ROUNDUP(LARGE(D25:D44,1),0)</f>
        <v>1036</v>
      </c>
      <c r="L6" s="5">
        <f>ROUNDUP(LARGE(E25:E44,1),0)</f>
        <v>10</v>
      </c>
      <c r="M6" s="5">
        <f>ROUNDUP(LARGE(F25:F44,1),0)</f>
        <v>70</v>
      </c>
      <c r="N6" s="59" t="s">
        <v>288</v>
      </c>
    </row>
    <row r="7" spans="2:14" ht="14.4" x14ac:dyDescent="0.3">
      <c r="B7" s="251"/>
      <c r="C7" s="86">
        <f>'Bottom structures'!K55</f>
        <v>3</v>
      </c>
      <c r="D7" s="132">
        <f>'Bottom structures'!L55</f>
        <v>1067.711210367117</v>
      </c>
      <c r="E7" s="133">
        <f>'Bottom structures'!M55</f>
        <v>10</v>
      </c>
      <c r="F7" s="133">
        <f>'Bottom structures'!N55</f>
        <v>85.230617777044245</v>
      </c>
      <c r="G7" s="86">
        <f>'Bottom structures'!AG55</f>
        <v>1.28</v>
      </c>
      <c r="H7" s="249"/>
      <c r="J7" s="50" t="s">
        <v>289</v>
      </c>
      <c r="K7" s="5">
        <f>ROUNDUP(LARGE(D45:D54,1),0)</f>
        <v>973</v>
      </c>
      <c r="L7" s="5">
        <f>ROUNDUP(LARGE(E45:E54,1),0)</f>
        <v>10</v>
      </c>
      <c r="M7" s="5">
        <f>ROUNDUP(LARGE(F45:F54,1),0)</f>
        <v>67</v>
      </c>
      <c r="N7" s="59" t="s">
        <v>290</v>
      </c>
    </row>
    <row r="8" spans="2:14" ht="14.4" x14ac:dyDescent="0.3">
      <c r="B8" s="251"/>
      <c r="C8" s="86">
        <f>'Bottom structures'!K56</f>
        <v>4</v>
      </c>
      <c r="D8" s="132">
        <f>'Bottom structures'!L56</f>
        <v>1067.711210367117</v>
      </c>
      <c r="E8" s="133">
        <f>'Bottom structures'!M56</f>
        <v>10</v>
      </c>
      <c r="F8" s="133">
        <f>'Bottom structures'!N56</f>
        <v>85.230617777044245</v>
      </c>
      <c r="G8" s="86">
        <f>'Bottom structures'!AG56</f>
        <v>1.28</v>
      </c>
      <c r="H8" s="244">
        <v>3</v>
      </c>
      <c r="J8" s="50" t="s">
        <v>57</v>
      </c>
      <c r="K8" s="5">
        <f>ROUNDUP(LARGE(D55:D60,1),0)</f>
        <v>276</v>
      </c>
      <c r="L8" s="5">
        <f>ROUNDUP(LARGE(E55:E60,1),0)</f>
        <v>10</v>
      </c>
      <c r="M8" s="5">
        <f>ROUNDUP(LARGE(F55:F60,1),0)</f>
        <v>29</v>
      </c>
      <c r="N8" s="59" t="s">
        <v>291</v>
      </c>
    </row>
    <row r="9" spans="2:14" ht="14.4" x14ac:dyDescent="0.3">
      <c r="B9" s="251"/>
      <c r="C9" s="86">
        <f>'Bottom structures'!K57</f>
        <v>5</v>
      </c>
      <c r="D9" s="132">
        <f>'Bottom structures'!L57</f>
        <v>1067.711210367117</v>
      </c>
      <c r="E9" s="133">
        <f>'Bottom structures'!M57</f>
        <v>10</v>
      </c>
      <c r="F9" s="133">
        <f>'Bottom structures'!N57</f>
        <v>85.230617777044245</v>
      </c>
      <c r="G9" s="86">
        <f>'Bottom structures'!AG57</f>
        <v>1.28</v>
      </c>
      <c r="H9" s="249"/>
      <c r="J9" s="50" t="s">
        <v>252</v>
      </c>
      <c r="K9" s="32">
        <f>ROUNDUP(D61,0)</f>
        <v>214</v>
      </c>
      <c r="L9" s="32">
        <f>ROUNDUP(E61,0)</f>
        <v>10</v>
      </c>
      <c r="M9" s="32">
        <f>ROUNDUP(F61,0)</f>
        <v>29</v>
      </c>
      <c r="N9" s="59" t="s">
        <v>291</v>
      </c>
    </row>
    <row r="10" spans="2:14" ht="14.4" x14ac:dyDescent="0.3">
      <c r="B10" s="251"/>
      <c r="C10" s="86">
        <f>'Bottom structures'!K58</f>
        <v>6</v>
      </c>
      <c r="D10" s="132">
        <f>'Bottom structures'!L58</f>
        <v>1067.711210367117</v>
      </c>
      <c r="E10" s="133">
        <f>'Bottom structures'!M58</f>
        <v>10</v>
      </c>
      <c r="F10" s="133">
        <f>'Bottom structures'!N58</f>
        <v>85.230617777044245</v>
      </c>
      <c r="G10" s="86">
        <f>'Bottom structures'!AG58</f>
        <v>1.28</v>
      </c>
      <c r="H10" s="249"/>
      <c r="J10" s="50" t="s">
        <v>278</v>
      </c>
      <c r="K10" s="5">
        <f>ROUNDUP(LARGE(D62:D70,1),0)</f>
        <v>438</v>
      </c>
      <c r="L10" s="5">
        <f>ROUNDUP(LARGE(E62:E70,1),0)</f>
        <v>10</v>
      </c>
      <c r="M10" s="5">
        <f>ROUNDUP(LARGE(F62:F70,1),0)</f>
        <v>40</v>
      </c>
      <c r="N10" s="59" t="s">
        <v>292</v>
      </c>
    </row>
    <row r="11" spans="2:14" ht="14.4" x14ac:dyDescent="0.3">
      <c r="B11" s="251"/>
      <c r="C11" s="86">
        <f>'Bottom structures'!K59</f>
        <v>7</v>
      </c>
      <c r="D11" s="132">
        <f>'Bottom structures'!L59</f>
        <v>1067.711210367117</v>
      </c>
      <c r="E11" s="133">
        <f>'Bottom structures'!M59</f>
        <v>10</v>
      </c>
      <c r="F11" s="133">
        <f>'Bottom structures'!N59</f>
        <v>85.230617777044245</v>
      </c>
      <c r="G11" s="86">
        <f>'Bottom structures'!AG59</f>
        <v>1.28</v>
      </c>
      <c r="H11" s="244">
        <v>4</v>
      </c>
      <c r="J11" s="50" t="s">
        <v>280</v>
      </c>
      <c r="K11" s="5">
        <f>ROUNDUP(LARGE(D71:D81,1),0)</f>
        <v>1207</v>
      </c>
      <c r="L11" s="5">
        <f>ROUNDUP(LARGE(E71:E81,1),0)</f>
        <v>10</v>
      </c>
      <c r="M11" s="5">
        <f>ROUNDUP(LARGE(F71:F81,1),0)</f>
        <v>78</v>
      </c>
      <c r="N11" s="59" t="s">
        <v>293</v>
      </c>
    </row>
    <row r="12" spans="2:14" ht="14.4" x14ac:dyDescent="0.3">
      <c r="B12" s="251"/>
      <c r="C12" s="86">
        <f>'Bottom structures'!K60</f>
        <v>8</v>
      </c>
      <c r="D12" s="132">
        <f>'Bottom structures'!L60</f>
        <v>1067.711210367117</v>
      </c>
      <c r="E12" s="133">
        <f>'Bottom structures'!M60</f>
        <v>10</v>
      </c>
      <c r="F12" s="133">
        <f>'Bottom structures'!N60</f>
        <v>85.230617777044245</v>
      </c>
      <c r="G12" s="86">
        <f>'Bottom structures'!AG60</f>
        <v>1.28</v>
      </c>
      <c r="H12" s="249"/>
      <c r="J12" s="50" t="s">
        <v>281</v>
      </c>
      <c r="K12" s="5">
        <f>ROUNDUP(LARGE(D82:D83,1),0)</f>
        <v>87</v>
      </c>
      <c r="L12" s="5">
        <f>ROUNDUP(LARGE(E82:E83,1),0)</f>
        <v>9</v>
      </c>
      <c r="M12" s="5">
        <f>ROUNDUP(LARGE(F82:F83,1),0)</f>
        <v>14</v>
      </c>
      <c r="N12" s="59" t="s">
        <v>294</v>
      </c>
    </row>
    <row r="13" spans="2:14" ht="14.4" x14ac:dyDescent="0.3">
      <c r="B13" s="251"/>
      <c r="C13" s="86">
        <f>'Bottom structures'!K61</f>
        <v>9</v>
      </c>
      <c r="D13" s="132">
        <f>'Bottom structures'!L61</f>
        <v>1067.711210367117</v>
      </c>
      <c r="E13" s="133">
        <f>'Bottom structures'!M61</f>
        <v>10</v>
      </c>
      <c r="F13" s="133">
        <f>'Bottom structures'!N61</f>
        <v>85.230617777044245</v>
      </c>
      <c r="G13" s="86">
        <f>'Bottom structures'!AG61</f>
        <v>1.28</v>
      </c>
      <c r="H13" s="244">
        <v>5</v>
      </c>
      <c r="J13" s="50" t="s">
        <v>295</v>
      </c>
      <c r="K13" s="32">
        <f>'Side structures'!I36</f>
        <v>425.61385232252263</v>
      </c>
      <c r="L13" s="5" t="s">
        <v>37</v>
      </c>
      <c r="M13" s="32">
        <f>'Side structures'!J36</f>
        <v>38.475660350621112</v>
      </c>
      <c r="N13" s="59" t="s">
        <v>292</v>
      </c>
    </row>
    <row r="14" spans="2:14" ht="14.4" x14ac:dyDescent="0.3">
      <c r="B14" s="251"/>
      <c r="C14" s="86">
        <f>'Bottom structures'!K62</f>
        <v>10</v>
      </c>
      <c r="D14" s="132">
        <f>'Bottom structures'!L62</f>
        <v>1077.2245039469196</v>
      </c>
      <c r="E14" s="133">
        <f>'Bottom structures'!M62</f>
        <v>10</v>
      </c>
      <c r="F14" s="133">
        <f>'Bottom structures'!N62</f>
        <v>85.230617777044245</v>
      </c>
      <c r="G14" s="86">
        <f>'Bottom structures'!AG62</f>
        <v>1.28</v>
      </c>
      <c r="H14" s="249"/>
    </row>
    <row r="15" spans="2:14" ht="14.4" x14ac:dyDescent="0.3">
      <c r="B15" s="251"/>
      <c r="C15" s="86">
        <f>'Bottom structures'!K63</f>
        <v>11</v>
      </c>
      <c r="D15" s="132">
        <f>'Bottom structures'!L63</f>
        <v>1083.7108404786034</v>
      </c>
      <c r="E15" s="133">
        <f>'Bottom structures'!M63</f>
        <v>10</v>
      </c>
      <c r="F15" s="133">
        <f>'Bottom structures'!N63</f>
        <v>85.230617777044245</v>
      </c>
      <c r="G15" s="86">
        <f>'Bottom structures'!AG63</f>
        <v>1.28</v>
      </c>
      <c r="H15" s="244">
        <v>6</v>
      </c>
    </row>
    <row r="16" spans="2:14" ht="14.4" x14ac:dyDescent="0.3">
      <c r="B16" s="251"/>
      <c r="C16" s="86">
        <f>'Bottom structures'!K64</f>
        <v>12</v>
      </c>
      <c r="D16" s="132">
        <f>'Bottom structures'!L64</f>
        <v>1090.1971770102869</v>
      </c>
      <c r="E16" s="133">
        <f>'Bottom structures'!M64</f>
        <v>10</v>
      </c>
      <c r="F16" s="133">
        <f>'Bottom structures'!N64</f>
        <v>85.230617777044245</v>
      </c>
      <c r="G16" s="86">
        <f>'Bottom structures'!AG64</f>
        <v>1.28</v>
      </c>
      <c r="H16" s="249"/>
    </row>
    <row r="17" spans="2:8" ht="14.4" x14ac:dyDescent="0.3">
      <c r="B17" s="251"/>
      <c r="C17" s="86">
        <f>'Bottom structures'!K65</f>
        <v>13</v>
      </c>
      <c r="D17" s="132">
        <f>'Bottom structures'!L65</f>
        <v>1221.5112672414941</v>
      </c>
      <c r="E17" s="133">
        <f>'Bottom structures'!M65</f>
        <v>10</v>
      </c>
      <c r="F17" s="133">
        <f>'Bottom structures'!N65</f>
        <v>85.230617777044245</v>
      </c>
      <c r="G17" s="86">
        <f>'Bottom structures'!AG65</f>
        <v>1.28</v>
      </c>
      <c r="H17" s="244">
        <v>7</v>
      </c>
    </row>
    <row r="18" spans="2:8" ht="14.4" x14ac:dyDescent="0.3">
      <c r="B18" s="251"/>
      <c r="C18" s="86">
        <f>'Bottom structures'!K66</f>
        <v>14</v>
      </c>
      <c r="D18" s="132">
        <f>'Bottom structures'!L66</f>
        <v>1229.4551556622532</v>
      </c>
      <c r="E18" s="133">
        <f>'Bottom structures'!M66</f>
        <v>10</v>
      </c>
      <c r="F18" s="133">
        <f>'Bottom structures'!N66</f>
        <v>85.230617777044245</v>
      </c>
      <c r="G18" s="86">
        <f>'Bottom structures'!AG66</f>
        <v>1.28</v>
      </c>
      <c r="H18" s="249"/>
    </row>
    <row r="19" spans="2:8" ht="14.4" x14ac:dyDescent="0.3">
      <c r="B19" s="251"/>
      <c r="C19" s="86">
        <f>'Bottom structures'!K67</f>
        <v>15</v>
      </c>
      <c r="D19" s="132">
        <f>'Bottom structures'!L67</f>
        <v>1237.3990440830123</v>
      </c>
      <c r="E19" s="133">
        <f>'Bottom structures'!M67</f>
        <v>10</v>
      </c>
      <c r="F19" s="133">
        <f>'Bottom structures'!N67</f>
        <v>85.230617777044245</v>
      </c>
      <c r="G19" s="86">
        <f>'Bottom structures'!AG67</f>
        <v>1.28</v>
      </c>
      <c r="H19" s="244">
        <v>8</v>
      </c>
    </row>
    <row r="20" spans="2:8" ht="14.4" x14ac:dyDescent="0.3">
      <c r="B20" s="251"/>
      <c r="C20" s="86">
        <f>'Bottom structures'!K68</f>
        <v>16</v>
      </c>
      <c r="D20" s="132">
        <f>'Bottom structures'!L68</f>
        <v>1368.4354727923958</v>
      </c>
      <c r="E20" s="133">
        <f>'Bottom structures'!M68</f>
        <v>10</v>
      </c>
      <c r="F20" s="133">
        <f>'Bottom structures'!N68</f>
        <v>85.230617777044245</v>
      </c>
      <c r="G20" s="86">
        <f>'Bottom structures'!AG68</f>
        <v>1.28</v>
      </c>
      <c r="H20" s="249"/>
    </row>
    <row r="21" spans="2:8" ht="15.75" customHeight="1" x14ac:dyDescent="0.3">
      <c r="B21" s="251"/>
      <c r="C21" s="86">
        <f>'Bottom structures'!K69</f>
        <v>17</v>
      </c>
      <c r="D21" s="132">
        <f>'Bottom structures'!L69</f>
        <v>1377.1350936676295</v>
      </c>
      <c r="E21" s="133">
        <f>'Bottom structures'!M69</f>
        <v>10</v>
      </c>
      <c r="F21" s="133">
        <f>'Bottom structures'!N69</f>
        <v>85.230617777044245</v>
      </c>
      <c r="G21" s="86">
        <f>'Bottom structures'!AG69</f>
        <v>1.28</v>
      </c>
      <c r="H21" s="244">
        <v>9</v>
      </c>
    </row>
    <row r="22" spans="2:8" ht="15.75" customHeight="1" x14ac:dyDescent="0.3">
      <c r="B22" s="251"/>
      <c r="C22" s="86">
        <f>'Bottom structures'!K70</f>
        <v>18</v>
      </c>
      <c r="D22" s="132">
        <f>'Bottom structures'!L70</f>
        <v>1385.8347145428634</v>
      </c>
      <c r="E22" s="133">
        <f>'Bottom structures'!M70</f>
        <v>10</v>
      </c>
      <c r="F22" s="133">
        <f>'Bottom structures'!N70</f>
        <v>85.230617777044245</v>
      </c>
      <c r="G22" s="86">
        <f>'Bottom structures'!AG70</f>
        <v>1.28</v>
      </c>
      <c r="H22" s="249"/>
    </row>
    <row r="23" spans="2:8" ht="15.75" customHeight="1" x14ac:dyDescent="0.3">
      <c r="B23" s="251"/>
      <c r="C23" s="86">
        <f>'Bottom structures'!K71</f>
        <v>19</v>
      </c>
      <c r="D23" s="132">
        <f>'Bottom structures'!L71</f>
        <v>1394.534335418097</v>
      </c>
      <c r="E23" s="133">
        <f>'Bottom structures'!M71</f>
        <v>10</v>
      </c>
      <c r="F23" s="133">
        <f>'Bottom structures'!N71</f>
        <v>85.230617777044245</v>
      </c>
      <c r="G23" s="86">
        <f>'Bottom structures'!AG71</f>
        <v>1.28</v>
      </c>
      <c r="H23" s="244">
        <v>10</v>
      </c>
    </row>
    <row r="24" spans="2:8" ht="15.75" customHeight="1" x14ac:dyDescent="0.3">
      <c r="B24" s="251"/>
      <c r="C24" s="86">
        <f>'Bottom structures'!K72</f>
        <v>20</v>
      </c>
      <c r="D24" s="132">
        <f>'Bottom structures'!L72</f>
        <v>1403.2339562933307</v>
      </c>
      <c r="E24" s="133">
        <f>'Bottom structures'!M72</f>
        <v>10</v>
      </c>
      <c r="F24" s="133">
        <f>'Bottom structures'!N72</f>
        <v>85.230617777044245</v>
      </c>
      <c r="G24" s="86">
        <f>'Bottom structures'!AG72</f>
        <v>1.28</v>
      </c>
      <c r="H24" s="249"/>
    </row>
    <row r="25" spans="2:8" ht="15.75" customHeight="1" x14ac:dyDescent="0.3">
      <c r="B25" s="250" t="s">
        <v>53</v>
      </c>
      <c r="C25" s="86">
        <f>'Bottom structures'!K78</f>
        <v>50</v>
      </c>
      <c r="D25" s="132">
        <f>'Bottom structures'!L78</f>
        <v>1025.6655293244332</v>
      </c>
      <c r="E25" s="133">
        <f>'Bottom structures'!M78</f>
        <v>10</v>
      </c>
      <c r="F25" s="133">
        <f>'Bottom structures'!N78</f>
        <v>69.582376476978069</v>
      </c>
      <c r="G25" s="86">
        <f>'Bottom structures'!AG78</f>
        <v>1.28</v>
      </c>
      <c r="H25" s="244">
        <v>28</v>
      </c>
    </row>
    <row r="26" spans="2:8" ht="15.75" customHeight="1" x14ac:dyDescent="0.3">
      <c r="B26" s="251"/>
      <c r="C26" s="86">
        <f>'Bottom structures'!K79</f>
        <v>51</v>
      </c>
      <c r="D26" s="132">
        <f>'Bottom structures'!L79</f>
        <v>1025.6655293244332</v>
      </c>
      <c r="E26" s="133">
        <f>'Bottom structures'!M79</f>
        <v>10</v>
      </c>
      <c r="F26" s="133">
        <f>'Bottom structures'!N79</f>
        <v>69.582376476978069</v>
      </c>
      <c r="G26" s="86">
        <f>'Bottom structures'!AG79</f>
        <v>1.28</v>
      </c>
      <c r="H26" s="249"/>
    </row>
    <row r="27" spans="2:8" ht="15.75" customHeight="1" x14ac:dyDescent="0.3">
      <c r="B27" s="251"/>
      <c r="C27" s="86">
        <f>'Bottom structures'!K80</f>
        <v>52</v>
      </c>
      <c r="D27" s="132">
        <f>'Bottom structures'!L80</f>
        <v>1025.6655293244332</v>
      </c>
      <c r="E27" s="133">
        <f>'Bottom structures'!M80</f>
        <v>10</v>
      </c>
      <c r="F27" s="133">
        <f>'Bottom structures'!N80</f>
        <v>69.582376476978069</v>
      </c>
      <c r="G27" s="86">
        <f>'Bottom structures'!AG80</f>
        <v>1.28</v>
      </c>
      <c r="H27" s="249"/>
    </row>
    <row r="28" spans="2:8" ht="15.75" customHeight="1" x14ac:dyDescent="0.3">
      <c r="B28" s="251"/>
      <c r="C28" s="86">
        <f>'Bottom structures'!K81</f>
        <v>53</v>
      </c>
      <c r="D28" s="132">
        <f>'Bottom structures'!L81</f>
        <v>1025.6655293244332</v>
      </c>
      <c r="E28" s="133">
        <f>'Bottom structures'!M81</f>
        <v>10</v>
      </c>
      <c r="F28" s="133">
        <f>'Bottom structures'!N81</f>
        <v>69.582376476978069</v>
      </c>
      <c r="G28" s="86">
        <f>'Bottom structures'!AG81</f>
        <v>1.28</v>
      </c>
      <c r="H28" s="249"/>
    </row>
    <row r="29" spans="2:8" ht="15.75" customHeight="1" x14ac:dyDescent="0.3">
      <c r="B29" s="251"/>
      <c r="C29" s="86">
        <f>'Bottom structures'!K82</f>
        <v>54</v>
      </c>
      <c r="D29" s="132">
        <f>'Bottom structures'!L82</f>
        <v>1025.6655293244332</v>
      </c>
      <c r="E29" s="133">
        <f>'Bottom structures'!M82</f>
        <v>10</v>
      </c>
      <c r="F29" s="133">
        <f>'Bottom structures'!N82</f>
        <v>69.582376476978069</v>
      </c>
      <c r="G29" s="86">
        <f>'Bottom structures'!AG82</f>
        <v>1.28</v>
      </c>
      <c r="H29" s="244">
        <v>29</v>
      </c>
    </row>
    <row r="30" spans="2:8" ht="15.75" customHeight="1" x14ac:dyDescent="0.3">
      <c r="B30" s="251"/>
      <c r="C30" s="86">
        <f>'Bottom structures'!K83</f>
        <v>55</v>
      </c>
      <c r="D30" s="132">
        <f>'Bottom structures'!L83</f>
        <v>1025.6655293244332</v>
      </c>
      <c r="E30" s="133">
        <f>'Bottom structures'!M83</f>
        <v>10</v>
      </c>
      <c r="F30" s="133">
        <f>'Bottom structures'!N83</f>
        <v>69.582376476978069</v>
      </c>
      <c r="G30" s="86">
        <f>'Bottom structures'!AG83</f>
        <v>1.28</v>
      </c>
      <c r="H30" s="249"/>
    </row>
    <row r="31" spans="2:8" ht="15.75" customHeight="1" x14ac:dyDescent="0.3">
      <c r="B31" s="251"/>
      <c r="C31" s="86">
        <f>'Bottom structures'!K84</f>
        <v>56</v>
      </c>
      <c r="D31" s="132">
        <f>'Bottom structures'!L84</f>
        <v>1025.6655293244332</v>
      </c>
      <c r="E31" s="133">
        <f>'Bottom structures'!M84</f>
        <v>10</v>
      </c>
      <c r="F31" s="133">
        <f>'Bottom structures'!N84</f>
        <v>69.582376476978069</v>
      </c>
      <c r="G31" s="86">
        <f>'Bottom structures'!AG84</f>
        <v>1.28</v>
      </c>
      <c r="H31" s="249"/>
    </row>
    <row r="32" spans="2:8" ht="15.75" customHeight="1" x14ac:dyDescent="0.3">
      <c r="B32" s="251"/>
      <c r="C32" s="86">
        <f>'Bottom structures'!K85</f>
        <v>57</v>
      </c>
      <c r="D32" s="132">
        <f>'Bottom structures'!L85</f>
        <v>1027.1496362645921</v>
      </c>
      <c r="E32" s="133">
        <f>'Bottom structures'!M85</f>
        <v>10</v>
      </c>
      <c r="F32" s="133">
        <f>'Bottom structures'!N85</f>
        <v>69.582376476978069</v>
      </c>
      <c r="G32" s="86">
        <f>'Bottom structures'!AG85</f>
        <v>1.28</v>
      </c>
      <c r="H32" s="249"/>
    </row>
    <row r="33" spans="2:8" ht="15.75" customHeight="1" x14ac:dyDescent="0.3">
      <c r="B33" s="251"/>
      <c r="C33" s="86">
        <f>'Bottom structures'!K86</f>
        <v>58</v>
      </c>
      <c r="D33" s="132">
        <f>'Bottom structures'!L86</f>
        <v>1035.107646764435</v>
      </c>
      <c r="E33" s="133">
        <f>'Bottom structures'!M86</f>
        <v>10</v>
      </c>
      <c r="F33" s="133">
        <f>'Bottom structures'!N86</f>
        <v>69.582376476978069</v>
      </c>
      <c r="G33" s="86">
        <f>'Bottom structures'!AG86</f>
        <v>1.28</v>
      </c>
      <c r="H33" s="244">
        <v>30</v>
      </c>
    </row>
    <row r="34" spans="2:8" ht="15.75" customHeight="1" x14ac:dyDescent="0.3">
      <c r="B34" s="251"/>
      <c r="C34" s="86">
        <f>'Bottom structures'!K87</f>
        <v>59</v>
      </c>
      <c r="D34" s="132">
        <f>'Bottom structures'!L87</f>
        <v>1035.107646764435</v>
      </c>
      <c r="E34" s="133">
        <f>'Bottom structures'!M87</f>
        <v>10</v>
      </c>
      <c r="F34" s="133">
        <f>'Bottom structures'!N87</f>
        <v>69.582376476978069</v>
      </c>
      <c r="G34" s="86">
        <f>'Bottom structures'!AG87</f>
        <v>1.28</v>
      </c>
      <c r="H34" s="249"/>
    </row>
    <row r="35" spans="2:8" ht="15.75" customHeight="1" x14ac:dyDescent="0.3">
      <c r="B35" s="251"/>
      <c r="C35" s="86">
        <f>'Bottom structures'!K88</f>
        <v>60</v>
      </c>
      <c r="D35" s="132">
        <f>'Bottom structures'!L88</f>
        <v>1035.107646764435</v>
      </c>
      <c r="E35" s="133">
        <f>'Bottom structures'!M88</f>
        <v>10</v>
      </c>
      <c r="F35" s="133">
        <f>'Bottom structures'!N88</f>
        <v>69.582376476978069</v>
      </c>
      <c r="G35" s="86">
        <f>'Bottom structures'!AG88</f>
        <v>1.28</v>
      </c>
      <c r="H35" s="249"/>
    </row>
    <row r="36" spans="2:8" ht="15.75" customHeight="1" x14ac:dyDescent="0.3">
      <c r="B36" s="251"/>
      <c r="C36" s="86">
        <f>'Bottom structures'!K89</f>
        <v>61</v>
      </c>
      <c r="D36" s="132">
        <f>'Bottom structures'!L89</f>
        <v>1035.107646764435</v>
      </c>
      <c r="E36" s="133">
        <f>'Bottom structures'!M89</f>
        <v>10</v>
      </c>
      <c r="F36" s="133">
        <f>'Bottom structures'!N89</f>
        <v>69.582376476978069</v>
      </c>
      <c r="G36" s="86">
        <f>'Bottom structures'!AG89</f>
        <v>1.28</v>
      </c>
      <c r="H36" s="244">
        <v>31</v>
      </c>
    </row>
    <row r="37" spans="2:8" ht="15.75" customHeight="1" x14ac:dyDescent="0.3">
      <c r="B37" s="251"/>
      <c r="C37" s="86">
        <f>'Bottom structures'!K90</f>
        <v>62</v>
      </c>
      <c r="D37" s="132">
        <f>'Bottom structures'!L90</f>
        <v>1035.107646764435</v>
      </c>
      <c r="E37" s="133">
        <f>'Bottom structures'!M90</f>
        <v>10</v>
      </c>
      <c r="F37" s="133">
        <f>'Bottom structures'!N90</f>
        <v>69.582376476978069</v>
      </c>
      <c r="G37" s="86">
        <f>'Bottom structures'!AG90</f>
        <v>1.28</v>
      </c>
      <c r="H37" s="249"/>
    </row>
    <row r="38" spans="2:8" ht="15.75" customHeight="1" x14ac:dyDescent="0.3">
      <c r="B38" s="251"/>
      <c r="C38" s="86">
        <f>'Bottom structures'!K91</f>
        <v>63</v>
      </c>
      <c r="D38" s="132">
        <f>'Bottom structures'!L91</f>
        <v>1035.107646764435</v>
      </c>
      <c r="E38" s="133">
        <f>'Bottom structures'!M91</f>
        <v>10</v>
      </c>
      <c r="F38" s="133">
        <f>'Bottom structures'!N91</f>
        <v>69.582376476978069</v>
      </c>
      <c r="G38" s="86">
        <f>'Bottom structures'!AG91</f>
        <v>1.28</v>
      </c>
      <c r="H38" s="249"/>
    </row>
    <row r="39" spans="2:8" ht="15.75" customHeight="1" x14ac:dyDescent="0.3">
      <c r="B39" s="251"/>
      <c r="C39" s="86">
        <f>'Bottom structures'!K92</f>
        <v>64</v>
      </c>
      <c r="D39" s="132">
        <f>'Bottom structures'!L92</f>
        <v>1035.107646764435</v>
      </c>
      <c r="E39" s="133">
        <f>'Bottom structures'!M92</f>
        <v>10</v>
      </c>
      <c r="F39" s="133">
        <f>'Bottom structures'!N92</f>
        <v>69.582376476978069</v>
      </c>
      <c r="G39" s="86">
        <f>'Bottom structures'!AG92</f>
        <v>1.28</v>
      </c>
      <c r="H39" s="244">
        <v>32</v>
      </c>
    </row>
    <row r="40" spans="2:8" ht="15.75" customHeight="1" x14ac:dyDescent="0.3">
      <c r="B40" s="251"/>
      <c r="C40" s="86">
        <f>'Bottom structures'!K93</f>
        <v>65</v>
      </c>
      <c r="D40" s="132">
        <f>'Bottom structures'!L93</f>
        <v>1035.107646764435</v>
      </c>
      <c r="E40" s="133">
        <f>'Bottom structures'!M93</f>
        <v>10</v>
      </c>
      <c r="F40" s="133">
        <f>'Bottom structures'!N93</f>
        <v>69.582376476978069</v>
      </c>
      <c r="G40" s="86">
        <f>'Bottom structures'!AG93</f>
        <v>1.28</v>
      </c>
      <c r="H40" s="249"/>
    </row>
    <row r="41" spans="2:8" ht="15.75" customHeight="1" x14ac:dyDescent="0.3">
      <c r="B41" s="251"/>
      <c r="C41" s="86">
        <f>'Bottom structures'!K94</f>
        <v>66</v>
      </c>
      <c r="D41" s="132">
        <f>'Bottom structures'!L94</f>
        <v>1035.107646764435</v>
      </c>
      <c r="E41" s="133">
        <f>'Bottom structures'!M94</f>
        <v>10</v>
      </c>
      <c r="F41" s="133">
        <f>'Bottom structures'!N94</f>
        <v>69.582376476978069</v>
      </c>
      <c r="G41" s="86">
        <f>'Bottom structures'!AG94</f>
        <v>1.28</v>
      </c>
      <c r="H41" s="249"/>
    </row>
    <row r="42" spans="2:8" ht="15.75" customHeight="1" x14ac:dyDescent="0.3">
      <c r="B42" s="251"/>
      <c r="C42" s="86">
        <f>'Bottom structures'!K95</f>
        <v>67</v>
      </c>
      <c r="D42" s="132">
        <f>'Bottom structures'!L95</f>
        <v>1035.107646764435</v>
      </c>
      <c r="E42" s="133">
        <f>'Bottom structures'!M95</f>
        <v>10</v>
      </c>
      <c r="F42" s="133">
        <f>'Bottom structures'!N95</f>
        <v>69.582376476978069</v>
      </c>
      <c r="G42" s="86">
        <f>'Bottom structures'!AG95</f>
        <v>1.28</v>
      </c>
      <c r="H42" s="244">
        <v>33</v>
      </c>
    </row>
    <row r="43" spans="2:8" ht="15.75" customHeight="1" x14ac:dyDescent="0.3">
      <c r="B43" s="251"/>
      <c r="C43" s="86">
        <f>'Bottom structures'!K96</f>
        <v>68</v>
      </c>
      <c r="D43" s="132">
        <f>'Bottom structures'!L96</f>
        <v>1035.107646764435</v>
      </c>
      <c r="E43" s="133">
        <f>'Bottom structures'!M96</f>
        <v>10</v>
      </c>
      <c r="F43" s="133">
        <f>'Bottom structures'!N96</f>
        <v>69.582376476978069</v>
      </c>
      <c r="G43" s="86">
        <f>'Bottom structures'!AG96</f>
        <v>1.28</v>
      </c>
      <c r="H43" s="249"/>
    </row>
    <row r="44" spans="2:8" ht="15.75" customHeight="1" x14ac:dyDescent="0.3">
      <c r="B44" s="251"/>
      <c r="C44" s="86">
        <f>'Bottom structures'!K97</f>
        <v>69</v>
      </c>
      <c r="D44" s="132">
        <f>'Bottom structures'!L97</f>
        <v>1035.107646764435</v>
      </c>
      <c r="E44" s="133">
        <f>'Bottom structures'!M97</f>
        <v>10</v>
      </c>
      <c r="F44" s="133">
        <f>'Bottom structures'!N97</f>
        <v>69.582376476978069</v>
      </c>
      <c r="G44" s="86">
        <f>'Bottom structures'!AG97</f>
        <v>1.28</v>
      </c>
      <c r="H44" s="86">
        <v>34</v>
      </c>
    </row>
    <row r="45" spans="2:8" ht="15.75" customHeight="1" x14ac:dyDescent="0.3">
      <c r="B45" s="250" t="s">
        <v>289</v>
      </c>
      <c r="C45" s="133">
        <f>'Bottom structures'!K103</f>
        <v>70</v>
      </c>
      <c r="D45" s="132">
        <f>'Bottom structures'!L103</f>
        <v>936.05214248387426</v>
      </c>
      <c r="E45" s="133">
        <f>'Bottom structures'!M103</f>
        <v>10</v>
      </c>
      <c r="F45" s="133">
        <f>'Bottom structures'!N103</f>
        <v>66.735105306268395</v>
      </c>
      <c r="G45" s="86">
        <f>'Bottom structures'!AC103</f>
        <v>1.28</v>
      </c>
      <c r="H45" s="244">
        <v>35</v>
      </c>
    </row>
    <row r="46" spans="2:8" ht="15.75" customHeight="1" x14ac:dyDescent="0.3">
      <c r="B46" s="251"/>
      <c r="C46" s="133">
        <f>'Bottom structures'!K104</f>
        <v>71</v>
      </c>
      <c r="D46" s="132">
        <f>'Bottom structures'!L104</f>
        <v>972.22807069581143</v>
      </c>
      <c r="E46" s="133">
        <f>'Bottom structures'!M104</f>
        <v>10</v>
      </c>
      <c r="F46" s="133">
        <f>'Bottom structures'!N104</f>
        <v>66.735105306268395</v>
      </c>
      <c r="G46" s="86">
        <f>'Bottom structures'!AC104</f>
        <v>1.28</v>
      </c>
      <c r="H46" s="249"/>
    </row>
    <row r="47" spans="2:8" ht="15.75" customHeight="1" x14ac:dyDescent="0.3">
      <c r="B47" s="251"/>
      <c r="C47" s="133">
        <f>'Bottom structures'!K105</f>
        <v>72</v>
      </c>
      <c r="D47" s="132">
        <f>'Bottom structures'!L105</f>
        <v>936.05214248387426</v>
      </c>
      <c r="E47" s="133">
        <f>'Bottom structures'!M105</f>
        <v>10</v>
      </c>
      <c r="F47" s="133">
        <f>'Bottom structures'!N105</f>
        <v>66.735105306268395</v>
      </c>
      <c r="G47" s="86">
        <f>'Bottom structures'!AC105</f>
        <v>1.28</v>
      </c>
      <c r="H47" s="244">
        <v>36</v>
      </c>
    </row>
    <row r="48" spans="2:8" ht="15.75" customHeight="1" x14ac:dyDescent="0.3">
      <c r="B48" s="251"/>
      <c r="C48" s="133">
        <f>'Bottom structures'!K106</f>
        <v>73</v>
      </c>
      <c r="D48" s="132">
        <f>'Bottom structures'!L106</f>
        <v>972.22807069581143</v>
      </c>
      <c r="E48" s="133">
        <f>'Bottom structures'!M106</f>
        <v>10</v>
      </c>
      <c r="F48" s="133">
        <f>'Bottom structures'!N106</f>
        <v>66.735105306268395</v>
      </c>
      <c r="G48" s="86">
        <f>'Bottom structures'!AC106</f>
        <v>1.28</v>
      </c>
      <c r="H48" s="249"/>
    </row>
    <row r="49" spans="2:8" ht="15.75" customHeight="1" x14ac:dyDescent="0.3">
      <c r="B49" s="251"/>
      <c r="C49" s="133">
        <f>'Bottom structures'!K107</f>
        <v>74</v>
      </c>
      <c r="D49" s="132">
        <f>'Bottom structures'!L107</f>
        <v>936.05214248387426</v>
      </c>
      <c r="E49" s="133">
        <f>'Bottom structures'!M107</f>
        <v>10</v>
      </c>
      <c r="F49" s="133">
        <f>'Bottom structures'!N107</f>
        <v>66.735105306268395</v>
      </c>
      <c r="G49" s="86">
        <f>'Bottom structures'!AC107</f>
        <v>1.28</v>
      </c>
      <c r="H49" s="244">
        <v>37</v>
      </c>
    </row>
    <row r="50" spans="2:8" ht="15.75" customHeight="1" x14ac:dyDescent="0.3">
      <c r="B50" s="251"/>
      <c r="C50" s="133">
        <f>'Bottom structures'!K108</f>
        <v>75</v>
      </c>
      <c r="D50" s="132">
        <f>'Bottom structures'!L108</f>
        <v>972.22807069581143</v>
      </c>
      <c r="E50" s="133">
        <f>'Bottom structures'!M108</f>
        <v>10</v>
      </c>
      <c r="F50" s="133">
        <f>'Bottom structures'!N108</f>
        <v>66.735105306268395</v>
      </c>
      <c r="G50" s="86">
        <f>'Bottom structures'!AC108</f>
        <v>1.28</v>
      </c>
      <c r="H50" s="249"/>
    </row>
    <row r="51" spans="2:8" ht="15.75" customHeight="1" x14ac:dyDescent="0.3">
      <c r="B51" s="251"/>
      <c r="C51" s="133">
        <f>'Bottom structures'!K109</f>
        <v>76</v>
      </c>
      <c r="D51" s="132">
        <f>'Bottom structures'!L109</f>
        <v>936.05214248387426</v>
      </c>
      <c r="E51" s="133">
        <f>'Bottom structures'!M109</f>
        <v>10</v>
      </c>
      <c r="F51" s="133">
        <f>'Bottom structures'!N109</f>
        <v>66.735105306268395</v>
      </c>
      <c r="G51" s="86">
        <f>'Bottom structures'!AC109</f>
        <v>1.28</v>
      </c>
      <c r="H51" s="244">
        <v>38</v>
      </c>
    </row>
    <row r="52" spans="2:8" ht="15.75" customHeight="1" x14ac:dyDescent="0.3">
      <c r="B52" s="251"/>
      <c r="C52" s="133">
        <f>'Bottom structures'!K110</f>
        <v>77</v>
      </c>
      <c r="D52" s="132">
        <f>'Bottom structures'!L110</f>
        <v>972.22807069581143</v>
      </c>
      <c r="E52" s="133">
        <f>'Bottom structures'!M110</f>
        <v>10</v>
      </c>
      <c r="F52" s="133">
        <f>'Bottom structures'!N110</f>
        <v>66.735105306268395</v>
      </c>
      <c r="G52" s="86">
        <f>'Bottom structures'!AC110</f>
        <v>1.28</v>
      </c>
      <c r="H52" s="249"/>
    </row>
    <row r="53" spans="2:8" ht="15.75" customHeight="1" x14ac:dyDescent="0.3">
      <c r="B53" s="251"/>
      <c r="C53" s="133">
        <f>'Bottom structures'!K111</f>
        <v>78</v>
      </c>
      <c r="D53" s="132">
        <f>'Bottom structures'!L111</f>
        <v>936.05214248387426</v>
      </c>
      <c r="E53" s="133">
        <f>'Bottom structures'!M111</f>
        <v>10</v>
      </c>
      <c r="F53" s="133">
        <f>'Bottom structures'!N111</f>
        <v>66.735105306268395</v>
      </c>
      <c r="G53" s="86">
        <f>'Bottom structures'!AC111</f>
        <v>1.28</v>
      </c>
      <c r="H53" s="244">
        <v>39</v>
      </c>
    </row>
    <row r="54" spans="2:8" ht="15.75" customHeight="1" x14ac:dyDescent="0.3">
      <c r="B54" s="251"/>
      <c r="C54" s="133">
        <f>'Bottom structures'!K112</f>
        <v>79</v>
      </c>
      <c r="D54" s="132">
        <f>'Bottom structures'!L112</f>
        <v>972.22807069581143</v>
      </c>
      <c r="E54" s="133">
        <f>'Bottom structures'!M112</f>
        <v>10</v>
      </c>
      <c r="F54" s="133">
        <f>'Bottom structures'!N112</f>
        <v>66.735105306268395</v>
      </c>
      <c r="G54" s="86">
        <f>'Bottom structures'!AC112</f>
        <v>1.28</v>
      </c>
      <c r="H54" s="249"/>
    </row>
    <row r="55" spans="2:8" ht="15.75" customHeight="1" x14ac:dyDescent="0.3">
      <c r="B55" s="250" t="s">
        <v>57</v>
      </c>
      <c r="C55" s="133">
        <f>'Side structures'!H24</f>
        <v>21</v>
      </c>
      <c r="D55" s="132">
        <f>'Side structures'!I24</f>
        <v>275.90686861832705</v>
      </c>
      <c r="E55" s="133">
        <f>'Side structures'!J24</f>
        <v>10</v>
      </c>
      <c r="F55" s="133">
        <f>'Side structures'!K24</f>
        <v>29</v>
      </c>
      <c r="G55" s="86">
        <f>'Side structures'!AF24</f>
        <v>1.28</v>
      </c>
      <c r="H55" s="86">
        <v>13</v>
      </c>
    </row>
    <row r="56" spans="2:8" ht="15.75" customHeight="1" x14ac:dyDescent="0.3">
      <c r="B56" s="251"/>
      <c r="C56" s="133">
        <f>'Side structures'!H25</f>
        <v>22</v>
      </c>
      <c r="D56" s="132">
        <f>'Side structures'!I25</f>
        <v>262.75115768081025</v>
      </c>
      <c r="E56" s="133">
        <f>'Side structures'!J25</f>
        <v>10</v>
      </c>
      <c r="F56" s="133">
        <f>'Side structures'!K25</f>
        <v>29</v>
      </c>
      <c r="G56" s="86">
        <f>'Side structures'!AF25</f>
        <v>1.28</v>
      </c>
      <c r="H56" s="244">
        <v>14</v>
      </c>
    </row>
    <row r="57" spans="2:8" ht="15.75" customHeight="1" x14ac:dyDescent="0.3">
      <c r="B57" s="251"/>
      <c r="C57" s="133">
        <f>'Side structures'!H26</f>
        <v>23</v>
      </c>
      <c r="D57" s="132">
        <f>'Side structures'!I26</f>
        <v>249.59544674329345</v>
      </c>
      <c r="E57" s="133">
        <f>'Side structures'!J26</f>
        <v>10</v>
      </c>
      <c r="F57" s="133">
        <f>'Side structures'!K26</f>
        <v>29</v>
      </c>
      <c r="G57" s="86">
        <f>'Side structures'!AF26</f>
        <v>1.28</v>
      </c>
      <c r="H57" s="249"/>
    </row>
    <row r="58" spans="2:8" ht="15.75" customHeight="1" x14ac:dyDescent="0.3">
      <c r="B58" s="251"/>
      <c r="C58" s="133">
        <f>'Side structures'!H27</f>
        <v>24</v>
      </c>
      <c r="D58" s="132">
        <f>'Side structures'!I27</f>
        <v>236.43973580577665</v>
      </c>
      <c r="E58" s="133">
        <f>'Side structures'!J27</f>
        <v>10</v>
      </c>
      <c r="F58" s="133">
        <f>'Side structures'!K27</f>
        <v>29</v>
      </c>
      <c r="G58" s="86">
        <f>'Side structures'!AF27</f>
        <v>1.28</v>
      </c>
      <c r="H58" s="244">
        <v>15</v>
      </c>
    </row>
    <row r="59" spans="2:8" ht="15.75" customHeight="1" x14ac:dyDescent="0.3">
      <c r="B59" s="251"/>
      <c r="C59" s="133">
        <f>'Side structures'!H28</f>
        <v>25</v>
      </c>
      <c r="D59" s="132">
        <f>'Side structures'!I28</f>
        <v>223.28402486825982</v>
      </c>
      <c r="E59" s="133">
        <f>'Side structures'!J28</f>
        <v>10</v>
      </c>
      <c r="F59" s="133">
        <f>'Side structures'!K28</f>
        <v>29</v>
      </c>
      <c r="G59" s="86">
        <f>'Side structures'!AF28</f>
        <v>1.28</v>
      </c>
      <c r="H59" s="249"/>
    </row>
    <row r="60" spans="2:8" ht="15.75" customHeight="1" x14ac:dyDescent="0.3">
      <c r="B60" s="251"/>
      <c r="C60" s="133">
        <f>'Side structures'!H29</f>
        <v>26</v>
      </c>
      <c r="D60" s="132">
        <f>'Side structures'!I29</f>
        <v>227.47835820025378</v>
      </c>
      <c r="E60" s="133">
        <f>'Side structures'!J29</f>
        <v>10</v>
      </c>
      <c r="F60" s="133">
        <f>'Side structures'!K29</f>
        <v>29</v>
      </c>
      <c r="G60" s="86">
        <f>'Side structures'!AF29</f>
        <v>1.28</v>
      </c>
      <c r="H60" s="249"/>
    </row>
    <row r="61" spans="2:8" ht="28.8" x14ac:dyDescent="0.3">
      <c r="B61" s="134" t="s">
        <v>252</v>
      </c>
      <c r="C61" s="133">
        <f>'Side structures'!H30</f>
        <v>27</v>
      </c>
      <c r="D61" s="132">
        <f>'Side structures'!I30</f>
        <v>213.23639590092364</v>
      </c>
      <c r="E61" s="133">
        <f>'Side structures'!J30</f>
        <v>10</v>
      </c>
      <c r="F61" s="133">
        <f>'Side structures'!K30</f>
        <v>29</v>
      </c>
      <c r="G61" s="86">
        <f>'Side structures'!AF30</f>
        <v>1.28</v>
      </c>
      <c r="H61" s="86">
        <v>16</v>
      </c>
    </row>
    <row r="62" spans="2:8" ht="15.75" customHeight="1" x14ac:dyDescent="0.3">
      <c r="B62" s="250" t="s">
        <v>296</v>
      </c>
      <c r="C62" s="86">
        <f>'Deck structures'!J30</f>
        <v>28</v>
      </c>
      <c r="D62" s="132">
        <f>'Deck structures'!K30</f>
        <v>437.84694175620569</v>
      </c>
      <c r="E62" s="133">
        <f>'Deck structures'!L30</f>
        <v>10</v>
      </c>
      <c r="F62" s="133">
        <f>'Deck structures'!M30</f>
        <v>40</v>
      </c>
      <c r="G62" s="86">
        <f>'Deck structures'!AH30</f>
        <v>1.28</v>
      </c>
      <c r="H62" s="244">
        <v>17</v>
      </c>
    </row>
    <row r="63" spans="2:8" ht="15.75" customHeight="1" x14ac:dyDescent="0.3">
      <c r="B63" s="251"/>
      <c r="C63" s="86">
        <f>'Deck structures'!J31</f>
        <v>29</v>
      </c>
      <c r="D63" s="132">
        <f>'Deck structures'!K31</f>
        <v>437.84694175620569</v>
      </c>
      <c r="E63" s="133">
        <f>'Deck structures'!L31</f>
        <v>10</v>
      </c>
      <c r="F63" s="133">
        <f>'Deck structures'!M31</f>
        <v>40</v>
      </c>
      <c r="G63" s="86">
        <f>'Deck structures'!AH31</f>
        <v>1.28</v>
      </c>
      <c r="H63" s="249"/>
    </row>
    <row r="64" spans="2:8" ht="15.75" customHeight="1" x14ac:dyDescent="0.3">
      <c r="B64" s="251"/>
      <c r="C64" s="86">
        <f>'Deck structures'!J32</f>
        <v>30</v>
      </c>
      <c r="D64" s="132">
        <f>'Deck structures'!K32</f>
        <v>437.84694175620569</v>
      </c>
      <c r="E64" s="133">
        <f>'Deck structures'!L32</f>
        <v>10</v>
      </c>
      <c r="F64" s="133">
        <f>'Deck structures'!M32</f>
        <v>40</v>
      </c>
      <c r="G64" s="86">
        <f>'Deck structures'!AH32</f>
        <v>1.28</v>
      </c>
      <c r="H64" s="244">
        <v>18</v>
      </c>
    </row>
    <row r="65" spans="2:8" ht="15.75" customHeight="1" x14ac:dyDescent="0.3">
      <c r="B65" s="251"/>
      <c r="C65" s="86">
        <f>'Deck structures'!J33</f>
        <v>31</v>
      </c>
      <c r="D65" s="132">
        <f>'Deck structures'!K33</f>
        <v>437.84694175620569</v>
      </c>
      <c r="E65" s="133">
        <f>'Deck structures'!L33</f>
        <v>10</v>
      </c>
      <c r="F65" s="133">
        <f>'Deck structures'!M33</f>
        <v>40</v>
      </c>
      <c r="G65" s="86">
        <f>'Deck structures'!AH33</f>
        <v>1.28</v>
      </c>
      <c r="H65" s="249"/>
    </row>
    <row r="66" spans="2:8" ht="15.75" customHeight="1" x14ac:dyDescent="0.3">
      <c r="B66" s="251"/>
      <c r="C66" s="86">
        <f>'Deck structures'!J34</f>
        <v>32</v>
      </c>
      <c r="D66" s="132">
        <f>'Deck structures'!K34</f>
        <v>437.84694175620569</v>
      </c>
      <c r="E66" s="133">
        <f>'Deck structures'!L34</f>
        <v>10</v>
      </c>
      <c r="F66" s="133">
        <f>'Deck structures'!M34</f>
        <v>40</v>
      </c>
      <c r="G66" s="86">
        <f>'Deck structures'!AH34</f>
        <v>1.28</v>
      </c>
      <c r="H66" s="244">
        <v>19</v>
      </c>
    </row>
    <row r="67" spans="2:8" ht="15.75" customHeight="1" x14ac:dyDescent="0.3">
      <c r="B67" s="251"/>
      <c r="C67" s="86">
        <f>'Deck structures'!J35</f>
        <v>33</v>
      </c>
      <c r="D67" s="132">
        <f>'Deck structures'!K35</f>
        <v>437.84694175620569</v>
      </c>
      <c r="E67" s="133">
        <f>'Deck structures'!L35</f>
        <v>10</v>
      </c>
      <c r="F67" s="133">
        <f>'Deck structures'!M35</f>
        <v>40</v>
      </c>
      <c r="G67" s="86">
        <f>'Deck structures'!AH35</f>
        <v>1.28</v>
      </c>
      <c r="H67" s="249"/>
    </row>
    <row r="68" spans="2:8" ht="15.75" customHeight="1" x14ac:dyDescent="0.3">
      <c r="B68" s="251"/>
      <c r="C68" s="86">
        <f>'Deck structures'!J36</f>
        <v>34</v>
      </c>
      <c r="D68" s="132">
        <f>'Deck structures'!K36</f>
        <v>437.84694175620569</v>
      </c>
      <c r="E68" s="133">
        <f>'Deck structures'!L36</f>
        <v>10</v>
      </c>
      <c r="F68" s="133">
        <f>'Deck structures'!M36</f>
        <v>40</v>
      </c>
      <c r="G68" s="86">
        <f>'Deck structures'!AH36</f>
        <v>1.28</v>
      </c>
      <c r="H68" s="244">
        <v>20</v>
      </c>
    </row>
    <row r="69" spans="2:8" ht="15.75" customHeight="1" x14ac:dyDescent="0.3">
      <c r="B69" s="251"/>
      <c r="C69" s="86">
        <f>'Deck structures'!J37</f>
        <v>35</v>
      </c>
      <c r="D69" s="132">
        <f>'Deck structures'!K37</f>
        <v>437.84694175620569</v>
      </c>
      <c r="E69" s="133">
        <f>'Deck structures'!L37</f>
        <v>10</v>
      </c>
      <c r="F69" s="133">
        <f>'Deck structures'!M37</f>
        <v>40</v>
      </c>
      <c r="G69" s="86">
        <f>'Deck structures'!AH37</f>
        <v>1.28</v>
      </c>
      <c r="H69" s="249"/>
    </row>
    <row r="70" spans="2:8" ht="15.75" customHeight="1" x14ac:dyDescent="0.3">
      <c r="B70" s="251"/>
      <c r="C70" s="86">
        <f>'Deck structures'!J38</f>
        <v>36</v>
      </c>
      <c r="D70" s="132">
        <f>'Deck structures'!K38</f>
        <v>437.84694175620569</v>
      </c>
      <c r="E70" s="133">
        <f>'Deck structures'!L38</f>
        <v>10</v>
      </c>
      <c r="F70" s="133">
        <f>'Deck structures'!M38</f>
        <v>40</v>
      </c>
      <c r="G70" s="86">
        <f>'Deck structures'!AH38</f>
        <v>1.28</v>
      </c>
      <c r="H70" s="86">
        <v>21</v>
      </c>
    </row>
    <row r="71" spans="2:8" ht="15.75" customHeight="1" x14ac:dyDescent="0.3">
      <c r="B71" s="250" t="s">
        <v>280</v>
      </c>
      <c r="C71" s="86">
        <f>'Deck structures'!K44</f>
        <v>37</v>
      </c>
      <c r="D71" s="132">
        <f>'Deck structures'!L44</f>
        <v>47.641199563705946</v>
      </c>
      <c r="E71" s="86">
        <f>'Deck structures'!M44</f>
        <v>10</v>
      </c>
      <c r="F71" s="133">
        <f>'Deck structures'!N44</f>
        <v>78</v>
      </c>
      <c r="G71" s="86">
        <f>'Deck structures'!AD44</f>
        <v>1.28</v>
      </c>
      <c r="H71" s="86">
        <v>23</v>
      </c>
    </row>
    <row r="72" spans="2:8" ht="15.75" customHeight="1" x14ac:dyDescent="0.3">
      <c r="B72" s="251"/>
      <c r="C72" s="86">
        <f>'Deck structures'!K45</f>
        <v>38</v>
      </c>
      <c r="D72" s="132">
        <f>'Deck structures'!L45</f>
        <v>670.29837867943047</v>
      </c>
      <c r="E72" s="86">
        <f>'Deck structures'!M45</f>
        <v>10</v>
      </c>
      <c r="F72" s="133">
        <f>'Deck structures'!N45</f>
        <v>78</v>
      </c>
      <c r="G72" s="86">
        <f>'Deck structures'!AD45</f>
        <v>1.28</v>
      </c>
      <c r="H72" s="244">
        <v>24</v>
      </c>
    </row>
    <row r="73" spans="2:8" ht="15.75" customHeight="1" x14ac:dyDescent="0.3">
      <c r="B73" s="251"/>
      <c r="C73" s="86">
        <f>'Deck structures'!K46</f>
        <v>39</v>
      </c>
      <c r="D73" s="132">
        <f>'Deck structures'!L46</f>
        <v>672.92511450189772</v>
      </c>
      <c r="E73" s="86">
        <f>'Deck structures'!M46</f>
        <v>9</v>
      </c>
      <c r="F73" s="133">
        <f>'Deck structures'!N46</f>
        <v>78</v>
      </c>
      <c r="G73" s="86">
        <f>'Deck structures'!AD46</f>
        <v>1.28</v>
      </c>
      <c r="H73" s="249"/>
    </row>
    <row r="74" spans="2:8" ht="15.75" customHeight="1" x14ac:dyDescent="0.3">
      <c r="B74" s="251"/>
      <c r="C74" s="86">
        <f>'Deck structures'!K47</f>
        <v>40</v>
      </c>
      <c r="D74" s="132">
        <f>'Deck structures'!L47</f>
        <v>726.67630293550815</v>
      </c>
      <c r="E74" s="86">
        <f>'Deck structures'!M47</f>
        <v>9</v>
      </c>
      <c r="F74" s="133">
        <f>'Deck structures'!N47</f>
        <v>78</v>
      </c>
      <c r="G74" s="86">
        <f>'Deck structures'!AD47</f>
        <v>1.28</v>
      </c>
      <c r="H74" s="244">
        <v>25</v>
      </c>
    </row>
    <row r="75" spans="2:8" ht="15.75" customHeight="1" x14ac:dyDescent="0.3">
      <c r="B75" s="251"/>
      <c r="C75" s="86">
        <f>'Deck structures'!K48</f>
        <v>41</v>
      </c>
      <c r="D75" s="132">
        <f>'Deck structures'!L48</f>
        <v>780.42749136911823</v>
      </c>
      <c r="E75" s="86">
        <f>'Deck structures'!M48</f>
        <v>9</v>
      </c>
      <c r="F75" s="133">
        <f>'Deck structures'!N48</f>
        <v>78</v>
      </c>
      <c r="G75" s="86">
        <f>'Deck structures'!AD48</f>
        <v>1.28</v>
      </c>
      <c r="H75" s="249"/>
    </row>
    <row r="76" spans="2:8" ht="15.75" customHeight="1" x14ac:dyDescent="0.3">
      <c r="B76" s="251"/>
      <c r="C76" s="86">
        <f>'Deck structures'!K49</f>
        <v>42</v>
      </c>
      <c r="D76" s="132">
        <f>'Deck structures'!L49</f>
        <v>834.17867980272865</v>
      </c>
      <c r="E76" s="86">
        <f>'Deck structures'!M49</f>
        <v>9</v>
      </c>
      <c r="F76" s="133">
        <f>'Deck structures'!N49</f>
        <v>78</v>
      </c>
      <c r="G76" s="86">
        <f>'Deck structures'!AD49</f>
        <v>1.28</v>
      </c>
      <c r="H76" s="249"/>
    </row>
    <row r="77" spans="2:8" ht="15.75" customHeight="1" x14ac:dyDescent="0.3">
      <c r="B77" s="251"/>
      <c r="C77" s="86">
        <f>'Deck structures'!K50</f>
        <v>43</v>
      </c>
      <c r="D77" s="132">
        <f>'Deck structures'!L50</f>
        <v>887.92986823633873</v>
      </c>
      <c r="E77" s="86">
        <f>'Deck structures'!M50</f>
        <v>9</v>
      </c>
      <c r="F77" s="133">
        <f>'Deck structures'!N50</f>
        <v>78</v>
      </c>
      <c r="G77" s="86">
        <f>'Deck structures'!AD50</f>
        <v>1.28</v>
      </c>
      <c r="H77" s="244">
        <v>26</v>
      </c>
    </row>
    <row r="78" spans="2:8" ht="15.75" customHeight="1" x14ac:dyDescent="0.3">
      <c r="B78" s="251"/>
      <c r="C78" s="86">
        <f>'Deck structures'!K51</f>
        <v>44</v>
      </c>
      <c r="D78" s="132">
        <f>'Deck structures'!L51</f>
        <v>965.66263160184235</v>
      </c>
      <c r="E78" s="86">
        <f>'Deck structures'!M51</f>
        <v>9</v>
      </c>
      <c r="F78" s="133">
        <f>'Deck structures'!N51</f>
        <v>78</v>
      </c>
      <c r="G78" s="86">
        <f>'Deck structures'!AD51</f>
        <v>1.28</v>
      </c>
      <c r="H78" s="249"/>
    </row>
    <row r="79" spans="2:8" ht="15.75" customHeight="1" x14ac:dyDescent="0.3">
      <c r="B79" s="251"/>
      <c r="C79" s="86">
        <f>'Deck structures'!K52</f>
        <v>45</v>
      </c>
      <c r="D79" s="132">
        <f>'Deck structures'!L52</f>
        <v>1045.8882859803653</v>
      </c>
      <c r="E79" s="86">
        <f>'Deck structures'!M52</f>
        <v>9</v>
      </c>
      <c r="F79" s="133">
        <f>'Deck structures'!N52</f>
        <v>78</v>
      </c>
      <c r="G79" s="86">
        <f>'Deck structures'!AD52</f>
        <v>1.28</v>
      </c>
      <c r="H79" s="249"/>
    </row>
    <row r="80" spans="2:8" ht="15.75" customHeight="1" x14ac:dyDescent="0.3">
      <c r="B80" s="251"/>
      <c r="C80" s="86">
        <f>'Deck structures'!K53</f>
        <v>46</v>
      </c>
      <c r="D80" s="132">
        <f>'Deck structures'!L53</f>
        <v>1126.1139403588879</v>
      </c>
      <c r="E80" s="86">
        <f>'Deck structures'!M53</f>
        <v>9</v>
      </c>
      <c r="F80" s="133">
        <f>'Deck structures'!N53</f>
        <v>78</v>
      </c>
      <c r="G80" s="86">
        <f>'Deck structures'!AD53</f>
        <v>1.28</v>
      </c>
      <c r="H80" s="244">
        <v>27</v>
      </c>
    </row>
    <row r="81" spans="2:8" ht="15.75" customHeight="1" x14ac:dyDescent="0.3">
      <c r="B81" s="251"/>
      <c r="C81" s="86">
        <f>'Deck structures'!K54</f>
        <v>47</v>
      </c>
      <c r="D81" s="132">
        <f>'Deck structures'!L54</f>
        <v>1206.3395947374111</v>
      </c>
      <c r="E81" s="86">
        <f>'Deck structures'!M54</f>
        <v>9</v>
      </c>
      <c r="F81" s="133">
        <f>'Deck structures'!N54</f>
        <v>78</v>
      </c>
      <c r="G81" s="86">
        <f>'Deck structures'!AD54</f>
        <v>1.28</v>
      </c>
      <c r="H81" s="249"/>
    </row>
    <row r="82" spans="2:8" ht="15.75" customHeight="1" x14ac:dyDescent="0.3">
      <c r="B82" s="250" t="s">
        <v>281</v>
      </c>
      <c r="C82" s="86">
        <f>'Deck structures'!K59</f>
        <v>48</v>
      </c>
      <c r="D82" s="132">
        <f>'Deck structures'!L59</f>
        <v>86.767202998467567</v>
      </c>
      <c r="E82" s="86">
        <f>'Deck structures'!M59</f>
        <v>9</v>
      </c>
      <c r="F82" s="133">
        <f>'Deck structures'!N59</f>
        <v>14</v>
      </c>
      <c r="G82" s="86">
        <f>'Deck structures'!AB59</f>
        <v>1.28</v>
      </c>
      <c r="H82" s="244">
        <v>22</v>
      </c>
    </row>
    <row r="83" spans="2:8" ht="15.75" customHeight="1" x14ac:dyDescent="0.3">
      <c r="B83" s="251"/>
      <c r="C83" s="86">
        <f>'Deck structures'!K60</f>
        <v>49</v>
      </c>
      <c r="D83" s="132">
        <f>'Deck structures'!L60</f>
        <v>60.850930432095865</v>
      </c>
      <c r="E83" s="86">
        <f>'Deck structures'!M60</f>
        <v>9</v>
      </c>
      <c r="F83" s="133">
        <f>'Deck structures'!N60</f>
        <v>14</v>
      </c>
      <c r="G83" s="86">
        <f>'Deck structures'!AB60</f>
        <v>1.28</v>
      </c>
      <c r="H83" s="249"/>
    </row>
    <row r="84" spans="2:8" ht="15.75" customHeight="1" x14ac:dyDescent="0.3"/>
    <row r="85" spans="2:8" ht="15.75" customHeight="1" x14ac:dyDescent="0.3"/>
    <row r="86" spans="2:8" ht="15.75" customHeight="1" x14ac:dyDescent="0.3"/>
    <row r="87" spans="2:8" ht="15.75" customHeight="1" x14ac:dyDescent="0.3"/>
    <row r="88" spans="2:8" ht="15.75" customHeight="1" x14ac:dyDescent="0.3"/>
    <row r="89" spans="2:8" ht="15.75" customHeight="1" x14ac:dyDescent="0.3"/>
    <row r="90" spans="2:8" ht="15.75" customHeight="1" x14ac:dyDescent="0.3"/>
    <row r="91" spans="2:8" ht="15.75" customHeight="1" x14ac:dyDescent="0.3"/>
    <row r="92" spans="2:8" ht="15.75" customHeight="1" x14ac:dyDescent="0.3"/>
    <row r="93" spans="2:8" ht="15.75" customHeight="1" x14ac:dyDescent="0.3"/>
    <row r="94" spans="2:8" ht="15.75" customHeight="1" x14ac:dyDescent="0.3"/>
    <row r="95" spans="2:8" ht="15.75" customHeight="1" x14ac:dyDescent="0.3"/>
    <row r="96" spans="2:8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3">
    <mergeCell ref="H19:H20"/>
    <mergeCell ref="B2:H2"/>
    <mergeCell ref="J2:N2"/>
    <mergeCell ref="B3:B4"/>
    <mergeCell ref="J3:J4"/>
    <mergeCell ref="N3:N4"/>
    <mergeCell ref="B5:B24"/>
    <mergeCell ref="H6:H7"/>
    <mergeCell ref="H8:H10"/>
    <mergeCell ref="H11:H12"/>
    <mergeCell ref="H13:H14"/>
    <mergeCell ref="H15:H16"/>
    <mergeCell ref="H17:H18"/>
    <mergeCell ref="B82:B83"/>
    <mergeCell ref="H21:H22"/>
    <mergeCell ref="H23:H24"/>
    <mergeCell ref="B25:B44"/>
    <mergeCell ref="H25:H28"/>
    <mergeCell ref="H29:H32"/>
    <mergeCell ref="B45:B54"/>
    <mergeCell ref="H58:H60"/>
    <mergeCell ref="H74:H76"/>
    <mergeCell ref="H77:H79"/>
    <mergeCell ref="H80:H81"/>
    <mergeCell ref="H82:H83"/>
    <mergeCell ref="H33:H35"/>
    <mergeCell ref="H56:H57"/>
    <mergeCell ref="H62:H63"/>
    <mergeCell ref="H64:H65"/>
    <mergeCell ref="H36:H38"/>
    <mergeCell ref="H45:H46"/>
    <mergeCell ref="B55:B60"/>
    <mergeCell ref="B62:B70"/>
    <mergeCell ref="B71:B81"/>
    <mergeCell ref="H66:H67"/>
    <mergeCell ref="H68:H69"/>
    <mergeCell ref="H72:H73"/>
    <mergeCell ref="H39:H41"/>
    <mergeCell ref="H42:H43"/>
    <mergeCell ref="H47:H48"/>
    <mergeCell ref="H49:H50"/>
    <mergeCell ref="H51:H52"/>
    <mergeCell ref="H53:H54"/>
  </mergeCells>
  <pageMargins left="0.511811024" right="0.511811024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14</vt:i4>
      </vt:variant>
      <vt:variant>
        <vt:lpstr>Intervalli denominati</vt:lpstr>
      </vt:variant>
      <vt:variant>
        <vt:i4>8</vt:i4>
      </vt:variant>
    </vt:vector>
  </HeadingPairs>
  <TitlesOfParts>
    <vt:vector size="22" baseType="lpstr">
      <vt:lpstr>Ship Characteristics</vt:lpstr>
      <vt:lpstr>Midship Section</vt:lpstr>
      <vt:lpstr>Material Proprieties</vt:lpstr>
      <vt:lpstr> Design Load and Acceleration</vt:lpstr>
      <vt:lpstr>Longitudinal design strenght</vt:lpstr>
      <vt:lpstr>Bottom structures</vt:lpstr>
      <vt:lpstr>Side structures</vt:lpstr>
      <vt:lpstr>Deck structures</vt:lpstr>
      <vt:lpstr>Longitudinal components</vt:lpstr>
      <vt:lpstr>Neutral Axis Correction</vt:lpstr>
      <vt:lpstr>Buckling </vt:lpstr>
      <vt:lpstr>Neutral Axis Correction partII</vt:lpstr>
      <vt:lpstr>Transversal Bulkhead</vt:lpstr>
      <vt:lpstr>Fatigue</vt:lpstr>
      <vt:lpstr>B</vt:lpstr>
      <vt:lpstr>Cb</vt:lpstr>
      <vt:lpstr>Cw</vt:lpstr>
      <vt:lpstr>D</vt:lpstr>
      <vt:lpstr>g</vt:lpstr>
      <vt:lpstr>Lbp</vt:lpstr>
      <vt:lpstr>ro</vt:lpstr>
      <vt:lpstr>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davide melozzi</cp:lastModifiedBy>
  <dcterms:created xsi:type="dcterms:W3CDTF">2020-03-03T11:30:17Z</dcterms:created>
  <dcterms:modified xsi:type="dcterms:W3CDTF">2022-06-16T15:59:46Z</dcterms:modified>
</cp:coreProperties>
</file>