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gthweigth not final" sheetId="1" r:id="rId4"/>
    <sheet state="visible" name="Energy usage" sheetId="2" r:id="rId5"/>
    <sheet state="visible" name="Dimensions" sheetId="3" r:id="rId6"/>
    <sheet state="visible" name="Composite hull" sheetId="4" r:id="rId7"/>
    <sheet state="visible" name="Similar ships" sheetId="5" r:id="rId8"/>
    <sheet state="visible" name="Deadweight" sheetId="6" r:id="rId9"/>
  </sheets>
  <definedNames/>
  <calcPr/>
</workbook>
</file>

<file path=xl/sharedStrings.xml><?xml version="1.0" encoding="utf-8"?>
<sst xmlns="http://schemas.openxmlformats.org/spreadsheetml/2006/main" count="125" uniqueCount="121">
  <si>
    <t>Stability</t>
  </si>
  <si>
    <t>Ligthweigth</t>
  </si>
  <si>
    <t>Area for accomudation</t>
  </si>
  <si>
    <t>m2</t>
  </si>
  <si>
    <t>Parts</t>
  </si>
  <si>
    <t>Weight[kg]</t>
  </si>
  <si>
    <t>LCG</t>
  </si>
  <si>
    <t>VCG</t>
  </si>
  <si>
    <t>TCG</t>
  </si>
  <si>
    <t>#D6-340L</t>
  </si>
  <si>
    <t>Motor1</t>
  </si>
  <si>
    <t>Motor2</t>
  </si>
  <si>
    <t>Waterjet1</t>
  </si>
  <si>
    <t>.684</t>
  </si>
  <si>
    <t>1.248</t>
  </si>
  <si>
    <t>#HJ241</t>
  </si>
  <si>
    <t>Waterjet2</t>
  </si>
  <si>
    <t>Hull</t>
  </si>
  <si>
    <t># can be found with the 3d model and using a defined thicknes and material</t>
  </si>
  <si>
    <t>Superstructure</t>
  </si>
  <si>
    <t>Accomodation</t>
  </si>
  <si>
    <t>G-23</t>
  </si>
  <si>
    <t>Anchor</t>
  </si>
  <si>
    <t>Water pump</t>
  </si>
  <si>
    <t>HD2000</t>
  </si>
  <si>
    <t>Bilge pump 1</t>
  </si>
  <si>
    <t>Fire extinguisher</t>
  </si>
  <si>
    <t>Kitchen</t>
  </si>
  <si>
    <t>Bathroom</t>
  </si>
  <si>
    <t>2.54+</t>
  </si>
  <si>
    <t>Upper deck</t>
  </si>
  <si>
    <t>Fuel tank</t>
  </si>
  <si>
    <t>Water tank</t>
  </si>
  <si>
    <t>Sewage tank</t>
  </si>
  <si>
    <t>Battery</t>
  </si>
  <si>
    <t>Error margin[3%]</t>
  </si>
  <si>
    <t>Applience</t>
  </si>
  <si>
    <t>Average current draw amps</t>
  </si>
  <si>
    <t>Avg usage time h/day</t>
  </si>
  <si>
    <t>Average usage amps-hours/day</t>
  </si>
  <si>
    <t>#https://www.electricalsafetyfirst.org.uk/guidance/safety-around-the-home/home-appliances-ratings/</t>
  </si>
  <si>
    <t>Fridge</t>
  </si>
  <si>
    <t>#https://www.lilacresort.com/appliance-amperage-draw-chart/</t>
  </si>
  <si>
    <t>Stove</t>
  </si>
  <si>
    <t>Tv</t>
  </si>
  <si>
    <t>Computer</t>
  </si>
  <si>
    <t>Ligths 20 bulbs</t>
  </si>
  <si>
    <t>Keetle</t>
  </si>
  <si>
    <t>Fresh water pump</t>
  </si>
  <si>
    <t>Instrument ligths</t>
  </si>
  <si>
    <t>Needed amps-hours</t>
  </si>
  <si>
    <t>Needed amps-hours with error margin of 20%</t>
  </si>
  <si>
    <t>Needed kWh</t>
  </si>
  <si>
    <t>Needed battery capacity need 3 times daily usage</t>
  </si>
  <si>
    <t>Part</t>
  </si>
  <si>
    <t>l[m]</t>
  </si>
  <si>
    <t>b[m]</t>
  </si>
  <si>
    <t>h[m]</t>
  </si>
  <si>
    <t>Waterjet outside</t>
  </si>
  <si>
    <t>Waterjet intake</t>
  </si>
  <si>
    <t>Waterjet inside</t>
  </si>
  <si>
    <t>Engine</t>
  </si>
  <si>
    <t>small bed</t>
  </si>
  <si>
    <t>#includes frame and matrass</t>
  </si>
  <si>
    <t>double bed</t>
  </si>
  <si>
    <t>toilet</t>
  </si>
  <si>
    <t>#h is with top of toilet,0,419 is the h where you sit</t>
  </si>
  <si>
    <t>Total bathroom</t>
  </si>
  <si>
    <t>#from a windy bathroom</t>
  </si>
  <si>
    <t>Sink kitchen</t>
  </si>
  <si>
    <t>Stove 2 burners</t>
  </si>
  <si>
    <t xml:space="preserve">#https://forboat.eu/cooker-eno-hydra-for-boat?gclid=CjwKCAjwk_WVBhBZEiwAUHQCmQIZasjzJgDh9R3ERyzWJXgXX3y6JJUJ3xp8ksKPwVsJLeUGqz1uIxoC5xUQAvD_BwE </t>
  </si>
  <si>
    <t>Space to prepare food</t>
  </si>
  <si>
    <t>#this can we change</t>
  </si>
  <si>
    <t>Top counter kitchen</t>
  </si>
  <si>
    <t>#Stove pluss sink + space to prepare food, will be the total kitchen area, we can have refregirator under and storage.</t>
  </si>
  <si>
    <t>Oven</t>
  </si>
  <si>
    <t>Will be under the stove</t>
  </si>
  <si>
    <t>https://www.miele.pt/domestico/fornos-1451.htm?mat=11119520&amp;info=download#dtptd</t>
  </si>
  <si>
    <t>Shower</t>
  </si>
  <si>
    <t>https://www.westmarine.com/buy/ambassador-marine--universal-slide-bar-shower--5358247?recordNum=21</t>
  </si>
  <si>
    <t>number of layers</t>
  </si>
  <si>
    <t>Area</t>
  </si>
  <si>
    <t>t (mm)</t>
  </si>
  <si>
    <t>kg/m2</t>
  </si>
  <si>
    <t>kg</t>
  </si>
  <si>
    <t>WR</t>
  </si>
  <si>
    <t>CSM</t>
  </si>
  <si>
    <t>keel</t>
  </si>
  <si>
    <t>bottom</t>
  </si>
  <si>
    <t>side</t>
  </si>
  <si>
    <t>Total</t>
  </si>
  <si>
    <t>1368.87</t>
  </si>
  <si>
    <t>Infusion</t>
  </si>
  <si>
    <t>Woven Roving</t>
  </si>
  <si>
    <t>Chopped Strand Mat</t>
  </si>
  <si>
    <t>WR, CSM, WR, CSM,...,CSM,WR</t>
  </si>
  <si>
    <t>glass fiber</t>
  </si>
  <si>
    <t>polyester</t>
  </si>
  <si>
    <t>We used ComposeIT for the lamination schemes, the final thicknesses and the composite densities</t>
  </si>
  <si>
    <t>Ship</t>
  </si>
  <si>
    <t>Loa</t>
  </si>
  <si>
    <t>B</t>
  </si>
  <si>
    <t>T</t>
  </si>
  <si>
    <t>Dead weigth</t>
  </si>
  <si>
    <t>Sleep accomodation</t>
  </si>
  <si>
    <t>People capacity</t>
  </si>
  <si>
    <t>Fresh water [l]</t>
  </si>
  <si>
    <t>Main engine kW</t>
  </si>
  <si>
    <t>Fuel capacity [l]</t>
  </si>
  <si>
    <t>Speed</t>
  </si>
  <si>
    <t>Cranchi Z35</t>
  </si>
  <si>
    <t>Cranchi T36</t>
  </si>
  <si>
    <t>Windy W37 Shamal</t>
  </si>
  <si>
    <t>n/a</t>
  </si>
  <si>
    <t>Fuel</t>
  </si>
  <si>
    <t>Fresh water</t>
  </si>
  <si>
    <t>People</t>
  </si>
  <si>
    <t>Personal belongings</t>
  </si>
  <si>
    <t>Tools</t>
  </si>
  <si>
    <t>Portable equipments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</si>
</sst>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"/>
    <numFmt numFmtId="165" formatCode="d/m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color rgb="FFFF0000"/>
      <name val="Arial"/>
      <scheme val="minor"/>
    </font>
    <font/>
    <font>
      <u/>
      <color rgb="FF0000FF"/>
    </font>
    <font>
      <sz val="11.0"/>
      <color rgb="FF000000"/>
      <name val="Calibri"/>
    </font>
    <font>
      <sz val="11.0"/>
      <color rgb="FF000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1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2" numFmtId="0" xfId="0" applyBorder="1" applyFont="1"/>
    <xf borderId="1" fillId="0" fontId="1" numFmtId="0" xfId="0" applyBorder="1" applyFont="1"/>
    <xf borderId="1" fillId="0" fontId="1" numFmtId="4" xfId="0" applyAlignment="1" applyBorder="1" applyFont="1" applyNumberFormat="1">
      <alignment readingOrder="0"/>
    </xf>
    <xf borderId="0" fillId="0" fontId="1" numFmtId="4" xfId="0" applyFont="1" applyNumberFormat="1"/>
    <xf borderId="2" fillId="2" fontId="1" numFmtId="0" xfId="0" applyAlignment="1" applyBorder="1" applyFont="1">
      <alignment readingOrder="0"/>
    </xf>
    <xf borderId="3" fillId="0" fontId="3" numFmtId="0" xfId="0" applyBorder="1" applyFont="1"/>
    <xf borderId="4" fillId="0" fontId="3" numFmtId="0" xfId="0" applyBorder="1" applyFont="1"/>
    <xf borderId="0" fillId="0" fontId="1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horizontal="center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center" readingOrder="0" shrinkToFit="0" wrapText="0"/>
    </xf>
    <xf borderId="0" fillId="0" fontId="5" numFmtId="0" xfId="0" applyAlignment="1" applyFont="1">
      <alignment horizontal="right" readingOrder="0" shrinkToFit="0" vertical="bottom" wrapText="0"/>
    </xf>
    <xf borderId="0" fillId="0" fontId="5" numFmtId="2" xfId="0" applyAlignment="1" applyFont="1" applyNumberFormat="1">
      <alignment horizontal="right" readingOrder="0" shrinkToFit="0" vertical="bottom" wrapText="0"/>
    </xf>
    <xf borderId="0" fillId="0" fontId="5" numFmtId="4" xfId="0" applyAlignment="1" applyFont="1" applyNumberFormat="1">
      <alignment horizontal="right" readingOrder="0" shrinkToFit="0" vertical="bottom" wrapText="0"/>
    </xf>
    <xf borderId="0" fillId="0" fontId="5" numFmtId="4" xfId="0" applyAlignment="1" applyFont="1" applyNumberFormat="1">
      <alignment readingOrder="0" shrinkToFit="0" vertical="bottom" wrapText="0"/>
    </xf>
    <xf borderId="0" fillId="0" fontId="1" numFmtId="2" xfId="0" applyFont="1" applyNumberFormat="1"/>
    <xf borderId="0" fillId="3" fontId="6" numFmtId="0" xfId="0" applyAlignment="1" applyFill="1" applyFont="1">
      <alignment readingOrder="0"/>
    </xf>
    <xf borderId="0" fillId="0" fontId="1" numFmtId="9" xfId="0" applyAlignment="1" applyFont="1" applyNumberFormat="1">
      <alignment readingOrder="0"/>
    </xf>
    <xf borderId="1" fillId="0" fontId="1" numFmtId="165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iele.pt/domestico/fornos-1451.htm?mat=11119520&amp;info=download" TargetMode="External"/><Relationship Id="rId2" Type="http://schemas.openxmlformats.org/officeDocument/2006/relationships/hyperlink" Target="https://www.westmarine.com/buy/ambassador-marine--universal-slide-bar-shower--5358247?recordNum=21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5"/>
    <col customWidth="1" min="8" max="8" width="17.88"/>
  </cols>
  <sheetData>
    <row r="2">
      <c r="B2" s="1" t="s">
        <v>0</v>
      </c>
    </row>
    <row r="5">
      <c r="C5" s="1" t="s">
        <v>1</v>
      </c>
      <c r="H5" s="1" t="s">
        <v>2</v>
      </c>
      <c r="I5" s="1">
        <v>25.0</v>
      </c>
      <c r="J5" s="1" t="s">
        <v>3</v>
      </c>
    </row>
    <row r="6"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</row>
    <row r="7">
      <c r="A7" s="1" t="s">
        <v>9</v>
      </c>
      <c r="B7" s="3" t="s">
        <v>10</v>
      </c>
      <c r="C7" s="3">
        <v>690.0</v>
      </c>
      <c r="D7" s="3">
        <v>2.967</v>
      </c>
      <c r="E7" s="3">
        <v>0.954</v>
      </c>
      <c r="F7" s="3">
        <v>0.47</v>
      </c>
    </row>
    <row r="8">
      <c r="A8" s="1" t="s">
        <v>9</v>
      </c>
      <c r="B8" s="3" t="s">
        <v>11</v>
      </c>
      <c r="C8" s="3">
        <v>690.0</v>
      </c>
      <c r="D8" s="3">
        <v>2.967</v>
      </c>
      <c r="E8" s="3">
        <v>0.954</v>
      </c>
      <c r="F8" s="3">
        <v>-0.47</v>
      </c>
    </row>
    <row r="9">
      <c r="B9" s="3" t="s">
        <v>12</v>
      </c>
      <c r="C9" s="3">
        <v>130.0</v>
      </c>
      <c r="D9" s="3">
        <v>0.96</v>
      </c>
      <c r="E9" s="3">
        <v>0.646</v>
      </c>
      <c r="F9" s="3">
        <v>0.387</v>
      </c>
      <c r="H9" s="1" t="s">
        <v>13</v>
      </c>
      <c r="I9" s="1" t="s">
        <v>14</v>
      </c>
    </row>
    <row r="10">
      <c r="A10" s="1" t="s">
        <v>15</v>
      </c>
      <c r="B10" s="3" t="s">
        <v>16</v>
      </c>
      <c r="C10" s="3">
        <v>130.0</v>
      </c>
      <c r="D10" s="3">
        <v>0.96</v>
      </c>
      <c r="E10" s="3">
        <v>0.646</v>
      </c>
      <c r="F10" s="3">
        <v>-0.387</v>
      </c>
    </row>
    <row r="11">
      <c r="B11" s="3" t="s">
        <v>17</v>
      </c>
      <c r="C11" s="3">
        <v>2128.46</v>
      </c>
      <c r="D11" s="4">
        <v>4.84</v>
      </c>
      <c r="E11" s="3">
        <v>1.366</v>
      </c>
      <c r="F11" s="3">
        <v>0.0</v>
      </c>
      <c r="G11" s="1" t="s">
        <v>18</v>
      </c>
    </row>
    <row r="12">
      <c r="B12" s="3" t="s">
        <v>19</v>
      </c>
      <c r="C12" s="3">
        <v>1129.81</v>
      </c>
      <c r="D12" s="3">
        <v>6.0384</v>
      </c>
      <c r="E12" s="3">
        <v>3.817</v>
      </c>
      <c r="F12" s="3">
        <v>0.0</v>
      </c>
    </row>
    <row r="13">
      <c r="B13" s="3" t="s">
        <v>20</v>
      </c>
      <c r="C13" s="5">
        <f>100*I5</f>
        <v>2500</v>
      </c>
      <c r="D13" s="6"/>
      <c r="E13" s="6"/>
      <c r="F13" s="6"/>
    </row>
    <row r="14">
      <c r="A14" s="1" t="s">
        <v>21</v>
      </c>
      <c r="B14" s="3" t="s">
        <v>22</v>
      </c>
      <c r="C14" s="7">
        <v>5.9</v>
      </c>
      <c r="D14" s="3">
        <v>10.71</v>
      </c>
      <c r="E14" s="3">
        <v>2.775</v>
      </c>
      <c r="F14" s="3">
        <v>0.0</v>
      </c>
    </row>
    <row r="15">
      <c r="A15" s="1"/>
      <c r="B15" s="3" t="s">
        <v>23</v>
      </c>
      <c r="C15" s="7">
        <v>1.6</v>
      </c>
      <c r="D15" s="3">
        <v>5.804</v>
      </c>
      <c r="E15" s="3">
        <v>0.45</v>
      </c>
      <c r="F15" s="3">
        <v>0.0</v>
      </c>
    </row>
    <row r="16">
      <c r="A16" s="1" t="s">
        <v>24</v>
      </c>
      <c r="B16" s="3" t="s">
        <v>25</v>
      </c>
      <c r="C16" s="7">
        <v>0.95</v>
      </c>
      <c r="D16" s="3">
        <v>5.52</v>
      </c>
      <c r="E16" s="3">
        <v>0.145</v>
      </c>
      <c r="F16" s="3">
        <v>0.0</v>
      </c>
    </row>
    <row r="17">
      <c r="B17" s="3" t="s">
        <v>26</v>
      </c>
      <c r="C17" s="3">
        <v>54.9</v>
      </c>
      <c r="D17" s="3">
        <v>1.94</v>
      </c>
      <c r="E17" s="3">
        <v>0.96</v>
      </c>
      <c r="F17" s="3">
        <v>-0.85</v>
      </c>
    </row>
    <row r="18">
      <c r="B18" s="3" t="s">
        <v>26</v>
      </c>
      <c r="C18" s="3">
        <v>54.9</v>
      </c>
      <c r="D18" s="3">
        <v>1.94</v>
      </c>
      <c r="E18" s="3">
        <v>0.96</v>
      </c>
      <c r="F18" s="3">
        <v>0.85</v>
      </c>
    </row>
    <row r="19">
      <c r="B19" s="3" t="s">
        <v>27</v>
      </c>
      <c r="C19" s="6"/>
      <c r="D19" s="6"/>
      <c r="E19" s="6"/>
      <c r="F19" s="6"/>
    </row>
    <row r="20">
      <c r="B20" s="1" t="s">
        <v>28</v>
      </c>
      <c r="C20" s="1" t="s">
        <v>29</v>
      </c>
      <c r="D20" s="1">
        <v>4.53</v>
      </c>
      <c r="E20" s="1">
        <v>1.229</v>
      </c>
      <c r="F20" s="1">
        <v>0.981</v>
      </c>
    </row>
    <row r="21">
      <c r="B21" s="1" t="s">
        <v>30</v>
      </c>
    </row>
    <row r="22">
      <c r="B22" s="1" t="s">
        <v>31</v>
      </c>
      <c r="C22" s="1">
        <v>39.43</v>
      </c>
      <c r="D22" s="1">
        <v>4.047</v>
      </c>
      <c r="E22" s="1">
        <v>0.841</v>
      </c>
      <c r="F22" s="1">
        <v>-0.329</v>
      </c>
    </row>
    <row r="23">
      <c r="B23" s="1" t="s">
        <v>32</v>
      </c>
      <c r="C23" s="1">
        <v>39.07</v>
      </c>
      <c r="D23" s="1">
        <v>6.729</v>
      </c>
      <c r="E23" s="1">
        <v>0.52</v>
      </c>
      <c r="F23" s="1">
        <v>0.0</v>
      </c>
    </row>
    <row r="24">
      <c r="B24" s="1" t="s">
        <v>33</v>
      </c>
      <c r="C24" s="1">
        <v>39.07</v>
      </c>
      <c r="D24" s="1">
        <v>4.91</v>
      </c>
      <c r="E24" s="1">
        <v>0.52</v>
      </c>
      <c r="F24" s="1">
        <v>0.0</v>
      </c>
    </row>
    <row r="25">
      <c r="B25" s="1" t="s">
        <v>34</v>
      </c>
      <c r="D25" s="1">
        <v>3.005</v>
      </c>
    </row>
    <row r="26">
      <c r="B26" s="1" t="s">
        <v>35</v>
      </c>
    </row>
    <row r="27">
      <c r="C27" s="8">
        <f>C7+C7+C9+C10+C11+C12+C14+C15+C16+C17+C18+C22+C23+C24+C13</f>
        <v>7634.09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63"/>
    <col customWidth="1" min="3" max="3" width="22.5"/>
    <col customWidth="1" min="4" max="4" width="17.0"/>
    <col customWidth="1" min="5" max="5" width="23.5"/>
  </cols>
  <sheetData>
    <row r="3">
      <c r="B3" s="2" t="s">
        <v>36</v>
      </c>
      <c r="C3" s="2" t="s">
        <v>37</v>
      </c>
      <c r="D3" s="2" t="s">
        <v>38</v>
      </c>
      <c r="E3" s="2" t="s">
        <v>39</v>
      </c>
      <c r="G3" s="1" t="s">
        <v>40</v>
      </c>
    </row>
    <row r="4">
      <c r="B4" s="3" t="s">
        <v>41</v>
      </c>
      <c r="C4" s="3">
        <v>0.5</v>
      </c>
      <c r="D4" s="3">
        <v>24.0</v>
      </c>
      <c r="E4" s="6">
        <f t="shared" ref="E4:E7" si="1">C4*D4</f>
        <v>12</v>
      </c>
      <c r="G4" s="1" t="s">
        <v>42</v>
      </c>
    </row>
    <row r="5">
      <c r="B5" s="3" t="s">
        <v>43</v>
      </c>
      <c r="C5" s="3">
        <v>10.0</v>
      </c>
      <c r="D5" s="3">
        <v>1.0</v>
      </c>
      <c r="E5" s="6">
        <f t="shared" si="1"/>
        <v>10</v>
      </c>
    </row>
    <row r="6">
      <c r="B6" s="3" t="s">
        <v>44</v>
      </c>
      <c r="C6" s="3">
        <v>2.0</v>
      </c>
      <c r="D6" s="3">
        <v>2.0</v>
      </c>
      <c r="E6" s="6">
        <f t="shared" si="1"/>
        <v>4</v>
      </c>
    </row>
    <row r="7">
      <c r="B7" s="3" t="s">
        <v>45</v>
      </c>
      <c r="C7" s="3">
        <v>3.0</v>
      </c>
      <c r="D7" s="3">
        <v>4.0</v>
      </c>
      <c r="E7" s="6">
        <f t="shared" si="1"/>
        <v>12</v>
      </c>
    </row>
    <row r="8">
      <c r="B8" s="3" t="s">
        <v>46</v>
      </c>
      <c r="C8" s="3">
        <v>0.5</v>
      </c>
      <c r="D8" s="3">
        <v>4.0</v>
      </c>
      <c r="E8" s="6">
        <f>C8*D8*20</f>
        <v>40</v>
      </c>
    </row>
    <row r="9">
      <c r="B9" s="3" t="s">
        <v>47</v>
      </c>
      <c r="C9" s="3">
        <v>6.0</v>
      </c>
      <c r="D9" s="3">
        <v>0.2</v>
      </c>
      <c r="E9" s="6">
        <f t="shared" ref="E9:E11" si="2">C9*D9</f>
        <v>1.2</v>
      </c>
    </row>
    <row r="10">
      <c r="B10" s="3" t="s">
        <v>48</v>
      </c>
      <c r="C10" s="3">
        <v>6.0</v>
      </c>
      <c r="D10" s="3">
        <v>0.3</v>
      </c>
      <c r="E10" s="6">
        <f t="shared" si="2"/>
        <v>1.8</v>
      </c>
    </row>
    <row r="11">
      <c r="B11" s="3" t="s">
        <v>49</v>
      </c>
      <c r="C11" s="3">
        <v>0.25</v>
      </c>
      <c r="D11" s="3">
        <v>12.0</v>
      </c>
      <c r="E11" s="6">
        <f t="shared" si="2"/>
        <v>3</v>
      </c>
    </row>
    <row r="14">
      <c r="B14" s="9" t="s">
        <v>50</v>
      </c>
      <c r="C14" s="10"/>
      <c r="D14" s="11"/>
      <c r="E14" s="6">
        <f>SUM(E4:E11)</f>
        <v>84</v>
      </c>
    </row>
    <row r="15">
      <c r="B15" s="9" t="s">
        <v>51</v>
      </c>
      <c r="C15" s="10"/>
      <c r="D15" s="11"/>
      <c r="E15" s="6">
        <f>E14*1.2</f>
        <v>100.8</v>
      </c>
    </row>
    <row r="16">
      <c r="B16" s="9" t="s">
        <v>52</v>
      </c>
      <c r="C16" s="10"/>
      <c r="D16" s="11"/>
      <c r="E16" s="6">
        <f>E15*12/1000</f>
        <v>1.2096</v>
      </c>
    </row>
    <row r="17">
      <c r="B17" s="9" t="s">
        <v>53</v>
      </c>
      <c r="C17" s="10"/>
      <c r="D17" s="11"/>
      <c r="E17" s="6">
        <f>3*E15</f>
        <v>302.4</v>
      </c>
    </row>
  </sheetData>
  <mergeCells count="4">
    <mergeCell ref="B14:D14"/>
    <mergeCell ref="B15:D15"/>
    <mergeCell ref="B16:D16"/>
    <mergeCell ref="B17:D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  <col customWidth="1" min="5" max="5" width="17.38"/>
  </cols>
  <sheetData>
    <row r="3">
      <c r="B3" s="2" t="s">
        <v>54</v>
      </c>
      <c r="C3" s="2" t="s">
        <v>55</v>
      </c>
      <c r="D3" s="2" t="s">
        <v>56</v>
      </c>
      <c r="E3" s="2" t="s">
        <v>57</v>
      </c>
    </row>
    <row r="4">
      <c r="B4" s="3" t="s">
        <v>58</v>
      </c>
      <c r="C4" s="3">
        <v>0.705</v>
      </c>
      <c r="D4" s="3">
        <v>0.502</v>
      </c>
      <c r="E4" s="3">
        <v>0.491</v>
      </c>
    </row>
    <row r="5">
      <c r="B5" s="3" t="s">
        <v>59</v>
      </c>
      <c r="C5" s="3">
        <v>0.829</v>
      </c>
      <c r="D5" s="6"/>
      <c r="E5" s="6"/>
    </row>
    <row r="6">
      <c r="B6" s="3" t="s">
        <v>60</v>
      </c>
      <c r="C6" s="3">
        <v>0.424</v>
      </c>
      <c r="D6" s="6">
        <f t="shared" ref="D6:E6" si="1">D4</f>
        <v>0.502</v>
      </c>
      <c r="E6" s="6">
        <f t="shared" si="1"/>
        <v>0.491</v>
      </c>
    </row>
    <row r="7">
      <c r="B7" s="3" t="s">
        <v>61</v>
      </c>
      <c r="C7" s="6">
        <f>0.433+1.037</f>
        <v>1.47</v>
      </c>
      <c r="D7" s="6">
        <f>0.441+0.407</f>
        <v>0.848</v>
      </c>
      <c r="E7" s="6">
        <f>0.274+0.52</f>
        <v>0.794</v>
      </c>
    </row>
    <row r="8">
      <c r="B8" s="1" t="s">
        <v>62</v>
      </c>
      <c r="C8" s="1">
        <v>2.0</v>
      </c>
      <c r="D8" s="1">
        <v>0.9</v>
      </c>
      <c r="E8" s="1">
        <v>0.635</v>
      </c>
      <c r="F8" s="1" t="s">
        <v>63</v>
      </c>
    </row>
    <row r="9">
      <c r="B9" s="1" t="s">
        <v>64</v>
      </c>
      <c r="C9" s="1">
        <v>2.0</v>
      </c>
      <c r="D9" s="1">
        <v>1.5</v>
      </c>
      <c r="E9" s="1">
        <v>0.635</v>
      </c>
    </row>
    <row r="10">
      <c r="B10" s="1" t="s">
        <v>65</v>
      </c>
      <c r="C10" s="1">
        <v>0.717</v>
      </c>
      <c r="D10" s="1">
        <v>0.441</v>
      </c>
      <c r="E10" s="1">
        <v>0.772</v>
      </c>
      <c r="F10" s="1" t="s">
        <v>66</v>
      </c>
    </row>
    <row r="11">
      <c r="B11" s="1" t="s">
        <v>67</v>
      </c>
      <c r="C11" s="1">
        <v>1.1</v>
      </c>
      <c r="D11" s="1">
        <v>1.1</v>
      </c>
      <c r="F11" s="1" t="s">
        <v>68</v>
      </c>
    </row>
    <row r="12">
      <c r="B12" s="1" t="s">
        <v>69</v>
      </c>
      <c r="C12" s="1">
        <v>0.44</v>
      </c>
      <c r="D12" s="1">
        <v>0.44</v>
      </c>
      <c r="E12" s="1">
        <v>0.2</v>
      </c>
    </row>
    <row r="13">
      <c r="B13" s="1" t="s">
        <v>70</v>
      </c>
      <c r="C13" s="1">
        <v>0.472</v>
      </c>
      <c r="D13" s="1">
        <v>0.342</v>
      </c>
      <c r="E13" s="1">
        <v>0.077</v>
      </c>
      <c r="F13" s="1" t="s">
        <v>71</v>
      </c>
    </row>
    <row r="14">
      <c r="B14" s="1" t="s">
        <v>72</v>
      </c>
      <c r="C14" s="1">
        <v>0.5</v>
      </c>
      <c r="D14" s="1">
        <v>0.6</v>
      </c>
      <c r="F14" s="1" t="s">
        <v>73</v>
      </c>
    </row>
    <row r="15">
      <c r="B15" s="1" t="s">
        <v>74</v>
      </c>
      <c r="C15" s="12">
        <f>C14+C13+C12</f>
        <v>1.412</v>
      </c>
      <c r="D15" s="12">
        <f>0.6</f>
        <v>0.6</v>
      </c>
      <c r="F15" s="1" t="s">
        <v>75</v>
      </c>
    </row>
    <row r="16">
      <c r="B16" s="1" t="s">
        <v>76</v>
      </c>
      <c r="C16" s="12">
        <f t="shared" ref="C16:D16" si="2">C13</f>
        <v>0.472</v>
      </c>
      <c r="D16" s="12">
        <f t="shared" si="2"/>
        <v>0.342</v>
      </c>
      <c r="E16" s="1" t="s">
        <v>77</v>
      </c>
      <c r="F16" s="13" t="s">
        <v>78</v>
      </c>
    </row>
    <row r="17">
      <c r="B17" s="1" t="s">
        <v>79</v>
      </c>
      <c r="F17" s="13" t="s">
        <v>80</v>
      </c>
    </row>
  </sheetData>
  <hyperlinks>
    <hyperlink r:id="rId1" location="dtptd" ref="F16"/>
    <hyperlink r:id="rId2" ref="F17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4"/>
      <c r="C2" s="14"/>
      <c r="D2" s="14"/>
      <c r="E2" s="14"/>
      <c r="F2" s="14"/>
      <c r="G2" s="14"/>
      <c r="H2" s="15" t="s">
        <v>81</v>
      </c>
    </row>
    <row r="3">
      <c r="B3" s="14"/>
      <c r="C3" s="14"/>
      <c r="D3" s="16" t="s">
        <v>82</v>
      </c>
      <c r="E3" s="16" t="s">
        <v>83</v>
      </c>
      <c r="F3" s="16" t="s">
        <v>84</v>
      </c>
      <c r="G3" s="16" t="s">
        <v>85</v>
      </c>
      <c r="H3" s="16" t="s">
        <v>86</v>
      </c>
      <c r="I3" s="16" t="s">
        <v>87</v>
      </c>
    </row>
    <row r="4">
      <c r="B4" s="17" t="s">
        <v>17</v>
      </c>
      <c r="C4" s="16" t="s">
        <v>88</v>
      </c>
      <c r="D4" s="18">
        <v>36.38</v>
      </c>
      <c r="E4" s="18">
        <v>22.0</v>
      </c>
      <c r="F4" s="18">
        <v>37.627</v>
      </c>
      <c r="G4" s="19">
        <f t="shared" ref="G4:G6" si="1">F4*D4</f>
        <v>1368.87026</v>
      </c>
      <c r="H4" s="18">
        <v>16.0</v>
      </c>
      <c r="I4" s="18">
        <v>15.0</v>
      </c>
    </row>
    <row r="5">
      <c r="C5" s="16" t="s">
        <v>89</v>
      </c>
      <c r="D5" s="18">
        <v>15.46</v>
      </c>
      <c r="E5" s="18">
        <v>15.0</v>
      </c>
      <c r="F5" s="20">
        <v>25.481</v>
      </c>
      <c r="G5" s="18">
        <f t="shared" si="1"/>
        <v>393.93626</v>
      </c>
      <c r="H5" s="18">
        <v>11.0</v>
      </c>
      <c r="I5" s="18">
        <v>10.0</v>
      </c>
    </row>
    <row r="6">
      <c r="C6" s="16" t="s">
        <v>90</v>
      </c>
      <c r="D6" s="18">
        <v>14.35</v>
      </c>
      <c r="E6" s="18">
        <v>15.0</v>
      </c>
      <c r="F6" s="21">
        <v>25.481</v>
      </c>
      <c r="G6" s="18">
        <f t="shared" si="1"/>
        <v>365.65235</v>
      </c>
      <c r="H6" s="18">
        <v>11.0</v>
      </c>
      <c r="I6" s="18">
        <v>10.0</v>
      </c>
    </row>
    <row r="7">
      <c r="C7" s="1" t="s">
        <v>91</v>
      </c>
      <c r="G7" s="22">
        <f>SUM(G4:G6)</f>
        <v>2128.45887</v>
      </c>
    </row>
    <row r="11">
      <c r="B11" s="23" t="s">
        <v>92</v>
      </c>
    </row>
    <row r="12">
      <c r="E12" s="1" t="s">
        <v>93</v>
      </c>
      <c r="F12" s="1" t="s">
        <v>94</v>
      </c>
      <c r="G12" s="1" t="s">
        <v>95</v>
      </c>
      <c r="J12" s="1" t="s">
        <v>96</v>
      </c>
    </row>
    <row r="13">
      <c r="E13" s="1" t="s">
        <v>97</v>
      </c>
      <c r="F13" s="24">
        <v>0.49</v>
      </c>
      <c r="G13" s="24">
        <v>0.21</v>
      </c>
    </row>
    <row r="14">
      <c r="E14" s="1" t="s">
        <v>98</v>
      </c>
      <c r="F14" s="1">
        <v>51.0</v>
      </c>
      <c r="G14" s="1">
        <v>79.0</v>
      </c>
    </row>
    <row r="16">
      <c r="E16" s="1" t="s">
        <v>99</v>
      </c>
    </row>
  </sheetData>
  <mergeCells count="2">
    <mergeCell ref="H2:I2"/>
    <mergeCell ref="B4:B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88"/>
    <col customWidth="1" min="6" max="6" width="10.75"/>
    <col customWidth="1" min="7" max="7" width="15.63"/>
  </cols>
  <sheetData>
    <row r="2">
      <c r="B2" s="2" t="s">
        <v>100</v>
      </c>
      <c r="C2" s="2" t="s">
        <v>101</v>
      </c>
      <c r="D2" s="2" t="s">
        <v>102</v>
      </c>
      <c r="E2" s="2" t="s">
        <v>103</v>
      </c>
      <c r="F2" s="2" t="s">
        <v>104</v>
      </c>
      <c r="G2" s="2" t="s">
        <v>105</v>
      </c>
      <c r="H2" s="2" t="s">
        <v>106</v>
      </c>
      <c r="I2" s="2" t="s">
        <v>107</v>
      </c>
      <c r="J2" s="2" t="s">
        <v>108</v>
      </c>
      <c r="K2" s="2" t="s">
        <v>109</v>
      </c>
      <c r="L2" s="2" t="s">
        <v>110</v>
      </c>
    </row>
    <row r="3">
      <c r="B3" s="3" t="s">
        <v>111</v>
      </c>
      <c r="C3" s="3">
        <v>11.7</v>
      </c>
      <c r="D3" s="3">
        <v>3.53</v>
      </c>
      <c r="E3" s="3">
        <v>1.0</v>
      </c>
      <c r="F3" s="3">
        <v>7250.0</v>
      </c>
      <c r="G3" s="3">
        <v>5.0</v>
      </c>
      <c r="H3" s="3">
        <v>12.0</v>
      </c>
      <c r="I3" s="3">
        <v>190.0</v>
      </c>
      <c r="J3" s="6">
        <f>199*2</f>
        <v>398</v>
      </c>
      <c r="K3" s="3">
        <v>600.0</v>
      </c>
      <c r="L3" s="3">
        <v>35.0</v>
      </c>
    </row>
    <row r="4">
      <c r="B4" s="3" t="s">
        <v>112</v>
      </c>
      <c r="C4" s="3">
        <v>11.85</v>
      </c>
      <c r="D4" s="3">
        <v>3.53</v>
      </c>
      <c r="E4" s="3">
        <v>1.0</v>
      </c>
      <c r="F4" s="3">
        <v>8500.0</v>
      </c>
      <c r="G4" s="25">
        <v>44716.0</v>
      </c>
      <c r="H4" s="3">
        <v>12.0</v>
      </c>
      <c r="I4" s="3">
        <v>190.0</v>
      </c>
      <c r="J4" s="6">
        <f>J3</f>
        <v>398</v>
      </c>
      <c r="K4" s="3">
        <v>600.0</v>
      </c>
      <c r="L4" s="3">
        <v>29.0</v>
      </c>
    </row>
    <row r="5">
      <c r="B5" s="3" t="s">
        <v>113</v>
      </c>
      <c r="C5" s="3">
        <v>12.25</v>
      </c>
      <c r="D5" s="3">
        <v>3.33</v>
      </c>
      <c r="E5" s="3">
        <v>1.09</v>
      </c>
      <c r="F5" s="3">
        <v>7500.0</v>
      </c>
      <c r="G5" s="3">
        <v>4.0</v>
      </c>
      <c r="H5" s="3" t="s">
        <v>114</v>
      </c>
      <c r="I5" s="3">
        <v>200.0</v>
      </c>
      <c r="J5" s="6">
        <f>324*2</f>
        <v>648</v>
      </c>
      <c r="K5" s="3">
        <v>650.0</v>
      </c>
      <c r="L5" s="3">
        <v>46.7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13"/>
  </cols>
  <sheetData>
    <row r="2">
      <c r="B2" s="1" t="s">
        <v>115</v>
      </c>
      <c r="C2" s="1">
        <v>560.0</v>
      </c>
    </row>
    <row r="3">
      <c r="B3" s="1" t="s">
        <v>116</v>
      </c>
      <c r="C3" s="1">
        <v>400.0</v>
      </c>
    </row>
    <row r="4">
      <c r="A4" s="1">
        <v>10.0</v>
      </c>
      <c r="B4" s="1" t="s">
        <v>117</v>
      </c>
      <c r="C4" s="12">
        <f>A4*75</f>
        <v>750</v>
      </c>
    </row>
    <row r="5">
      <c r="B5" s="1" t="s">
        <v>118</v>
      </c>
      <c r="C5" s="12">
        <f>30*A4</f>
        <v>300</v>
      </c>
    </row>
    <row r="6">
      <c r="B6" s="1" t="s">
        <v>119</v>
      </c>
    </row>
    <row r="7">
      <c r="B7" s="1" t="s">
        <v>120</v>
      </c>
    </row>
    <row r="8">
      <c r="B8" s="1" t="s">
        <v>91</v>
      </c>
      <c r="C8" s="12">
        <f>SUM(C2:C5)</f>
        <v>2010</v>
      </c>
    </row>
  </sheetData>
  <drawing r:id="rId1"/>
</worksheet>
</file>