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56C0D653-A0EC-455A-917C-1119A03BF276}" xr6:coauthVersionLast="47" xr6:coauthVersionMax="47" xr10:uidLastSave="{00000000-0000-0000-0000-000000000000}"/>
  <bookViews>
    <workbookView xWindow="372" yWindow="1116" windowWidth="22572" windowHeight="11844" activeTab="1" xr2:uid="{035DAD03-E6F2-4508-BDC0-84D86324B1EC}"/>
  </bookViews>
  <sheets>
    <sheet name="Folha1" sheetId="1" r:id="rId1"/>
    <sheet name="Rhinoceros-J2" sheetId="2" r:id="rId2"/>
    <sheet name="Foglio1" sheetId="9" r:id="rId3"/>
    <sheet name="J3" sheetId="7" r:id="rId4"/>
    <sheet name="J4" sheetId="8" r:id="rId5"/>
    <sheet name="ANSYS" sheetId="3" r:id="rId6"/>
    <sheet name="Analytical" sheetId="4" r:id="rId7"/>
    <sheet name="Method_Comp" sheetId="5" r:id="rId8"/>
    <sheet name="MatLab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2" l="1"/>
  <c r="I23" i="9"/>
  <c r="F23" i="9"/>
  <c r="D23" i="9"/>
  <c r="H23" i="9" s="1"/>
  <c r="F22" i="9"/>
  <c r="I22" i="9" s="1"/>
  <c r="D22" i="9"/>
  <c r="H22" i="9" s="1"/>
  <c r="I21" i="9"/>
  <c r="F21" i="9"/>
  <c r="D21" i="9"/>
  <c r="H21" i="9" s="1"/>
  <c r="F20" i="9"/>
  <c r="I20" i="9" s="1"/>
  <c r="D20" i="9"/>
  <c r="H20" i="9" s="1"/>
  <c r="I19" i="9"/>
  <c r="F19" i="9"/>
  <c r="D19" i="9"/>
  <c r="H19" i="9" s="1"/>
  <c r="F18" i="9"/>
  <c r="I18" i="9" s="1"/>
  <c r="D18" i="9"/>
  <c r="H18" i="9" s="1"/>
  <c r="I17" i="9"/>
  <c r="F17" i="9"/>
  <c r="D17" i="9"/>
  <c r="H17" i="9" s="1"/>
  <c r="F16" i="9"/>
  <c r="I16" i="9" s="1"/>
  <c r="D16" i="9"/>
  <c r="H16" i="9" s="1"/>
  <c r="I15" i="9"/>
  <c r="F15" i="9"/>
  <c r="D15" i="9"/>
  <c r="H15" i="9" s="1"/>
  <c r="F14" i="9"/>
  <c r="I14" i="9" s="1"/>
  <c r="D14" i="9"/>
  <c r="H14" i="9" s="1"/>
  <c r="I13" i="9"/>
  <c r="F13" i="9"/>
  <c r="D13" i="9"/>
  <c r="H13" i="9" s="1"/>
  <c r="F12" i="9"/>
  <c r="I12" i="9" s="1"/>
  <c r="D12" i="9"/>
  <c r="H12" i="9" s="1"/>
  <c r="I11" i="9"/>
  <c r="F11" i="9"/>
  <c r="D11" i="9"/>
  <c r="H11" i="9" s="1"/>
  <c r="F10" i="9"/>
  <c r="I10" i="9" s="1"/>
  <c r="D10" i="9"/>
  <c r="H10" i="9" s="1"/>
  <c r="I9" i="9"/>
  <c r="F9" i="9"/>
  <c r="D9" i="9"/>
  <c r="H9" i="9" s="1"/>
  <c r="F8" i="9"/>
  <c r="I8" i="9" s="1"/>
  <c r="D8" i="9"/>
  <c r="H8" i="9" s="1"/>
  <c r="I7" i="9"/>
  <c r="F7" i="9"/>
  <c r="D7" i="9"/>
  <c r="H7" i="9" s="1"/>
  <c r="F6" i="9"/>
  <c r="I6" i="9" s="1"/>
  <c r="D6" i="9"/>
  <c r="H6" i="9" s="1"/>
  <c r="I5" i="9"/>
  <c r="F5" i="9"/>
  <c r="D5" i="9"/>
  <c r="H5" i="9" s="1"/>
  <c r="F4" i="9"/>
  <c r="I4" i="9" s="1"/>
  <c r="D4" i="9"/>
  <c r="H4" i="9" s="1"/>
  <c r="I3" i="9"/>
  <c r="F3" i="9"/>
  <c r="D3" i="9"/>
  <c r="H3" i="9" s="1"/>
  <c r="K8" i="4"/>
  <c r="K6" i="4"/>
  <c r="J8" i="4"/>
  <c r="I8" i="4"/>
  <c r="C11" i="4"/>
  <c r="U3" i="2"/>
  <c r="T3" i="2"/>
  <c r="E10" i="5"/>
  <c r="F10" i="5"/>
  <c r="L28" i="7"/>
  <c r="O5" i="7"/>
  <c r="L26" i="8"/>
  <c r="N26" i="8"/>
  <c r="N27" i="8" s="1"/>
  <c r="O26" i="8"/>
  <c r="P26" i="8"/>
  <c r="L28" i="8"/>
  <c r="H3" i="8"/>
  <c r="J3" i="8"/>
  <c r="Q3" i="8"/>
  <c r="S3" i="8"/>
  <c r="T3" i="8"/>
  <c r="U3" i="8"/>
  <c r="W3" i="8"/>
  <c r="H4" i="8"/>
  <c r="J4" i="8"/>
  <c r="M4" i="8" s="1"/>
  <c r="S4" i="8"/>
  <c r="T4" i="8"/>
  <c r="H5" i="8"/>
  <c r="J5" i="8"/>
  <c r="S5" i="8"/>
  <c r="T5" i="8"/>
  <c r="H6" i="8"/>
  <c r="L6" i="8" s="1"/>
  <c r="J6" i="8"/>
  <c r="O6" i="8" s="1"/>
  <c r="X6" i="8" s="1"/>
  <c r="S6" i="8"/>
  <c r="T6" i="8" s="1"/>
  <c r="H7" i="8"/>
  <c r="J7" i="8"/>
  <c r="O7" i="8" s="1"/>
  <c r="M7" i="8"/>
  <c r="S7" i="8"/>
  <c r="T7" i="8" s="1"/>
  <c r="H8" i="8"/>
  <c r="J8" i="8"/>
  <c r="M8" i="8" s="1"/>
  <c r="O8" i="8"/>
  <c r="X8" i="8" s="1"/>
  <c r="S8" i="8"/>
  <c r="T8" i="8"/>
  <c r="H9" i="8"/>
  <c r="L9" i="8" s="1"/>
  <c r="J9" i="8"/>
  <c r="S9" i="8"/>
  <c r="T9" i="8"/>
  <c r="H10" i="8"/>
  <c r="Q10" i="8" s="1"/>
  <c r="J10" i="8"/>
  <c r="O10" i="8" s="1"/>
  <c r="X10" i="8" s="1"/>
  <c r="S10" i="8"/>
  <c r="T10" i="8" s="1"/>
  <c r="H11" i="8"/>
  <c r="J11" i="8"/>
  <c r="O11" i="8" s="1"/>
  <c r="X11" i="8" s="1"/>
  <c r="L11" i="8"/>
  <c r="M11" i="8"/>
  <c r="S11" i="8"/>
  <c r="T11" i="8"/>
  <c r="H12" i="8"/>
  <c r="J12" i="8"/>
  <c r="O12" i="8" s="1"/>
  <c r="S12" i="8"/>
  <c r="T12" i="8"/>
  <c r="C13" i="8"/>
  <c r="H13" i="8"/>
  <c r="J13" i="8"/>
  <c r="M13" i="8" s="1"/>
  <c r="S13" i="8"/>
  <c r="T13" i="8" s="1"/>
  <c r="H14" i="8"/>
  <c r="L14" i="8" s="1"/>
  <c r="J14" i="8"/>
  <c r="M14" i="8" s="1"/>
  <c r="S14" i="8"/>
  <c r="T14" i="8"/>
  <c r="H15" i="8"/>
  <c r="J15" i="8"/>
  <c r="O15" i="8" s="1"/>
  <c r="S15" i="8"/>
  <c r="T15" i="8" s="1"/>
  <c r="H16" i="8"/>
  <c r="L16" i="8" s="1"/>
  <c r="J16" i="8"/>
  <c r="M16" i="8"/>
  <c r="O16" i="8"/>
  <c r="X16" i="8" s="1"/>
  <c r="S16" i="8"/>
  <c r="T16" i="8" s="1"/>
  <c r="H17" i="8"/>
  <c r="J17" i="8"/>
  <c r="M17" i="8" s="1"/>
  <c r="S17" i="8"/>
  <c r="T17" i="8" s="1"/>
  <c r="H18" i="8"/>
  <c r="L18" i="8" s="1"/>
  <c r="J18" i="8"/>
  <c r="M18" i="8" s="1"/>
  <c r="Q18" i="8"/>
  <c r="S18" i="8"/>
  <c r="T18" i="8"/>
  <c r="H19" i="8"/>
  <c r="J19" i="8"/>
  <c r="O19" i="8" s="1"/>
  <c r="L19" i="8"/>
  <c r="M19" i="8"/>
  <c r="S19" i="8"/>
  <c r="T19" i="8" s="1"/>
  <c r="H20" i="8"/>
  <c r="Q19" i="8" s="1"/>
  <c r="J20" i="8"/>
  <c r="M20" i="8" s="1"/>
  <c r="S20" i="8"/>
  <c r="T20" i="8" s="1"/>
  <c r="H21" i="8"/>
  <c r="J21" i="8"/>
  <c r="M21" i="8" s="1"/>
  <c r="S21" i="8"/>
  <c r="T21" i="8" s="1"/>
  <c r="H22" i="8"/>
  <c r="L22" i="8" s="1"/>
  <c r="J22" i="8"/>
  <c r="M22" i="8" s="1"/>
  <c r="Q22" i="8"/>
  <c r="S22" i="8"/>
  <c r="T22" i="8"/>
  <c r="H23" i="8"/>
  <c r="J23" i="8"/>
  <c r="O23" i="8" s="1"/>
  <c r="X23" i="8" s="1"/>
  <c r="M23" i="8"/>
  <c r="L26" i="7"/>
  <c r="N26" i="7"/>
  <c r="O26" i="7"/>
  <c r="P26" i="7" s="1"/>
  <c r="N27" i="7"/>
  <c r="O27" i="7" s="1"/>
  <c r="N28" i="7"/>
  <c r="O28" i="7"/>
  <c r="N29" i="7"/>
  <c r="O29" i="7" s="1"/>
  <c r="P29" i="7" s="1"/>
  <c r="H3" i="7"/>
  <c r="J3" i="7"/>
  <c r="M3" i="7"/>
  <c r="O3" i="7"/>
  <c r="X3" i="7" s="1"/>
  <c r="S3" i="7"/>
  <c r="T3" i="7"/>
  <c r="U3" i="7"/>
  <c r="W3" i="7"/>
  <c r="H4" i="7"/>
  <c r="J4" i="7"/>
  <c r="O4" i="7" s="1"/>
  <c r="X4" i="7" s="1"/>
  <c r="L4" i="7"/>
  <c r="M4" i="7"/>
  <c r="S4" i="7"/>
  <c r="T4" i="7" s="1"/>
  <c r="H5" i="7"/>
  <c r="Q4" i="7" s="1"/>
  <c r="J5" i="7"/>
  <c r="M5" i="7"/>
  <c r="S5" i="7"/>
  <c r="T5" i="7"/>
  <c r="H6" i="7"/>
  <c r="J6" i="7"/>
  <c r="M6" i="7" s="1"/>
  <c r="S6" i="7"/>
  <c r="T6" i="7"/>
  <c r="H7" i="7"/>
  <c r="J7" i="7"/>
  <c r="L7" i="7"/>
  <c r="Q7" i="7"/>
  <c r="S7" i="7"/>
  <c r="T7" i="7"/>
  <c r="H8" i="7"/>
  <c r="J8" i="7"/>
  <c r="O8" i="7" s="1"/>
  <c r="X8" i="7" s="1"/>
  <c r="L8" i="7"/>
  <c r="S8" i="7"/>
  <c r="T8" i="7" s="1"/>
  <c r="H9" i="7"/>
  <c r="J9" i="7"/>
  <c r="M9" i="7" s="1"/>
  <c r="O9" i="7"/>
  <c r="S9" i="7"/>
  <c r="T9" i="7" s="1"/>
  <c r="H10" i="7"/>
  <c r="J10" i="7"/>
  <c r="M10" i="7" s="1"/>
  <c r="O10" i="7"/>
  <c r="X10" i="7" s="1"/>
  <c r="S10" i="7"/>
  <c r="T10" i="7"/>
  <c r="H11" i="7"/>
  <c r="J11" i="7"/>
  <c r="S11" i="7"/>
  <c r="T11" i="7"/>
  <c r="H12" i="7"/>
  <c r="J12" i="7"/>
  <c r="O12" i="7" s="1"/>
  <c r="L12" i="7"/>
  <c r="S12" i="7"/>
  <c r="T12" i="7" s="1"/>
  <c r="C13" i="7"/>
  <c r="H13" i="7"/>
  <c r="J13" i="7"/>
  <c r="O13" i="7" s="1"/>
  <c r="X13" i="7" s="1"/>
  <c r="S13" i="7"/>
  <c r="T13" i="7" s="1"/>
  <c r="H14" i="7"/>
  <c r="Q13" i="7" s="1"/>
  <c r="J14" i="7"/>
  <c r="M14" i="7" s="1"/>
  <c r="S14" i="7"/>
  <c r="T14" i="7"/>
  <c r="H15" i="7"/>
  <c r="J15" i="7"/>
  <c r="O15" i="7" s="1"/>
  <c r="M15" i="7"/>
  <c r="S15" i="7"/>
  <c r="T15" i="7"/>
  <c r="H16" i="7"/>
  <c r="J16" i="7"/>
  <c r="M16" i="7" s="1"/>
  <c r="S16" i="7"/>
  <c r="T16" i="7"/>
  <c r="H17" i="7"/>
  <c r="J17" i="7"/>
  <c r="O17" i="7" s="1"/>
  <c r="M17" i="7"/>
  <c r="S17" i="7"/>
  <c r="T17" i="7" s="1"/>
  <c r="H18" i="7"/>
  <c r="J18" i="7"/>
  <c r="O18" i="7" s="1"/>
  <c r="X18" i="7" s="1"/>
  <c r="M18" i="7"/>
  <c r="S18" i="7"/>
  <c r="T18" i="7"/>
  <c r="H19" i="7"/>
  <c r="J19" i="7"/>
  <c r="O19" i="7" s="1"/>
  <c r="M19" i="7"/>
  <c r="S19" i="7"/>
  <c r="T19" i="7"/>
  <c r="H20" i="7"/>
  <c r="J20" i="7"/>
  <c r="M20" i="7" s="1"/>
  <c r="L20" i="7"/>
  <c r="Q20" i="7"/>
  <c r="S20" i="7"/>
  <c r="T20" i="7"/>
  <c r="H21" i="7"/>
  <c r="J21" i="7"/>
  <c r="O21" i="7" s="1"/>
  <c r="S21" i="7"/>
  <c r="T21" i="7" s="1"/>
  <c r="H22" i="7"/>
  <c r="J22" i="7"/>
  <c r="M22" i="7" s="1"/>
  <c r="S22" i="7"/>
  <c r="T22" i="7"/>
  <c r="H23" i="7"/>
  <c r="J23" i="7"/>
  <c r="M23" i="7"/>
  <c r="O23" i="7"/>
  <c r="X23" i="7" s="1"/>
  <c r="E8" i="5"/>
  <c r="E9" i="5"/>
  <c r="F9" i="5"/>
  <c r="F8" i="5"/>
  <c r="D14" i="5"/>
  <c r="D15" i="5"/>
  <c r="D13" i="5"/>
  <c r="I6" i="4" l="1"/>
  <c r="O20" i="8"/>
  <c r="X20" i="8" s="1"/>
  <c r="P15" i="8"/>
  <c r="V15" i="8" s="1"/>
  <c r="L15" i="8"/>
  <c r="M6" i="8"/>
  <c r="O4" i="8"/>
  <c r="X4" i="8" s="1"/>
  <c r="L23" i="8"/>
  <c r="M12" i="8"/>
  <c r="M15" i="8"/>
  <c r="M10" i="8"/>
  <c r="L5" i="8"/>
  <c r="L17" i="7"/>
  <c r="M21" i="7"/>
  <c r="M13" i="7"/>
  <c r="M8" i="7"/>
  <c r="L22" i="7"/>
  <c r="L13" i="7"/>
  <c r="L18" i="7"/>
  <c r="L16" i="7"/>
  <c r="O14" i="7"/>
  <c r="X14" i="7" s="1"/>
  <c r="L11" i="7"/>
  <c r="O22" i="7"/>
  <c r="X22" i="7" s="1"/>
  <c r="O6" i="7"/>
  <c r="X6" i="7" s="1"/>
  <c r="L10" i="8"/>
  <c r="Q15" i="8"/>
  <c r="Q14" i="8"/>
  <c r="Q5" i="8"/>
  <c r="L20" i="8"/>
  <c r="Q9" i="8"/>
  <c r="Q21" i="7"/>
  <c r="Q17" i="7"/>
  <c r="Q16" i="7"/>
  <c r="L14" i="7"/>
  <c r="Q12" i="7"/>
  <c r="Q11" i="7"/>
  <c r="P17" i="7"/>
  <c r="V17" i="7" s="1"/>
  <c r="X21" i="7"/>
  <c r="X17" i="7"/>
  <c r="P13" i="7"/>
  <c r="V13" i="7" s="1"/>
  <c r="P28" i="7"/>
  <c r="P27" i="7"/>
  <c r="P19" i="8"/>
  <c r="V19" i="8" s="1"/>
  <c r="P10" i="8"/>
  <c r="P12" i="7"/>
  <c r="V12" i="7" s="1"/>
  <c r="P3" i="7"/>
  <c r="V3" i="7" s="1"/>
  <c r="X12" i="8"/>
  <c r="L7" i="8"/>
  <c r="Q7" i="8"/>
  <c r="M3" i="8"/>
  <c r="O3" i="8"/>
  <c r="L21" i="8"/>
  <c r="Q21" i="8"/>
  <c r="Q20" i="8"/>
  <c r="L17" i="8"/>
  <c r="Q17" i="8"/>
  <c r="Q16" i="8"/>
  <c r="L13" i="8"/>
  <c r="Q13" i="8"/>
  <c r="V10" i="8"/>
  <c r="P7" i="8"/>
  <c r="V7" i="8" s="1"/>
  <c r="X7" i="8"/>
  <c r="O22" i="8"/>
  <c r="O21" i="8"/>
  <c r="O18" i="8"/>
  <c r="O17" i="8"/>
  <c r="P16" i="8" s="1"/>
  <c r="V16" i="8" s="1"/>
  <c r="O14" i="8"/>
  <c r="O13" i="8"/>
  <c r="P12" i="8" s="1"/>
  <c r="V12" i="8" s="1"/>
  <c r="L12" i="8"/>
  <c r="Q12" i="8"/>
  <c r="Q11" i="8"/>
  <c r="M9" i="8"/>
  <c r="O9" i="8"/>
  <c r="P8" i="8" s="1"/>
  <c r="V8" i="8" s="1"/>
  <c r="L8" i="8"/>
  <c r="Q8" i="8"/>
  <c r="P6" i="8"/>
  <c r="V6" i="8" s="1"/>
  <c r="N28" i="8"/>
  <c r="O27" i="8"/>
  <c r="P27" i="8" s="1"/>
  <c r="X19" i="8"/>
  <c r="X15" i="8"/>
  <c r="P11" i="8"/>
  <c r="V11" i="8" s="1"/>
  <c r="Q6" i="8"/>
  <c r="M5" i="8"/>
  <c r="O5" i="8"/>
  <c r="L4" i="8"/>
  <c r="Q4" i="8"/>
  <c r="L3" i="8"/>
  <c r="X19" i="7"/>
  <c r="X15" i="7"/>
  <c r="L9" i="7"/>
  <c r="Q9" i="7"/>
  <c r="P9" i="7"/>
  <c r="V9" i="7" s="1"/>
  <c r="X9" i="7"/>
  <c r="L5" i="7"/>
  <c r="Q5" i="7"/>
  <c r="L3" i="7"/>
  <c r="Q3" i="7"/>
  <c r="L23" i="7"/>
  <c r="Q22" i="7"/>
  <c r="L21" i="7"/>
  <c r="L19" i="7"/>
  <c r="Q19" i="7"/>
  <c r="Q18" i="7"/>
  <c r="L15" i="7"/>
  <c r="Q15" i="7"/>
  <c r="Q14" i="7"/>
  <c r="X12" i="7"/>
  <c r="M11" i="7"/>
  <c r="O11" i="7"/>
  <c r="L10" i="7"/>
  <c r="Q10" i="7"/>
  <c r="P8" i="7"/>
  <c r="V8" i="7" s="1"/>
  <c r="P5" i="7"/>
  <c r="V5" i="7" s="1"/>
  <c r="X5" i="7"/>
  <c r="O20" i="7"/>
  <c r="P18" i="7"/>
  <c r="V18" i="7" s="1"/>
  <c r="O16" i="7"/>
  <c r="P15" i="7" s="1"/>
  <c r="V15" i="7" s="1"/>
  <c r="P14" i="7"/>
  <c r="V14" i="7" s="1"/>
  <c r="M12" i="7"/>
  <c r="Q8" i="7"/>
  <c r="M7" i="7"/>
  <c r="O7" i="7"/>
  <c r="L6" i="7"/>
  <c r="Q6" i="7"/>
  <c r="P4" i="7"/>
  <c r="V4" i="7" s="1"/>
  <c r="N30" i="7"/>
  <c r="D23" i="3"/>
  <c r="D24" i="3"/>
  <c r="D25" i="3"/>
  <c r="D26" i="3"/>
  <c r="D27" i="3"/>
  <c r="D28" i="3"/>
  <c r="D29" i="3"/>
  <c r="D22" i="3"/>
  <c r="O26" i="2"/>
  <c r="C10" i="4"/>
  <c r="C8" i="4"/>
  <c r="P20" i="8" l="1"/>
  <c r="V20" i="8" s="1"/>
  <c r="P21" i="7"/>
  <c r="V21" i="7" s="1"/>
  <c r="P22" i="7"/>
  <c r="V22" i="7" s="1"/>
  <c r="P14" i="8"/>
  <c r="V14" i="8" s="1"/>
  <c r="X14" i="8"/>
  <c r="X21" i="8"/>
  <c r="P21" i="8"/>
  <c r="V21" i="8" s="1"/>
  <c r="P5" i="8"/>
  <c r="V5" i="8" s="1"/>
  <c r="P4" i="8"/>
  <c r="V4" i="8" s="1"/>
  <c r="X5" i="8"/>
  <c r="O28" i="8"/>
  <c r="P28" i="8" s="1"/>
  <c r="N29" i="8"/>
  <c r="X9" i="8"/>
  <c r="P9" i="8"/>
  <c r="V9" i="8" s="1"/>
  <c r="X17" i="8"/>
  <c r="P17" i="8"/>
  <c r="V17" i="8" s="1"/>
  <c r="P22" i="8"/>
  <c r="V22" i="8" s="1"/>
  <c r="X22" i="8"/>
  <c r="X3" i="8"/>
  <c r="P3" i="8"/>
  <c r="V3" i="8" s="1"/>
  <c r="X13" i="8"/>
  <c r="P13" i="8"/>
  <c r="V13" i="8" s="1"/>
  <c r="P18" i="8"/>
  <c r="V18" i="8" s="1"/>
  <c r="X18" i="8"/>
  <c r="P20" i="7"/>
  <c r="V20" i="7" s="1"/>
  <c r="X20" i="7"/>
  <c r="O30" i="7"/>
  <c r="P30" i="7" s="1"/>
  <c r="N31" i="7"/>
  <c r="X11" i="7"/>
  <c r="P11" i="7"/>
  <c r="V11" i="7" s="1"/>
  <c r="P16" i="7"/>
  <c r="V16" i="7" s="1"/>
  <c r="X16" i="7"/>
  <c r="P19" i="7"/>
  <c r="V19" i="7" s="1"/>
  <c r="P6" i="7"/>
  <c r="V6" i="7" s="1"/>
  <c r="P7" i="7"/>
  <c r="V7" i="7" s="1"/>
  <c r="X7" i="7"/>
  <c r="P10" i="7"/>
  <c r="V10" i="7" s="1"/>
  <c r="F9" i="4"/>
  <c r="Q15" i="3"/>
  <c r="Q14" i="3"/>
  <c r="Q13" i="3"/>
  <c r="Q12" i="3"/>
  <c r="Q11" i="3"/>
  <c r="Q10" i="3"/>
  <c r="Q9" i="3"/>
  <c r="Q8" i="3"/>
  <c r="Q7" i="3"/>
  <c r="Q6" i="3"/>
  <c r="C3" i="1"/>
  <c r="M26" i="4"/>
  <c r="M27" i="4" s="1"/>
  <c r="M28" i="4" s="1"/>
  <c r="M29" i="4" s="1"/>
  <c r="M30" i="4" s="1"/>
  <c r="M31" i="4" s="1"/>
  <c r="M32" i="4" s="1"/>
  <c r="M33" i="4" s="1"/>
  <c r="M34" i="4" s="1"/>
  <c r="M9" i="4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8" i="4"/>
  <c r="G9" i="4"/>
  <c r="E9" i="4"/>
  <c r="W3" i="2"/>
  <c r="P37" i="2"/>
  <c r="P26" i="2"/>
  <c r="P27" i="2"/>
  <c r="P28" i="2"/>
  <c r="P29" i="2"/>
  <c r="P30" i="2"/>
  <c r="P31" i="2"/>
  <c r="P32" i="2"/>
  <c r="P33" i="2"/>
  <c r="P34" i="2"/>
  <c r="P35" i="2"/>
  <c r="P36" i="2"/>
  <c r="P38" i="2"/>
  <c r="P39" i="2"/>
  <c r="P40" i="2"/>
  <c r="P41" i="2"/>
  <c r="P42" i="2"/>
  <c r="P43" i="2"/>
  <c r="P44" i="2"/>
  <c r="P45" i="2"/>
  <c r="P4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L28" i="2"/>
  <c r="D11" i="1"/>
  <c r="D12" i="1"/>
  <c r="S3" i="2"/>
  <c r="S5" i="2"/>
  <c r="S6" i="2"/>
  <c r="S7" i="2"/>
  <c r="S8" i="2"/>
  <c r="S9" i="2"/>
  <c r="S10" i="2"/>
  <c r="S11" i="2"/>
  <c r="S12" i="2"/>
  <c r="T12" i="2" s="1"/>
  <c r="S13" i="2"/>
  <c r="S14" i="2"/>
  <c r="S15" i="2"/>
  <c r="S16" i="2"/>
  <c r="S17" i="2"/>
  <c r="S18" i="2"/>
  <c r="S19" i="2"/>
  <c r="S20" i="2"/>
  <c r="T20" i="2" s="1"/>
  <c r="S21" i="2"/>
  <c r="S22" i="2"/>
  <c r="S4" i="2"/>
  <c r="T4" i="2" s="1"/>
  <c r="J4" i="2"/>
  <c r="O4" i="2" s="1"/>
  <c r="X4" i="2" s="1"/>
  <c r="J5" i="2"/>
  <c r="M5" i="2" s="1"/>
  <c r="J6" i="2"/>
  <c r="M6" i="2" s="1"/>
  <c r="J7" i="2"/>
  <c r="M7" i="2" s="1"/>
  <c r="J8" i="2"/>
  <c r="O8" i="2" s="1"/>
  <c r="X8" i="2" s="1"/>
  <c r="J9" i="2"/>
  <c r="O9" i="2" s="1"/>
  <c r="X9" i="2" s="1"/>
  <c r="J10" i="2"/>
  <c r="O10" i="2" s="1"/>
  <c r="X10" i="2" s="1"/>
  <c r="J11" i="2"/>
  <c r="O11" i="2" s="1"/>
  <c r="X11" i="2" s="1"/>
  <c r="J12" i="2"/>
  <c r="O12" i="2" s="1"/>
  <c r="X12" i="2" s="1"/>
  <c r="J13" i="2"/>
  <c r="M13" i="2" s="1"/>
  <c r="J14" i="2"/>
  <c r="M14" i="2" s="1"/>
  <c r="J15" i="2"/>
  <c r="M15" i="2" s="1"/>
  <c r="J16" i="2"/>
  <c r="M16" i="2" s="1"/>
  <c r="J17" i="2"/>
  <c r="O17" i="2" s="1"/>
  <c r="X17" i="2" s="1"/>
  <c r="J18" i="2"/>
  <c r="O18" i="2" s="1"/>
  <c r="X18" i="2" s="1"/>
  <c r="J19" i="2"/>
  <c r="O19" i="2" s="1"/>
  <c r="X19" i="2" s="1"/>
  <c r="J20" i="2"/>
  <c r="M20" i="2" s="1"/>
  <c r="J21" i="2"/>
  <c r="M21" i="2" s="1"/>
  <c r="J22" i="2"/>
  <c r="M22" i="2" s="1"/>
  <c r="J23" i="2"/>
  <c r="M23" i="2" s="1"/>
  <c r="J3" i="2"/>
  <c r="M7" i="3"/>
  <c r="M8" i="3"/>
  <c r="M9" i="3"/>
  <c r="M10" i="3"/>
  <c r="M11" i="3"/>
  <c r="M12" i="3"/>
  <c r="M13" i="3"/>
  <c r="M14" i="3"/>
  <c r="M15" i="3"/>
  <c r="M6" i="3"/>
  <c r="I7" i="3"/>
  <c r="I8" i="3"/>
  <c r="I9" i="3"/>
  <c r="I10" i="3"/>
  <c r="I11" i="3"/>
  <c r="I12" i="3"/>
  <c r="I13" i="3"/>
  <c r="I14" i="3"/>
  <c r="I15" i="3"/>
  <c r="I6" i="3"/>
  <c r="D14" i="3"/>
  <c r="D15" i="3"/>
  <c r="D7" i="3"/>
  <c r="D8" i="3"/>
  <c r="D9" i="3"/>
  <c r="D10" i="3"/>
  <c r="D11" i="3"/>
  <c r="D12" i="3"/>
  <c r="D13" i="3"/>
  <c r="D6" i="3"/>
  <c r="L26" i="2"/>
  <c r="T9" i="2" s="1"/>
  <c r="C13" i="2"/>
  <c r="N26" i="2"/>
  <c r="H4" i="2"/>
  <c r="H5" i="2"/>
  <c r="H6" i="2"/>
  <c r="H7" i="2"/>
  <c r="H8" i="2"/>
  <c r="H9" i="2"/>
  <c r="H10" i="2"/>
  <c r="H11" i="2"/>
  <c r="H12" i="2"/>
  <c r="H13" i="2"/>
  <c r="H14" i="2"/>
  <c r="H15" i="2"/>
  <c r="L15" i="2" s="1"/>
  <c r="H16" i="2"/>
  <c r="H17" i="2"/>
  <c r="H18" i="2"/>
  <c r="H19" i="2"/>
  <c r="H20" i="2"/>
  <c r="H21" i="2"/>
  <c r="H22" i="2"/>
  <c r="H23" i="2"/>
  <c r="L23" i="2" s="1"/>
  <c r="H3" i="2"/>
  <c r="F8" i="1"/>
  <c r="C26" i="1"/>
  <c r="C25" i="1"/>
  <c r="D10" i="1"/>
  <c r="F9" i="1" s="1"/>
  <c r="F10" i="1" s="1"/>
  <c r="E12" i="4" l="1"/>
  <c r="N10" i="4" s="1"/>
  <c r="F12" i="4"/>
  <c r="O20" i="4" s="1"/>
  <c r="G12" i="4"/>
  <c r="P21" i="4" s="1"/>
  <c r="L19" i="2"/>
  <c r="L18" i="2"/>
  <c r="L17" i="2"/>
  <c r="L10" i="2"/>
  <c r="L9" i="2"/>
  <c r="L7" i="2"/>
  <c r="M3" i="2"/>
  <c r="O3" i="2"/>
  <c r="X3" i="2" s="1"/>
  <c r="L3" i="2"/>
  <c r="O29" i="8"/>
  <c r="P29" i="8" s="1"/>
  <c r="N30" i="8"/>
  <c r="O31" i="7"/>
  <c r="P31" i="7" s="1"/>
  <c r="N32" i="7"/>
  <c r="J6" i="4"/>
  <c r="L20" i="2"/>
  <c r="L16" i="2"/>
  <c r="L12" i="2"/>
  <c r="L8" i="2"/>
  <c r="M8" i="2"/>
  <c r="T19" i="2"/>
  <c r="T11" i="2"/>
  <c r="O20" i="2"/>
  <c r="X20" i="2" s="1"/>
  <c r="M4" i="2"/>
  <c r="T18" i="2"/>
  <c r="T10" i="2"/>
  <c r="M12" i="2"/>
  <c r="O16" i="2"/>
  <c r="X16" i="2" s="1"/>
  <c r="T13" i="2"/>
  <c r="T5" i="2"/>
  <c r="T16" i="2"/>
  <c r="T8" i="2"/>
  <c r="L14" i="2"/>
  <c r="L6" i="2"/>
  <c r="T15" i="2"/>
  <c r="T7" i="2"/>
  <c r="L22" i="2"/>
  <c r="T21" i="2"/>
  <c r="L4" i="2"/>
  <c r="L21" i="2"/>
  <c r="L13" i="2"/>
  <c r="L5" i="2"/>
  <c r="T22" i="2"/>
  <c r="T14" i="2"/>
  <c r="T6" i="2"/>
  <c r="L11" i="2"/>
  <c r="T17" i="2"/>
  <c r="O23" i="2"/>
  <c r="X23" i="2" s="1"/>
  <c r="O7" i="2"/>
  <c r="X7" i="2" s="1"/>
  <c r="M11" i="2"/>
  <c r="O22" i="2"/>
  <c r="X22" i="2" s="1"/>
  <c r="O14" i="2"/>
  <c r="X14" i="2" s="1"/>
  <c r="O6" i="2"/>
  <c r="X6" i="2" s="1"/>
  <c r="M18" i="2"/>
  <c r="M10" i="2"/>
  <c r="O15" i="2"/>
  <c r="X15" i="2" s="1"/>
  <c r="M19" i="2"/>
  <c r="O21" i="2"/>
  <c r="X21" i="2" s="1"/>
  <c r="O13" i="2"/>
  <c r="O5" i="2"/>
  <c r="X5" i="2" s="1"/>
  <c r="M17" i="2"/>
  <c r="M9" i="2"/>
  <c r="Q3" i="2"/>
  <c r="Q18" i="2"/>
  <c r="Q10" i="2"/>
  <c r="Q11" i="2"/>
  <c r="Q19" i="2"/>
  <c r="Q4" i="2"/>
  <c r="Q20" i="2"/>
  <c r="Q5" i="2"/>
  <c r="Q13" i="2"/>
  <c r="Q21" i="2"/>
  <c r="Q6" i="2"/>
  <c r="Q14" i="2"/>
  <c r="Q22" i="2"/>
  <c r="Q12" i="2"/>
  <c r="Q7" i="2"/>
  <c r="Q15" i="2"/>
  <c r="Q8" i="2"/>
  <c r="Q16" i="2"/>
  <c r="Q9" i="2"/>
  <c r="Q17" i="2"/>
  <c r="N27" i="2"/>
  <c r="N28" i="2" s="1"/>
  <c r="N29" i="2" s="1"/>
  <c r="N30" i="2" s="1"/>
  <c r="N31" i="2" s="1"/>
  <c r="N32" i="4" l="1"/>
  <c r="N19" i="4"/>
  <c r="N20" i="4"/>
  <c r="P32" i="4"/>
  <c r="P10" i="4"/>
  <c r="O31" i="4"/>
  <c r="O29" i="4"/>
  <c r="N25" i="4"/>
  <c r="N21" i="4"/>
  <c r="P11" i="4"/>
  <c r="P13" i="4"/>
  <c r="O14" i="4"/>
  <c r="O25" i="4"/>
  <c r="N17" i="4"/>
  <c r="N30" i="4"/>
  <c r="N13" i="4"/>
  <c r="N7" i="4"/>
  <c r="P16" i="4"/>
  <c r="P22" i="4"/>
  <c r="O23" i="4"/>
  <c r="O21" i="4"/>
  <c r="N9" i="4"/>
  <c r="N31" i="4"/>
  <c r="P8" i="4"/>
  <c r="P30" i="4"/>
  <c r="P20" i="4"/>
  <c r="O19" i="4"/>
  <c r="O30" i="4"/>
  <c r="O17" i="4"/>
  <c r="P31" i="4"/>
  <c r="P18" i="4"/>
  <c r="P33" i="4"/>
  <c r="P12" i="4"/>
  <c r="O15" i="4"/>
  <c r="O22" i="4"/>
  <c r="O13" i="4"/>
  <c r="N6" i="4"/>
  <c r="N24" i="4"/>
  <c r="N15" i="4"/>
  <c r="N12" i="4"/>
  <c r="O18" i="4"/>
  <c r="N22" i="4"/>
  <c r="P23" i="4"/>
  <c r="P25" i="4"/>
  <c r="O7" i="4"/>
  <c r="O10" i="4"/>
  <c r="O28" i="4"/>
  <c r="N18" i="4"/>
  <c r="N8" i="4"/>
  <c r="N14" i="4"/>
  <c r="N26" i="4"/>
  <c r="P15" i="4"/>
  <c r="P17" i="4"/>
  <c r="O26" i="4"/>
  <c r="O16" i="4"/>
  <c r="N23" i="4"/>
  <c r="P24" i="4"/>
  <c r="P9" i="4"/>
  <c r="O27" i="4"/>
  <c r="O12" i="4"/>
  <c r="P7" i="4"/>
  <c r="P28" i="4"/>
  <c r="O6" i="4"/>
  <c r="O8" i="4"/>
  <c r="N28" i="4"/>
  <c r="P14" i="4"/>
  <c r="P27" i="4"/>
  <c r="P6" i="4"/>
  <c r="P29" i="4"/>
  <c r="O11" i="4"/>
  <c r="O9" i="4"/>
  <c r="N34" i="4"/>
  <c r="N16" i="4"/>
  <c r="N27" i="4"/>
  <c r="P34" i="4"/>
  <c r="O32" i="4"/>
  <c r="P19" i="4"/>
  <c r="P26" i="4"/>
  <c r="O24" i="4"/>
  <c r="O34" i="4"/>
  <c r="O33" i="4"/>
  <c r="N33" i="4"/>
  <c r="N11" i="4"/>
  <c r="N29" i="4"/>
  <c r="P12" i="2"/>
  <c r="V12" i="2" s="1"/>
  <c r="X13" i="2"/>
  <c r="N31" i="8"/>
  <c r="O30" i="8"/>
  <c r="P30" i="8" s="1"/>
  <c r="N33" i="7"/>
  <c r="O32" i="7"/>
  <c r="P32" i="7" s="1"/>
  <c r="P6" i="2"/>
  <c r="V6" i="2" s="1"/>
  <c r="P3" i="2"/>
  <c r="V3" i="2" s="1"/>
  <c r="P5" i="2"/>
  <c r="V5" i="2" s="1"/>
  <c r="P21" i="2"/>
  <c r="V21" i="2" s="1"/>
  <c r="P16" i="2"/>
  <c r="V16" i="2" s="1"/>
  <c r="P10" i="2"/>
  <c r="V10" i="2" s="1"/>
  <c r="P18" i="2"/>
  <c r="V18" i="2" s="1"/>
  <c r="P20" i="2"/>
  <c r="V20" i="2" s="1"/>
  <c r="P9" i="2"/>
  <c r="V9" i="2" s="1"/>
  <c r="P4" i="2"/>
  <c r="V4" i="2" s="1"/>
  <c r="P17" i="2"/>
  <c r="V17" i="2" s="1"/>
  <c r="P11" i="2"/>
  <c r="V11" i="2" s="1"/>
  <c r="P13" i="2"/>
  <c r="V13" i="2" s="1"/>
  <c r="P7" i="2"/>
  <c r="V7" i="2" s="1"/>
  <c r="P19" i="2"/>
  <c r="V19" i="2" s="1"/>
  <c r="P8" i="2"/>
  <c r="V8" i="2" s="1"/>
  <c r="P14" i="2"/>
  <c r="V14" i="2" s="1"/>
  <c r="P15" i="2"/>
  <c r="V15" i="2" s="1"/>
  <c r="P22" i="2"/>
  <c r="V22" i="2" s="1"/>
  <c r="N32" i="2"/>
  <c r="N32" i="8" l="1"/>
  <c r="O31" i="8"/>
  <c r="P31" i="8" s="1"/>
  <c r="N34" i="7"/>
  <c r="O33" i="7"/>
  <c r="P33" i="7" s="1"/>
  <c r="N33" i="2"/>
  <c r="O32" i="8" l="1"/>
  <c r="P32" i="8" s="1"/>
  <c r="N33" i="8"/>
  <c r="O34" i="7"/>
  <c r="P34" i="7" s="1"/>
  <c r="N35" i="7"/>
  <c r="N34" i="2"/>
  <c r="O33" i="8" l="1"/>
  <c r="P33" i="8" s="1"/>
  <c r="N34" i="8"/>
  <c r="O35" i="7"/>
  <c r="P35" i="7" s="1"/>
  <c r="N36" i="7"/>
  <c r="N35" i="2"/>
  <c r="N35" i="8" l="1"/>
  <c r="O34" i="8"/>
  <c r="P34" i="8" s="1"/>
  <c r="N37" i="7"/>
  <c r="O36" i="7"/>
  <c r="P36" i="7" s="1"/>
  <c r="N36" i="2"/>
  <c r="N36" i="8" l="1"/>
  <c r="O35" i="8"/>
  <c r="P35" i="8" s="1"/>
  <c r="N38" i="7"/>
  <c r="O37" i="7"/>
  <c r="P37" i="7" s="1"/>
  <c r="N37" i="2"/>
  <c r="O36" i="8" l="1"/>
  <c r="P36" i="8" s="1"/>
  <c r="N37" i="8"/>
  <c r="O38" i="7"/>
  <c r="P38" i="7" s="1"/>
  <c r="N39" i="7"/>
  <c r="N38" i="2"/>
  <c r="O37" i="8" l="1"/>
  <c r="P37" i="8" s="1"/>
  <c r="N38" i="8"/>
  <c r="O39" i="7"/>
  <c r="P39" i="7" s="1"/>
  <c r="N40" i="7"/>
  <c r="N39" i="2"/>
  <c r="N39" i="8" l="1"/>
  <c r="O38" i="8"/>
  <c r="P38" i="8" s="1"/>
  <c r="N41" i="7"/>
  <c r="O40" i="7"/>
  <c r="P40" i="7" s="1"/>
  <c r="N40" i="2"/>
  <c r="N40" i="8" l="1"/>
  <c r="O39" i="8"/>
  <c r="P39" i="8" s="1"/>
  <c r="N42" i="7"/>
  <c r="O41" i="7"/>
  <c r="P41" i="7" s="1"/>
  <c r="N41" i="2"/>
  <c r="O40" i="8" l="1"/>
  <c r="P40" i="8" s="1"/>
  <c r="N41" i="8"/>
  <c r="O42" i="7"/>
  <c r="P42" i="7" s="1"/>
  <c r="N43" i="7"/>
  <c r="N42" i="2"/>
  <c r="O41" i="8" l="1"/>
  <c r="P41" i="8" s="1"/>
  <c r="N42" i="8"/>
  <c r="O43" i="7"/>
  <c r="P43" i="7" s="1"/>
  <c r="N44" i="7"/>
  <c r="N43" i="2"/>
  <c r="N43" i="8" l="1"/>
  <c r="O42" i="8"/>
  <c r="P42" i="8" s="1"/>
  <c r="N45" i="7"/>
  <c r="O44" i="7"/>
  <c r="P44" i="7" s="1"/>
  <c r="N44" i="2"/>
  <c r="N44" i="8" l="1"/>
  <c r="O43" i="8"/>
  <c r="P43" i="8" s="1"/>
  <c r="N46" i="7"/>
  <c r="O46" i="7" s="1"/>
  <c r="P46" i="7" s="1"/>
  <c r="O45" i="7"/>
  <c r="P45" i="7" s="1"/>
  <c r="N45" i="2"/>
  <c r="O44" i="8" l="1"/>
  <c r="P44" i="8" s="1"/>
  <c r="N45" i="8"/>
  <c r="N46" i="2"/>
  <c r="O45" i="8" l="1"/>
  <c r="P45" i="8" s="1"/>
  <c r="N46" i="8"/>
  <c r="O46" i="8" s="1"/>
  <c r="P46" i="8" s="1"/>
</calcChain>
</file>

<file path=xl/sharedStrings.xml><?xml version="1.0" encoding="utf-8"?>
<sst xmlns="http://schemas.openxmlformats.org/spreadsheetml/2006/main" count="397" uniqueCount="138">
  <si>
    <t>Variables</t>
  </si>
  <si>
    <t xml:space="preserve">Density </t>
  </si>
  <si>
    <t>(N/m^2)</t>
  </si>
  <si>
    <t xml:space="preserve">E </t>
  </si>
  <si>
    <t>kg/m^3</t>
  </si>
  <si>
    <t>Length AO</t>
  </si>
  <si>
    <t>LPP</t>
  </si>
  <si>
    <t>B</t>
  </si>
  <si>
    <t>T</t>
  </si>
  <si>
    <t>Trim by stern</t>
  </si>
  <si>
    <t>D</t>
  </si>
  <si>
    <t>LCG</t>
  </si>
  <si>
    <t>KG</t>
  </si>
  <si>
    <t>GM</t>
  </si>
  <si>
    <t>x (m)</t>
  </si>
  <si>
    <t>W (T/m)</t>
  </si>
  <si>
    <t>Cross section position</t>
  </si>
  <si>
    <t>Uniform beam</t>
  </si>
  <si>
    <t>L</t>
  </si>
  <si>
    <t>Cross Sectio (B*H)</t>
  </si>
  <si>
    <t>m</t>
  </si>
  <si>
    <t>H</t>
  </si>
  <si>
    <t>B*H</t>
  </si>
  <si>
    <t>Uniform Plate</t>
  </si>
  <si>
    <t>Thickness</t>
  </si>
  <si>
    <t>Simply supported on all edges</t>
  </si>
  <si>
    <t>Stiffned panel</t>
  </si>
  <si>
    <t>a</t>
  </si>
  <si>
    <t>b</t>
  </si>
  <si>
    <t>be</t>
  </si>
  <si>
    <t>hw</t>
  </si>
  <si>
    <t>t,tw</t>
  </si>
  <si>
    <t>nº de nós</t>
  </si>
  <si>
    <t>delta_xi</t>
  </si>
  <si>
    <t>massa total</t>
  </si>
  <si>
    <t>massa em cada nó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</si>
  <si>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</si>
  <si>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</si>
  <si>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</si>
  <si>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</si>
  <si>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</si>
  <si>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</si>
  <si>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</si>
  <si>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</si>
  <si>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</si>
  <si>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</si>
  <si>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</si>
  <si>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</si>
  <si>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</si>
  <si>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</si>
  <si>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</si>
  <si>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</si>
  <si>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</si>
  <si>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</si>
  <si>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</si>
  <si>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</si>
  <si>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A0</t>
  </si>
  <si>
    <t>Density</t>
  </si>
  <si>
    <t>m(x)</t>
  </si>
  <si>
    <t>Area * 2</t>
  </si>
  <si>
    <t>A/(B*T)</t>
  </si>
  <si>
    <t>B/T</t>
  </si>
  <si>
    <t>B/L</t>
  </si>
  <si>
    <t>Vertical Bending Stiffness</t>
  </si>
  <si>
    <t>Line</t>
  </si>
  <si>
    <t>Dist a vante</t>
  </si>
  <si>
    <t>Ship Dimensions</t>
  </si>
  <si>
    <r>
      <t>J</t>
    </r>
    <r>
      <rPr>
        <sz val="8"/>
        <color theme="1"/>
        <rFont val="Calibri"/>
        <family val="2"/>
        <scheme val="minor"/>
      </rPr>
      <t>2</t>
    </r>
  </si>
  <si>
    <t>V [m3]</t>
  </si>
  <si>
    <t>dens</t>
  </si>
  <si>
    <t>W [T/m]</t>
  </si>
  <si>
    <t>W section</t>
  </si>
  <si>
    <t>m section</t>
  </si>
  <si>
    <t>-</t>
  </si>
  <si>
    <t>t/m3</t>
  </si>
  <si>
    <t>h [m]</t>
  </si>
  <si>
    <t>Plate</t>
  </si>
  <si>
    <t xml:space="preserve">                                                                            </t>
  </si>
  <si>
    <t>SET</t>
  </si>
  <si>
    <t>TIME/FREQ</t>
  </si>
  <si>
    <t>hz</t>
  </si>
  <si>
    <t>rad</t>
  </si>
  <si>
    <t>Stiffned Plate</t>
  </si>
  <si>
    <t xml:space="preserve">SET   </t>
  </si>
  <si>
    <t>Uni Beam</t>
  </si>
  <si>
    <t>c</t>
  </si>
  <si>
    <t xml:space="preserve">TIME/FREQ </t>
  </si>
  <si>
    <t>B/2</t>
  </si>
  <si>
    <t>Volume(for dens)</t>
  </si>
  <si>
    <t>Weight section</t>
  </si>
  <si>
    <t>I</t>
  </si>
  <si>
    <t>Iyy</t>
  </si>
  <si>
    <t>Izz</t>
  </si>
  <si>
    <t>E</t>
  </si>
  <si>
    <t>E [Pa]</t>
  </si>
  <si>
    <t>considered area</t>
  </si>
  <si>
    <t>tot mass</t>
  </si>
  <si>
    <t>k1</t>
  </si>
  <si>
    <t>k2</t>
  </si>
  <si>
    <t>k3</t>
  </si>
  <si>
    <t>b1</t>
  </si>
  <si>
    <t>b2</t>
  </si>
  <si>
    <t>b3</t>
  </si>
  <si>
    <t>a1</t>
  </si>
  <si>
    <t>a2</t>
  </si>
  <si>
    <t>a3</t>
  </si>
  <si>
    <t>w1</t>
  </si>
  <si>
    <t>w2</t>
  </si>
  <si>
    <t>w3</t>
  </si>
  <si>
    <t>A</t>
  </si>
  <si>
    <t>ró</t>
  </si>
  <si>
    <t>x</t>
  </si>
  <si>
    <t>1ºMode</t>
  </si>
  <si>
    <t>2ºMode</t>
  </si>
  <si>
    <t>3ºMode</t>
  </si>
  <si>
    <t>Cn</t>
  </si>
  <si>
    <t>EI</t>
  </si>
  <si>
    <t>BEAM188</t>
  </si>
  <si>
    <t>BEAM3</t>
  </si>
  <si>
    <t>Method Comparison</t>
  </si>
  <si>
    <t>Analytical Result</t>
  </si>
  <si>
    <t>Uniform Beam</t>
  </si>
  <si>
    <r>
      <t>J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</si>
  <si>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J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</si>
  <si>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Ship</t>
  </si>
  <si>
    <t>FEM analysis</t>
  </si>
  <si>
    <t>Myklestad</t>
  </si>
  <si>
    <t>Ship (J2)</t>
  </si>
  <si>
    <t>Beam</t>
  </si>
  <si>
    <t>Diff %</t>
  </si>
  <si>
    <t>Diff % [Myk]</t>
  </si>
  <si>
    <t>Diff % [Fem]</t>
  </si>
  <si>
    <t>J3</t>
  </si>
  <si>
    <t>J4</t>
  </si>
  <si>
    <t>[hz]</t>
  </si>
  <si>
    <t>[rad/s]</t>
  </si>
  <si>
    <t>*</t>
  </si>
  <si>
    <t>Wet Areas (Rhino)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</si>
</sst>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6" fillId="0" borderId="1" applyNumberFormat="0" applyFill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53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0" xfId="1" applyBorder="1" applyAlignment="1">
      <alignment horizontal="center"/>
    </xf>
    <xf numFmtId="1" fontId="0" fillId="0" borderId="0" xfId="0" applyNumberFormat="1" applyBorder="1"/>
    <xf numFmtId="11" fontId="0" fillId="0" borderId="0" xfId="0" applyNumberFormat="1"/>
    <xf numFmtId="0" fontId="5" fillId="4" borderId="0" xfId="3"/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/>
    <xf numFmtId="0" fontId="5" fillId="6" borderId="0" xfId="5" applyAlignment="1">
      <alignment horizontal="center"/>
    </xf>
    <xf numFmtId="0" fontId="5" fillId="5" borderId="0" xfId="4" applyAlignment="1">
      <alignment horizontal="center"/>
    </xf>
    <xf numFmtId="0" fontId="5" fillId="6" borderId="0" xfId="5"/>
    <xf numFmtId="0" fontId="2" fillId="0" borderId="0" xfId="0" applyFont="1" applyAlignment="1">
      <alignment horizontal="center"/>
    </xf>
    <xf numFmtId="0" fontId="0" fillId="6" borderId="0" xfId="5" applyFont="1" applyAlignment="1">
      <alignment horizontal="center"/>
    </xf>
    <xf numFmtId="0" fontId="0" fillId="5" borderId="0" xfId="4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/>
    </xf>
    <xf numFmtId="1" fontId="0" fillId="0" borderId="0" xfId="0" applyNumberFormat="1"/>
    <xf numFmtId="0" fontId="2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2" applyAlignment="1">
      <alignment horizontal="center"/>
    </xf>
    <xf numFmtId="0" fontId="0" fillId="7" borderId="0" xfId="0" applyFill="1" applyAlignment="1">
      <alignment horizontal="center"/>
    </xf>
  </cellXfs>
  <cellStyles count="6">
    <cellStyle name="20% - Colore 6" xfId="4" builtinId="50"/>
    <cellStyle name="40% - Colore 4" xfId="1" builtinId="43"/>
    <cellStyle name="40% - Colore 5" xfId="3" builtinId="47"/>
    <cellStyle name="40% - Colore 6" xfId="5" builtinId="51"/>
    <cellStyle name="Normale" xfId="0" builtinId="0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Vertical Bending 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4706840390879478"/>
          <c:w val="0.86486351706036746"/>
          <c:h val="0.672702129660502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Folha1!$L$3:$L$9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108</c:v>
                </c:pt>
                <c:pt idx="5">
                  <c:v>144</c:v>
                </c:pt>
                <c:pt idx="6">
                  <c:v>157.5</c:v>
                </c:pt>
              </c:numCache>
            </c:numRef>
          </c:cat>
          <c:val>
            <c:numRef>
              <c:f>Folha1!$M$3:$M$9</c:f>
              <c:numCache>
                <c:formatCode>General</c:formatCode>
                <c:ptCount val="7"/>
                <c:pt idx="0">
                  <c:v>3543</c:v>
                </c:pt>
                <c:pt idx="1">
                  <c:v>5905</c:v>
                </c:pt>
                <c:pt idx="2">
                  <c:v>7086</c:v>
                </c:pt>
                <c:pt idx="3">
                  <c:v>7676</c:v>
                </c:pt>
                <c:pt idx="4">
                  <c:v>7676</c:v>
                </c:pt>
                <c:pt idx="5">
                  <c:v>6495</c:v>
                </c:pt>
                <c:pt idx="6">
                  <c:v>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0-404F-9FE6-34008A0CC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30104"/>
        <c:axId val="661929448"/>
      </c:lineChart>
      <c:catAx>
        <c:axId val="66193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929448"/>
        <c:crosses val="autoZero"/>
        <c:auto val="1"/>
        <c:lblAlgn val="ctr"/>
        <c:lblOffset val="100"/>
        <c:noMultiLvlLbl val="0"/>
      </c:catAx>
      <c:valAx>
        <c:axId val="66192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93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Vertical Bending 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Folha1!$L$3:$L$9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108</c:v>
                </c:pt>
                <c:pt idx="5">
                  <c:v>144</c:v>
                </c:pt>
                <c:pt idx="6">
                  <c:v>157.5</c:v>
                </c:pt>
              </c:numCache>
            </c:numRef>
          </c:cat>
          <c:val>
            <c:numRef>
              <c:f>Folha1!$M$3:$M$9</c:f>
              <c:numCache>
                <c:formatCode>General</c:formatCode>
                <c:ptCount val="7"/>
                <c:pt idx="0">
                  <c:v>3543</c:v>
                </c:pt>
                <c:pt idx="1">
                  <c:v>5905</c:v>
                </c:pt>
                <c:pt idx="2">
                  <c:v>7086</c:v>
                </c:pt>
                <c:pt idx="3">
                  <c:v>7676</c:v>
                </c:pt>
                <c:pt idx="4">
                  <c:v>7676</c:v>
                </c:pt>
                <c:pt idx="5">
                  <c:v>6495</c:v>
                </c:pt>
                <c:pt idx="6">
                  <c:v>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6-413F-85DA-B32912B41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30104"/>
        <c:axId val="661929448"/>
      </c:lineChart>
      <c:catAx>
        <c:axId val="66193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929448"/>
        <c:crosses val="autoZero"/>
        <c:auto val="1"/>
        <c:lblAlgn val="ctr"/>
        <c:lblOffset val="100"/>
        <c:noMultiLvlLbl val="0"/>
      </c:catAx>
      <c:valAx>
        <c:axId val="66192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93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Vertical Bending 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Folha1!$L$3:$L$9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108</c:v>
                </c:pt>
                <c:pt idx="5">
                  <c:v>144</c:v>
                </c:pt>
                <c:pt idx="6">
                  <c:v>157.5</c:v>
                </c:pt>
              </c:numCache>
            </c:numRef>
          </c:cat>
          <c:val>
            <c:numRef>
              <c:f>Folha1!$M$3:$M$9</c:f>
              <c:numCache>
                <c:formatCode>General</c:formatCode>
                <c:ptCount val="7"/>
                <c:pt idx="0">
                  <c:v>3543</c:v>
                </c:pt>
                <c:pt idx="1">
                  <c:v>5905</c:v>
                </c:pt>
                <c:pt idx="2">
                  <c:v>7086</c:v>
                </c:pt>
                <c:pt idx="3">
                  <c:v>7676</c:v>
                </c:pt>
                <c:pt idx="4">
                  <c:v>7676</c:v>
                </c:pt>
                <c:pt idx="5">
                  <c:v>6495</c:v>
                </c:pt>
                <c:pt idx="6">
                  <c:v>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6-4CE0-BA97-08439089A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30104"/>
        <c:axId val="661929448"/>
      </c:lineChart>
      <c:catAx>
        <c:axId val="66193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929448"/>
        <c:crosses val="autoZero"/>
        <c:auto val="1"/>
        <c:lblAlgn val="ctr"/>
        <c:lblOffset val="100"/>
        <c:noMultiLvlLbl val="0"/>
      </c:catAx>
      <c:valAx>
        <c:axId val="66192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93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Vertical Bending 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Folha1!$L$3:$L$9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108</c:v>
                </c:pt>
                <c:pt idx="5">
                  <c:v>144</c:v>
                </c:pt>
                <c:pt idx="6">
                  <c:v>157.5</c:v>
                </c:pt>
              </c:numCache>
            </c:numRef>
          </c:cat>
          <c:val>
            <c:numRef>
              <c:f>Folha1!$M$3:$M$9</c:f>
              <c:numCache>
                <c:formatCode>General</c:formatCode>
                <c:ptCount val="7"/>
                <c:pt idx="0">
                  <c:v>3543</c:v>
                </c:pt>
                <c:pt idx="1">
                  <c:v>5905</c:v>
                </c:pt>
                <c:pt idx="2">
                  <c:v>7086</c:v>
                </c:pt>
                <c:pt idx="3">
                  <c:v>7676</c:v>
                </c:pt>
                <c:pt idx="4">
                  <c:v>7676</c:v>
                </c:pt>
                <c:pt idx="5">
                  <c:v>6495</c:v>
                </c:pt>
                <c:pt idx="6">
                  <c:v>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C-422D-9D1A-97F3230A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30104"/>
        <c:axId val="661929448"/>
      </c:lineChart>
      <c:catAx>
        <c:axId val="66193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929448"/>
        <c:crosses val="autoZero"/>
        <c:auto val="1"/>
        <c:lblAlgn val="ctr"/>
        <c:lblOffset val="100"/>
        <c:noMultiLvlLbl val="0"/>
      </c:catAx>
      <c:valAx>
        <c:axId val="66192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93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Modes of Vibration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Analytical!$N$5</c:f>
              <c:strCache>
                <c:ptCount val="1"/>
                <c:pt idx="0">
                  <c:v>1ºMode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Analytical!$M$6:$M$34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Analytical!$N$6:$N$34</c:f>
              <c:numCache>
                <c:formatCode>General</c:formatCode>
                <c:ptCount val="29"/>
                <c:pt idx="0">
                  <c:v>0</c:v>
                </c:pt>
                <c:pt idx="1">
                  <c:v>-2.3797880984916218E-2</c:v>
                </c:pt>
                <c:pt idx="2">
                  <c:v>-9.0034091361514995E-2</c:v>
                </c:pt>
                <c:pt idx="3">
                  <c:v>-0.19099002436159934</c:v>
                </c:pt>
                <c:pt idx="4">
                  <c:v>-0.3190052912686725</c:v>
                </c:pt>
                <c:pt idx="5">
                  <c:v>-0.46653828377745465</c:v>
                </c:pt>
                <c:pt idx="6">
                  <c:v>-0.62624318889361563</c:v>
                </c:pt>
                <c:pt idx="7">
                  <c:v>-0.79105888209719044</c:v>
                </c:pt>
                <c:pt idx="8">
                  <c:v>-0.95430524465585087</c:v>
                </c:pt>
                <c:pt idx="9">
                  <c:v>-1.1097826246949378</c:v>
                </c:pt>
                <c:pt idx="10">
                  <c:v>-1.2518703934381961</c:v>
                </c:pt>
                <c:pt idx="11">
                  <c:v>-1.3756208398600942</c:v>
                </c:pt>
                <c:pt idx="12">
                  <c:v>-1.4768449983171688</c:v>
                </c:pt>
                <c:pt idx="13">
                  <c:v>-1.5521874117554004</c:v>
                </c:pt>
                <c:pt idx="14">
                  <c:v>-1.5991872929632116</c:v>
                </c:pt>
                <c:pt idx="15">
                  <c:v>-1.616324051379312</c:v>
                </c:pt>
                <c:pt idx="16">
                  <c:v>-1.6030456949584808</c:v>
                </c:pt>
                <c:pt idx="17">
                  <c:v>-1.5597791861019914</c:v>
                </c:pt>
                <c:pt idx="18">
                  <c:v>-1.4879224173260877</c:v>
                </c:pt>
                <c:pt idx="19">
                  <c:v>-1.3898180652665744</c:v>
                </c:pt>
                <c:pt idx="20">
                  <c:v>-1.2687101696933549</c:v>
                </c:pt>
                <c:pt idx="21">
                  <c:v>-1.1286848564842185</c:v>
                </c:pt>
                <c:pt idx="22">
                  <c:v>-0.97459716954539388</c:v>
                </c:pt>
                <c:pt idx="23">
                  <c:v>-0.81198648688820896</c:v>
                </c:pt>
                <c:pt idx="24">
                  <c:v>-0.64698346208865587</c:v>
                </c:pt>
                <c:pt idx="25">
                  <c:v>-0.48621184728153821</c:v>
                </c:pt>
                <c:pt idx="26">
                  <c:v>-0.33668891256503741</c:v>
                </c:pt>
                <c:pt idx="27">
                  <c:v>-0.20572847614297984</c:v>
                </c:pt>
                <c:pt idx="28">
                  <c:v>-0.10085079888700932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4F-40BB-B33C-D9EE45AFF711}"/>
            </c:ext>
          </c:extLst>
        </c:ser>
        <c:ser>
          <c:idx val="3"/>
          <c:order val="1"/>
          <c:tx>
            <c:strRef>
              <c:f>Analytical!$O$5</c:f>
              <c:strCache>
                <c:ptCount val="1"/>
                <c:pt idx="0">
                  <c:v>2ºMode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Analytical!$M$6:$M$34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Analytical!$O$6:$O$34</c:f>
              <c:numCache>
                <c:formatCode>General</c:formatCode>
                <c:ptCount val="29"/>
                <c:pt idx="0">
                  <c:v>0</c:v>
                </c:pt>
                <c:pt idx="1">
                  <c:v>-6.2505371141690233E-2</c:v>
                </c:pt>
                <c:pt idx="2">
                  <c:v>-0.22614637593541936</c:v>
                </c:pt>
                <c:pt idx="3">
                  <c:v>-0.45545835259111545</c:v>
                </c:pt>
                <c:pt idx="4">
                  <c:v>-0.71609038889615551</c:v>
                </c:pt>
                <c:pt idx="5">
                  <c:v>-0.97585563201155623</c:v>
                </c:pt>
                <c:pt idx="6">
                  <c:v>-1.2059304200921805</c:v>
                </c:pt>
                <c:pt idx="7">
                  <c:v>-1.3820519752537783</c:v>
                </c:pt>
                <c:pt idx="8">
                  <c:v>-1.4855801950375374</c:v>
                </c:pt>
                <c:pt idx="9">
                  <c:v>-1.504310398096699</c:v>
                </c:pt>
                <c:pt idx="10">
                  <c:v>-1.4329500976367386</c:v>
                </c:pt>
                <c:pt idx="11">
                  <c:v>-1.2732028438026557</c:v>
                </c:pt>
                <c:pt idx="12">
                  <c:v>-1.0334343389406282</c:v>
                </c:pt>
                <c:pt idx="13">
                  <c:v>-0.72792856683509477</c:v>
                </c:pt>
                <c:pt idx="14">
                  <c:v>-0.37577265181701236</c:v>
                </c:pt>
                <c:pt idx="15">
                  <c:v>5.633256237693729E-4</c:v>
                </c:pt>
                <c:pt idx="16">
                  <c:v>0.37686300592957167</c:v>
                </c:pt>
                <c:pt idx="17">
                  <c:v>0.7289126473742229</c:v>
                </c:pt>
                <c:pt idx="18">
                  <c:v>1.0342498545043384</c:v>
                </c:pt>
                <c:pt idx="19">
                  <c:v>1.2737997620219659</c:v>
                </c:pt>
                <c:pt idx="20">
                  <c:v>1.4332944369279801</c:v>
                </c:pt>
                <c:pt idx="21">
                  <c:v>1.5043870051087396</c:v>
                </c:pt>
                <c:pt idx="22">
                  <c:v>1.4853943503385096</c:v>
                </c:pt>
                <c:pt idx="23">
                  <c:v>1.3816297573305008</c:v>
                </c:pt>
                <c:pt idx="24">
                  <c:v>1.2053178527531827</c:v>
                </c:pt>
                <c:pt idx="25">
                  <c:v>0.97511673703155566</c:v>
                </c:pt>
                <c:pt idx="26">
                  <c:v>0.71530435857550856</c:v>
                </c:pt>
                <c:pt idx="27">
                  <c:v>0.45471614076257083</c:v>
                </c:pt>
                <c:pt idx="28">
                  <c:v>0.22554707675908503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4F-40BB-B33C-D9EE45AFF711}"/>
            </c:ext>
          </c:extLst>
        </c:ser>
        <c:ser>
          <c:idx val="0"/>
          <c:order val="2"/>
          <c:tx>
            <c:strRef>
              <c:f>Analytical!$P$5</c:f>
              <c:strCache>
                <c:ptCount val="1"/>
                <c:pt idx="0">
                  <c:v>3ºMode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Analytical!$M$6:$M$34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Analytical!$P$6:$P$34</c:f>
              <c:numCache>
                <c:formatCode>General</c:formatCode>
                <c:ptCount val="29"/>
                <c:pt idx="0">
                  <c:v>0</c:v>
                </c:pt>
                <c:pt idx="1">
                  <c:v>-0.11793541121506707</c:v>
                </c:pt>
                <c:pt idx="2">
                  <c:v>-0.40645245607329261</c:v>
                </c:pt>
                <c:pt idx="3">
                  <c:v>-0.77007779095976181</c:v>
                </c:pt>
                <c:pt idx="4">
                  <c:v>-1.1208988024530311</c:v>
                </c:pt>
                <c:pt idx="5">
                  <c:v>-1.3848611524733321</c:v>
                </c:pt>
                <c:pt idx="6">
                  <c:v>-1.5078769396674985</c:v>
                </c:pt>
                <c:pt idx="7">
                  <c:v>-1.4604254678367141</c:v>
                </c:pt>
                <c:pt idx="8">
                  <c:v>-1.2396843917093037</c:v>
                </c:pt>
                <c:pt idx="9">
                  <c:v>-0.86866492094622672</c:v>
                </c:pt>
                <c:pt idx="10">
                  <c:v>-0.3922975493641836</c:v>
                </c:pt>
                <c:pt idx="11">
                  <c:v>0.12912820462432251</c:v>
                </c:pt>
                <c:pt idx="12">
                  <c:v>0.62837896449576647</c:v>
                </c:pt>
                <c:pt idx="13">
                  <c:v>1.0404848980551904</c:v>
                </c:pt>
                <c:pt idx="14">
                  <c:v>1.311553759183326</c:v>
                </c:pt>
                <c:pt idx="15">
                  <c:v>1.4060456369213483</c:v>
                </c:pt>
                <c:pt idx="16">
                  <c:v>1.3115577556906715</c:v>
                </c:pt>
                <c:pt idx="17">
                  <c:v>1.0404923666403363</c:v>
                </c:pt>
                <c:pt idx="18">
                  <c:v>0.62838892684305847</c:v>
                </c:pt>
                <c:pt idx="19">
                  <c:v>0.12913936036704854</c:v>
                </c:pt>
                <c:pt idx="20">
                  <c:v>-0.39228664677432334</c:v>
                </c:pt>
                <c:pt idx="21">
                  <c:v>-0.86865566727510668</c:v>
                </c:pt>
                <c:pt idx="22">
                  <c:v>-1.239677939389594</c:v>
                </c:pt>
                <c:pt idx="23">
                  <c:v>-1.4604225624439096</c:v>
                </c:pt>
                <c:pt idx="24">
                  <c:v>-1.507877805723183</c:v>
                </c:pt>
                <c:pt idx="25">
                  <c:v>-1.3848654416924546</c:v>
                </c:pt>
                <c:pt idx="26">
                  <c:v>-1.1209056083198448</c:v>
                </c:pt>
                <c:pt idx="27">
                  <c:v>-0.77008572340855608</c:v>
                </c:pt>
                <c:pt idx="28">
                  <c:v>-0.4064597601263813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4F-40BB-B33C-D9EE45AFF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92176"/>
        <c:axId val="489594096"/>
      </c:lineChart>
      <c:catAx>
        <c:axId val="4895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9594096"/>
        <c:crosses val="autoZero"/>
        <c:auto val="1"/>
        <c:lblAlgn val="ctr"/>
        <c:lblOffset val="100"/>
        <c:noMultiLvlLbl val="0"/>
      </c:catAx>
      <c:valAx>
        <c:axId val="4895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95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276225</xdr:colOff>
      <xdr:row>14</xdr:row>
      <xdr:rowOff>59055</xdr:rowOff>
    </xdr:from>
    <xdr:to>
      <xdr:col>14</xdr:col>
      <xdr:colOff>584499</xdr:colOff>
      <xdr:row>26</xdr:row>
      <xdr:rowOff>136864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18D9BDF4-2CC0-60B3-40AE-2C4588BAF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3785" y="2619375"/>
          <a:ext cx="2761914" cy="2272369"/>
        </a:xfrm>
        <a:prstGeom prst="rect">
          <a:avLst/>
        </a:prstGeom>
      </xdr:spPr>
    </xdr:pic>
    <xdr:clientData/>
  </xdr:twoCellAnchor>
  <xdr:twoCellAnchor>
    <xdr:from>
      <xdr:col>14</xdr:col>
      <xdr:colOff>352425</xdr:colOff>
      <xdr:row>1</xdr:row>
      <xdr:rowOff>0</xdr:rowOff>
    </xdr:from>
    <xdr:to>
      <xdr:col>22</xdr:col>
      <xdr:colOff>47625</xdr:colOff>
      <xdr:row>13</xdr:row>
      <xdr:rowOff>144780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3ECC5EE-9F73-ED52-4926-431B2C489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917381</xdr:colOff>
      <xdr:row>33</xdr:row>
      <xdr:rowOff>13914</xdr:rowOff>
    </xdr:from>
    <xdr:to>
      <xdr:col>21</xdr:col>
      <xdr:colOff>493683</xdr:colOff>
      <xdr:row>45</xdr:row>
      <xdr:rowOff>48701</xdr:rowOff>
    </xdr:to>
    <xdr:pic>
      <xdr:nvPicPr>
        <xdr:cNvPr id="6" name="Imagem 2">
          <a:extLst>
            <a:ext uri="{FF2B5EF4-FFF2-40B4-BE49-F238E27FC236}">
              <a16:creationId xmlns:a16="http://schemas.microsoft.com/office/drawing/2014/main" id="{34A35C11-B8BC-F913-8538-10BBB9630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1316" y="6027088"/>
          <a:ext cx="4877171" cy="2221396"/>
        </a:xfrm>
        <a:prstGeom prst="rect">
          <a:avLst/>
        </a:prstGeom>
      </xdr:spPr>
    </xdr:pic>
    <xdr:clientData/>
  </xdr:twoCellAnchor>
  <xdr:twoCellAnchor editAs="oneCell">
    <xdr:from>
      <xdr:col>1</xdr:col>
      <xdr:colOff>324679</xdr:colOff>
      <xdr:row>24</xdr:row>
      <xdr:rowOff>31060</xdr:rowOff>
    </xdr:from>
    <xdr:to>
      <xdr:col>9</xdr:col>
      <xdr:colOff>45720</xdr:colOff>
      <xdr:row>48</xdr:row>
      <xdr:rowOff>32043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CF341FB-EFAC-B76C-1054-9A564A7C9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279" y="4483790"/>
          <a:ext cx="4577963" cy="4453714"/>
        </a:xfrm>
        <a:prstGeom prst="rect">
          <a:avLst/>
        </a:prstGeom>
      </xdr:spPr>
    </xdr:pic>
    <xdr:clientData/>
  </xdr:twoCellAnchor>
  <xdr:twoCellAnchor>
    <xdr:from>
      <xdr:col>24</xdr:col>
      <xdr:colOff>586989</xdr:colOff>
      <xdr:row>14</xdr:row>
      <xdr:rowOff>7620</xdr:rowOff>
    </xdr:from>
    <xdr:to>
      <xdr:col>31</xdr:col>
      <xdr:colOff>500850</xdr:colOff>
      <xdr:row>28</xdr:row>
      <xdr:rowOff>83820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68597A-6A5C-4490-B6EC-F8252F893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229925</xdr:colOff>
      <xdr:row>0</xdr:row>
      <xdr:rowOff>163001</xdr:rowOff>
    </xdr:from>
    <xdr:to>
      <xdr:col>31</xdr:col>
      <xdr:colOff>427422</xdr:colOff>
      <xdr:row>13</xdr:row>
      <xdr:rowOff>15571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386DC690-4D1C-4771-9330-A0995D4D3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99025" y="163001"/>
          <a:ext cx="4853317" cy="223001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23</xdr:row>
      <xdr:rowOff>123825</xdr:rowOff>
    </xdr:from>
    <xdr:to>
      <xdr:col>8</xdr:col>
      <xdr:colOff>350520</xdr:colOff>
      <xdr:row>47</xdr:row>
      <xdr:rowOff>124809</xdr:rowOff>
    </xdr:to>
    <xdr:pic>
      <xdr:nvPicPr>
        <xdr:cNvPr id="3" name="Imagem 3">
          <a:extLst>
            <a:ext uri="{FF2B5EF4-FFF2-40B4-BE49-F238E27FC236}">
              <a16:creationId xmlns:a16="http://schemas.microsoft.com/office/drawing/2014/main" id="{EFC34054-5068-4FA1-81B5-87BD898F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330065"/>
          <a:ext cx="4579620" cy="4390104"/>
        </a:xfrm>
        <a:prstGeom prst="rect">
          <a:avLst/>
        </a:prstGeom>
      </xdr:spPr>
    </xdr:pic>
    <xdr:clientData/>
  </xdr:twoCellAnchor>
  <xdr:twoCellAnchor>
    <xdr:from>
      <xdr:col>24</xdr:col>
      <xdr:colOff>586989</xdr:colOff>
      <xdr:row>14</xdr:row>
      <xdr:rowOff>7620</xdr:rowOff>
    </xdr:from>
    <xdr:to>
      <xdr:col>31</xdr:col>
      <xdr:colOff>500850</xdr:colOff>
      <xdr:row>28</xdr:row>
      <xdr:rowOff>83820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1570572B-9DDC-4759-9945-2D2F66615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229925</xdr:colOff>
      <xdr:row>0</xdr:row>
      <xdr:rowOff>163001</xdr:rowOff>
    </xdr:from>
    <xdr:to>
      <xdr:col>31</xdr:col>
      <xdr:colOff>427422</xdr:colOff>
      <xdr:row>13</xdr:row>
      <xdr:rowOff>15571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9AA3D76F-76CE-49B4-9919-5294266D1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99025" y="163001"/>
          <a:ext cx="4853317" cy="223001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23</xdr:row>
      <xdr:rowOff>123825</xdr:rowOff>
    </xdr:from>
    <xdr:to>
      <xdr:col>8</xdr:col>
      <xdr:colOff>350520</xdr:colOff>
      <xdr:row>47</xdr:row>
      <xdr:rowOff>124809</xdr:rowOff>
    </xdr:to>
    <xdr:pic>
      <xdr:nvPicPr>
        <xdr:cNvPr id="3" name="Imagem 3">
          <a:extLst>
            <a:ext uri="{FF2B5EF4-FFF2-40B4-BE49-F238E27FC236}">
              <a16:creationId xmlns:a16="http://schemas.microsoft.com/office/drawing/2014/main" id="{33EDDD78-74BB-4D01-ACF1-76C99DC2C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330065"/>
          <a:ext cx="4579620" cy="4390104"/>
        </a:xfrm>
        <a:prstGeom prst="rect">
          <a:avLst/>
        </a:prstGeom>
      </xdr:spPr>
    </xdr:pic>
    <xdr:clientData/>
  </xdr:twoCellAnchor>
  <xdr:twoCellAnchor>
    <xdr:from>
      <xdr:col>24</xdr:col>
      <xdr:colOff>586989</xdr:colOff>
      <xdr:row>14</xdr:row>
      <xdr:rowOff>7620</xdr:rowOff>
    </xdr:from>
    <xdr:to>
      <xdr:col>31</xdr:col>
      <xdr:colOff>500850</xdr:colOff>
      <xdr:row>28</xdr:row>
      <xdr:rowOff>83820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65CBECCC-B669-4256-8C02-165FD2D2A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160020</xdr:colOff>
      <xdr:row>3</xdr:row>
      <xdr:rowOff>163830</xdr:rowOff>
    </xdr:from>
    <xdr:to>
      <xdr:col>25</xdr:col>
      <xdr:colOff>7620</xdr:colOff>
      <xdr:row>20</xdr:row>
      <xdr:rowOff>7620</xdr:rowOff>
    </xdr:to>
    <xdr:graphicFrame macro="">
      <xdr:nvGraphicFramePr>
        <xdr:cNvPr id="48" name="Gráfico 2">
          <a:extLst>
            <a:ext uri="{FF2B5EF4-FFF2-40B4-BE49-F238E27FC236}">
              <a16:creationId xmlns:a16="http://schemas.microsoft.com/office/drawing/2014/main" id="{7219C524-687A-44BA-96C9-08F2D61DA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7A13-F9E2-482E-AF0D-5037389E0C26}">
  <dimension ref="A2:O62"/>
  <sheetViews>
    <sheetView workbookViewId="0">
      <selection activeCell="P3" sqref="P3"/>
    </sheetView>
  </sheetViews>
  <sheetFormatPr defaultRowHeight="14.4" x14ac:dyDescent="0.3"/>
  <cols>
    <col min="1" max="1" width="11.21875" style="6" customWidth="1"/>
    <col min="2" max="2" width="15.88671875" style="6" bestFit="1" customWidth="1"/>
    <col min="3" max="3" width="6" style="6" bestFit="1" customWidth="1"/>
    <col min="4" max="4" width="10" style="6" bestFit="1" customWidth="1"/>
    <col min="5" max="5" width="16.109375" style="6" customWidth="1"/>
    <col min="6" max="6" width="12" style="6" bestFit="1" customWidth="1"/>
    <col min="7" max="7" width="11.5546875" style="6" bestFit="1" customWidth="1"/>
    <col min="8" max="8" width="9" style="6" bestFit="1" customWidth="1"/>
    <col min="9" max="9" width="7" style="6" bestFit="1" customWidth="1"/>
    <col min="10" max="10" width="7.6640625" style="6" bestFit="1" customWidth="1"/>
    <col min="11" max="11" width="8.88671875" style="6"/>
    <col min="12" max="12" width="4" style="6" bestFit="1" customWidth="1"/>
    <col min="13" max="13" width="14" style="6" customWidth="1"/>
    <col min="14" max="16384" width="8.88671875" style="6"/>
  </cols>
  <sheetData>
    <row r="2" spans="1:15" x14ac:dyDescent="0.3">
      <c r="B2" s="45" t="s">
        <v>0</v>
      </c>
      <c r="C2" s="45"/>
      <c r="D2" s="45"/>
      <c r="E2" s="7"/>
      <c r="F2" s="4"/>
      <c r="G2" s="4"/>
      <c r="H2" s="7"/>
      <c r="I2" s="9" t="s">
        <v>14</v>
      </c>
      <c r="J2" s="9" t="s">
        <v>15</v>
      </c>
      <c r="K2" s="7"/>
      <c r="L2" s="45" t="s">
        <v>16</v>
      </c>
      <c r="M2" s="45"/>
      <c r="N2" s="7"/>
      <c r="O2" s="7"/>
    </row>
    <row r="3" spans="1:15" x14ac:dyDescent="0.3">
      <c r="B3" s="10" t="s">
        <v>3</v>
      </c>
      <c r="C3" s="8">
        <f>2*10^11</f>
        <v>200000000000</v>
      </c>
      <c r="D3" s="8" t="s">
        <v>2</v>
      </c>
      <c r="E3" s="7"/>
      <c r="F3" s="4"/>
      <c r="G3" s="4"/>
      <c r="H3" s="7"/>
      <c r="I3" s="8">
        <v>0</v>
      </c>
      <c r="J3" s="7">
        <v>17</v>
      </c>
      <c r="K3" s="7"/>
      <c r="L3" s="7">
        <v>0</v>
      </c>
      <c r="M3" s="7">
        <v>3543</v>
      </c>
      <c r="N3" s="7"/>
      <c r="O3" s="7"/>
    </row>
    <row r="4" spans="1:15" x14ac:dyDescent="0.3">
      <c r="B4" s="10" t="s">
        <v>1</v>
      </c>
      <c r="C4" s="8">
        <v>7850</v>
      </c>
      <c r="D4" s="8" t="s">
        <v>4</v>
      </c>
      <c r="E4" s="7"/>
      <c r="F4" s="4"/>
      <c r="G4" s="4"/>
      <c r="H4" s="7"/>
      <c r="I4" s="8">
        <v>7.88</v>
      </c>
      <c r="J4" s="7">
        <v>38</v>
      </c>
      <c r="K4" s="7"/>
      <c r="L4" s="7">
        <v>18</v>
      </c>
      <c r="M4" s="7">
        <v>5905</v>
      </c>
      <c r="N4" s="7"/>
      <c r="O4" s="7"/>
    </row>
    <row r="5" spans="1:15" x14ac:dyDescent="0.3">
      <c r="B5" s="7"/>
      <c r="C5" s="7"/>
      <c r="D5" s="7"/>
      <c r="E5" s="7"/>
      <c r="F5" s="4"/>
      <c r="G5" s="4"/>
      <c r="H5" s="7"/>
      <c r="I5" s="8">
        <v>15.75</v>
      </c>
      <c r="J5" s="7">
        <v>59</v>
      </c>
      <c r="K5" s="7"/>
      <c r="L5" s="7">
        <v>36</v>
      </c>
      <c r="M5" s="7">
        <v>7086</v>
      </c>
      <c r="N5" s="7"/>
      <c r="O5" s="7"/>
    </row>
    <row r="6" spans="1:15" x14ac:dyDescent="0.3">
      <c r="B6" s="45" t="s">
        <v>17</v>
      </c>
      <c r="C6" s="45"/>
      <c r="D6" s="45"/>
      <c r="E6" s="7"/>
      <c r="F6" s="4"/>
      <c r="G6" s="4"/>
      <c r="H6" s="7"/>
      <c r="I6" s="8">
        <v>23.63</v>
      </c>
      <c r="J6" s="7">
        <v>73</v>
      </c>
      <c r="K6" s="7"/>
      <c r="L6" s="4">
        <v>54</v>
      </c>
      <c r="M6" s="7">
        <v>7676</v>
      </c>
      <c r="N6" s="7"/>
      <c r="O6" s="7"/>
    </row>
    <row r="7" spans="1:15" x14ac:dyDescent="0.3">
      <c r="B7" s="10" t="s">
        <v>18</v>
      </c>
      <c r="C7" s="8">
        <v>28</v>
      </c>
      <c r="D7" s="8" t="s">
        <v>20</v>
      </c>
      <c r="E7" s="9" t="s">
        <v>32</v>
      </c>
      <c r="F7" s="4">
        <v>10</v>
      </c>
      <c r="G7" s="4"/>
      <c r="H7" s="7"/>
      <c r="I7" s="8">
        <v>31.5</v>
      </c>
      <c r="J7" s="7">
        <v>88</v>
      </c>
      <c r="K7" s="7"/>
      <c r="L7" s="4">
        <v>108</v>
      </c>
      <c r="M7" s="7">
        <v>7676</v>
      </c>
      <c r="N7" s="7"/>
      <c r="O7" s="7"/>
    </row>
    <row r="8" spans="1:15" x14ac:dyDescent="0.3">
      <c r="B8" s="45" t="s">
        <v>19</v>
      </c>
      <c r="C8" s="8" t="s">
        <v>7</v>
      </c>
      <c r="D8" s="8">
        <v>1</v>
      </c>
      <c r="E8" s="9" t="s">
        <v>33</v>
      </c>
      <c r="F8" s="4">
        <f>C7/(F7-1)</f>
        <v>3.1111111111111112</v>
      </c>
      <c r="G8" s="4"/>
      <c r="H8" s="7"/>
      <c r="I8" s="8">
        <v>39.380000000000003</v>
      </c>
      <c r="J8" s="7">
        <v>103</v>
      </c>
      <c r="K8" s="7"/>
      <c r="L8" s="4">
        <v>144</v>
      </c>
      <c r="M8" s="7">
        <v>6495</v>
      </c>
      <c r="N8" s="7"/>
      <c r="O8" s="7"/>
    </row>
    <row r="9" spans="1:15" x14ac:dyDescent="0.3">
      <c r="B9" s="45"/>
      <c r="C9" s="8" t="s">
        <v>21</v>
      </c>
      <c r="D9" s="8">
        <v>0.3</v>
      </c>
      <c r="E9" s="9" t="s">
        <v>34</v>
      </c>
      <c r="F9" s="4">
        <f>D10*C7*C4</f>
        <v>65940</v>
      </c>
      <c r="G9" s="4"/>
      <c r="H9" s="7"/>
      <c r="I9" s="8">
        <v>47.25</v>
      </c>
      <c r="J9" s="7">
        <v>117</v>
      </c>
      <c r="K9" s="7"/>
      <c r="L9" s="4">
        <v>157.5</v>
      </c>
      <c r="M9" s="7">
        <v>4724</v>
      </c>
      <c r="N9" s="7"/>
      <c r="O9" s="7"/>
    </row>
    <row r="10" spans="1:15" x14ac:dyDescent="0.3">
      <c r="B10" s="45"/>
      <c r="C10" s="7" t="s">
        <v>22</v>
      </c>
      <c r="D10" s="7">
        <f>D8*D9</f>
        <v>0.3</v>
      </c>
      <c r="E10" s="9" t="s">
        <v>35</v>
      </c>
      <c r="F10" s="4">
        <f>F9/F7</f>
        <v>6594</v>
      </c>
      <c r="G10" s="4"/>
      <c r="H10" s="7"/>
      <c r="I10" s="8">
        <v>55.13</v>
      </c>
      <c r="J10" s="7">
        <v>132</v>
      </c>
      <c r="K10" s="7"/>
      <c r="L10" s="7"/>
      <c r="M10" s="7"/>
      <c r="N10" s="7"/>
      <c r="O10" s="7"/>
    </row>
    <row r="11" spans="1:15" x14ac:dyDescent="0.3">
      <c r="B11" s="7"/>
      <c r="C11" s="17" t="s">
        <v>92</v>
      </c>
      <c r="D11" s="7">
        <f>(D8*D9^3)/12</f>
        <v>2.2499999999999998E-3</v>
      </c>
      <c r="E11" s="7"/>
      <c r="F11" s="4"/>
      <c r="G11" s="4"/>
      <c r="H11" s="7"/>
      <c r="I11" s="8">
        <v>63</v>
      </c>
      <c r="J11" s="7">
        <v>146</v>
      </c>
      <c r="K11" s="7"/>
      <c r="L11" s="7"/>
      <c r="M11" s="7"/>
      <c r="N11" s="7"/>
      <c r="O11" s="7"/>
    </row>
    <row r="12" spans="1:15" x14ac:dyDescent="0.3">
      <c r="C12" s="2" t="s">
        <v>91</v>
      </c>
      <c r="D12" s="6">
        <f>(D8*D9)/12</f>
        <v>2.4999999999999998E-2</v>
      </c>
      <c r="E12" s="7"/>
      <c r="F12" s="7"/>
      <c r="G12" s="7"/>
      <c r="H12" s="7"/>
      <c r="I12" s="8">
        <v>70.88</v>
      </c>
      <c r="J12" s="7">
        <v>146</v>
      </c>
      <c r="K12" s="7"/>
      <c r="L12" s="7"/>
      <c r="M12" s="7"/>
      <c r="N12" s="7"/>
      <c r="O12" s="7"/>
    </row>
    <row r="13" spans="1:15" x14ac:dyDescent="0.3">
      <c r="C13" s="2" t="s">
        <v>116</v>
      </c>
      <c r="D13" s="6" t="s">
        <v>136</v>
      </c>
      <c r="E13" s="7"/>
      <c r="F13" s="44" t="s">
        <v>66</v>
      </c>
      <c r="G13" s="44"/>
      <c r="I13" s="8">
        <v>78.75</v>
      </c>
      <c r="J13" s="7">
        <v>146</v>
      </c>
      <c r="K13" s="7"/>
      <c r="L13" s="7"/>
      <c r="M13" s="7"/>
      <c r="N13" s="7"/>
      <c r="O13" s="7"/>
    </row>
    <row r="14" spans="1:15" x14ac:dyDescent="0.3">
      <c r="E14" s="7"/>
      <c r="F14" s="9" t="s">
        <v>5</v>
      </c>
      <c r="G14" s="7">
        <v>166.5</v>
      </c>
      <c r="I14" s="8">
        <v>86.63</v>
      </c>
      <c r="J14" s="7">
        <v>146</v>
      </c>
      <c r="K14" s="7"/>
      <c r="L14" s="7"/>
      <c r="M14" s="7"/>
      <c r="N14" s="7"/>
      <c r="O14" s="7"/>
    </row>
    <row r="15" spans="1:15" x14ac:dyDescent="0.3">
      <c r="E15" s="7"/>
      <c r="F15" s="9" t="s">
        <v>6</v>
      </c>
      <c r="G15" s="7">
        <v>157.5</v>
      </c>
      <c r="I15" s="8">
        <v>94.5</v>
      </c>
      <c r="J15" s="7">
        <v>146</v>
      </c>
      <c r="K15" s="7"/>
      <c r="L15" s="7"/>
      <c r="M15" s="7"/>
      <c r="N15" s="7"/>
      <c r="O15" s="7"/>
    </row>
    <row r="16" spans="1:15" x14ac:dyDescent="0.3">
      <c r="A16" s="43" t="s">
        <v>25</v>
      </c>
      <c r="E16" s="7"/>
      <c r="F16" s="9" t="s">
        <v>7</v>
      </c>
      <c r="G16" s="7">
        <v>22.86</v>
      </c>
      <c r="I16" s="8">
        <v>102.38</v>
      </c>
      <c r="J16" s="7">
        <v>135</v>
      </c>
      <c r="K16" s="7"/>
      <c r="L16" s="7"/>
      <c r="M16" s="7"/>
      <c r="N16" s="7"/>
      <c r="O16" s="7"/>
    </row>
    <row r="17" spans="1:15" x14ac:dyDescent="0.3">
      <c r="A17" s="43"/>
      <c r="B17" s="44" t="s">
        <v>23</v>
      </c>
      <c r="C17" s="44"/>
      <c r="D17" s="44"/>
      <c r="E17" s="7"/>
      <c r="F17" s="9" t="s">
        <v>8</v>
      </c>
      <c r="G17" s="7">
        <v>8.5500000000000007</v>
      </c>
      <c r="I17" s="8">
        <v>110.25</v>
      </c>
      <c r="J17" s="7">
        <v>123</v>
      </c>
      <c r="K17" s="7"/>
      <c r="L17" s="7"/>
      <c r="M17" s="7"/>
      <c r="N17" s="7"/>
      <c r="O17" s="7"/>
    </row>
    <row r="18" spans="1:15" x14ac:dyDescent="0.3">
      <c r="A18" s="43"/>
      <c r="B18" s="10" t="s">
        <v>18</v>
      </c>
      <c r="C18" s="8">
        <v>28</v>
      </c>
      <c r="D18" s="8" t="s">
        <v>20</v>
      </c>
      <c r="E18" s="7"/>
      <c r="F18" s="9" t="s">
        <v>9</v>
      </c>
      <c r="G18" s="7">
        <v>0</v>
      </c>
      <c r="I18" s="8">
        <v>118.13</v>
      </c>
      <c r="J18" s="7">
        <v>111</v>
      </c>
      <c r="K18" s="7"/>
      <c r="L18" s="7"/>
      <c r="M18" s="7"/>
      <c r="N18" s="7"/>
      <c r="O18" s="7"/>
    </row>
    <row r="19" spans="1:15" x14ac:dyDescent="0.3">
      <c r="A19" s="43"/>
      <c r="B19" s="10" t="s">
        <v>7</v>
      </c>
      <c r="C19" s="8">
        <v>12</v>
      </c>
      <c r="D19" s="8" t="s">
        <v>20</v>
      </c>
      <c r="E19" s="7"/>
      <c r="F19" s="9" t="s">
        <v>10</v>
      </c>
      <c r="G19" s="7">
        <v>18036.900000000001</v>
      </c>
      <c r="I19" s="8">
        <v>126</v>
      </c>
      <c r="J19" s="7">
        <v>99</v>
      </c>
      <c r="K19" s="7"/>
      <c r="L19" s="7"/>
      <c r="M19" s="7"/>
      <c r="N19" s="7"/>
      <c r="O19" s="7"/>
    </row>
    <row r="20" spans="1:15" x14ac:dyDescent="0.3">
      <c r="B20" s="9" t="s">
        <v>24</v>
      </c>
      <c r="C20" s="7">
        <v>1.0999999999999999E-2</v>
      </c>
      <c r="D20" s="7" t="s">
        <v>20</v>
      </c>
      <c r="E20" s="7"/>
      <c r="F20" s="9" t="s">
        <v>11</v>
      </c>
      <c r="G20" s="7">
        <v>-1.77</v>
      </c>
      <c r="I20" s="8">
        <v>133.88</v>
      </c>
      <c r="J20" s="7">
        <v>88</v>
      </c>
      <c r="K20" s="7"/>
      <c r="L20" s="7"/>
      <c r="M20" s="7"/>
      <c r="N20" s="7"/>
      <c r="O20" s="7"/>
    </row>
    <row r="21" spans="1:15" x14ac:dyDescent="0.3">
      <c r="B21" s="44" t="s">
        <v>26</v>
      </c>
      <c r="C21" s="44"/>
      <c r="D21" s="44"/>
      <c r="E21" s="7"/>
      <c r="F21" s="9" t="s">
        <v>12</v>
      </c>
      <c r="G21" s="7">
        <v>8.5500000000000007</v>
      </c>
      <c r="I21" s="8">
        <v>141.75</v>
      </c>
      <c r="J21" s="7">
        <v>76</v>
      </c>
      <c r="K21" s="7"/>
      <c r="L21" s="7"/>
      <c r="M21" s="7"/>
      <c r="N21" s="7"/>
      <c r="O21" s="7"/>
    </row>
    <row r="22" spans="1:15" x14ac:dyDescent="0.3">
      <c r="B22" s="10" t="s">
        <v>18</v>
      </c>
      <c r="C22" s="8">
        <v>28</v>
      </c>
      <c r="D22" s="8" t="s">
        <v>20</v>
      </c>
      <c r="E22" s="7"/>
      <c r="F22" s="9" t="s">
        <v>13</v>
      </c>
      <c r="G22" s="7">
        <v>0.9</v>
      </c>
      <c r="I22" s="8">
        <v>149.63</v>
      </c>
      <c r="J22" s="7">
        <v>51</v>
      </c>
      <c r="K22" s="7"/>
      <c r="L22" s="7"/>
      <c r="M22" s="7"/>
      <c r="N22" s="7"/>
      <c r="O22" s="7"/>
    </row>
    <row r="23" spans="1:15" x14ac:dyDescent="0.3">
      <c r="B23" s="10" t="s">
        <v>7</v>
      </c>
      <c r="C23" s="8">
        <v>12</v>
      </c>
      <c r="D23" s="8" t="s">
        <v>20</v>
      </c>
      <c r="E23" s="7"/>
      <c r="F23" s="7"/>
      <c r="G23" s="4"/>
      <c r="H23" s="7"/>
      <c r="I23" s="8">
        <v>157.5</v>
      </c>
      <c r="J23" s="7">
        <v>27</v>
      </c>
      <c r="K23" s="7"/>
      <c r="L23" s="7"/>
      <c r="M23" s="7"/>
      <c r="N23" s="7"/>
      <c r="O23" s="7"/>
    </row>
    <row r="24" spans="1:15" x14ac:dyDescent="0.3">
      <c r="B24" s="9" t="s">
        <v>24</v>
      </c>
      <c r="C24" s="8">
        <v>1.0999999999999999E-2</v>
      </c>
      <c r="D24" s="8" t="s">
        <v>20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3">
      <c r="B25" s="10" t="s">
        <v>27</v>
      </c>
      <c r="C25" s="8">
        <f>C22/2</f>
        <v>14</v>
      </c>
      <c r="D25" s="8" t="s">
        <v>20</v>
      </c>
      <c r="E25" s="4"/>
      <c r="F25" s="4"/>
      <c r="G25" s="7"/>
      <c r="H25" s="4"/>
      <c r="I25" s="4"/>
      <c r="J25" s="7"/>
      <c r="K25" s="7"/>
      <c r="L25" s="7"/>
      <c r="M25" s="7"/>
      <c r="N25" s="7"/>
      <c r="O25" s="7"/>
    </row>
    <row r="26" spans="1:15" x14ac:dyDescent="0.3">
      <c r="B26" s="10" t="s">
        <v>28</v>
      </c>
      <c r="C26" s="8">
        <f>C23/2</f>
        <v>6</v>
      </c>
      <c r="D26" s="8" t="s">
        <v>20</v>
      </c>
      <c r="E26" s="4"/>
      <c r="F26" s="4"/>
      <c r="G26" s="4"/>
      <c r="H26" s="4"/>
      <c r="I26" s="4"/>
      <c r="J26" s="7"/>
      <c r="K26" s="7"/>
      <c r="L26" s="7"/>
      <c r="M26" s="7"/>
      <c r="N26" s="7"/>
      <c r="O26" s="7"/>
    </row>
    <row r="27" spans="1:15" x14ac:dyDescent="0.3">
      <c r="B27" s="10" t="s">
        <v>29</v>
      </c>
      <c r="C27" s="8">
        <v>0.3</v>
      </c>
      <c r="D27" s="8" t="s">
        <v>20</v>
      </c>
      <c r="E27" s="4"/>
      <c r="F27" s="4"/>
      <c r="G27" s="4"/>
      <c r="H27" s="4"/>
      <c r="I27" s="4"/>
      <c r="J27" s="7"/>
      <c r="K27" s="7"/>
      <c r="L27" s="7"/>
      <c r="M27" s="7"/>
      <c r="N27" s="7"/>
      <c r="O27" s="7"/>
    </row>
    <row r="28" spans="1:15" x14ac:dyDescent="0.3">
      <c r="B28" s="10" t="s">
        <v>30</v>
      </c>
      <c r="C28" s="2">
        <v>0.3</v>
      </c>
      <c r="D28" s="8" t="s">
        <v>20</v>
      </c>
      <c r="E28" s="3"/>
      <c r="F28" s="3"/>
      <c r="G28" s="3"/>
      <c r="H28" s="3"/>
      <c r="I28" s="3"/>
    </row>
    <row r="29" spans="1:15" x14ac:dyDescent="0.3">
      <c r="B29" s="10" t="s">
        <v>31</v>
      </c>
      <c r="C29" s="2">
        <v>5.0000000000000001E-3</v>
      </c>
      <c r="D29" s="8" t="s">
        <v>20</v>
      </c>
      <c r="E29" s="3"/>
      <c r="F29" s="3"/>
      <c r="G29" s="3"/>
      <c r="H29" s="3"/>
      <c r="I29" s="3"/>
    </row>
    <row r="30" spans="1:15" x14ac:dyDescent="0.3">
      <c r="B30" s="3"/>
      <c r="C30" s="3"/>
      <c r="D30" s="3"/>
      <c r="E30" s="3"/>
      <c r="F30" s="3"/>
      <c r="G30" s="3"/>
      <c r="H30" s="3"/>
      <c r="I30" s="3"/>
    </row>
    <row r="31" spans="1:15" x14ac:dyDescent="0.3">
      <c r="B31" s="3"/>
      <c r="C31" s="3"/>
      <c r="D31" s="3"/>
      <c r="E31" s="3"/>
      <c r="F31" s="3"/>
      <c r="G31" s="3"/>
      <c r="H31" s="3"/>
      <c r="I31" s="3"/>
    </row>
    <row r="32" spans="1:15" x14ac:dyDescent="0.3">
      <c r="B32" s="3"/>
      <c r="C32" s="3"/>
      <c r="D32" s="3"/>
      <c r="E32" s="3"/>
      <c r="F32" s="3"/>
      <c r="G32" s="3"/>
      <c r="H32" s="3"/>
      <c r="I32" s="3"/>
    </row>
    <row r="33" spans="1:9" x14ac:dyDescent="0.3">
      <c r="B33" s="3"/>
      <c r="C33" s="3"/>
      <c r="D33" s="3"/>
      <c r="E33" s="3"/>
      <c r="F33" s="3"/>
      <c r="G33" s="3"/>
      <c r="H33" s="3"/>
      <c r="I33" s="3"/>
    </row>
    <row r="34" spans="1:9" x14ac:dyDescent="0.3">
      <c r="B34" s="3"/>
      <c r="C34" s="3"/>
      <c r="D34" s="3"/>
      <c r="E34" s="3"/>
      <c r="F34" s="3"/>
      <c r="G34" s="3"/>
      <c r="H34" s="3"/>
      <c r="I34" s="3"/>
    </row>
    <row r="35" spans="1:9" x14ac:dyDescent="0.3">
      <c r="B35" s="3"/>
      <c r="C35" s="3"/>
      <c r="D35" s="3"/>
      <c r="E35" s="3"/>
      <c r="F35" s="3"/>
      <c r="G35" s="3"/>
      <c r="H35" s="3"/>
      <c r="I35" s="3"/>
    </row>
    <row r="36" spans="1:9" x14ac:dyDescent="0.3">
      <c r="B36" s="3"/>
      <c r="C36" s="3"/>
      <c r="D36" s="3"/>
      <c r="E36" s="3"/>
      <c r="F36" s="3"/>
      <c r="G36" s="3"/>
      <c r="H36" s="3"/>
      <c r="I36" s="3"/>
    </row>
    <row r="37" spans="1:9" x14ac:dyDescent="0.3">
      <c r="A37" s="1"/>
      <c r="B37" s="1"/>
      <c r="C37" s="3"/>
      <c r="D37" s="3"/>
      <c r="E37" s="3"/>
      <c r="F37" s="3"/>
      <c r="G37" s="3"/>
      <c r="H37" s="3"/>
      <c r="I37" s="3"/>
    </row>
    <row r="38" spans="1:9" x14ac:dyDescent="0.3">
      <c r="A38" s="1"/>
      <c r="B38" s="46"/>
      <c r="C38" s="46"/>
      <c r="D38" s="1"/>
      <c r="E38" s="4"/>
      <c r="F38" s="4"/>
      <c r="G38" s="1"/>
      <c r="H38" s="2"/>
      <c r="I38" s="2"/>
    </row>
    <row r="39" spans="1:9" x14ac:dyDescent="0.3">
      <c r="A39" s="1"/>
      <c r="B39" s="4"/>
      <c r="C39" s="1"/>
      <c r="D39" s="1"/>
      <c r="E39" s="2"/>
      <c r="F39" s="4"/>
      <c r="G39" s="1"/>
      <c r="H39" s="4"/>
      <c r="I39" s="4"/>
    </row>
    <row r="40" spans="1:9" x14ac:dyDescent="0.3">
      <c r="A40" s="1"/>
      <c r="B40" s="4"/>
      <c r="C40" s="1"/>
      <c r="D40" s="1"/>
      <c r="E40" s="2"/>
      <c r="F40" s="4"/>
      <c r="G40" s="1"/>
      <c r="H40" s="4"/>
      <c r="I40" s="4"/>
    </row>
    <row r="41" spans="1:9" x14ac:dyDescent="0.3">
      <c r="A41" s="1"/>
      <c r="B41" s="4"/>
      <c r="C41" s="1"/>
      <c r="D41" s="1"/>
      <c r="E41" s="2"/>
      <c r="F41" s="4"/>
      <c r="G41" s="1"/>
      <c r="H41" s="4"/>
      <c r="I41" s="4"/>
    </row>
    <row r="42" spans="1:9" x14ac:dyDescent="0.3">
      <c r="A42" s="1"/>
      <c r="B42" s="4"/>
      <c r="C42" s="1"/>
      <c r="D42" s="1"/>
      <c r="E42" s="2"/>
      <c r="F42" s="4"/>
      <c r="G42" s="1"/>
      <c r="H42" s="4"/>
      <c r="I42" s="4"/>
    </row>
    <row r="43" spans="1:9" x14ac:dyDescent="0.3">
      <c r="A43" s="1"/>
      <c r="B43" s="4"/>
      <c r="C43" s="1"/>
      <c r="D43" s="1"/>
      <c r="E43" s="2"/>
      <c r="F43" s="4"/>
      <c r="G43" s="1"/>
      <c r="H43" s="4"/>
      <c r="I43" s="4"/>
    </row>
    <row r="44" spans="1:9" x14ac:dyDescent="0.3">
      <c r="A44" s="1"/>
      <c r="B44" s="4"/>
      <c r="C44" s="1"/>
      <c r="D44" s="1"/>
      <c r="E44" s="2"/>
      <c r="F44" s="4"/>
      <c r="G44" s="1"/>
      <c r="H44" s="4"/>
      <c r="I44" s="4"/>
    </row>
    <row r="45" spans="1:9" x14ac:dyDescent="0.3">
      <c r="A45" s="1"/>
      <c r="B45" s="4"/>
      <c r="C45" s="1"/>
      <c r="D45" s="1"/>
      <c r="E45" s="2"/>
      <c r="F45" s="4"/>
      <c r="G45" s="1"/>
      <c r="H45" s="4"/>
      <c r="I45" s="4"/>
    </row>
    <row r="46" spans="1:9" x14ac:dyDescent="0.3">
      <c r="A46" s="1"/>
      <c r="B46" s="4"/>
      <c r="C46" s="1"/>
      <c r="D46" s="1"/>
      <c r="E46" s="2"/>
      <c r="F46" s="4"/>
      <c r="G46" s="1"/>
      <c r="H46" s="1"/>
      <c r="I46" s="1"/>
    </row>
    <row r="47" spans="1:9" x14ac:dyDescent="0.3">
      <c r="A47" s="1"/>
      <c r="B47" s="4"/>
      <c r="C47" s="1"/>
      <c r="D47" s="1"/>
      <c r="E47" s="2"/>
      <c r="F47" s="4"/>
      <c r="G47" s="1"/>
      <c r="H47" s="1"/>
      <c r="I47" s="1"/>
    </row>
    <row r="48" spans="1:9" x14ac:dyDescent="0.3">
      <c r="A48" s="1"/>
      <c r="B48" s="1"/>
      <c r="C48" s="1"/>
      <c r="D48" s="1"/>
      <c r="E48" s="2"/>
      <c r="F48" s="4"/>
      <c r="G48" s="1"/>
      <c r="H48" s="1"/>
      <c r="I48" s="1"/>
    </row>
    <row r="49" spans="1:9" x14ac:dyDescent="0.3">
      <c r="A49" s="1"/>
      <c r="B49" s="1"/>
      <c r="C49" s="1"/>
      <c r="D49" s="1"/>
      <c r="E49" s="2"/>
      <c r="F49" s="4"/>
      <c r="G49" s="1"/>
      <c r="H49" s="1"/>
      <c r="I49" s="1"/>
    </row>
    <row r="50" spans="1:9" x14ac:dyDescent="0.3">
      <c r="A50" s="1"/>
      <c r="B50" s="1"/>
      <c r="C50" s="1"/>
      <c r="D50" s="1"/>
      <c r="E50" s="2"/>
      <c r="F50" s="4"/>
      <c r="G50" s="1"/>
      <c r="H50" s="1"/>
      <c r="I50" s="1"/>
    </row>
    <row r="51" spans="1:9" x14ac:dyDescent="0.3">
      <c r="A51" s="1"/>
      <c r="B51" s="1"/>
      <c r="C51" s="1"/>
      <c r="D51" s="1"/>
      <c r="E51" s="2"/>
      <c r="F51" s="4"/>
      <c r="G51" s="1"/>
      <c r="H51" s="1"/>
      <c r="I51" s="1"/>
    </row>
    <row r="52" spans="1:9" x14ac:dyDescent="0.3">
      <c r="A52" s="1"/>
      <c r="B52" s="1"/>
      <c r="C52" s="1"/>
      <c r="D52" s="1"/>
      <c r="E52" s="2"/>
      <c r="F52" s="4"/>
      <c r="G52" s="1"/>
      <c r="H52" s="1"/>
      <c r="I52" s="1"/>
    </row>
    <row r="53" spans="1:9" x14ac:dyDescent="0.3">
      <c r="A53" s="1"/>
      <c r="B53" s="1"/>
      <c r="C53" s="1"/>
      <c r="D53" s="1"/>
      <c r="E53" s="2"/>
      <c r="F53" s="4"/>
      <c r="G53" s="1"/>
      <c r="H53" s="1"/>
      <c r="I53" s="1"/>
    </row>
    <row r="54" spans="1:9" x14ac:dyDescent="0.3">
      <c r="A54" s="1"/>
      <c r="B54" s="1"/>
      <c r="C54" s="1"/>
      <c r="D54" s="1"/>
      <c r="E54" s="2"/>
      <c r="F54" s="4"/>
      <c r="G54" s="1"/>
      <c r="H54" s="1"/>
      <c r="I54" s="1"/>
    </row>
    <row r="55" spans="1:9" x14ac:dyDescent="0.3">
      <c r="A55" s="1"/>
      <c r="B55" s="1"/>
      <c r="C55" s="1"/>
      <c r="D55" s="1"/>
      <c r="E55" s="2"/>
      <c r="F55" s="4"/>
      <c r="G55" s="1"/>
      <c r="H55" s="1"/>
      <c r="I55" s="1"/>
    </row>
    <row r="56" spans="1:9" x14ac:dyDescent="0.3">
      <c r="A56" s="1"/>
      <c r="B56" s="1"/>
      <c r="C56" s="1"/>
      <c r="D56" s="1"/>
      <c r="E56" s="2"/>
      <c r="F56" s="4"/>
      <c r="G56" s="1"/>
      <c r="H56" s="1"/>
      <c r="I56" s="1"/>
    </row>
    <row r="57" spans="1:9" x14ac:dyDescent="0.3">
      <c r="A57" s="1"/>
      <c r="B57" s="1"/>
      <c r="C57" s="1"/>
      <c r="D57" s="1"/>
      <c r="E57" s="2"/>
      <c r="F57" s="4"/>
      <c r="G57" s="1"/>
      <c r="H57" s="1"/>
      <c r="I57" s="1"/>
    </row>
    <row r="58" spans="1:9" x14ac:dyDescent="0.3">
      <c r="A58" s="1"/>
      <c r="B58" s="1"/>
      <c r="C58" s="1"/>
      <c r="D58" s="1"/>
      <c r="E58" s="2"/>
      <c r="F58" s="4"/>
      <c r="G58" s="1"/>
      <c r="H58" s="1"/>
      <c r="I58" s="1"/>
    </row>
    <row r="59" spans="1:9" x14ac:dyDescent="0.3">
      <c r="A59" s="1"/>
      <c r="B59" s="1"/>
      <c r="C59" s="1"/>
      <c r="D59" s="1"/>
      <c r="E59" s="2"/>
      <c r="F59" s="4"/>
      <c r="G59" s="1"/>
      <c r="H59" s="1"/>
      <c r="I59" s="1"/>
    </row>
    <row r="60" spans="1:9" x14ac:dyDescent="0.3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3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3">
      <c r="A62" s="1"/>
      <c r="B62" s="1"/>
      <c r="C62" s="1"/>
      <c r="D62" s="1"/>
      <c r="E62" s="1"/>
      <c r="F62" s="1"/>
      <c r="G62" s="1"/>
      <c r="H62" s="1"/>
      <c r="I62" s="1"/>
    </row>
  </sheetData>
  <mergeCells count="9">
    <mergeCell ref="A16:A19"/>
    <mergeCell ref="F13:G13"/>
    <mergeCell ref="L2:M2"/>
    <mergeCell ref="B21:D21"/>
    <mergeCell ref="B38:C38"/>
    <mergeCell ref="B2:D2"/>
    <mergeCell ref="B6:D6"/>
    <mergeCell ref="B8:B10"/>
    <mergeCell ref="B17:D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CFD2-2500-4664-B9EF-4051FB87FD05}">
  <dimension ref="B2:AA47"/>
  <sheetViews>
    <sheetView tabSelected="1" zoomScale="70" zoomScaleNormal="70" workbookViewId="0">
      <selection activeCell="C21" sqref="C21"/>
    </sheetView>
  </sheetViews>
  <sheetFormatPr defaultRowHeight="14.4" x14ac:dyDescent="0.3"/>
  <cols>
    <col min="1" max="1" width="8.88671875" style="6"/>
    <col min="2" max="2" width="11.5546875" style="6" bestFit="1" customWidth="1"/>
    <col min="3" max="3" width="12" style="6" bestFit="1" customWidth="1"/>
    <col min="4" max="4" width="5" style="6" bestFit="1" customWidth="1"/>
    <col min="5" max="5" width="2.5546875" style="6" customWidth="1"/>
    <col min="6" max="6" width="8.77734375" style="6" customWidth="1"/>
    <col min="7" max="8" width="12" style="6" bestFit="1" customWidth="1"/>
    <col min="9" max="9" width="7" style="6" bestFit="1" customWidth="1"/>
    <col min="10" max="10" width="7" style="6" customWidth="1"/>
    <col min="11" max="11" width="7" style="6" bestFit="1" customWidth="1"/>
    <col min="12" max="13" width="12" style="6" bestFit="1" customWidth="1"/>
    <col min="14" max="14" width="12" style="6" customWidth="1"/>
    <col min="15" max="15" width="21" style="6" customWidth="1"/>
    <col min="16" max="16" width="18.5546875" style="6" customWidth="1"/>
    <col min="17" max="17" width="21.77734375" style="6" bestFit="1" customWidth="1"/>
    <col min="18" max="18" width="12.5546875" style="6" bestFit="1" customWidth="1"/>
    <col min="19" max="19" width="12.5546875" style="6" customWidth="1"/>
    <col min="20" max="21" width="15.21875" style="6" bestFit="1" customWidth="1"/>
    <col min="22" max="22" width="12.5546875" style="6" customWidth="1"/>
    <col min="23" max="23" width="15.21875" style="6" bestFit="1" customWidth="1"/>
    <col min="24" max="24" width="9.44140625" style="6" customWidth="1"/>
    <col min="25" max="25" width="14.5546875" style="6" customWidth="1"/>
    <col min="26" max="16384" width="8.88671875" style="6"/>
  </cols>
  <sheetData>
    <row r="2" spans="2:24" x14ac:dyDescent="0.3">
      <c r="B2" s="47" t="s">
        <v>66</v>
      </c>
      <c r="C2" s="47"/>
      <c r="D2" s="47"/>
      <c r="E2" s="4"/>
      <c r="F2" s="47" t="s">
        <v>137</v>
      </c>
      <c r="G2" s="47"/>
      <c r="H2" s="40" t="s">
        <v>59</v>
      </c>
      <c r="I2" s="40" t="s">
        <v>87</v>
      </c>
      <c r="J2" s="40" t="s">
        <v>7</v>
      </c>
      <c r="K2" s="40" t="s">
        <v>8</v>
      </c>
      <c r="L2" s="40" t="s">
        <v>60</v>
      </c>
      <c r="M2" s="40" t="s">
        <v>61</v>
      </c>
      <c r="N2" s="40" t="s">
        <v>85</v>
      </c>
      <c r="O2" s="40" t="s">
        <v>58</v>
      </c>
      <c r="P2" s="40" t="s">
        <v>72</v>
      </c>
      <c r="Q2" s="40" t="s">
        <v>68</v>
      </c>
      <c r="R2" s="40" t="s">
        <v>70</v>
      </c>
      <c r="S2" s="40" t="s">
        <v>71</v>
      </c>
      <c r="T2" s="42" t="s">
        <v>89</v>
      </c>
      <c r="U2" s="40" t="s">
        <v>88</v>
      </c>
      <c r="V2" s="42" t="s">
        <v>69</v>
      </c>
      <c r="W2" s="40" t="s">
        <v>95</v>
      </c>
      <c r="X2" s="42" t="s">
        <v>96</v>
      </c>
    </row>
    <row r="3" spans="2:24" x14ac:dyDescent="0.3">
      <c r="B3" s="40" t="s">
        <v>5</v>
      </c>
      <c r="C3" s="7">
        <v>166.5</v>
      </c>
      <c r="D3" s="7" t="s">
        <v>20</v>
      </c>
      <c r="E3" s="7"/>
      <c r="F3" s="41" t="s">
        <v>56</v>
      </c>
      <c r="G3" s="34">
        <v>0.16700000000000001</v>
      </c>
      <c r="H3" s="7">
        <f>G3*2</f>
        <v>0.33400000000000002</v>
      </c>
      <c r="I3" s="7">
        <v>0.875</v>
      </c>
      <c r="J3" s="7">
        <f>I3*2</f>
        <v>1.75</v>
      </c>
      <c r="K3" s="7">
        <v>0.31</v>
      </c>
      <c r="L3" s="7">
        <f>H3/(J3*K3)</f>
        <v>0.61566820276497702</v>
      </c>
      <c r="M3" s="7">
        <f t="shared" ref="M3:M23" si="0">J3/K3</f>
        <v>5.645161290322581</v>
      </c>
      <c r="N3" s="7">
        <v>0.95</v>
      </c>
      <c r="O3" s="7">
        <f>(PI()/8)*$C$12*(J3^2)*N3*$C$14</f>
        <v>0.9134358582083717</v>
      </c>
      <c r="P3" s="7">
        <f>(O3+O4)/2</f>
        <v>8.4093540417189168</v>
      </c>
      <c r="Q3" s="8">
        <f t="shared" ref="Q3:Q22" si="1">((H3+H4)/2)*$L$26</f>
        <v>76.741874999999993</v>
      </c>
      <c r="R3" s="7">
        <v>17</v>
      </c>
      <c r="S3" s="7">
        <f>(R3+R4)/2</f>
        <v>27.5</v>
      </c>
      <c r="T3" s="7">
        <f>S3*$L$26</f>
        <v>216.5625</v>
      </c>
      <c r="U3" s="7">
        <f>C5*C6*L26</f>
        <v>1539.1923750000001</v>
      </c>
      <c r="V3" s="6">
        <f>(P3+T3)/$U$3*1000</f>
        <v>146.16227165348249</v>
      </c>
      <c r="W3" s="6">
        <f>C6*C5</f>
        <v>195.453</v>
      </c>
      <c r="X3" s="6">
        <f t="shared" ref="X3:X23" si="2">O3+R3*$L$26</f>
        <v>134.78843585820837</v>
      </c>
    </row>
    <row r="4" spans="2:24" x14ac:dyDescent="0.3">
      <c r="B4" s="40" t="s">
        <v>6</v>
      </c>
      <c r="C4" s="7">
        <v>157.5</v>
      </c>
      <c r="D4" s="7" t="s">
        <v>20</v>
      </c>
      <c r="E4" s="7"/>
      <c r="F4" s="41" t="s">
        <v>36</v>
      </c>
      <c r="G4" s="34">
        <v>9.5779999999999994</v>
      </c>
      <c r="H4" s="7">
        <f t="shared" ref="H4:H23" si="3">G4*2</f>
        <v>19.155999999999999</v>
      </c>
      <c r="I4" s="7">
        <v>4.1369999999999996</v>
      </c>
      <c r="J4" s="7">
        <f t="shared" ref="J4:J23" si="4">I4*2</f>
        <v>8.2739999999999991</v>
      </c>
      <c r="K4" s="7">
        <v>8.6470000000000002</v>
      </c>
      <c r="L4" s="7">
        <f t="shared" ref="L4:L23" si="5">H4/(J4*K4)</f>
        <v>0.26774653108483276</v>
      </c>
      <c r="M4" s="7">
        <f t="shared" si="0"/>
        <v>0.95686365213368785</v>
      </c>
      <c r="N4" s="7">
        <v>0.74</v>
      </c>
      <c r="O4" s="7">
        <f t="shared" ref="O4:O23" si="6">(PI()/8)*$C$12*(J4^2)*N4*$C$14</f>
        <v>15.905272225229464</v>
      </c>
      <c r="P4" s="7">
        <f t="shared" ref="P4:P22" si="7">(O4+O5)/2</f>
        <v>28.351772151609225</v>
      </c>
      <c r="Q4" s="8">
        <f t="shared" si="1"/>
        <v>272.388375</v>
      </c>
      <c r="R4" s="7">
        <v>38</v>
      </c>
      <c r="S4" s="7">
        <f>(R4+R5)/2</f>
        <v>48.5</v>
      </c>
      <c r="T4" s="7">
        <f t="shared" ref="T4:T22" si="8">S4*$L$26</f>
        <v>381.9375</v>
      </c>
      <c r="U4" s="7"/>
      <c r="V4" s="6">
        <f>(P4+T4)/$U$3*1000</f>
        <v>266.56139857216306</v>
      </c>
      <c r="X4" s="6">
        <f t="shared" si="2"/>
        <v>315.15527222522945</v>
      </c>
    </row>
    <row r="5" spans="2:24" x14ac:dyDescent="0.3">
      <c r="B5" s="40" t="s">
        <v>7</v>
      </c>
      <c r="C5" s="7">
        <v>22.86</v>
      </c>
      <c r="D5" s="7" t="s">
        <v>20</v>
      </c>
      <c r="E5" s="7"/>
      <c r="F5" s="41" t="s">
        <v>37</v>
      </c>
      <c r="G5" s="34">
        <v>25.010999999999999</v>
      </c>
      <c r="H5" s="7">
        <f t="shared" si="3"/>
        <v>50.021999999999998</v>
      </c>
      <c r="I5" s="7">
        <v>6.5380000000000003</v>
      </c>
      <c r="J5" s="7">
        <f t="shared" si="4"/>
        <v>13.076000000000001</v>
      </c>
      <c r="K5" s="7">
        <v>8.7629999999999999</v>
      </c>
      <c r="L5" s="7">
        <f t="shared" si="5"/>
        <v>0.43654933227378784</v>
      </c>
      <c r="M5" s="7">
        <f t="shared" si="0"/>
        <v>1.4921830423370992</v>
      </c>
      <c r="N5" s="7">
        <v>0.76</v>
      </c>
      <c r="O5" s="7">
        <f t="shared" si="6"/>
        <v>40.798272077988983</v>
      </c>
      <c r="P5" s="7">
        <f t="shared" si="7"/>
        <v>57.761867730143024</v>
      </c>
      <c r="Q5" s="8">
        <f t="shared" si="1"/>
        <v>511.08750000000003</v>
      </c>
      <c r="R5" s="7">
        <v>59</v>
      </c>
      <c r="S5" s="7">
        <f t="shared" ref="S5:S22" si="9">(R5+R6)/2</f>
        <v>66</v>
      </c>
      <c r="T5" s="7">
        <f t="shared" si="8"/>
        <v>519.75</v>
      </c>
      <c r="U5" s="7"/>
      <c r="V5" s="6">
        <f t="shared" ref="V5:V22" si="10">(P5+T5)/$U$3*1000</f>
        <v>375.20447548354241</v>
      </c>
      <c r="X5" s="6">
        <f t="shared" si="2"/>
        <v>505.423272077989</v>
      </c>
    </row>
    <row r="6" spans="2:24" x14ac:dyDescent="0.3">
      <c r="B6" s="40" t="s">
        <v>8</v>
      </c>
      <c r="C6" s="7">
        <v>8.5500000000000007</v>
      </c>
      <c r="D6" s="7" t="s">
        <v>20</v>
      </c>
      <c r="E6" s="7"/>
      <c r="F6" s="41" t="s">
        <v>38</v>
      </c>
      <c r="G6" s="34">
        <v>39.889000000000003</v>
      </c>
      <c r="H6" s="7">
        <f t="shared" si="3"/>
        <v>79.778000000000006</v>
      </c>
      <c r="I6" s="7">
        <v>8.27</v>
      </c>
      <c r="J6" s="7">
        <f t="shared" si="4"/>
        <v>16.54</v>
      </c>
      <c r="K6" s="7">
        <v>8.7309999999999999</v>
      </c>
      <c r="L6" s="7">
        <f>H6/(J6*K6)</f>
        <v>0.55243813583394141</v>
      </c>
      <c r="M6" s="7">
        <f t="shared" si="0"/>
        <v>1.8943992669797274</v>
      </c>
      <c r="N6" s="7">
        <v>0.87</v>
      </c>
      <c r="O6" s="7">
        <f t="shared" si="6"/>
        <v>74.725463382297065</v>
      </c>
      <c r="P6" s="7">
        <f t="shared" si="7"/>
        <v>91.251139754237443</v>
      </c>
      <c r="Q6" s="8">
        <f t="shared" si="1"/>
        <v>740.34450000000004</v>
      </c>
      <c r="R6" s="7">
        <v>73</v>
      </c>
      <c r="S6" s="7">
        <f t="shared" si="9"/>
        <v>80.5</v>
      </c>
      <c r="T6" s="7">
        <f t="shared" si="8"/>
        <v>633.9375</v>
      </c>
      <c r="U6" s="7"/>
      <c r="V6" s="6">
        <f t="shared" si="10"/>
        <v>471.14879954770919</v>
      </c>
      <c r="X6" s="6">
        <f t="shared" si="2"/>
        <v>649.60046338229711</v>
      </c>
    </row>
    <row r="7" spans="2:24" x14ac:dyDescent="0.3">
      <c r="B7" s="40" t="s">
        <v>9</v>
      </c>
      <c r="C7" s="7">
        <v>0</v>
      </c>
      <c r="D7" s="7" t="s">
        <v>20</v>
      </c>
      <c r="E7" s="7"/>
      <c r="F7" s="41" t="s">
        <v>39</v>
      </c>
      <c r="G7" s="34">
        <v>54.122999999999998</v>
      </c>
      <c r="H7" s="7">
        <f t="shared" si="3"/>
        <v>108.246</v>
      </c>
      <c r="I7" s="7">
        <v>9.7650000000000006</v>
      </c>
      <c r="J7" s="7">
        <f t="shared" si="4"/>
        <v>19.53</v>
      </c>
      <c r="K7" s="7">
        <v>8.6319999999999997</v>
      </c>
      <c r="L7" s="7">
        <f t="shared" si="5"/>
        <v>0.64209336459627941</v>
      </c>
      <c r="M7" s="7">
        <f t="shared" si="0"/>
        <v>2.2625115848007415</v>
      </c>
      <c r="N7" s="7">
        <v>0.9</v>
      </c>
      <c r="O7" s="7">
        <f t="shared" si="6"/>
        <v>107.77681612617782</v>
      </c>
      <c r="P7" s="7">
        <f t="shared" si="7"/>
        <v>124.30766142658277</v>
      </c>
      <c r="Q7" s="8">
        <f t="shared" si="1"/>
        <v>953.30812500000002</v>
      </c>
      <c r="R7" s="7">
        <v>88</v>
      </c>
      <c r="S7" s="7">
        <f t="shared" si="9"/>
        <v>95.5</v>
      </c>
      <c r="T7" s="7">
        <f t="shared" si="8"/>
        <v>752.0625</v>
      </c>
      <c r="U7" s="7"/>
      <c r="V7" s="6">
        <f t="shared" si="10"/>
        <v>569.37012920596271</v>
      </c>
      <c r="X7" s="6">
        <f t="shared" si="2"/>
        <v>800.77681612617778</v>
      </c>
    </row>
    <row r="8" spans="2:24" x14ac:dyDescent="0.3">
      <c r="B8" s="40" t="s">
        <v>10</v>
      </c>
      <c r="C8" s="7">
        <v>18036.900000000001</v>
      </c>
      <c r="D8" s="7" t="s">
        <v>20</v>
      </c>
      <c r="E8" s="7"/>
      <c r="F8" s="41" t="s">
        <v>40</v>
      </c>
      <c r="G8" s="34">
        <v>66.932000000000002</v>
      </c>
      <c r="H8" s="7">
        <f t="shared" si="3"/>
        <v>133.864</v>
      </c>
      <c r="I8" s="7">
        <v>10.865</v>
      </c>
      <c r="J8" s="7">
        <f t="shared" si="4"/>
        <v>21.73</v>
      </c>
      <c r="K8" s="7">
        <v>8.5210000000000008</v>
      </c>
      <c r="L8" s="7">
        <f t="shared" si="5"/>
        <v>0.72295873009769362</v>
      </c>
      <c r="M8" s="7">
        <f t="shared" si="0"/>
        <v>2.5501701678206783</v>
      </c>
      <c r="N8" s="7">
        <v>0.95</v>
      </c>
      <c r="O8" s="7">
        <f t="shared" si="6"/>
        <v>140.8385067269877</v>
      </c>
      <c r="P8" s="7">
        <f t="shared" si="7"/>
        <v>159.33662017348297</v>
      </c>
      <c r="Q8" s="8">
        <f t="shared" si="1"/>
        <v>1137.6067499999999</v>
      </c>
      <c r="R8" s="7">
        <v>103</v>
      </c>
      <c r="S8" s="7">
        <f t="shared" si="9"/>
        <v>110</v>
      </c>
      <c r="T8" s="7">
        <f t="shared" si="8"/>
        <v>866.25</v>
      </c>
      <c r="U8" s="7"/>
      <c r="V8" s="6">
        <f t="shared" si="10"/>
        <v>666.31477444363179</v>
      </c>
      <c r="X8" s="6">
        <f t="shared" si="2"/>
        <v>951.9635067269877</v>
      </c>
    </row>
    <row r="9" spans="2:24" x14ac:dyDescent="0.3">
      <c r="B9" s="40" t="s">
        <v>11</v>
      </c>
      <c r="C9" s="7">
        <v>-1.77</v>
      </c>
      <c r="D9" s="7" t="s">
        <v>20</v>
      </c>
      <c r="E9" s="7"/>
      <c r="F9" s="41" t="s">
        <v>41</v>
      </c>
      <c r="G9" s="34">
        <v>77.525999999999996</v>
      </c>
      <c r="H9" s="7">
        <f t="shared" si="3"/>
        <v>155.05199999999999</v>
      </c>
      <c r="I9" s="7">
        <v>11.346</v>
      </c>
      <c r="J9" s="7">
        <f t="shared" si="4"/>
        <v>22.692</v>
      </c>
      <c r="K9" s="7">
        <v>8.6069999999999993</v>
      </c>
      <c r="L9" s="7">
        <f t="shared" si="5"/>
        <v>0.79387622277121606</v>
      </c>
      <c r="M9" s="7">
        <f t="shared" si="0"/>
        <v>2.6364586964098993</v>
      </c>
      <c r="N9" s="7">
        <v>1.1000000000000001</v>
      </c>
      <c r="O9" s="7">
        <f t="shared" si="6"/>
        <v>177.83473361997821</v>
      </c>
      <c r="P9" s="7">
        <f t="shared" si="7"/>
        <v>186.61937235116565</v>
      </c>
      <c r="Q9" s="8">
        <f t="shared" si="1"/>
        <v>1283.6486249999998</v>
      </c>
      <c r="R9" s="7">
        <v>117</v>
      </c>
      <c r="S9" s="7">
        <f t="shared" si="9"/>
        <v>124.5</v>
      </c>
      <c r="T9" s="7">
        <f t="shared" si="8"/>
        <v>980.4375</v>
      </c>
      <c r="U9" s="7"/>
      <c r="V9" s="6">
        <f t="shared" si="10"/>
        <v>758.22677613717099</v>
      </c>
      <c r="X9" s="6">
        <f t="shared" si="2"/>
        <v>1099.2097336199781</v>
      </c>
    </row>
    <row r="10" spans="2:24" x14ac:dyDescent="0.3">
      <c r="B10" s="40" t="s">
        <v>12</v>
      </c>
      <c r="C10" s="7">
        <v>8.5500000000000007</v>
      </c>
      <c r="D10" s="7" t="s">
        <v>20</v>
      </c>
      <c r="E10" s="7"/>
      <c r="F10" s="41" t="s">
        <v>42</v>
      </c>
      <c r="G10" s="34">
        <v>85.477000000000004</v>
      </c>
      <c r="H10" s="7">
        <f t="shared" si="3"/>
        <v>170.95400000000001</v>
      </c>
      <c r="I10" s="7">
        <v>11.532</v>
      </c>
      <c r="J10" s="7">
        <f t="shared" si="4"/>
        <v>23.064</v>
      </c>
      <c r="K10" s="7">
        <v>8.6069999999999993</v>
      </c>
      <c r="L10" s="7">
        <f t="shared" si="5"/>
        <v>0.8611778174570216</v>
      </c>
      <c r="M10" s="7">
        <f t="shared" si="0"/>
        <v>2.6796793307772746</v>
      </c>
      <c r="N10" s="7">
        <v>1.17</v>
      </c>
      <c r="O10" s="7">
        <f t="shared" si="6"/>
        <v>195.40401108235309</v>
      </c>
      <c r="P10" s="7">
        <f t="shared" si="7"/>
        <v>198.36062367155995</v>
      </c>
      <c r="Q10" s="8">
        <f t="shared" si="1"/>
        <v>1404.5298750000002</v>
      </c>
      <c r="R10" s="7">
        <v>132</v>
      </c>
      <c r="S10" s="7">
        <f t="shared" si="9"/>
        <v>139</v>
      </c>
      <c r="T10" s="7">
        <f t="shared" si="8"/>
        <v>1094.625</v>
      </c>
      <c r="U10" s="7"/>
      <c r="V10" s="6">
        <f t="shared" si="10"/>
        <v>840.04159887522826</v>
      </c>
      <c r="X10" s="6">
        <f t="shared" si="2"/>
        <v>1234.904011082353</v>
      </c>
    </row>
    <row r="11" spans="2:24" x14ac:dyDescent="0.3">
      <c r="B11" s="40" t="s">
        <v>13</v>
      </c>
      <c r="C11" s="7">
        <v>0.9</v>
      </c>
      <c r="D11" s="7" t="s">
        <v>20</v>
      </c>
      <c r="E11" s="7"/>
      <c r="F11" s="41" t="s">
        <v>43</v>
      </c>
      <c r="G11" s="34">
        <v>92.876000000000005</v>
      </c>
      <c r="H11" s="7">
        <f t="shared" si="3"/>
        <v>185.75200000000001</v>
      </c>
      <c r="I11" s="7">
        <v>11.37</v>
      </c>
      <c r="J11" s="7">
        <f t="shared" si="4"/>
        <v>22.74</v>
      </c>
      <c r="K11" s="7">
        <v>8.57</v>
      </c>
      <c r="L11" s="7">
        <f t="shared" si="5"/>
        <v>0.953152115795318</v>
      </c>
      <c r="M11" s="7">
        <f t="shared" si="0"/>
        <v>2.6534422403733955</v>
      </c>
      <c r="N11" s="7">
        <v>1.24</v>
      </c>
      <c r="O11" s="7">
        <f t="shared" si="6"/>
        <v>201.31723626076683</v>
      </c>
      <c r="P11" s="7">
        <f t="shared" si="7"/>
        <v>211.87015590346834</v>
      </c>
      <c r="Q11" s="8">
        <f t="shared" si="1"/>
        <v>1477.7909999999999</v>
      </c>
      <c r="R11" s="7">
        <v>146</v>
      </c>
      <c r="S11" s="7">
        <f t="shared" si="9"/>
        <v>146</v>
      </c>
      <c r="T11" s="7">
        <f t="shared" si="8"/>
        <v>1149.75</v>
      </c>
      <c r="U11" s="7"/>
      <c r="V11" s="6">
        <f t="shared" si="10"/>
        <v>884.63286202510483</v>
      </c>
      <c r="X11" s="6">
        <f t="shared" si="2"/>
        <v>1351.0672362607668</v>
      </c>
    </row>
    <row r="12" spans="2:24" x14ac:dyDescent="0.3">
      <c r="B12" s="40" t="s">
        <v>57</v>
      </c>
      <c r="C12" s="4">
        <v>1.0249999999999999</v>
      </c>
      <c r="D12" s="7" t="s">
        <v>74</v>
      </c>
      <c r="F12" s="41" t="s">
        <v>44</v>
      </c>
      <c r="G12" s="34">
        <v>94.78</v>
      </c>
      <c r="H12" s="7">
        <f t="shared" si="3"/>
        <v>189.56</v>
      </c>
      <c r="I12" s="7">
        <v>11.37</v>
      </c>
      <c r="J12" s="7">
        <f t="shared" si="4"/>
        <v>22.74</v>
      </c>
      <c r="K12" s="7">
        <v>8.57</v>
      </c>
      <c r="L12" s="7">
        <f t="shared" si="5"/>
        <v>0.97269216519962354</v>
      </c>
      <c r="M12" s="7">
        <f t="shared" si="0"/>
        <v>2.6534422403733955</v>
      </c>
      <c r="N12" s="7">
        <v>1.37</v>
      </c>
      <c r="O12" s="7">
        <f t="shared" si="6"/>
        <v>222.42307554616983</v>
      </c>
      <c r="P12" s="7">
        <f t="shared" si="7"/>
        <v>222.42307554616983</v>
      </c>
      <c r="Q12" s="8">
        <f t="shared" si="1"/>
        <v>1488.4537499999999</v>
      </c>
      <c r="R12" s="7">
        <v>146</v>
      </c>
      <c r="S12" s="7">
        <f t="shared" si="9"/>
        <v>146</v>
      </c>
      <c r="T12" s="7">
        <f t="shared" si="8"/>
        <v>1149.75</v>
      </c>
      <c r="U12" s="7"/>
      <c r="V12" s="6">
        <f t="shared" si="10"/>
        <v>891.48900282602415</v>
      </c>
      <c r="X12" s="6">
        <f t="shared" si="2"/>
        <v>1372.1730755461699</v>
      </c>
    </row>
    <row r="13" spans="2:24" x14ac:dyDescent="0.3">
      <c r="B13" s="40" t="s">
        <v>62</v>
      </c>
      <c r="C13" s="11">
        <f>C5/C3</f>
        <v>0.13729729729729728</v>
      </c>
      <c r="D13" s="7" t="s">
        <v>73</v>
      </c>
      <c r="F13" s="41" t="s">
        <v>45</v>
      </c>
      <c r="G13" s="34">
        <v>94.23</v>
      </c>
      <c r="H13" s="7">
        <f t="shared" si="3"/>
        <v>188.46</v>
      </c>
      <c r="I13" s="7">
        <v>11.37</v>
      </c>
      <c r="J13" s="7">
        <f t="shared" si="4"/>
        <v>22.74</v>
      </c>
      <c r="K13" s="7">
        <v>8.57</v>
      </c>
      <c r="L13" s="7">
        <f t="shared" si="5"/>
        <v>0.96704771815531265</v>
      </c>
      <c r="M13" s="7">
        <f t="shared" si="0"/>
        <v>2.6534422403733955</v>
      </c>
      <c r="N13" s="7">
        <v>1.37</v>
      </c>
      <c r="O13" s="7">
        <f t="shared" si="6"/>
        <v>222.42307554616983</v>
      </c>
      <c r="P13" s="7">
        <f t="shared" si="7"/>
        <v>222.42307554616983</v>
      </c>
      <c r="Q13" s="8">
        <f t="shared" si="1"/>
        <v>1467.6401250000001</v>
      </c>
      <c r="R13" s="7">
        <v>146</v>
      </c>
      <c r="S13" s="7">
        <f t="shared" si="9"/>
        <v>146</v>
      </c>
      <c r="T13" s="7">
        <f t="shared" si="8"/>
        <v>1149.75</v>
      </c>
      <c r="U13" s="7"/>
      <c r="V13" s="6">
        <f t="shared" si="10"/>
        <v>891.48900282602415</v>
      </c>
      <c r="X13" s="6">
        <f t="shared" si="2"/>
        <v>1372.1730755461699</v>
      </c>
    </row>
    <row r="14" spans="2:24" x14ac:dyDescent="0.3">
      <c r="B14" s="40" t="s">
        <v>67</v>
      </c>
      <c r="C14" s="7">
        <v>0.78</v>
      </c>
      <c r="D14" s="7" t="s">
        <v>73</v>
      </c>
      <c r="F14" s="41" t="s">
        <v>46</v>
      </c>
      <c r="G14" s="34">
        <v>92.137</v>
      </c>
      <c r="H14" s="7">
        <f t="shared" si="3"/>
        <v>184.274</v>
      </c>
      <c r="I14" s="7">
        <v>11.37</v>
      </c>
      <c r="J14" s="7">
        <f t="shared" si="4"/>
        <v>22.74</v>
      </c>
      <c r="K14" s="7">
        <v>8.57</v>
      </c>
      <c r="L14" s="7">
        <f t="shared" si="5"/>
        <v>0.94556803149396196</v>
      </c>
      <c r="M14" s="7">
        <f t="shared" si="0"/>
        <v>2.6534422403733955</v>
      </c>
      <c r="N14" s="7">
        <v>1.37</v>
      </c>
      <c r="O14" s="7">
        <f t="shared" si="6"/>
        <v>222.42307554616983</v>
      </c>
      <c r="P14" s="7">
        <f t="shared" si="7"/>
        <v>203.31697281900387</v>
      </c>
      <c r="Q14" s="8">
        <f t="shared" si="1"/>
        <v>1413.5152499999999</v>
      </c>
      <c r="R14" s="7">
        <v>146</v>
      </c>
      <c r="S14" s="7">
        <f t="shared" si="9"/>
        <v>146</v>
      </c>
      <c r="T14" s="7">
        <f t="shared" si="8"/>
        <v>1149.75</v>
      </c>
      <c r="U14" s="7"/>
      <c r="V14" s="6">
        <f t="shared" si="10"/>
        <v>879.07593280469825</v>
      </c>
      <c r="X14" s="6">
        <f t="shared" si="2"/>
        <v>1372.1730755461699</v>
      </c>
    </row>
    <row r="15" spans="2:24" x14ac:dyDescent="0.3">
      <c r="B15" s="40" t="s">
        <v>122</v>
      </c>
      <c r="C15" s="15">
        <v>0.72</v>
      </c>
      <c r="F15" s="41" t="s">
        <v>47</v>
      </c>
      <c r="G15" s="34">
        <v>87.356999999999999</v>
      </c>
      <c r="H15" s="7">
        <f t="shared" si="3"/>
        <v>174.714</v>
      </c>
      <c r="I15" s="7">
        <v>11.244999999999999</v>
      </c>
      <c r="J15" s="7">
        <f t="shared" si="4"/>
        <v>22.49</v>
      </c>
      <c r="K15" s="7">
        <v>8.57</v>
      </c>
      <c r="L15" s="7">
        <f t="shared" si="5"/>
        <v>0.90647833628118402</v>
      </c>
      <c r="M15" s="7">
        <f t="shared" si="0"/>
        <v>2.6242707117852975</v>
      </c>
      <c r="N15" s="7">
        <v>1.1599999999999999</v>
      </c>
      <c r="O15" s="7">
        <f t="shared" si="6"/>
        <v>184.2108700918379</v>
      </c>
      <c r="P15" s="7">
        <f t="shared" si="7"/>
        <v>172.46209308035145</v>
      </c>
      <c r="Q15" s="8">
        <f t="shared" si="1"/>
        <v>1298.4142499999998</v>
      </c>
      <c r="R15" s="7">
        <v>146</v>
      </c>
      <c r="S15" s="7">
        <f t="shared" si="9"/>
        <v>140.5</v>
      </c>
      <c r="T15" s="7">
        <f t="shared" si="8"/>
        <v>1106.4375</v>
      </c>
      <c r="U15" s="7"/>
      <c r="V15" s="6">
        <f t="shared" si="10"/>
        <v>830.89002638825536</v>
      </c>
      <c r="X15" s="6">
        <f t="shared" si="2"/>
        <v>1333.9608700918379</v>
      </c>
    </row>
    <row r="16" spans="2:24" x14ac:dyDescent="0.3">
      <c r="B16" s="40" t="s">
        <v>123</v>
      </c>
      <c r="C16" s="15">
        <v>0.66</v>
      </c>
      <c r="F16" s="41" t="s">
        <v>48</v>
      </c>
      <c r="G16" s="34">
        <v>77.521000000000001</v>
      </c>
      <c r="H16" s="7">
        <f t="shared" si="3"/>
        <v>155.042</v>
      </c>
      <c r="I16" s="4">
        <v>10.786</v>
      </c>
      <c r="J16" s="7">
        <f t="shared" si="4"/>
        <v>21.571999999999999</v>
      </c>
      <c r="K16" s="4">
        <v>8.4339999999999993</v>
      </c>
      <c r="L16" s="7">
        <f t="shared" si="5"/>
        <v>0.85216825875997226</v>
      </c>
      <c r="M16" s="7">
        <f t="shared" si="0"/>
        <v>2.5577424709509131</v>
      </c>
      <c r="N16" s="7">
        <v>1.1000000000000001</v>
      </c>
      <c r="O16" s="7">
        <f t="shared" si="6"/>
        <v>160.713316068865</v>
      </c>
      <c r="P16" s="7">
        <f t="shared" si="7"/>
        <v>145.00950392548788</v>
      </c>
      <c r="Q16" s="8">
        <f t="shared" si="1"/>
        <v>1133.7716250000001</v>
      </c>
      <c r="R16" s="7">
        <v>135</v>
      </c>
      <c r="S16" s="7">
        <f t="shared" si="9"/>
        <v>129</v>
      </c>
      <c r="T16" s="7">
        <f t="shared" si="8"/>
        <v>1015.875</v>
      </c>
      <c r="U16" s="7"/>
      <c r="V16" s="6">
        <f t="shared" si="10"/>
        <v>754.21664164980541</v>
      </c>
      <c r="X16" s="6">
        <f t="shared" si="2"/>
        <v>1223.838316068865</v>
      </c>
    </row>
    <row r="17" spans="3:27" x14ac:dyDescent="0.3">
      <c r="F17" s="41" t="s">
        <v>49</v>
      </c>
      <c r="G17" s="34">
        <v>66.45</v>
      </c>
      <c r="H17" s="7">
        <f t="shared" si="3"/>
        <v>132.9</v>
      </c>
      <c r="I17" s="4">
        <v>9.7639999999999993</v>
      </c>
      <c r="J17" s="7">
        <f t="shared" si="4"/>
        <v>19.527999999999999</v>
      </c>
      <c r="K17" s="4">
        <v>8.5190000000000001</v>
      </c>
      <c r="L17" s="7">
        <f t="shared" si="5"/>
        <v>0.79887456907058718</v>
      </c>
      <c r="M17" s="7">
        <f t="shared" si="0"/>
        <v>2.2922878272097664</v>
      </c>
      <c r="N17" s="7">
        <v>1.08</v>
      </c>
      <c r="O17" s="7">
        <f t="shared" si="6"/>
        <v>129.30569178211076</v>
      </c>
      <c r="P17" s="7">
        <f t="shared" si="7"/>
        <v>107.19441973980557</v>
      </c>
      <c r="Q17" s="8">
        <f t="shared" si="1"/>
        <v>937.27462500000001</v>
      </c>
      <c r="R17" s="7">
        <v>123</v>
      </c>
      <c r="S17" s="7">
        <f t="shared" si="9"/>
        <v>117</v>
      </c>
      <c r="T17" s="7">
        <f t="shared" si="8"/>
        <v>921.375</v>
      </c>
      <c r="U17" s="7"/>
      <c r="V17" s="6">
        <f t="shared" si="10"/>
        <v>668.2526735748711</v>
      </c>
      <c r="X17" s="6">
        <f t="shared" si="2"/>
        <v>1097.9306917821107</v>
      </c>
    </row>
    <row r="18" spans="3:27" x14ac:dyDescent="0.3">
      <c r="F18" s="41" t="s">
        <v>50</v>
      </c>
      <c r="G18" s="34">
        <v>52.569000000000003</v>
      </c>
      <c r="H18" s="7">
        <f t="shared" si="3"/>
        <v>105.13800000000001</v>
      </c>
      <c r="I18" s="4">
        <v>8.2309999999999999</v>
      </c>
      <c r="J18" s="7">
        <f t="shared" si="4"/>
        <v>16.462</v>
      </c>
      <c r="K18" s="4">
        <v>8.484</v>
      </c>
      <c r="L18" s="7">
        <f t="shared" si="5"/>
        <v>0.75279452897994725</v>
      </c>
      <c r="M18" s="7">
        <f t="shared" si="0"/>
        <v>1.9403583215464404</v>
      </c>
      <c r="N18" s="7">
        <v>1</v>
      </c>
      <c r="O18" s="7">
        <f t="shared" si="6"/>
        <v>85.083147697500365</v>
      </c>
      <c r="P18" s="7">
        <f t="shared" si="7"/>
        <v>67.154007039884917</v>
      </c>
      <c r="Q18" s="8">
        <f t="shared" si="1"/>
        <v>725.50800000000004</v>
      </c>
      <c r="R18" s="7">
        <v>111</v>
      </c>
      <c r="S18" s="7">
        <f t="shared" si="9"/>
        <v>105</v>
      </c>
      <c r="T18" s="7">
        <f t="shared" si="8"/>
        <v>826.875</v>
      </c>
      <c r="U18" s="7"/>
      <c r="V18" s="6">
        <f t="shared" si="10"/>
        <v>580.84292877287987</v>
      </c>
      <c r="X18" s="6">
        <f t="shared" si="2"/>
        <v>959.20814769750041</v>
      </c>
    </row>
    <row r="19" spans="3:27" x14ac:dyDescent="0.3">
      <c r="F19" s="41" t="s">
        <v>51</v>
      </c>
      <c r="G19" s="34">
        <v>39.558999999999997</v>
      </c>
      <c r="H19" s="7">
        <f t="shared" si="3"/>
        <v>79.117999999999995</v>
      </c>
      <c r="I19" s="4">
        <v>6.5629999999999997</v>
      </c>
      <c r="J19" s="7">
        <f t="shared" si="4"/>
        <v>13.125999999999999</v>
      </c>
      <c r="K19" s="4">
        <v>8.5210000000000008</v>
      </c>
      <c r="L19" s="7">
        <f t="shared" si="5"/>
        <v>0.70737928073408651</v>
      </c>
      <c r="M19" s="7">
        <f t="shared" si="0"/>
        <v>1.5404295270508155</v>
      </c>
      <c r="N19" s="7">
        <v>0.91</v>
      </c>
      <c r="O19" s="7">
        <f t="shared" si="6"/>
        <v>49.224866382269461</v>
      </c>
      <c r="P19" s="7">
        <f t="shared" si="7"/>
        <v>37.707042331481482</v>
      </c>
      <c r="Q19" s="8">
        <f t="shared" si="1"/>
        <v>534.39750000000004</v>
      </c>
      <c r="R19" s="7">
        <v>99</v>
      </c>
      <c r="S19" s="7">
        <f t="shared" si="9"/>
        <v>93.5</v>
      </c>
      <c r="T19" s="7">
        <f t="shared" si="8"/>
        <v>736.3125</v>
      </c>
      <c r="U19" s="7"/>
      <c r="V19" s="6">
        <f t="shared" si="10"/>
        <v>502.87381545239361</v>
      </c>
      <c r="X19" s="6">
        <f t="shared" si="2"/>
        <v>828.84986638226951</v>
      </c>
    </row>
    <row r="20" spans="3:27" x14ac:dyDescent="0.3">
      <c r="C20" s="6">
        <f>C5*C6</f>
        <v>195.453</v>
      </c>
      <c r="F20" s="41" t="s">
        <v>52</v>
      </c>
      <c r="G20" s="34">
        <v>28.300999999999998</v>
      </c>
      <c r="H20" s="7">
        <f t="shared" si="3"/>
        <v>56.601999999999997</v>
      </c>
      <c r="I20" s="4">
        <v>4.7610000000000001</v>
      </c>
      <c r="J20" s="7">
        <f t="shared" si="4"/>
        <v>9.5220000000000002</v>
      </c>
      <c r="K20" s="4">
        <v>8.5500000000000007</v>
      </c>
      <c r="L20" s="7">
        <f t="shared" si="5"/>
        <v>0.69524437713340959</v>
      </c>
      <c r="M20" s="7">
        <f t="shared" si="0"/>
        <v>1.1136842105263158</v>
      </c>
      <c r="N20" s="7">
        <v>0.92</v>
      </c>
      <c r="O20" s="7">
        <f t="shared" si="6"/>
        <v>26.189218280693506</v>
      </c>
      <c r="P20" s="7">
        <f t="shared" si="7"/>
        <v>17.612427998067265</v>
      </c>
      <c r="Q20" s="8">
        <f t="shared" si="1"/>
        <v>369.14849999999996</v>
      </c>
      <c r="R20" s="7">
        <v>88</v>
      </c>
      <c r="S20" s="7">
        <f t="shared" si="9"/>
        <v>82</v>
      </c>
      <c r="T20" s="7">
        <f t="shared" si="8"/>
        <v>645.75</v>
      </c>
      <c r="U20" s="7"/>
      <c r="V20" s="6">
        <f t="shared" si="10"/>
        <v>430.98084344269648</v>
      </c>
      <c r="X20" s="6">
        <f t="shared" si="2"/>
        <v>719.18921828069347</v>
      </c>
      <c r="Y20" s="7"/>
      <c r="Z20" s="7"/>
    </row>
    <row r="21" spans="3:27" x14ac:dyDescent="0.3">
      <c r="F21" s="41" t="s">
        <v>53</v>
      </c>
      <c r="G21" s="34">
        <v>18.574999999999999</v>
      </c>
      <c r="H21" s="7">
        <f t="shared" si="3"/>
        <v>37.15</v>
      </c>
      <c r="I21" s="4">
        <v>2.7519999999999998</v>
      </c>
      <c r="J21" s="7">
        <f t="shared" si="4"/>
        <v>5.5039999999999996</v>
      </c>
      <c r="K21" s="4">
        <v>8.3719999999999999</v>
      </c>
      <c r="L21" s="7">
        <f t="shared" si="5"/>
        <v>0.80621555517283527</v>
      </c>
      <c r="M21" s="7">
        <f t="shared" si="0"/>
        <v>0.65742952699474433</v>
      </c>
      <c r="N21" s="7">
        <v>0.95</v>
      </c>
      <c r="O21" s="7">
        <f t="shared" si="6"/>
        <v>9.0356377154410232</v>
      </c>
      <c r="P21" s="7">
        <f t="shared" si="7"/>
        <v>5.7550527900931243</v>
      </c>
      <c r="Q21" s="8">
        <f t="shared" si="1"/>
        <v>236.45474999999999</v>
      </c>
      <c r="R21" s="7">
        <v>76</v>
      </c>
      <c r="S21" s="7">
        <f t="shared" si="9"/>
        <v>63.5</v>
      </c>
      <c r="T21" s="7">
        <f t="shared" si="8"/>
        <v>500.0625</v>
      </c>
      <c r="U21" s="7"/>
      <c r="V21" s="6">
        <f t="shared" si="10"/>
        <v>328.62529791969189</v>
      </c>
      <c r="X21" s="6">
        <f t="shared" si="2"/>
        <v>607.535637715441</v>
      </c>
      <c r="Y21" s="7"/>
      <c r="Z21" s="7"/>
    </row>
    <row r="22" spans="3:27" x14ac:dyDescent="0.3">
      <c r="F22" s="41" t="s">
        <v>54</v>
      </c>
      <c r="G22" s="34">
        <v>11.451000000000001</v>
      </c>
      <c r="H22" s="7">
        <f t="shared" si="3"/>
        <v>22.902000000000001</v>
      </c>
      <c r="I22" s="4">
        <v>1.357</v>
      </c>
      <c r="J22" s="7">
        <f t="shared" si="4"/>
        <v>2.714</v>
      </c>
      <c r="K22" s="4">
        <v>8.5009999999999994</v>
      </c>
      <c r="L22" s="7">
        <f t="shared" si="5"/>
        <v>0.99264406623625812</v>
      </c>
      <c r="M22" s="7">
        <f t="shared" si="0"/>
        <v>0.31925655805199388</v>
      </c>
      <c r="N22" s="7">
        <v>1.07</v>
      </c>
      <c r="O22" s="7">
        <f t="shared" si="6"/>
        <v>2.4744678647452245</v>
      </c>
      <c r="P22" s="7">
        <f t="shared" si="7"/>
        <v>2.0036251773272049</v>
      </c>
      <c r="Q22" s="8">
        <f t="shared" si="1"/>
        <v>136.64699999999999</v>
      </c>
      <c r="R22" s="7">
        <v>51</v>
      </c>
      <c r="S22" s="7">
        <f t="shared" si="9"/>
        <v>39</v>
      </c>
      <c r="T22" s="7">
        <f t="shared" si="8"/>
        <v>307.125</v>
      </c>
      <c r="U22" s="7"/>
      <c r="V22" s="6">
        <f t="shared" si="10"/>
        <v>200.83819943386035</v>
      </c>
      <c r="X22">
        <f t="shared" si="2"/>
        <v>404.09946786474524</v>
      </c>
      <c r="Y22" s="7"/>
    </row>
    <row r="23" spans="3:27" x14ac:dyDescent="0.3">
      <c r="F23" s="41" t="s">
        <v>55</v>
      </c>
      <c r="G23" s="34">
        <v>5.9009999999999998</v>
      </c>
      <c r="H23" s="7">
        <f t="shared" si="3"/>
        <v>11.802</v>
      </c>
      <c r="I23" s="4">
        <v>1.2589999999999999</v>
      </c>
      <c r="J23" s="7">
        <f t="shared" si="4"/>
        <v>2.5179999999999998</v>
      </c>
      <c r="K23" s="4">
        <v>8.1069999999999993</v>
      </c>
      <c r="L23" s="7">
        <f t="shared" si="5"/>
        <v>0.57814891042787242</v>
      </c>
      <c r="M23" s="7">
        <f t="shared" si="0"/>
        <v>0.31059578142346123</v>
      </c>
      <c r="N23" s="7">
        <v>0.77</v>
      </c>
      <c r="O23" s="7">
        <f t="shared" si="6"/>
        <v>1.5327824899091849</v>
      </c>
      <c r="P23" s="7" t="s">
        <v>73</v>
      </c>
      <c r="Q23" s="8" t="s">
        <v>73</v>
      </c>
      <c r="R23" s="7">
        <v>27</v>
      </c>
      <c r="S23" s="7" t="s">
        <v>73</v>
      </c>
      <c r="T23" s="7" t="s">
        <v>73</v>
      </c>
      <c r="U23" s="7" t="s">
        <v>73</v>
      </c>
      <c r="V23" s="6" t="s">
        <v>73</v>
      </c>
      <c r="X23">
        <f t="shared" si="2"/>
        <v>214.15778248990918</v>
      </c>
      <c r="Y23" s="7"/>
    </row>
    <row r="24" spans="3:27" x14ac:dyDescent="0.3">
      <c r="I24" s="3"/>
      <c r="J24" s="3"/>
      <c r="K24" s="3"/>
      <c r="Y24" s="7"/>
      <c r="Z24" s="7"/>
      <c r="AA24" s="7"/>
    </row>
    <row r="25" spans="3:27" x14ac:dyDescent="0.3">
      <c r="I25" s="3"/>
      <c r="J25" s="3"/>
      <c r="K25" s="3"/>
      <c r="L25" s="9" t="s">
        <v>75</v>
      </c>
      <c r="M25" s="9" t="s">
        <v>64</v>
      </c>
      <c r="N25" s="9" t="s">
        <v>65</v>
      </c>
      <c r="O25" s="9" t="s">
        <v>63</v>
      </c>
      <c r="P25" s="9" t="s">
        <v>94</v>
      </c>
      <c r="S25" s="45" t="s">
        <v>16</v>
      </c>
      <c r="T25" s="45"/>
      <c r="W25" s="7"/>
      <c r="X25" s="7"/>
      <c r="Y25" s="7"/>
    </row>
    <row r="26" spans="3:27" x14ac:dyDescent="0.3">
      <c r="L26" s="7">
        <f>C4/20</f>
        <v>7.875</v>
      </c>
      <c r="M26" s="9">
        <v>0</v>
      </c>
      <c r="N26" s="7">
        <f>0</f>
        <v>0</v>
      </c>
      <c r="O26" s="12">
        <f>T26</f>
        <v>3543</v>
      </c>
      <c r="P26" s="18">
        <f t="shared" ref="P26:P46" si="11">O26/$L$28*10^9</f>
        <v>2975622460.2282405</v>
      </c>
      <c r="S26" s="7">
        <v>0</v>
      </c>
      <c r="T26" s="7">
        <v>3543</v>
      </c>
      <c r="W26" s="7"/>
      <c r="X26" s="7"/>
      <c r="Y26" s="7"/>
    </row>
    <row r="27" spans="3:27" x14ac:dyDescent="0.3">
      <c r="L27" s="9" t="s">
        <v>92</v>
      </c>
      <c r="M27" s="9">
        <v>1</v>
      </c>
      <c r="N27" s="7">
        <f>N26+$L$26</f>
        <v>7.875</v>
      </c>
      <c r="O27" s="12">
        <f>(((N27-S26)/(S27-S26))*(T27-T26))+T26</f>
        <v>4576.375</v>
      </c>
      <c r="P27" s="18">
        <f t="shared" si="11"/>
        <v>3843512344.4614773</v>
      </c>
      <c r="S27" s="7">
        <v>18</v>
      </c>
      <c r="T27" s="7">
        <v>5905</v>
      </c>
      <c r="W27" s="7"/>
      <c r="X27" s="7"/>
      <c r="Y27" s="7"/>
    </row>
    <row r="28" spans="3:27" x14ac:dyDescent="0.3">
      <c r="L28" s="5">
        <f>(C5*C6^3)/12</f>
        <v>1190.6752443750004</v>
      </c>
      <c r="M28" s="9">
        <v>2</v>
      </c>
      <c r="N28" s="7">
        <f t="shared" ref="N28:N46" si="12">N27+$L$26</f>
        <v>15.75</v>
      </c>
      <c r="O28" s="12">
        <f>(((N28-S26)/(S27-S26))*(T27-T26))+T26</f>
        <v>5609.75</v>
      </c>
      <c r="P28" s="18">
        <f t="shared" si="11"/>
        <v>4711402228.6947145</v>
      </c>
      <c r="S28" s="7">
        <v>36</v>
      </c>
      <c r="T28" s="7">
        <v>7086</v>
      </c>
      <c r="W28" s="7"/>
      <c r="X28" s="7"/>
      <c r="Y28" s="7"/>
    </row>
    <row r="29" spans="3:27" x14ac:dyDescent="0.3">
      <c r="L29" s="7"/>
      <c r="M29" s="9">
        <v>3</v>
      </c>
      <c r="N29" s="7">
        <f t="shared" si="12"/>
        <v>23.625</v>
      </c>
      <c r="O29" s="12">
        <f>(((N29-S27)/(S28-S27))*(T28-T27))+T27</f>
        <v>6274.0625</v>
      </c>
      <c r="P29" s="18">
        <f t="shared" si="11"/>
        <v>5269331439.9875088</v>
      </c>
      <c r="S29" s="4">
        <v>54</v>
      </c>
      <c r="T29" s="7">
        <v>7676</v>
      </c>
      <c r="W29" s="7"/>
      <c r="X29" s="7"/>
      <c r="Y29" s="7"/>
    </row>
    <row r="30" spans="3:27" x14ac:dyDescent="0.3">
      <c r="L30" s="7"/>
      <c r="M30" s="9">
        <v>4</v>
      </c>
      <c r="N30" s="7">
        <f t="shared" si="12"/>
        <v>31.5</v>
      </c>
      <c r="O30" s="12">
        <f>(((N30-S27)/(S28-S27))*(T28-T27))+T27</f>
        <v>6790.75</v>
      </c>
      <c r="P30" s="18">
        <f t="shared" si="11"/>
        <v>5703276382.1041279</v>
      </c>
      <c r="S30" s="4">
        <v>108</v>
      </c>
      <c r="T30" s="7">
        <v>7676</v>
      </c>
      <c r="W30" s="7"/>
      <c r="X30" s="7"/>
      <c r="Y30" s="7"/>
    </row>
    <row r="31" spans="3:27" x14ac:dyDescent="0.3">
      <c r="L31" s="7"/>
      <c r="M31" s="9">
        <v>5</v>
      </c>
      <c r="N31" s="7">
        <f t="shared" si="12"/>
        <v>39.375</v>
      </c>
      <c r="O31" s="12">
        <f>(((N31-S28)/(S29-S28))*(T29-T28))+T28</f>
        <v>7196.625</v>
      </c>
      <c r="P31" s="18">
        <f t="shared" si="11"/>
        <v>6044154385.503828</v>
      </c>
      <c r="S31" s="4">
        <v>144</v>
      </c>
      <c r="T31" s="7">
        <v>6495</v>
      </c>
      <c r="W31" s="7"/>
      <c r="X31" s="7"/>
      <c r="Y31" s="7"/>
    </row>
    <row r="32" spans="3:27" x14ac:dyDescent="0.3">
      <c r="L32" s="7"/>
      <c r="M32" s="9">
        <v>6</v>
      </c>
      <c r="N32" s="7">
        <f t="shared" si="12"/>
        <v>47.25</v>
      </c>
      <c r="O32" s="12">
        <f>(((N32-S28)/(S29-S28))*(T29-T28))+T28</f>
        <v>7454.75</v>
      </c>
      <c r="P32" s="18">
        <f t="shared" si="11"/>
        <v>6260943137.2809696</v>
      </c>
      <c r="S32" s="4">
        <v>157.5</v>
      </c>
      <c r="T32" s="7">
        <v>4724</v>
      </c>
      <c r="W32" s="7"/>
      <c r="X32" s="7"/>
      <c r="Y32" s="7"/>
    </row>
    <row r="33" spans="12:25" x14ac:dyDescent="0.3">
      <c r="L33" s="7"/>
      <c r="M33" s="9">
        <v>7</v>
      </c>
      <c r="N33" s="7">
        <f t="shared" si="12"/>
        <v>55.125</v>
      </c>
      <c r="O33" s="12">
        <f>(((N33-S29)/(S30-S29))*(T30-T29))+T29</f>
        <v>7676</v>
      </c>
      <c r="P33" s="18">
        <f t="shared" si="11"/>
        <v>6446762067.3756628</v>
      </c>
      <c r="V33" s="7"/>
      <c r="W33" s="7"/>
      <c r="X33" s="7"/>
      <c r="Y33" s="7"/>
    </row>
    <row r="34" spans="12:25" x14ac:dyDescent="0.3">
      <c r="L34" s="7"/>
      <c r="M34" s="9">
        <v>8</v>
      </c>
      <c r="N34" s="7">
        <f t="shared" si="12"/>
        <v>63</v>
      </c>
      <c r="O34" s="12">
        <f>(((N34-S29)/(S30-S29))*(T30-T29))+T29</f>
        <v>7676</v>
      </c>
      <c r="P34" s="18">
        <f t="shared" si="11"/>
        <v>6446762067.3756628</v>
      </c>
      <c r="V34" s="7"/>
      <c r="W34" s="7"/>
      <c r="X34" s="7"/>
      <c r="Y34" s="7"/>
    </row>
    <row r="35" spans="12:25" x14ac:dyDescent="0.3">
      <c r="L35" s="7"/>
      <c r="M35" s="9">
        <v>9</v>
      </c>
      <c r="N35" s="7">
        <f t="shared" si="12"/>
        <v>70.875</v>
      </c>
      <c r="O35" s="12">
        <f>(((N35-S29)/(S30-S29))*(T30-T29))+T29</f>
        <v>7676</v>
      </c>
      <c r="P35" s="18">
        <f t="shared" si="11"/>
        <v>6446762067.3756628</v>
      </c>
      <c r="V35" s="7"/>
      <c r="W35" s="7"/>
      <c r="X35" s="7"/>
      <c r="Y35" s="7"/>
    </row>
    <row r="36" spans="12:25" x14ac:dyDescent="0.3">
      <c r="L36" s="7"/>
      <c r="M36" s="9">
        <v>10</v>
      </c>
      <c r="N36" s="7">
        <f t="shared" si="12"/>
        <v>78.75</v>
      </c>
      <c r="O36" s="12">
        <f>(((N36-S29)/(S30-S29))*(T30-T29))+T29</f>
        <v>7676</v>
      </c>
      <c r="P36" s="18">
        <f t="shared" si="11"/>
        <v>6446762067.3756628</v>
      </c>
    </row>
    <row r="37" spans="12:25" x14ac:dyDescent="0.3">
      <c r="L37" s="7"/>
      <c r="M37" s="9">
        <v>11</v>
      </c>
      <c r="N37" s="7">
        <f t="shared" si="12"/>
        <v>86.625</v>
      </c>
      <c r="O37" s="12">
        <f>(((N37-S29)/(S30-S29))*(T30-T29))+T29</f>
        <v>7676</v>
      </c>
      <c r="P37" s="18">
        <f t="shared" si="11"/>
        <v>6446762067.3756628</v>
      </c>
    </row>
    <row r="38" spans="12:25" x14ac:dyDescent="0.3">
      <c r="L38" s="7"/>
      <c r="M38" s="9">
        <v>12</v>
      </c>
      <c r="N38" s="7">
        <f t="shared" si="12"/>
        <v>94.5</v>
      </c>
      <c r="O38" s="12">
        <f>(((N38-S29)/(S30-S29))*(T30-T29))+T29</f>
        <v>7676</v>
      </c>
      <c r="P38" s="18">
        <f t="shared" si="11"/>
        <v>6446762067.3756628</v>
      </c>
    </row>
    <row r="39" spans="12:25" x14ac:dyDescent="0.3">
      <c r="L39" s="7"/>
      <c r="M39" s="9">
        <v>13</v>
      </c>
      <c r="N39" s="7">
        <f t="shared" si="12"/>
        <v>102.375</v>
      </c>
      <c r="O39" s="12">
        <f>(((N39-S29)/(S30-S29))*(T30-T29))+T29</f>
        <v>7676</v>
      </c>
      <c r="P39" s="18">
        <f t="shared" si="11"/>
        <v>6446762067.3756628</v>
      </c>
    </row>
    <row r="40" spans="12:25" x14ac:dyDescent="0.3">
      <c r="L40" s="7"/>
      <c r="M40" s="9">
        <v>14</v>
      </c>
      <c r="N40" s="7">
        <f t="shared" si="12"/>
        <v>110.25</v>
      </c>
      <c r="O40" s="12">
        <f>(((N40-S30)/(S31-S30))*(T31-T30))+T30</f>
        <v>7602.1875</v>
      </c>
      <c r="P40" s="18">
        <f t="shared" si="11"/>
        <v>6384769932.7875748</v>
      </c>
    </row>
    <row r="41" spans="12:25" x14ac:dyDescent="0.3">
      <c r="L41" s="7"/>
      <c r="M41" s="9">
        <v>15</v>
      </c>
      <c r="N41" s="7">
        <f t="shared" si="12"/>
        <v>118.125</v>
      </c>
      <c r="O41" s="12">
        <f>(((N41-S30)/(S31-S30))*(T31-T30))+T30</f>
        <v>7343.84375</v>
      </c>
      <c r="P41" s="18">
        <f t="shared" si="11"/>
        <v>6167797461.7292652</v>
      </c>
    </row>
    <row r="42" spans="12:25" x14ac:dyDescent="0.3">
      <c r="L42" s="7"/>
      <c r="M42" s="9">
        <v>16</v>
      </c>
      <c r="N42" s="7">
        <f t="shared" si="12"/>
        <v>126</v>
      </c>
      <c r="O42" s="12">
        <f>(((N42-S30)/(S31-S30))*(T31-T30))+T30</f>
        <v>7085.5</v>
      </c>
      <c r="P42" s="18">
        <f t="shared" si="11"/>
        <v>5950824990.6709557</v>
      </c>
    </row>
    <row r="43" spans="12:25" x14ac:dyDescent="0.3">
      <c r="L43" s="7"/>
      <c r="M43" s="9">
        <v>17</v>
      </c>
      <c r="N43" s="7">
        <f t="shared" si="12"/>
        <v>133.875</v>
      </c>
      <c r="O43" s="12">
        <f>(((N43-S30)/(S31-S30))*(T31-T30))+T30</f>
        <v>6827.15625</v>
      </c>
      <c r="P43" s="18">
        <f t="shared" si="11"/>
        <v>5733852519.6126471</v>
      </c>
    </row>
    <row r="44" spans="12:25" x14ac:dyDescent="0.3">
      <c r="L44" s="7"/>
      <c r="M44" s="9">
        <v>18</v>
      </c>
      <c r="N44" s="7">
        <f t="shared" si="12"/>
        <v>141.75</v>
      </c>
      <c r="O44" s="12">
        <f>(((N44-S30)/(S31-S30))*(T31-T30))+T30</f>
        <v>6568.8125</v>
      </c>
      <c r="P44" s="18">
        <f t="shared" si="11"/>
        <v>5516880048.5543375</v>
      </c>
    </row>
    <row r="45" spans="12:25" x14ac:dyDescent="0.3">
      <c r="L45" s="7"/>
      <c r="M45" s="9">
        <v>19</v>
      </c>
      <c r="N45" s="7">
        <f t="shared" si="12"/>
        <v>149.625</v>
      </c>
      <c r="O45" s="12">
        <f>(((N45-S31)/(S32-S31))*(T32-T31))+T31</f>
        <v>5757.083333333333</v>
      </c>
      <c r="P45" s="18">
        <f t="shared" si="11"/>
        <v>4835141538.8293343</v>
      </c>
    </row>
    <row r="46" spans="12:25" x14ac:dyDescent="0.3">
      <c r="L46" s="7"/>
      <c r="M46" s="9">
        <v>20</v>
      </c>
      <c r="N46" s="7">
        <f t="shared" si="12"/>
        <v>157.5</v>
      </c>
      <c r="O46" s="12">
        <f>(((N46-S31)/(S32-S31))*(T32-T31))+T31</f>
        <v>4724</v>
      </c>
      <c r="P46" s="18">
        <f t="shared" si="11"/>
        <v>3967496613.6376538</v>
      </c>
    </row>
    <row r="47" spans="12:25" x14ac:dyDescent="0.3">
      <c r="M47"/>
      <c r="N47"/>
      <c r="O47" s="7"/>
      <c r="P47" s="7"/>
      <c r="Q47" s="13"/>
    </row>
  </sheetData>
  <mergeCells count="3">
    <mergeCell ref="F2:G2"/>
    <mergeCell ref="B2:D2"/>
    <mergeCell ref="S25:T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1816-6261-4E5F-BEE7-70E190A318C5}">
  <dimension ref="B2:I23"/>
  <sheetViews>
    <sheetView workbookViewId="0">
      <selection activeCell="M8" sqref="M8"/>
    </sheetView>
  </sheetViews>
  <sheetFormatPr defaultRowHeight="14.4" x14ac:dyDescent="0.3"/>
  <sheetData>
    <row r="2" spans="2:9" x14ac:dyDescent="0.3">
      <c r="B2" s="47" t="s">
        <v>137</v>
      </c>
      <c r="C2" s="47"/>
      <c r="D2" s="40" t="s">
        <v>59</v>
      </c>
      <c r="E2" s="40" t="s">
        <v>87</v>
      </c>
      <c r="F2" s="40" t="s">
        <v>7</v>
      </c>
      <c r="G2" s="40" t="s">
        <v>8</v>
      </c>
      <c r="H2" s="40" t="s">
        <v>60</v>
      </c>
      <c r="I2" s="40" t="s">
        <v>61</v>
      </c>
    </row>
    <row r="3" spans="2:9" x14ac:dyDescent="0.3">
      <c r="B3" s="41" t="s">
        <v>56</v>
      </c>
      <c r="C3" s="34">
        <v>0.16700000000000001</v>
      </c>
      <c r="D3" s="7">
        <f>C3*2</f>
        <v>0.33400000000000002</v>
      </c>
      <c r="E3" s="7">
        <v>0.875</v>
      </c>
      <c r="F3" s="7">
        <f>E3*2</f>
        <v>1.75</v>
      </c>
      <c r="G3" s="7">
        <v>0.31</v>
      </c>
      <c r="H3" s="7">
        <f>D3/(F3*G3)</f>
        <v>0.61566820276497702</v>
      </c>
      <c r="I3" s="7">
        <f t="shared" ref="I3:I23" si="0">F3/G3</f>
        <v>5.645161290322581</v>
      </c>
    </row>
    <row r="4" spans="2:9" x14ac:dyDescent="0.3">
      <c r="B4" s="41" t="s">
        <v>36</v>
      </c>
      <c r="C4" s="34">
        <v>9.5779999999999994</v>
      </c>
      <c r="D4" s="7">
        <f t="shared" ref="D4:D23" si="1">C4*2</f>
        <v>19.155999999999999</v>
      </c>
      <c r="E4" s="7">
        <v>4.1369999999999996</v>
      </c>
      <c r="F4" s="7">
        <f t="shared" ref="F4:F23" si="2">E4*2</f>
        <v>8.2739999999999991</v>
      </c>
      <c r="G4" s="7">
        <v>8.6470000000000002</v>
      </c>
      <c r="H4" s="7">
        <f t="shared" ref="H4:H23" si="3">D4/(F4*G4)</f>
        <v>0.26774653108483276</v>
      </c>
      <c r="I4" s="7">
        <f t="shared" si="0"/>
        <v>0.95686365213368785</v>
      </c>
    </row>
    <row r="5" spans="2:9" x14ac:dyDescent="0.3">
      <c r="B5" s="41" t="s">
        <v>37</v>
      </c>
      <c r="C5" s="34">
        <v>25.010999999999999</v>
      </c>
      <c r="D5" s="7">
        <f t="shared" si="1"/>
        <v>50.021999999999998</v>
      </c>
      <c r="E5" s="7">
        <v>6.5380000000000003</v>
      </c>
      <c r="F5" s="7">
        <f t="shared" si="2"/>
        <v>13.076000000000001</v>
      </c>
      <c r="G5" s="7">
        <v>8.7629999999999999</v>
      </c>
      <c r="H5" s="7">
        <f t="shared" si="3"/>
        <v>0.43654933227378784</v>
      </c>
      <c r="I5" s="7">
        <f t="shared" si="0"/>
        <v>1.4921830423370992</v>
      </c>
    </row>
    <row r="6" spans="2:9" x14ac:dyDescent="0.3">
      <c r="B6" s="41" t="s">
        <v>38</v>
      </c>
      <c r="C6" s="34">
        <v>39.889000000000003</v>
      </c>
      <c r="D6" s="7">
        <f t="shared" si="1"/>
        <v>79.778000000000006</v>
      </c>
      <c r="E6" s="7">
        <v>8.27</v>
      </c>
      <c r="F6" s="7">
        <f t="shared" si="2"/>
        <v>16.54</v>
      </c>
      <c r="G6" s="7">
        <v>8.7309999999999999</v>
      </c>
      <c r="H6" s="7">
        <f>D6/(F6*G6)</f>
        <v>0.55243813583394141</v>
      </c>
      <c r="I6" s="7">
        <f t="shared" si="0"/>
        <v>1.8943992669797274</v>
      </c>
    </row>
    <row r="7" spans="2:9" x14ac:dyDescent="0.3">
      <c r="B7" s="41" t="s">
        <v>39</v>
      </c>
      <c r="C7" s="34">
        <v>54.122999999999998</v>
      </c>
      <c r="D7" s="7">
        <f t="shared" si="1"/>
        <v>108.246</v>
      </c>
      <c r="E7" s="7">
        <v>9.7650000000000006</v>
      </c>
      <c r="F7" s="7">
        <f t="shared" si="2"/>
        <v>19.53</v>
      </c>
      <c r="G7" s="7">
        <v>8.6319999999999997</v>
      </c>
      <c r="H7" s="7">
        <f t="shared" si="3"/>
        <v>0.64209336459627941</v>
      </c>
      <c r="I7" s="7">
        <f t="shared" si="0"/>
        <v>2.2625115848007415</v>
      </c>
    </row>
    <row r="8" spans="2:9" x14ac:dyDescent="0.3">
      <c r="B8" s="41" t="s">
        <v>40</v>
      </c>
      <c r="C8" s="34">
        <v>66.932000000000002</v>
      </c>
      <c r="D8" s="7">
        <f t="shared" si="1"/>
        <v>133.864</v>
      </c>
      <c r="E8" s="7">
        <v>10.865</v>
      </c>
      <c r="F8" s="7">
        <f t="shared" si="2"/>
        <v>21.73</v>
      </c>
      <c r="G8" s="7">
        <v>8.5210000000000008</v>
      </c>
      <c r="H8" s="7">
        <f t="shared" si="3"/>
        <v>0.72295873009769362</v>
      </c>
      <c r="I8" s="7">
        <f t="shared" si="0"/>
        <v>2.5501701678206783</v>
      </c>
    </row>
    <row r="9" spans="2:9" x14ac:dyDescent="0.3">
      <c r="B9" s="41" t="s">
        <v>41</v>
      </c>
      <c r="C9" s="34">
        <v>77.525999999999996</v>
      </c>
      <c r="D9" s="7">
        <f t="shared" si="1"/>
        <v>155.05199999999999</v>
      </c>
      <c r="E9" s="7">
        <v>11.346</v>
      </c>
      <c r="F9" s="7">
        <f t="shared" si="2"/>
        <v>22.692</v>
      </c>
      <c r="G9" s="7">
        <v>8.6069999999999993</v>
      </c>
      <c r="H9" s="7">
        <f t="shared" si="3"/>
        <v>0.79387622277121606</v>
      </c>
      <c r="I9" s="7">
        <f t="shared" si="0"/>
        <v>2.6364586964098993</v>
      </c>
    </row>
    <row r="10" spans="2:9" x14ac:dyDescent="0.3">
      <c r="B10" s="41" t="s">
        <v>42</v>
      </c>
      <c r="C10" s="34">
        <v>85.477000000000004</v>
      </c>
      <c r="D10" s="7">
        <f t="shared" si="1"/>
        <v>170.95400000000001</v>
      </c>
      <c r="E10" s="7">
        <v>11.532</v>
      </c>
      <c r="F10" s="7">
        <f t="shared" si="2"/>
        <v>23.064</v>
      </c>
      <c r="G10" s="7">
        <v>8.6069999999999993</v>
      </c>
      <c r="H10" s="7">
        <f t="shared" si="3"/>
        <v>0.8611778174570216</v>
      </c>
      <c r="I10" s="7">
        <f t="shared" si="0"/>
        <v>2.6796793307772746</v>
      </c>
    </row>
    <row r="11" spans="2:9" x14ac:dyDescent="0.3">
      <c r="B11" s="41" t="s">
        <v>43</v>
      </c>
      <c r="C11" s="34">
        <v>92.876000000000005</v>
      </c>
      <c r="D11" s="7">
        <f t="shared" si="1"/>
        <v>185.75200000000001</v>
      </c>
      <c r="E11" s="7">
        <v>11.37</v>
      </c>
      <c r="F11" s="7">
        <f t="shared" si="2"/>
        <v>22.74</v>
      </c>
      <c r="G11" s="7">
        <v>8.57</v>
      </c>
      <c r="H11" s="7">
        <f t="shared" si="3"/>
        <v>0.953152115795318</v>
      </c>
      <c r="I11" s="7">
        <f t="shared" si="0"/>
        <v>2.6534422403733955</v>
      </c>
    </row>
    <row r="12" spans="2:9" x14ac:dyDescent="0.3">
      <c r="B12" s="41" t="s">
        <v>44</v>
      </c>
      <c r="C12" s="34">
        <v>94.78</v>
      </c>
      <c r="D12" s="7">
        <f t="shared" si="1"/>
        <v>189.56</v>
      </c>
      <c r="E12" s="7">
        <v>11.37</v>
      </c>
      <c r="F12" s="7">
        <f t="shared" si="2"/>
        <v>22.74</v>
      </c>
      <c r="G12" s="7">
        <v>8.57</v>
      </c>
      <c r="H12" s="7">
        <f t="shared" si="3"/>
        <v>0.97269216519962354</v>
      </c>
      <c r="I12" s="7">
        <f t="shared" si="0"/>
        <v>2.6534422403733955</v>
      </c>
    </row>
    <row r="13" spans="2:9" x14ac:dyDescent="0.3">
      <c r="B13" s="41" t="s">
        <v>45</v>
      </c>
      <c r="C13" s="34">
        <v>94.23</v>
      </c>
      <c r="D13" s="7">
        <f t="shared" si="1"/>
        <v>188.46</v>
      </c>
      <c r="E13" s="7">
        <v>11.37</v>
      </c>
      <c r="F13" s="7">
        <f t="shared" si="2"/>
        <v>22.74</v>
      </c>
      <c r="G13" s="7">
        <v>8.57</v>
      </c>
      <c r="H13" s="7">
        <f t="shared" si="3"/>
        <v>0.96704771815531265</v>
      </c>
      <c r="I13" s="7">
        <f t="shared" si="0"/>
        <v>2.6534422403733955</v>
      </c>
    </row>
    <row r="14" spans="2:9" x14ac:dyDescent="0.3">
      <c r="B14" s="41" t="s">
        <v>46</v>
      </c>
      <c r="C14" s="34">
        <v>92.137</v>
      </c>
      <c r="D14" s="7">
        <f t="shared" si="1"/>
        <v>184.274</v>
      </c>
      <c r="E14" s="7">
        <v>11.37</v>
      </c>
      <c r="F14" s="7">
        <f t="shared" si="2"/>
        <v>22.74</v>
      </c>
      <c r="G14" s="7">
        <v>8.57</v>
      </c>
      <c r="H14" s="7">
        <f t="shared" si="3"/>
        <v>0.94556803149396196</v>
      </c>
      <c r="I14" s="7">
        <f t="shared" si="0"/>
        <v>2.6534422403733955</v>
      </c>
    </row>
    <row r="15" spans="2:9" x14ac:dyDescent="0.3">
      <c r="B15" s="41" t="s">
        <v>47</v>
      </c>
      <c r="C15" s="34">
        <v>87.356999999999999</v>
      </c>
      <c r="D15" s="7">
        <f t="shared" si="1"/>
        <v>174.714</v>
      </c>
      <c r="E15" s="7">
        <v>11.244999999999999</v>
      </c>
      <c r="F15" s="7">
        <f t="shared" si="2"/>
        <v>22.49</v>
      </c>
      <c r="G15" s="7">
        <v>8.57</v>
      </c>
      <c r="H15" s="7">
        <f t="shared" si="3"/>
        <v>0.90647833628118402</v>
      </c>
      <c r="I15" s="7">
        <f t="shared" si="0"/>
        <v>2.6242707117852975</v>
      </c>
    </row>
    <row r="16" spans="2:9" x14ac:dyDescent="0.3">
      <c r="B16" s="41" t="s">
        <v>48</v>
      </c>
      <c r="C16" s="34">
        <v>77.521000000000001</v>
      </c>
      <c r="D16" s="7">
        <f t="shared" si="1"/>
        <v>155.042</v>
      </c>
      <c r="E16" s="39">
        <v>10.786</v>
      </c>
      <c r="F16" s="7">
        <f t="shared" si="2"/>
        <v>21.571999999999999</v>
      </c>
      <c r="G16" s="39">
        <v>8.4339999999999993</v>
      </c>
      <c r="H16" s="7">
        <f t="shared" si="3"/>
        <v>0.85216825875997226</v>
      </c>
      <c r="I16" s="7">
        <f t="shared" si="0"/>
        <v>2.5577424709509131</v>
      </c>
    </row>
    <row r="17" spans="2:9" x14ac:dyDescent="0.3">
      <c r="B17" s="41" t="s">
        <v>49</v>
      </c>
      <c r="C17" s="34">
        <v>66.45</v>
      </c>
      <c r="D17" s="7">
        <f t="shared" si="1"/>
        <v>132.9</v>
      </c>
      <c r="E17" s="39">
        <v>9.7639999999999993</v>
      </c>
      <c r="F17" s="7">
        <f t="shared" si="2"/>
        <v>19.527999999999999</v>
      </c>
      <c r="G17" s="39">
        <v>8.5190000000000001</v>
      </c>
      <c r="H17" s="7">
        <f t="shared" si="3"/>
        <v>0.79887456907058718</v>
      </c>
      <c r="I17" s="7">
        <f t="shared" si="0"/>
        <v>2.2922878272097664</v>
      </c>
    </row>
    <row r="18" spans="2:9" x14ac:dyDescent="0.3">
      <c r="B18" s="41" t="s">
        <v>50</v>
      </c>
      <c r="C18" s="34">
        <v>52.569000000000003</v>
      </c>
      <c r="D18" s="7">
        <f t="shared" si="1"/>
        <v>105.13800000000001</v>
      </c>
      <c r="E18" s="39">
        <v>8.2309999999999999</v>
      </c>
      <c r="F18" s="7">
        <f t="shared" si="2"/>
        <v>16.462</v>
      </c>
      <c r="G18" s="39">
        <v>8.484</v>
      </c>
      <c r="H18" s="7">
        <f t="shared" si="3"/>
        <v>0.75279452897994725</v>
      </c>
      <c r="I18" s="7">
        <f t="shared" si="0"/>
        <v>1.9403583215464404</v>
      </c>
    </row>
    <row r="19" spans="2:9" x14ac:dyDescent="0.3">
      <c r="B19" s="41" t="s">
        <v>51</v>
      </c>
      <c r="C19" s="34">
        <v>39.558999999999997</v>
      </c>
      <c r="D19" s="7">
        <f t="shared" si="1"/>
        <v>79.117999999999995</v>
      </c>
      <c r="E19" s="39">
        <v>6.5629999999999997</v>
      </c>
      <c r="F19" s="7">
        <f t="shared" si="2"/>
        <v>13.125999999999999</v>
      </c>
      <c r="G19" s="39">
        <v>8.5210000000000008</v>
      </c>
      <c r="H19" s="7">
        <f t="shared" si="3"/>
        <v>0.70737928073408651</v>
      </c>
      <c r="I19" s="7">
        <f t="shared" si="0"/>
        <v>1.5404295270508155</v>
      </c>
    </row>
    <row r="20" spans="2:9" x14ac:dyDescent="0.3">
      <c r="B20" s="41" t="s">
        <v>52</v>
      </c>
      <c r="C20" s="34">
        <v>28.300999999999998</v>
      </c>
      <c r="D20" s="7">
        <f t="shared" si="1"/>
        <v>56.601999999999997</v>
      </c>
      <c r="E20" s="39">
        <v>4.7610000000000001</v>
      </c>
      <c r="F20" s="7">
        <f t="shared" si="2"/>
        <v>9.5220000000000002</v>
      </c>
      <c r="G20" s="39">
        <v>8.5500000000000007</v>
      </c>
      <c r="H20" s="7">
        <f t="shared" si="3"/>
        <v>0.69524437713340959</v>
      </c>
      <c r="I20" s="7">
        <f t="shared" si="0"/>
        <v>1.1136842105263158</v>
      </c>
    </row>
    <row r="21" spans="2:9" x14ac:dyDescent="0.3">
      <c r="B21" s="41" t="s">
        <v>53</v>
      </c>
      <c r="C21" s="34">
        <v>18.574999999999999</v>
      </c>
      <c r="D21" s="7">
        <f t="shared" si="1"/>
        <v>37.15</v>
      </c>
      <c r="E21" s="39">
        <v>2.7519999999999998</v>
      </c>
      <c r="F21" s="7">
        <f t="shared" si="2"/>
        <v>5.5039999999999996</v>
      </c>
      <c r="G21" s="39">
        <v>8.3719999999999999</v>
      </c>
      <c r="H21" s="7">
        <f t="shared" si="3"/>
        <v>0.80621555517283527</v>
      </c>
      <c r="I21" s="7">
        <f t="shared" si="0"/>
        <v>0.65742952699474433</v>
      </c>
    </row>
    <row r="22" spans="2:9" x14ac:dyDescent="0.3">
      <c r="B22" s="41" t="s">
        <v>54</v>
      </c>
      <c r="C22" s="34">
        <v>11.451000000000001</v>
      </c>
      <c r="D22" s="7">
        <f t="shared" si="1"/>
        <v>22.902000000000001</v>
      </c>
      <c r="E22" s="39">
        <v>1.357</v>
      </c>
      <c r="F22" s="7">
        <f t="shared" si="2"/>
        <v>2.714</v>
      </c>
      <c r="G22" s="39">
        <v>8.5009999999999994</v>
      </c>
      <c r="H22" s="7">
        <f t="shared" si="3"/>
        <v>0.99264406623625812</v>
      </c>
      <c r="I22" s="7">
        <f t="shared" si="0"/>
        <v>0.31925655805199388</v>
      </c>
    </row>
    <row r="23" spans="2:9" x14ac:dyDescent="0.3">
      <c r="B23" s="41" t="s">
        <v>55</v>
      </c>
      <c r="C23" s="34">
        <v>5.9009999999999998</v>
      </c>
      <c r="D23" s="7">
        <f t="shared" si="1"/>
        <v>11.802</v>
      </c>
      <c r="E23" s="39">
        <v>1.2589999999999999</v>
      </c>
      <c r="F23" s="7">
        <f t="shared" si="2"/>
        <v>2.5179999999999998</v>
      </c>
      <c r="G23" s="39">
        <v>8.1069999999999993</v>
      </c>
      <c r="H23" s="7">
        <f t="shared" si="3"/>
        <v>0.57814891042787242</v>
      </c>
      <c r="I23" s="7">
        <f t="shared" si="0"/>
        <v>0.31059578142346123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840E-918F-4629-AFC2-025471EB01F4}">
  <dimension ref="B2:AA47"/>
  <sheetViews>
    <sheetView topLeftCell="H1" zoomScale="89" zoomScaleNormal="89" workbookViewId="0">
      <selection activeCell="L36" sqref="L36"/>
    </sheetView>
  </sheetViews>
  <sheetFormatPr defaultRowHeight="14.4" x14ac:dyDescent="0.3"/>
  <cols>
    <col min="2" max="2" width="11.5546875" bestFit="1" customWidth="1"/>
    <col min="3" max="3" width="12" bestFit="1" customWidth="1"/>
    <col min="4" max="4" width="5" bestFit="1" customWidth="1"/>
    <col min="5" max="5" width="2.5546875" customWidth="1"/>
    <col min="6" max="6" width="8.77734375" customWidth="1"/>
    <col min="7" max="8" width="12" bestFit="1" customWidth="1"/>
    <col min="9" max="9" width="7" bestFit="1" customWidth="1"/>
    <col min="10" max="10" width="7" customWidth="1"/>
    <col min="11" max="11" width="7" bestFit="1" customWidth="1"/>
    <col min="12" max="13" width="12" bestFit="1" customWidth="1"/>
    <col min="14" max="14" width="12" customWidth="1"/>
    <col min="15" max="15" width="21" customWidth="1"/>
    <col min="16" max="16" width="18.5546875" customWidth="1"/>
    <col min="17" max="17" width="21.77734375" bestFit="1" customWidth="1"/>
    <col min="18" max="18" width="12.5546875" bestFit="1" customWidth="1"/>
    <col min="19" max="19" width="12.5546875" customWidth="1"/>
    <col min="20" max="21" width="15.21875" bestFit="1" customWidth="1"/>
    <col min="22" max="22" width="12.5546875" customWidth="1"/>
    <col min="23" max="23" width="15.21875" bestFit="1" customWidth="1"/>
    <col min="24" max="24" width="9.44140625" customWidth="1"/>
    <col min="25" max="25" width="14.5546875" customWidth="1"/>
  </cols>
  <sheetData>
    <row r="2" spans="2:24" x14ac:dyDescent="0.3">
      <c r="B2" s="48" t="s">
        <v>66</v>
      </c>
      <c r="C2" s="48"/>
      <c r="D2" s="48"/>
      <c r="E2" s="16"/>
      <c r="F2" s="48" t="s">
        <v>137</v>
      </c>
      <c r="G2" s="48"/>
      <c r="H2" s="31" t="s">
        <v>59</v>
      </c>
      <c r="I2" s="31" t="s">
        <v>87</v>
      </c>
      <c r="J2" s="31" t="s">
        <v>7</v>
      </c>
      <c r="K2" s="31" t="s">
        <v>8</v>
      </c>
      <c r="L2" s="31" t="s">
        <v>60</v>
      </c>
      <c r="M2" s="31" t="s">
        <v>61</v>
      </c>
      <c r="N2" s="31" t="s">
        <v>85</v>
      </c>
      <c r="O2" s="31" t="s">
        <v>58</v>
      </c>
      <c r="P2" s="31" t="s">
        <v>72</v>
      </c>
      <c r="Q2" s="31" t="s">
        <v>68</v>
      </c>
      <c r="R2" s="31" t="s">
        <v>70</v>
      </c>
      <c r="S2" s="31" t="s">
        <v>71</v>
      </c>
      <c r="T2" s="32" t="s">
        <v>89</v>
      </c>
      <c r="U2" s="31" t="s">
        <v>88</v>
      </c>
      <c r="V2" s="32" t="s">
        <v>69</v>
      </c>
      <c r="W2" s="31" t="s">
        <v>95</v>
      </c>
      <c r="X2" s="32" t="s">
        <v>96</v>
      </c>
    </row>
    <row r="3" spans="2:24" x14ac:dyDescent="0.3">
      <c r="B3" s="31" t="s">
        <v>5</v>
      </c>
      <c r="C3" s="16">
        <v>166.5</v>
      </c>
      <c r="D3" s="16" t="s">
        <v>20</v>
      </c>
      <c r="E3" s="16"/>
      <c r="F3" s="33" t="s">
        <v>56</v>
      </c>
      <c r="G3" s="34">
        <v>0.16700000000000001</v>
      </c>
      <c r="H3" s="16">
        <f t="shared" ref="H3:H23" si="0">G3*2</f>
        <v>0.33400000000000002</v>
      </c>
      <c r="I3" s="7">
        <v>0.875</v>
      </c>
      <c r="J3" s="16">
        <f t="shared" ref="J3:J23" si="1">I3*2</f>
        <v>1.75</v>
      </c>
      <c r="K3" s="7">
        <v>0.31</v>
      </c>
      <c r="L3" s="16">
        <f t="shared" ref="L3:L23" si="2">H3/(J3*K3)</f>
        <v>0.61566820276497702</v>
      </c>
      <c r="M3" s="16">
        <f t="shared" ref="M3:M23" si="3">J3/K3</f>
        <v>5.645161290322581</v>
      </c>
      <c r="N3" s="7">
        <v>0.95</v>
      </c>
      <c r="O3" s="16">
        <f t="shared" ref="O3:O23" si="4">(PI()/8)*$C$12*(J3^2)*N3*$C$14</f>
        <v>0.84317156142311223</v>
      </c>
      <c r="P3" s="16">
        <f t="shared" ref="P3:P22" si="5">(O3+O4)/2</f>
        <v>7.7624806538943858</v>
      </c>
      <c r="Q3" s="34">
        <f t="shared" ref="Q3:Q22" si="6">((H3+H4)/2)*$L$26</f>
        <v>76.741874999999993</v>
      </c>
      <c r="R3" s="16">
        <v>17</v>
      </c>
      <c r="S3" s="16">
        <f t="shared" ref="S3:S22" si="7">(R3+R4)/2</f>
        <v>27.5</v>
      </c>
      <c r="T3" s="16">
        <f t="shared" ref="T3:T22" si="8">S3*$L$26</f>
        <v>216.5625</v>
      </c>
      <c r="U3" s="16">
        <f>C5*C6*L26</f>
        <v>1539.1923750000001</v>
      </c>
      <c r="V3" s="21">
        <f t="shared" ref="V3:V22" si="9">(P3+T3)/$U$3*1000</f>
        <v>145.74200359711006</v>
      </c>
      <c r="W3">
        <f>C6*C5</f>
        <v>195.453</v>
      </c>
      <c r="X3">
        <f t="shared" ref="X3:X23" si="10">O3+R3*$L$26</f>
        <v>134.71817156142311</v>
      </c>
    </row>
    <row r="4" spans="2:24" x14ac:dyDescent="0.3">
      <c r="B4" s="31" t="s">
        <v>6</v>
      </c>
      <c r="C4" s="16">
        <v>157.5</v>
      </c>
      <c r="D4" s="16" t="s">
        <v>20</v>
      </c>
      <c r="E4" s="16"/>
      <c r="F4" s="33" t="s">
        <v>36</v>
      </c>
      <c r="G4" s="34">
        <v>9.5779999999999994</v>
      </c>
      <c r="H4" s="16">
        <f t="shared" si="0"/>
        <v>19.155999999999999</v>
      </c>
      <c r="I4" s="7">
        <v>4.1369999999999996</v>
      </c>
      <c r="J4" s="16">
        <f t="shared" si="1"/>
        <v>8.2739999999999991</v>
      </c>
      <c r="K4" s="7">
        <v>8.6470000000000002</v>
      </c>
      <c r="L4" s="16">
        <f t="shared" si="2"/>
        <v>0.26774653108483276</v>
      </c>
      <c r="M4" s="16">
        <f t="shared" si="3"/>
        <v>0.95686365213368785</v>
      </c>
      <c r="N4" s="7">
        <v>0.74</v>
      </c>
      <c r="O4" s="16">
        <f t="shared" si="4"/>
        <v>14.681789746365659</v>
      </c>
      <c r="P4" s="16">
        <f t="shared" si="5"/>
        <v>26.170866601485436</v>
      </c>
      <c r="Q4" s="34">
        <f t="shared" si="6"/>
        <v>272.388375</v>
      </c>
      <c r="R4" s="16">
        <v>38</v>
      </c>
      <c r="S4" s="16">
        <f t="shared" si="7"/>
        <v>48.5</v>
      </c>
      <c r="T4" s="16">
        <f t="shared" si="8"/>
        <v>381.9375</v>
      </c>
      <c r="U4" s="16"/>
      <c r="V4" s="21">
        <f t="shared" si="9"/>
        <v>265.14448306144021</v>
      </c>
      <c r="X4">
        <f t="shared" si="10"/>
        <v>313.93178974636567</v>
      </c>
    </row>
    <row r="5" spans="2:24" x14ac:dyDescent="0.3">
      <c r="B5" s="31" t="s">
        <v>7</v>
      </c>
      <c r="C5" s="16">
        <v>22.86</v>
      </c>
      <c r="D5" s="16" t="s">
        <v>20</v>
      </c>
      <c r="E5" s="16"/>
      <c r="F5" s="33" t="s">
        <v>37</v>
      </c>
      <c r="G5" s="34">
        <v>25.010999999999999</v>
      </c>
      <c r="H5" s="16">
        <f t="shared" si="0"/>
        <v>50.021999999999998</v>
      </c>
      <c r="I5" s="7">
        <v>6.5380000000000003</v>
      </c>
      <c r="J5" s="16">
        <f t="shared" si="1"/>
        <v>13.076000000000001</v>
      </c>
      <c r="K5" s="7">
        <v>8.7629999999999999</v>
      </c>
      <c r="L5" s="16">
        <f t="shared" si="2"/>
        <v>0.43654933227378784</v>
      </c>
      <c r="M5" s="16">
        <f t="shared" si="3"/>
        <v>1.4921830423370992</v>
      </c>
      <c r="N5" s="7">
        <v>0.76</v>
      </c>
      <c r="O5" s="16">
        <f t="shared" si="4"/>
        <v>37.659943456605212</v>
      </c>
      <c r="P5" s="16">
        <f t="shared" si="5"/>
        <v>53.318647135516628</v>
      </c>
      <c r="Q5" s="34">
        <f t="shared" si="6"/>
        <v>511.08750000000003</v>
      </c>
      <c r="R5" s="16">
        <v>59</v>
      </c>
      <c r="S5" s="16">
        <f t="shared" si="7"/>
        <v>66</v>
      </c>
      <c r="T5" s="16">
        <f t="shared" si="8"/>
        <v>519.75</v>
      </c>
      <c r="U5" s="16"/>
      <c r="V5" s="21">
        <f t="shared" si="9"/>
        <v>372.31775341631129</v>
      </c>
      <c r="X5">
        <f t="shared" si="10"/>
        <v>502.28494345660522</v>
      </c>
    </row>
    <row r="6" spans="2:24" x14ac:dyDescent="0.3">
      <c r="B6" s="31" t="s">
        <v>8</v>
      </c>
      <c r="C6" s="16">
        <v>8.5500000000000007</v>
      </c>
      <c r="D6" s="16" t="s">
        <v>20</v>
      </c>
      <c r="E6" s="16"/>
      <c r="F6" s="33" t="s">
        <v>38</v>
      </c>
      <c r="G6" s="34">
        <v>39.889000000000003</v>
      </c>
      <c r="H6" s="16">
        <f t="shared" si="0"/>
        <v>79.778000000000006</v>
      </c>
      <c r="I6" s="7">
        <v>8.27</v>
      </c>
      <c r="J6" s="16">
        <f t="shared" si="1"/>
        <v>16.54</v>
      </c>
      <c r="K6" s="7">
        <v>8.7309999999999999</v>
      </c>
      <c r="L6" s="16">
        <f t="shared" si="2"/>
        <v>0.55243813583394141</v>
      </c>
      <c r="M6" s="16">
        <f t="shared" si="3"/>
        <v>1.8943992669797274</v>
      </c>
      <c r="N6" s="7">
        <v>0.87</v>
      </c>
      <c r="O6" s="16">
        <f t="shared" si="4"/>
        <v>68.97735081442805</v>
      </c>
      <c r="P6" s="16">
        <f t="shared" si="5"/>
        <v>84.231821311603795</v>
      </c>
      <c r="Q6" s="34">
        <f t="shared" si="6"/>
        <v>740.34450000000004</v>
      </c>
      <c r="R6" s="16">
        <v>73</v>
      </c>
      <c r="S6" s="16">
        <f t="shared" si="7"/>
        <v>80.5</v>
      </c>
      <c r="T6" s="16">
        <f t="shared" si="8"/>
        <v>633.9375</v>
      </c>
      <c r="U6" s="16"/>
      <c r="V6" s="21">
        <f t="shared" si="9"/>
        <v>466.58840894505067</v>
      </c>
      <c r="X6">
        <f t="shared" si="10"/>
        <v>643.85235081442806</v>
      </c>
    </row>
    <row r="7" spans="2:24" x14ac:dyDescent="0.3">
      <c r="B7" s="31" t="s">
        <v>9</v>
      </c>
      <c r="C7" s="16">
        <v>0</v>
      </c>
      <c r="D7" s="16" t="s">
        <v>20</v>
      </c>
      <c r="E7" s="16"/>
      <c r="F7" s="33" t="s">
        <v>39</v>
      </c>
      <c r="G7" s="34">
        <v>54.122999999999998</v>
      </c>
      <c r="H7" s="16">
        <f t="shared" si="0"/>
        <v>108.246</v>
      </c>
      <c r="I7" s="7">
        <v>9.7650000000000006</v>
      </c>
      <c r="J7" s="16">
        <f t="shared" si="1"/>
        <v>19.53</v>
      </c>
      <c r="K7" s="7">
        <v>8.6319999999999997</v>
      </c>
      <c r="L7" s="16">
        <f t="shared" si="2"/>
        <v>0.64209336459627941</v>
      </c>
      <c r="M7" s="16">
        <f t="shared" si="3"/>
        <v>2.2625115848007415</v>
      </c>
      <c r="N7" s="7">
        <v>0.9</v>
      </c>
      <c r="O7" s="16">
        <f t="shared" si="4"/>
        <v>99.486291808779526</v>
      </c>
      <c r="P7" s="16">
        <f t="shared" si="5"/>
        <v>114.74553362453793</v>
      </c>
      <c r="Q7" s="34">
        <f t="shared" si="6"/>
        <v>953.30812500000002</v>
      </c>
      <c r="R7" s="16">
        <v>88</v>
      </c>
      <c r="S7" s="16">
        <f t="shared" si="7"/>
        <v>95.5</v>
      </c>
      <c r="T7" s="16">
        <f t="shared" si="8"/>
        <v>752.0625</v>
      </c>
      <c r="U7" s="16"/>
      <c r="V7" s="21">
        <f t="shared" si="9"/>
        <v>563.15769731157741</v>
      </c>
      <c r="X7">
        <f t="shared" si="10"/>
        <v>792.48629180877947</v>
      </c>
    </row>
    <row r="8" spans="2:24" x14ac:dyDescent="0.3">
      <c r="B8" s="31" t="s">
        <v>10</v>
      </c>
      <c r="C8" s="16">
        <v>18036.900000000001</v>
      </c>
      <c r="D8" s="16" t="s">
        <v>20</v>
      </c>
      <c r="E8" s="16"/>
      <c r="F8" s="33" t="s">
        <v>40</v>
      </c>
      <c r="G8" s="34">
        <v>66.932000000000002</v>
      </c>
      <c r="H8" s="16">
        <f t="shared" si="0"/>
        <v>133.864</v>
      </c>
      <c r="I8" s="7">
        <v>10.865</v>
      </c>
      <c r="J8" s="16">
        <f t="shared" si="1"/>
        <v>21.73</v>
      </c>
      <c r="K8" s="7">
        <v>8.5210000000000008</v>
      </c>
      <c r="L8" s="16">
        <f t="shared" si="2"/>
        <v>0.72295873009769362</v>
      </c>
      <c r="M8" s="16">
        <f t="shared" si="3"/>
        <v>2.5501701678206783</v>
      </c>
      <c r="N8" s="7">
        <v>0.95</v>
      </c>
      <c r="O8" s="16">
        <f t="shared" si="4"/>
        <v>130.00477544029633</v>
      </c>
      <c r="P8" s="16">
        <f t="shared" si="5"/>
        <v>147.07995708321505</v>
      </c>
      <c r="Q8" s="34">
        <f t="shared" si="6"/>
        <v>1137.6067499999999</v>
      </c>
      <c r="R8" s="16">
        <v>103</v>
      </c>
      <c r="S8" s="16">
        <f t="shared" si="7"/>
        <v>110</v>
      </c>
      <c r="T8" s="16">
        <f t="shared" si="8"/>
        <v>866.25</v>
      </c>
      <c r="U8" s="16"/>
      <c r="V8" s="21">
        <f t="shared" si="9"/>
        <v>658.35172623124186</v>
      </c>
      <c r="X8">
        <f t="shared" si="10"/>
        <v>941.12977544029627</v>
      </c>
    </row>
    <row r="9" spans="2:24" x14ac:dyDescent="0.3">
      <c r="B9" s="31" t="s">
        <v>11</v>
      </c>
      <c r="C9" s="16">
        <v>-1.77</v>
      </c>
      <c r="D9" s="16" t="s">
        <v>20</v>
      </c>
      <c r="E9" s="16"/>
      <c r="F9" s="33" t="s">
        <v>41</v>
      </c>
      <c r="G9" s="34">
        <v>77.525999999999996</v>
      </c>
      <c r="H9" s="16">
        <f t="shared" si="0"/>
        <v>155.05199999999999</v>
      </c>
      <c r="I9" s="7">
        <v>11.346</v>
      </c>
      <c r="J9" s="16">
        <f t="shared" si="1"/>
        <v>22.692</v>
      </c>
      <c r="K9" s="7">
        <v>8.6069999999999993</v>
      </c>
      <c r="L9" s="16">
        <f t="shared" si="2"/>
        <v>0.79387622277121606</v>
      </c>
      <c r="M9" s="16">
        <f t="shared" si="3"/>
        <v>2.6364586964098993</v>
      </c>
      <c r="N9" s="7">
        <v>1.1000000000000001</v>
      </c>
      <c r="O9" s="16">
        <f t="shared" si="4"/>
        <v>164.15513872613374</v>
      </c>
      <c r="P9" s="16">
        <f t="shared" si="5"/>
        <v>172.26403601646058</v>
      </c>
      <c r="Q9" s="34">
        <f t="shared" si="6"/>
        <v>1283.6486249999998</v>
      </c>
      <c r="R9" s="16">
        <v>117</v>
      </c>
      <c r="S9" s="16">
        <f t="shared" si="7"/>
        <v>124.5</v>
      </c>
      <c r="T9" s="16">
        <f t="shared" si="8"/>
        <v>980.4375</v>
      </c>
      <c r="U9" s="16"/>
      <c r="V9" s="21">
        <f t="shared" si="9"/>
        <v>748.90023803324812</v>
      </c>
      <c r="X9">
        <f t="shared" si="10"/>
        <v>1085.5301387261338</v>
      </c>
    </row>
    <row r="10" spans="2:24" x14ac:dyDescent="0.3">
      <c r="B10" s="31" t="s">
        <v>12</v>
      </c>
      <c r="C10" s="16">
        <v>8.5500000000000007</v>
      </c>
      <c r="D10" s="16" t="s">
        <v>20</v>
      </c>
      <c r="E10" s="16"/>
      <c r="F10" s="33" t="s">
        <v>42</v>
      </c>
      <c r="G10" s="34">
        <v>85.477000000000004</v>
      </c>
      <c r="H10" s="16">
        <f t="shared" si="0"/>
        <v>170.95400000000001</v>
      </c>
      <c r="I10" s="7">
        <v>11.532</v>
      </c>
      <c r="J10" s="16">
        <f t="shared" si="1"/>
        <v>23.064</v>
      </c>
      <c r="K10" s="7">
        <v>8.6069999999999993</v>
      </c>
      <c r="L10" s="16">
        <f t="shared" si="2"/>
        <v>0.8611778174570216</v>
      </c>
      <c r="M10" s="16">
        <f t="shared" si="3"/>
        <v>2.6796793307772746</v>
      </c>
      <c r="N10" s="7">
        <v>1.17</v>
      </c>
      <c r="O10" s="16">
        <f t="shared" si="4"/>
        <v>180.37293330678744</v>
      </c>
      <c r="P10" s="16">
        <f t="shared" si="5"/>
        <v>183.10211415836301</v>
      </c>
      <c r="Q10" s="34">
        <f t="shared" si="6"/>
        <v>1404.5298750000002</v>
      </c>
      <c r="R10" s="16">
        <v>132</v>
      </c>
      <c r="S10" s="16">
        <f t="shared" si="7"/>
        <v>139</v>
      </c>
      <c r="T10" s="16">
        <f t="shared" si="8"/>
        <v>1094.625</v>
      </c>
      <c r="U10" s="16"/>
      <c r="V10" s="21">
        <f t="shared" si="9"/>
        <v>830.1282769532711</v>
      </c>
      <c r="X10">
        <f t="shared" si="10"/>
        <v>1219.8729333067874</v>
      </c>
    </row>
    <row r="11" spans="2:24" x14ac:dyDescent="0.3">
      <c r="B11" s="31" t="s">
        <v>13</v>
      </c>
      <c r="C11" s="16">
        <v>0.9</v>
      </c>
      <c r="D11" s="16" t="s">
        <v>20</v>
      </c>
      <c r="E11" s="16"/>
      <c r="F11" s="33" t="s">
        <v>43</v>
      </c>
      <c r="G11" s="34">
        <v>92.876000000000005</v>
      </c>
      <c r="H11" s="16">
        <f t="shared" si="0"/>
        <v>185.75200000000001</v>
      </c>
      <c r="I11" s="7">
        <v>11.37</v>
      </c>
      <c r="J11" s="16">
        <f t="shared" si="1"/>
        <v>22.74</v>
      </c>
      <c r="K11" s="7">
        <v>8.57</v>
      </c>
      <c r="L11" s="16">
        <f t="shared" si="2"/>
        <v>0.953152115795318</v>
      </c>
      <c r="M11" s="16">
        <f t="shared" si="3"/>
        <v>2.6534422403733955</v>
      </c>
      <c r="N11" s="7">
        <v>1.24</v>
      </c>
      <c r="O11" s="16">
        <f t="shared" si="4"/>
        <v>185.8312950099386</v>
      </c>
      <c r="P11" s="16">
        <f t="shared" si="5"/>
        <v>195.5724516032015</v>
      </c>
      <c r="Q11" s="34">
        <f t="shared" si="6"/>
        <v>1477.7909999999999</v>
      </c>
      <c r="R11" s="16">
        <v>146</v>
      </c>
      <c r="S11" s="16">
        <f t="shared" si="7"/>
        <v>146</v>
      </c>
      <c r="T11" s="16">
        <f t="shared" si="8"/>
        <v>1149.75</v>
      </c>
      <c r="U11" s="16"/>
      <c r="V11" s="21">
        <f t="shared" si="9"/>
        <v>874.04438422013448</v>
      </c>
      <c r="X11">
        <f t="shared" si="10"/>
        <v>1335.5812950099387</v>
      </c>
    </row>
    <row r="12" spans="2:24" x14ac:dyDescent="0.3">
      <c r="B12" s="31" t="s">
        <v>57</v>
      </c>
      <c r="C12" s="16">
        <v>1.0249999999999999</v>
      </c>
      <c r="D12" s="16" t="s">
        <v>74</v>
      </c>
      <c r="F12" s="33" t="s">
        <v>44</v>
      </c>
      <c r="G12" s="34">
        <v>94.78</v>
      </c>
      <c r="H12" s="16">
        <f t="shared" si="0"/>
        <v>189.56</v>
      </c>
      <c r="I12" s="7">
        <v>11.37</v>
      </c>
      <c r="J12" s="16">
        <f t="shared" si="1"/>
        <v>22.74</v>
      </c>
      <c r="K12" s="7">
        <v>8.57</v>
      </c>
      <c r="L12" s="16">
        <f t="shared" si="2"/>
        <v>0.97269216519962354</v>
      </c>
      <c r="M12" s="16">
        <f t="shared" si="3"/>
        <v>2.6534422403733955</v>
      </c>
      <c r="N12" s="7">
        <v>1.37</v>
      </c>
      <c r="O12" s="16">
        <f t="shared" si="4"/>
        <v>205.31360819646443</v>
      </c>
      <c r="P12" s="16">
        <f t="shared" si="5"/>
        <v>205.31360819646443</v>
      </c>
      <c r="Q12" s="34">
        <f t="shared" si="6"/>
        <v>1488.4537499999999</v>
      </c>
      <c r="R12" s="16">
        <v>146</v>
      </c>
      <c r="S12" s="16">
        <f t="shared" si="7"/>
        <v>146</v>
      </c>
      <c r="T12" s="16">
        <f t="shared" si="8"/>
        <v>1149.75</v>
      </c>
      <c r="U12" s="16"/>
      <c r="V12" s="21">
        <f t="shared" si="9"/>
        <v>880.37312957482936</v>
      </c>
      <c r="X12">
        <f t="shared" si="10"/>
        <v>1355.0636081964644</v>
      </c>
    </row>
    <row r="13" spans="2:24" x14ac:dyDescent="0.3">
      <c r="B13" s="31" t="s">
        <v>62</v>
      </c>
      <c r="C13" s="22">
        <f>C5/C3</f>
        <v>0.13729729729729728</v>
      </c>
      <c r="D13" s="16" t="s">
        <v>73</v>
      </c>
      <c r="F13" s="33" t="s">
        <v>45</v>
      </c>
      <c r="G13" s="34">
        <v>94.23</v>
      </c>
      <c r="H13" s="16">
        <f t="shared" si="0"/>
        <v>188.46</v>
      </c>
      <c r="I13" s="7">
        <v>11.37</v>
      </c>
      <c r="J13" s="16">
        <f t="shared" si="1"/>
        <v>22.74</v>
      </c>
      <c r="K13" s="7">
        <v>8.57</v>
      </c>
      <c r="L13" s="16">
        <f t="shared" si="2"/>
        <v>0.96704771815531265</v>
      </c>
      <c r="M13" s="16">
        <f t="shared" si="3"/>
        <v>2.6534422403733955</v>
      </c>
      <c r="N13" s="7">
        <v>1.37</v>
      </c>
      <c r="O13" s="16">
        <f t="shared" si="4"/>
        <v>205.31360819646443</v>
      </c>
      <c r="P13" s="16">
        <f t="shared" si="5"/>
        <v>205.31360819646443</v>
      </c>
      <c r="Q13" s="34">
        <f t="shared" si="6"/>
        <v>1467.6401250000001</v>
      </c>
      <c r="R13" s="16">
        <v>146</v>
      </c>
      <c r="S13" s="16">
        <f t="shared" si="7"/>
        <v>146</v>
      </c>
      <c r="T13" s="16">
        <f t="shared" si="8"/>
        <v>1149.75</v>
      </c>
      <c r="U13" s="16"/>
      <c r="V13" s="21">
        <f t="shared" si="9"/>
        <v>880.37312957482936</v>
      </c>
      <c r="X13">
        <f t="shared" si="10"/>
        <v>1355.0636081964644</v>
      </c>
    </row>
    <row r="14" spans="2:24" x14ac:dyDescent="0.3">
      <c r="B14" s="31" t="s">
        <v>132</v>
      </c>
      <c r="C14" s="16">
        <v>0.72</v>
      </c>
      <c r="D14" s="16" t="s">
        <v>73</v>
      </c>
      <c r="F14" s="33" t="s">
        <v>46</v>
      </c>
      <c r="G14" s="34">
        <v>92.137</v>
      </c>
      <c r="H14" s="16">
        <f t="shared" si="0"/>
        <v>184.274</v>
      </c>
      <c r="I14" s="7">
        <v>11.37</v>
      </c>
      <c r="J14" s="16">
        <f t="shared" si="1"/>
        <v>22.74</v>
      </c>
      <c r="K14" s="7">
        <v>8.57</v>
      </c>
      <c r="L14" s="16">
        <f t="shared" si="2"/>
        <v>0.94556803149396196</v>
      </c>
      <c r="M14" s="16">
        <f t="shared" si="3"/>
        <v>2.6534422403733955</v>
      </c>
      <c r="N14" s="7">
        <v>1.37</v>
      </c>
      <c r="O14" s="16">
        <f t="shared" si="4"/>
        <v>205.31360819646443</v>
      </c>
      <c r="P14" s="16">
        <f t="shared" si="5"/>
        <v>187.67720567908049</v>
      </c>
      <c r="Q14" s="34">
        <f t="shared" si="6"/>
        <v>1413.5152499999999</v>
      </c>
      <c r="R14" s="16">
        <v>146</v>
      </c>
      <c r="S14" s="16">
        <f t="shared" si="7"/>
        <v>146</v>
      </c>
      <c r="T14" s="16">
        <f t="shared" si="8"/>
        <v>1149.75</v>
      </c>
      <c r="U14" s="16"/>
      <c r="V14" s="21">
        <f t="shared" si="9"/>
        <v>868.9149110936055</v>
      </c>
      <c r="X14">
        <f t="shared" si="10"/>
        <v>1355.0636081964644</v>
      </c>
    </row>
    <row r="15" spans="2:24" x14ac:dyDescent="0.3">
      <c r="B15" s="31"/>
      <c r="C15" s="16"/>
      <c r="F15" s="33" t="s">
        <v>47</v>
      </c>
      <c r="G15" s="34">
        <v>87.356999999999999</v>
      </c>
      <c r="H15" s="16">
        <f t="shared" si="0"/>
        <v>174.714</v>
      </c>
      <c r="I15" s="7">
        <v>11.244999999999999</v>
      </c>
      <c r="J15" s="16">
        <f t="shared" si="1"/>
        <v>22.49</v>
      </c>
      <c r="K15" s="7">
        <v>8.57</v>
      </c>
      <c r="L15" s="16">
        <f t="shared" si="2"/>
        <v>0.90647833628118402</v>
      </c>
      <c r="M15" s="16">
        <f t="shared" si="3"/>
        <v>2.6242707117852975</v>
      </c>
      <c r="N15" s="7">
        <v>1.1599999999999999</v>
      </c>
      <c r="O15" s="16">
        <f t="shared" si="4"/>
        <v>170.04080316169652</v>
      </c>
      <c r="P15" s="16">
        <f t="shared" si="5"/>
        <v>159.19577822801671</v>
      </c>
      <c r="Q15" s="34">
        <f t="shared" si="6"/>
        <v>1298.4142499999998</v>
      </c>
      <c r="R15" s="16">
        <v>146</v>
      </c>
      <c r="S15" s="16">
        <f t="shared" si="7"/>
        <v>140.5</v>
      </c>
      <c r="T15" s="16">
        <f t="shared" si="8"/>
        <v>1106.4375</v>
      </c>
      <c r="U15" s="16"/>
      <c r="V15" s="21">
        <f t="shared" si="9"/>
        <v>822.27101614118681</v>
      </c>
      <c r="X15">
        <f t="shared" si="10"/>
        <v>1319.7908031616964</v>
      </c>
    </row>
    <row r="16" spans="2:24" x14ac:dyDescent="0.3">
      <c r="B16" s="31"/>
      <c r="C16" s="16"/>
      <c r="F16" s="33" t="s">
        <v>48</v>
      </c>
      <c r="G16" s="34">
        <v>77.521000000000001</v>
      </c>
      <c r="H16" s="16">
        <f t="shared" si="0"/>
        <v>155.042</v>
      </c>
      <c r="I16" s="38">
        <v>10.786</v>
      </c>
      <c r="J16" s="16">
        <f t="shared" si="1"/>
        <v>21.571999999999999</v>
      </c>
      <c r="K16" s="38">
        <v>8.4339999999999993</v>
      </c>
      <c r="L16" s="16">
        <f t="shared" si="2"/>
        <v>0.85216825875997226</v>
      </c>
      <c r="M16" s="16">
        <f t="shared" si="3"/>
        <v>2.5577424709509131</v>
      </c>
      <c r="N16" s="7">
        <v>1.1000000000000001</v>
      </c>
      <c r="O16" s="16">
        <f t="shared" si="4"/>
        <v>148.3507532943369</v>
      </c>
      <c r="P16" s="16">
        <f t="shared" si="5"/>
        <v>133.85492670045033</v>
      </c>
      <c r="Q16" s="34">
        <f t="shared" si="6"/>
        <v>1133.7716250000001</v>
      </c>
      <c r="R16" s="16">
        <v>135</v>
      </c>
      <c r="S16" s="16">
        <f t="shared" si="7"/>
        <v>129</v>
      </c>
      <c r="T16" s="16">
        <f t="shared" si="8"/>
        <v>1015.875</v>
      </c>
      <c r="U16" s="16"/>
      <c r="V16" s="21">
        <f t="shared" si="9"/>
        <v>746.96960911104452</v>
      </c>
      <c r="X16">
        <f t="shared" si="10"/>
        <v>1211.475753294337</v>
      </c>
    </row>
    <row r="17" spans="6:27" x14ac:dyDescent="0.3">
      <c r="F17" s="33" t="s">
        <v>49</v>
      </c>
      <c r="G17" s="34">
        <v>66.45</v>
      </c>
      <c r="H17" s="16">
        <f t="shared" si="0"/>
        <v>132.9</v>
      </c>
      <c r="I17" s="38">
        <v>9.7639999999999993</v>
      </c>
      <c r="J17" s="16">
        <f t="shared" si="1"/>
        <v>19.527999999999999</v>
      </c>
      <c r="K17" s="38">
        <v>8.5190000000000001</v>
      </c>
      <c r="L17" s="16">
        <f t="shared" si="2"/>
        <v>0.79887456907058718</v>
      </c>
      <c r="M17" s="16">
        <f t="shared" si="3"/>
        <v>2.2922878272097664</v>
      </c>
      <c r="N17" s="7">
        <v>1.08</v>
      </c>
      <c r="O17" s="16">
        <f t="shared" si="4"/>
        <v>119.35910010656376</v>
      </c>
      <c r="P17" s="16">
        <f t="shared" si="5"/>
        <v>98.948695144435888</v>
      </c>
      <c r="Q17" s="34">
        <f t="shared" si="6"/>
        <v>937.27462500000001</v>
      </c>
      <c r="R17" s="16">
        <v>123</v>
      </c>
      <c r="S17" s="16">
        <f t="shared" si="7"/>
        <v>117</v>
      </c>
      <c r="T17" s="16">
        <f t="shared" si="8"/>
        <v>921.375</v>
      </c>
      <c r="U17" s="16"/>
      <c r="V17" s="21">
        <f t="shared" si="9"/>
        <v>662.89549748090178</v>
      </c>
      <c r="X17">
        <f t="shared" si="10"/>
        <v>1087.9841001065638</v>
      </c>
    </row>
    <row r="18" spans="6:27" x14ac:dyDescent="0.3">
      <c r="F18" s="33" t="s">
        <v>50</v>
      </c>
      <c r="G18" s="34">
        <v>52.569000000000003</v>
      </c>
      <c r="H18" s="16">
        <f t="shared" si="0"/>
        <v>105.13800000000001</v>
      </c>
      <c r="I18" s="38">
        <v>8.2309999999999999</v>
      </c>
      <c r="J18" s="16">
        <f t="shared" si="1"/>
        <v>16.462</v>
      </c>
      <c r="K18" s="38">
        <v>8.484</v>
      </c>
      <c r="L18" s="16">
        <f t="shared" si="2"/>
        <v>0.75279452897994725</v>
      </c>
      <c r="M18" s="16">
        <f t="shared" si="3"/>
        <v>1.9403583215464404</v>
      </c>
      <c r="N18" s="7">
        <v>1</v>
      </c>
      <c r="O18" s="16">
        <f t="shared" si="4"/>
        <v>78.538290182308018</v>
      </c>
      <c r="P18" s="16">
        <f t="shared" si="5"/>
        <v>61.98831419066299</v>
      </c>
      <c r="Q18" s="34">
        <f t="shared" si="6"/>
        <v>725.50800000000004</v>
      </c>
      <c r="R18" s="16">
        <v>111</v>
      </c>
      <c r="S18" s="16">
        <f t="shared" si="7"/>
        <v>105</v>
      </c>
      <c r="T18" s="16">
        <f t="shared" si="8"/>
        <v>826.875</v>
      </c>
      <c r="U18" s="16"/>
      <c r="V18" s="21">
        <f t="shared" si="9"/>
        <v>577.48682271809139</v>
      </c>
      <c r="X18">
        <f t="shared" si="10"/>
        <v>952.66329018230806</v>
      </c>
    </row>
    <row r="19" spans="6:27" x14ac:dyDescent="0.3">
      <c r="F19" s="33" t="s">
        <v>51</v>
      </c>
      <c r="G19" s="34">
        <v>39.558999999999997</v>
      </c>
      <c r="H19" s="16">
        <f t="shared" si="0"/>
        <v>79.117999999999995</v>
      </c>
      <c r="I19" s="38">
        <v>6.5629999999999997</v>
      </c>
      <c r="J19" s="16">
        <f t="shared" si="1"/>
        <v>13.125999999999999</v>
      </c>
      <c r="K19" s="38">
        <v>8.5210000000000008</v>
      </c>
      <c r="L19" s="16">
        <f t="shared" si="2"/>
        <v>0.70737928073408651</v>
      </c>
      <c r="M19" s="16">
        <f t="shared" si="3"/>
        <v>1.5404295270508155</v>
      </c>
      <c r="N19" s="7">
        <v>0.91</v>
      </c>
      <c r="O19" s="16">
        <f t="shared" si="4"/>
        <v>45.438338199017963</v>
      </c>
      <c r="P19" s="16">
        <f t="shared" si="5"/>
        <v>34.806500613675212</v>
      </c>
      <c r="Q19" s="34">
        <f t="shared" si="6"/>
        <v>534.39750000000004</v>
      </c>
      <c r="R19" s="16">
        <v>99</v>
      </c>
      <c r="S19" s="16">
        <f t="shared" si="7"/>
        <v>93.5</v>
      </c>
      <c r="T19" s="16">
        <f t="shared" si="8"/>
        <v>736.3125</v>
      </c>
      <c r="U19" s="16"/>
      <c r="V19" s="21">
        <f t="shared" si="9"/>
        <v>500.98935853530014</v>
      </c>
      <c r="X19">
        <f t="shared" si="10"/>
        <v>825.06333819901795</v>
      </c>
    </row>
    <row r="20" spans="6:27" x14ac:dyDescent="0.3">
      <c r="F20" s="33" t="s">
        <v>52</v>
      </c>
      <c r="G20" s="34">
        <v>28.300999999999998</v>
      </c>
      <c r="H20" s="16">
        <f t="shared" si="0"/>
        <v>56.601999999999997</v>
      </c>
      <c r="I20" s="38">
        <v>4.7610000000000001</v>
      </c>
      <c r="J20" s="16">
        <f t="shared" si="1"/>
        <v>9.5220000000000002</v>
      </c>
      <c r="K20" s="38">
        <v>8.5500000000000007</v>
      </c>
      <c r="L20" s="16">
        <f t="shared" si="2"/>
        <v>0.69524437713340959</v>
      </c>
      <c r="M20" s="16">
        <f t="shared" si="3"/>
        <v>1.1136842105263158</v>
      </c>
      <c r="N20" s="7">
        <v>0.92</v>
      </c>
      <c r="O20" s="16">
        <f t="shared" si="4"/>
        <v>24.174663028332464</v>
      </c>
      <c r="P20" s="16">
        <f t="shared" si="5"/>
        <v>16.25762584436978</v>
      </c>
      <c r="Q20" s="34">
        <f t="shared" si="6"/>
        <v>369.14849999999996</v>
      </c>
      <c r="R20" s="16">
        <v>88</v>
      </c>
      <c r="S20" s="16">
        <f t="shared" si="7"/>
        <v>82</v>
      </c>
      <c r="T20" s="16">
        <f t="shared" si="8"/>
        <v>645.75</v>
      </c>
      <c r="U20" s="16"/>
      <c r="V20" s="21">
        <f t="shared" si="9"/>
        <v>430.10064017785282</v>
      </c>
      <c r="X20">
        <f t="shared" si="10"/>
        <v>717.17466302833247</v>
      </c>
      <c r="Y20" s="16"/>
      <c r="Z20" s="16"/>
    </row>
    <row r="21" spans="6:27" x14ac:dyDescent="0.3">
      <c r="F21" s="33" t="s">
        <v>53</v>
      </c>
      <c r="G21" s="34">
        <v>18.574999999999999</v>
      </c>
      <c r="H21" s="16">
        <f t="shared" si="0"/>
        <v>37.15</v>
      </c>
      <c r="I21" s="38">
        <v>2.7519999999999998</v>
      </c>
      <c r="J21" s="16">
        <f t="shared" si="1"/>
        <v>5.5039999999999996</v>
      </c>
      <c r="K21" s="38">
        <v>8.3719999999999999</v>
      </c>
      <c r="L21" s="16">
        <f t="shared" si="2"/>
        <v>0.80621555517283527</v>
      </c>
      <c r="M21" s="16">
        <f t="shared" si="3"/>
        <v>0.65742952699474433</v>
      </c>
      <c r="N21" s="7">
        <v>0.95</v>
      </c>
      <c r="O21" s="16">
        <f t="shared" si="4"/>
        <v>8.3405886604070982</v>
      </c>
      <c r="P21" s="16">
        <f t="shared" si="5"/>
        <v>5.3123564216244219</v>
      </c>
      <c r="Q21" s="34">
        <f t="shared" si="6"/>
        <v>236.45474999999999</v>
      </c>
      <c r="R21" s="16">
        <v>76</v>
      </c>
      <c r="S21" s="16">
        <f t="shared" si="7"/>
        <v>63.5</v>
      </c>
      <c r="T21" s="16">
        <f t="shared" si="8"/>
        <v>500.0625</v>
      </c>
      <c r="U21" s="16"/>
      <c r="V21" s="21">
        <f t="shared" si="9"/>
        <v>328.33768191037484</v>
      </c>
      <c r="X21">
        <f t="shared" si="10"/>
        <v>606.84058866040709</v>
      </c>
      <c r="Y21" s="16"/>
      <c r="Z21" s="16"/>
    </row>
    <row r="22" spans="6:27" x14ac:dyDescent="0.3">
      <c r="F22" s="33" t="s">
        <v>54</v>
      </c>
      <c r="G22" s="34">
        <v>11.451000000000001</v>
      </c>
      <c r="H22" s="16">
        <f t="shared" si="0"/>
        <v>22.902000000000001</v>
      </c>
      <c r="I22" s="38">
        <v>1.357</v>
      </c>
      <c r="J22" s="16">
        <f t="shared" si="1"/>
        <v>2.714</v>
      </c>
      <c r="K22" s="38">
        <v>8.5009999999999994</v>
      </c>
      <c r="L22" s="16">
        <f t="shared" si="2"/>
        <v>0.99264406623625812</v>
      </c>
      <c r="M22" s="16">
        <f t="shared" si="3"/>
        <v>0.31925655805199388</v>
      </c>
      <c r="N22" s="7">
        <v>1.07</v>
      </c>
      <c r="O22" s="16">
        <f t="shared" si="4"/>
        <v>2.2841241828417456</v>
      </c>
      <c r="P22" s="16">
        <f t="shared" si="5"/>
        <v>1.8495001636866504</v>
      </c>
      <c r="Q22" s="34">
        <f t="shared" si="6"/>
        <v>136.64699999999999</v>
      </c>
      <c r="R22" s="16">
        <v>51</v>
      </c>
      <c r="S22" s="16">
        <f t="shared" si="7"/>
        <v>39</v>
      </c>
      <c r="T22" s="16">
        <f t="shared" si="8"/>
        <v>307.125</v>
      </c>
      <c r="U22" s="16"/>
      <c r="V22" s="21">
        <f t="shared" si="9"/>
        <v>200.73806574287806</v>
      </c>
      <c r="X22">
        <f t="shared" si="10"/>
        <v>403.90912418284177</v>
      </c>
      <c r="Y22" s="16"/>
    </row>
    <row r="23" spans="6:27" x14ac:dyDescent="0.3">
      <c r="F23" s="33" t="s">
        <v>55</v>
      </c>
      <c r="G23" s="34">
        <v>5.9009999999999998</v>
      </c>
      <c r="H23" s="16">
        <f t="shared" si="0"/>
        <v>11.802</v>
      </c>
      <c r="I23" s="38">
        <v>1.2589999999999999</v>
      </c>
      <c r="J23" s="16">
        <f t="shared" si="1"/>
        <v>2.5179999999999998</v>
      </c>
      <c r="K23" s="38">
        <v>8.1069999999999993</v>
      </c>
      <c r="L23" s="16">
        <f t="shared" si="2"/>
        <v>0.57814891042787242</v>
      </c>
      <c r="M23" s="16">
        <f t="shared" si="3"/>
        <v>0.31059578142346123</v>
      </c>
      <c r="N23" s="7">
        <v>0.77</v>
      </c>
      <c r="O23" s="16">
        <f t="shared" si="4"/>
        <v>1.414876144531555</v>
      </c>
      <c r="P23" s="16" t="s">
        <v>73</v>
      </c>
      <c r="Q23" s="34" t="s">
        <v>73</v>
      </c>
      <c r="R23" s="16">
        <v>27</v>
      </c>
      <c r="S23" s="16" t="s">
        <v>73</v>
      </c>
      <c r="T23" s="16" t="s">
        <v>73</v>
      </c>
      <c r="U23" s="16" t="s">
        <v>73</v>
      </c>
      <c r="V23" t="s">
        <v>73</v>
      </c>
      <c r="X23">
        <f t="shared" si="10"/>
        <v>214.03987614453155</v>
      </c>
      <c r="Y23" s="16"/>
    </row>
    <row r="24" spans="6:27" x14ac:dyDescent="0.3">
      <c r="Y24" s="16"/>
      <c r="Z24" s="16"/>
      <c r="AA24" s="16"/>
    </row>
    <row r="25" spans="6:27" x14ac:dyDescent="0.3">
      <c r="L25" s="31" t="s">
        <v>75</v>
      </c>
      <c r="M25" s="31" t="s">
        <v>64</v>
      </c>
      <c r="N25" s="31" t="s">
        <v>65</v>
      </c>
      <c r="O25" s="31" t="s">
        <v>63</v>
      </c>
      <c r="P25" s="31" t="s">
        <v>94</v>
      </c>
      <c r="S25" s="49" t="s">
        <v>16</v>
      </c>
      <c r="T25" s="49"/>
      <c r="W25" s="16"/>
      <c r="X25" s="16"/>
      <c r="Y25" s="16"/>
    </row>
    <row r="26" spans="6:27" x14ac:dyDescent="0.3">
      <c r="L26" s="16">
        <f>C4/20</f>
        <v>7.875</v>
      </c>
      <c r="M26" s="31">
        <v>0</v>
      </c>
      <c r="N26" s="16">
        <f>0</f>
        <v>0</v>
      </c>
      <c r="O26" s="35">
        <f>T26</f>
        <v>3543</v>
      </c>
      <c r="P26" s="36">
        <f t="shared" ref="P26:P46" si="11">O26/$L$28*10^9</f>
        <v>2975622460.2282405</v>
      </c>
      <c r="S26" s="16">
        <v>0</v>
      </c>
      <c r="T26" s="16">
        <v>3543</v>
      </c>
      <c r="W26" s="16"/>
      <c r="X26" s="16"/>
      <c r="Y26" s="16"/>
    </row>
    <row r="27" spans="6:27" x14ac:dyDescent="0.3">
      <c r="L27" s="31" t="s">
        <v>92</v>
      </c>
      <c r="M27" s="31">
        <v>1</v>
      </c>
      <c r="N27" s="16">
        <f t="shared" ref="N27:N46" si="12">N26+$L$26</f>
        <v>7.875</v>
      </c>
      <c r="O27" s="35">
        <f>(((N27-S26)/(S27-S26))*(T27-T26))+T26</f>
        <v>4576.375</v>
      </c>
      <c r="P27" s="36">
        <f t="shared" si="11"/>
        <v>3843512344.4614773</v>
      </c>
      <c r="S27" s="16">
        <v>18</v>
      </c>
      <c r="T27" s="16">
        <v>5905</v>
      </c>
      <c r="W27" s="16"/>
      <c r="X27" s="16"/>
      <c r="Y27" s="16"/>
    </row>
    <row r="28" spans="6:27" x14ac:dyDescent="0.3">
      <c r="L28" s="16">
        <f>(C5*C6^3)/12</f>
        <v>1190.6752443750004</v>
      </c>
      <c r="M28" s="31">
        <v>2</v>
      </c>
      <c r="N28" s="16">
        <f t="shared" si="12"/>
        <v>15.75</v>
      </c>
      <c r="O28" s="35">
        <f>(((N28-S26)/(S27-S26))*(T27-T26))+T26</f>
        <v>5609.75</v>
      </c>
      <c r="P28" s="36">
        <f t="shared" si="11"/>
        <v>4711402228.6947145</v>
      </c>
      <c r="S28" s="16">
        <v>36</v>
      </c>
      <c r="T28" s="16">
        <v>7086</v>
      </c>
      <c r="W28" s="16"/>
      <c r="X28" s="16"/>
      <c r="Y28" s="16"/>
    </row>
    <row r="29" spans="6:27" x14ac:dyDescent="0.3">
      <c r="L29" s="16"/>
      <c r="M29" s="31">
        <v>3</v>
      </c>
      <c r="N29" s="16">
        <f t="shared" si="12"/>
        <v>23.625</v>
      </c>
      <c r="O29" s="35">
        <f>(((N29-S27)/(S28-S27))*(T28-T27))+T27</f>
        <v>6274.0625</v>
      </c>
      <c r="P29" s="36">
        <f t="shared" si="11"/>
        <v>5269331439.9875088</v>
      </c>
      <c r="S29" s="16">
        <v>54</v>
      </c>
      <c r="T29" s="16">
        <v>7676</v>
      </c>
      <c r="W29" s="16"/>
      <c r="X29" s="16"/>
      <c r="Y29" s="16"/>
    </row>
    <row r="30" spans="6:27" x14ac:dyDescent="0.3">
      <c r="L30" s="16"/>
      <c r="M30" s="31">
        <v>4</v>
      </c>
      <c r="N30" s="16">
        <f t="shared" si="12"/>
        <v>31.5</v>
      </c>
      <c r="O30" s="35">
        <f>(((N30-S27)/(S28-S27))*(T28-T27))+T27</f>
        <v>6790.75</v>
      </c>
      <c r="P30" s="36">
        <f t="shared" si="11"/>
        <v>5703276382.1041279</v>
      </c>
      <c r="S30" s="16">
        <v>108</v>
      </c>
      <c r="T30" s="16">
        <v>7676</v>
      </c>
      <c r="W30" s="16"/>
      <c r="X30" s="16"/>
      <c r="Y30" s="16"/>
    </row>
    <row r="31" spans="6:27" x14ac:dyDescent="0.3">
      <c r="L31" s="16"/>
      <c r="M31" s="31">
        <v>5</v>
      </c>
      <c r="N31" s="16">
        <f t="shared" si="12"/>
        <v>39.375</v>
      </c>
      <c r="O31" s="35">
        <f>(((N31-S28)/(S29-S28))*(T29-T28))+T28</f>
        <v>7196.625</v>
      </c>
      <c r="P31" s="36">
        <f t="shared" si="11"/>
        <v>6044154385.503828</v>
      </c>
      <c r="S31" s="16">
        <v>144</v>
      </c>
      <c r="T31" s="16">
        <v>6495</v>
      </c>
      <c r="W31" s="16"/>
      <c r="X31" s="16"/>
      <c r="Y31" s="16"/>
    </row>
    <row r="32" spans="6:27" x14ac:dyDescent="0.3">
      <c r="L32" s="16"/>
      <c r="M32" s="31">
        <v>6</v>
      </c>
      <c r="N32" s="16">
        <f t="shared" si="12"/>
        <v>47.25</v>
      </c>
      <c r="O32" s="35">
        <f>(((N32-S28)/(S29-S28))*(T29-T28))+T28</f>
        <v>7454.75</v>
      </c>
      <c r="P32" s="36">
        <f t="shared" si="11"/>
        <v>6260943137.2809696</v>
      </c>
      <c r="S32" s="16">
        <v>157.5</v>
      </c>
      <c r="T32" s="16">
        <v>4724</v>
      </c>
      <c r="W32" s="16"/>
      <c r="X32" s="16"/>
      <c r="Y32" s="16"/>
    </row>
    <row r="33" spans="12:25" x14ac:dyDescent="0.3">
      <c r="L33" s="16"/>
      <c r="M33" s="31">
        <v>7</v>
      </c>
      <c r="N33" s="16">
        <f t="shared" si="12"/>
        <v>55.125</v>
      </c>
      <c r="O33" s="35">
        <f>(((N33-S29)/(S30-S29))*(T30-T29))+T29</f>
        <v>7676</v>
      </c>
      <c r="P33" s="36">
        <f t="shared" si="11"/>
        <v>6446762067.3756628</v>
      </c>
      <c r="V33" s="16"/>
      <c r="W33" s="16"/>
      <c r="X33" s="16"/>
      <c r="Y33" s="16"/>
    </row>
    <row r="34" spans="12:25" x14ac:dyDescent="0.3">
      <c r="L34" s="16"/>
      <c r="M34" s="31">
        <v>8</v>
      </c>
      <c r="N34" s="16">
        <f t="shared" si="12"/>
        <v>63</v>
      </c>
      <c r="O34" s="35">
        <f>(((N34-S29)/(S30-S29))*(T30-T29))+T29</f>
        <v>7676</v>
      </c>
      <c r="P34" s="36">
        <f t="shared" si="11"/>
        <v>6446762067.3756628</v>
      </c>
      <c r="V34" s="16"/>
      <c r="W34" s="16"/>
      <c r="X34" s="16"/>
      <c r="Y34" s="16"/>
    </row>
    <row r="35" spans="12:25" x14ac:dyDescent="0.3">
      <c r="L35" s="16"/>
      <c r="M35" s="31">
        <v>9</v>
      </c>
      <c r="N35" s="16">
        <f t="shared" si="12"/>
        <v>70.875</v>
      </c>
      <c r="O35" s="35">
        <f>(((N35-S29)/(S30-S29))*(T30-T29))+T29</f>
        <v>7676</v>
      </c>
      <c r="P35" s="36">
        <f t="shared" si="11"/>
        <v>6446762067.3756628</v>
      </c>
      <c r="V35" s="16"/>
      <c r="W35" s="16"/>
      <c r="X35" s="16"/>
      <c r="Y35" s="16"/>
    </row>
    <row r="36" spans="12:25" x14ac:dyDescent="0.3">
      <c r="L36" s="16"/>
      <c r="M36" s="31">
        <v>10</v>
      </c>
      <c r="N36" s="16">
        <f t="shared" si="12"/>
        <v>78.75</v>
      </c>
      <c r="O36" s="35">
        <f>(((N36-S29)/(S30-S29))*(T30-T29))+T29</f>
        <v>7676</v>
      </c>
      <c r="P36" s="36">
        <f t="shared" si="11"/>
        <v>6446762067.3756628</v>
      </c>
    </row>
    <row r="37" spans="12:25" x14ac:dyDescent="0.3">
      <c r="L37" s="16"/>
      <c r="M37" s="31">
        <v>11</v>
      </c>
      <c r="N37" s="16">
        <f t="shared" si="12"/>
        <v>86.625</v>
      </c>
      <c r="O37" s="35">
        <f>(((N37-S29)/(S30-S29))*(T30-T29))+T29</f>
        <v>7676</v>
      </c>
      <c r="P37" s="36">
        <f t="shared" si="11"/>
        <v>6446762067.3756628</v>
      </c>
    </row>
    <row r="38" spans="12:25" x14ac:dyDescent="0.3">
      <c r="L38" s="16"/>
      <c r="M38" s="31">
        <v>12</v>
      </c>
      <c r="N38" s="16">
        <f t="shared" si="12"/>
        <v>94.5</v>
      </c>
      <c r="O38" s="35">
        <f>(((N38-S29)/(S30-S29))*(T30-T29))+T29</f>
        <v>7676</v>
      </c>
      <c r="P38" s="36">
        <f t="shared" si="11"/>
        <v>6446762067.3756628</v>
      </c>
    </row>
    <row r="39" spans="12:25" x14ac:dyDescent="0.3">
      <c r="L39" s="16"/>
      <c r="M39" s="31">
        <v>13</v>
      </c>
      <c r="N39" s="16">
        <f t="shared" si="12"/>
        <v>102.375</v>
      </c>
      <c r="O39" s="35">
        <f>(((N39-S29)/(S30-S29))*(T30-T29))+T29</f>
        <v>7676</v>
      </c>
      <c r="P39" s="36">
        <f t="shared" si="11"/>
        <v>6446762067.3756628</v>
      </c>
    </row>
    <row r="40" spans="12:25" x14ac:dyDescent="0.3">
      <c r="L40" s="16"/>
      <c r="M40" s="31">
        <v>14</v>
      </c>
      <c r="N40" s="16">
        <f t="shared" si="12"/>
        <v>110.25</v>
      </c>
      <c r="O40" s="35">
        <f>(((N40-S30)/(S31-S30))*(T31-T30))+T30</f>
        <v>7602.1875</v>
      </c>
      <c r="P40" s="36">
        <f t="shared" si="11"/>
        <v>6384769932.7875748</v>
      </c>
    </row>
    <row r="41" spans="12:25" x14ac:dyDescent="0.3">
      <c r="L41" s="16"/>
      <c r="M41" s="31">
        <v>15</v>
      </c>
      <c r="N41" s="16">
        <f t="shared" si="12"/>
        <v>118.125</v>
      </c>
      <c r="O41" s="35">
        <f>(((N41-S30)/(S31-S30))*(T31-T30))+T30</f>
        <v>7343.84375</v>
      </c>
      <c r="P41" s="36">
        <f t="shared" si="11"/>
        <v>6167797461.7292652</v>
      </c>
    </row>
    <row r="42" spans="12:25" x14ac:dyDescent="0.3">
      <c r="L42" s="16"/>
      <c r="M42" s="31">
        <v>16</v>
      </c>
      <c r="N42" s="16">
        <f t="shared" si="12"/>
        <v>126</v>
      </c>
      <c r="O42" s="35">
        <f>(((N42-S30)/(S31-S30))*(T31-T30))+T30</f>
        <v>7085.5</v>
      </c>
      <c r="P42" s="36">
        <f t="shared" si="11"/>
        <v>5950824990.6709557</v>
      </c>
    </row>
    <row r="43" spans="12:25" x14ac:dyDescent="0.3">
      <c r="L43" s="16"/>
      <c r="M43" s="31">
        <v>17</v>
      </c>
      <c r="N43" s="16">
        <f t="shared" si="12"/>
        <v>133.875</v>
      </c>
      <c r="O43" s="35">
        <f>(((N43-S30)/(S31-S30))*(T31-T30))+T30</f>
        <v>6827.15625</v>
      </c>
      <c r="P43" s="36">
        <f t="shared" si="11"/>
        <v>5733852519.6126471</v>
      </c>
    </row>
    <row r="44" spans="12:25" x14ac:dyDescent="0.3">
      <c r="L44" s="16"/>
      <c r="M44" s="31">
        <v>18</v>
      </c>
      <c r="N44" s="16">
        <f t="shared" si="12"/>
        <v>141.75</v>
      </c>
      <c r="O44" s="35">
        <f>(((N44-S30)/(S31-S30))*(T31-T30))+T30</f>
        <v>6568.8125</v>
      </c>
      <c r="P44" s="36">
        <f t="shared" si="11"/>
        <v>5516880048.5543375</v>
      </c>
    </row>
    <row r="45" spans="12:25" x14ac:dyDescent="0.3">
      <c r="L45" s="16"/>
      <c r="M45" s="31">
        <v>19</v>
      </c>
      <c r="N45" s="16">
        <f t="shared" si="12"/>
        <v>149.625</v>
      </c>
      <c r="O45" s="35">
        <f>(((N45-S31)/(S32-S31))*(T32-T31))+T31</f>
        <v>5757.083333333333</v>
      </c>
      <c r="P45" s="36">
        <f t="shared" si="11"/>
        <v>4835141538.8293343</v>
      </c>
    </row>
    <row r="46" spans="12:25" x14ac:dyDescent="0.3">
      <c r="L46" s="16"/>
      <c r="M46" s="31">
        <v>20</v>
      </c>
      <c r="N46" s="16">
        <f t="shared" si="12"/>
        <v>157.5</v>
      </c>
      <c r="O46" s="35">
        <f>(((N46-S31)/(S32-S31))*(T32-T31))+T31</f>
        <v>4724</v>
      </c>
      <c r="P46" s="36">
        <f t="shared" si="11"/>
        <v>3967496613.6376538</v>
      </c>
    </row>
    <row r="47" spans="12:25" x14ac:dyDescent="0.3">
      <c r="O47" s="16"/>
      <c r="P47" s="16"/>
      <c r="Q47" s="30"/>
    </row>
  </sheetData>
  <mergeCells count="3">
    <mergeCell ref="B2:D2"/>
    <mergeCell ref="F2:G2"/>
    <mergeCell ref="S25:T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F510-E980-46D0-B560-9F26E129DC3E}">
  <dimension ref="B2:AA47"/>
  <sheetViews>
    <sheetView topLeftCell="J1" zoomScaleNormal="100" workbookViewId="0">
      <selection activeCell="X3" sqref="X3"/>
    </sheetView>
  </sheetViews>
  <sheetFormatPr defaultRowHeight="14.4" x14ac:dyDescent="0.3"/>
  <cols>
    <col min="2" max="2" width="11.5546875" bestFit="1" customWidth="1"/>
    <col min="3" max="3" width="12" bestFit="1" customWidth="1"/>
    <col min="4" max="4" width="5" bestFit="1" customWidth="1"/>
    <col min="5" max="5" width="2.5546875" customWidth="1"/>
    <col min="6" max="6" width="8.77734375" customWidth="1"/>
    <col min="7" max="8" width="12" bestFit="1" customWidth="1"/>
    <col min="9" max="9" width="7" bestFit="1" customWidth="1"/>
    <col min="10" max="10" width="7" customWidth="1"/>
    <col min="11" max="11" width="7" bestFit="1" customWidth="1"/>
    <col min="12" max="13" width="12" bestFit="1" customWidth="1"/>
    <col min="14" max="14" width="12" customWidth="1"/>
    <col min="15" max="15" width="21" customWidth="1"/>
    <col min="16" max="16" width="18.5546875" customWidth="1"/>
    <col min="17" max="17" width="21.77734375" bestFit="1" customWidth="1"/>
    <col min="18" max="18" width="12.5546875" bestFit="1" customWidth="1"/>
    <col min="19" max="19" width="12.5546875" customWidth="1"/>
    <col min="20" max="21" width="15.21875" bestFit="1" customWidth="1"/>
    <col min="22" max="22" width="12.5546875" customWidth="1"/>
    <col min="23" max="23" width="15.21875" bestFit="1" customWidth="1"/>
    <col min="24" max="24" width="9.44140625" customWidth="1"/>
    <col min="25" max="25" width="14.5546875" customWidth="1"/>
  </cols>
  <sheetData>
    <row r="2" spans="2:24" x14ac:dyDescent="0.3">
      <c r="B2" s="48" t="s">
        <v>66</v>
      </c>
      <c r="C2" s="48"/>
      <c r="D2" s="48"/>
      <c r="E2" s="16"/>
      <c r="F2" s="48" t="s">
        <v>137</v>
      </c>
      <c r="G2" s="48"/>
      <c r="H2" s="31" t="s">
        <v>59</v>
      </c>
      <c r="I2" s="31" t="s">
        <v>87</v>
      </c>
      <c r="J2" s="31" t="s">
        <v>7</v>
      </c>
      <c r="K2" s="31" t="s">
        <v>8</v>
      </c>
      <c r="L2" s="31" t="s">
        <v>60</v>
      </c>
      <c r="M2" s="31" t="s">
        <v>61</v>
      </c>
      <c r="N2" s="31" t="s">
        <v>85</v>
      </c>
      <c r="O2" s="31" t="s">
        <v>58</v>
      </c>
      <c r="P2" s="31" t="s">
        <v>72</v>
      </c>
      <c r="Q2" s="31" t="s">
        <v>68</v>
      </c>
      <c r="R2" s="31" t="s">
        <v>70</v>
      </c>
      <c r="S2" s="31" t="s">
        <v>71</v>
      </c>
      <c r="T2" s="32" t="s">
        <v>89</v>
      </c>
      <c r="U2" s="31" t="s">
        <v>88</v>
      </c>
      <c r="V2" s="32" t="s">
        <v>69</v>
      </c>
      <c r="W2" s="31" t="s">
        <v>95</v>
      </c>
      <c r="X2" s="32" t="s">
        <v>96</v>
      </c>
    </row>
    <row r="3" spans="2:24" x14ac:dyDescent="0.3">
      <c r="B3" s="31" t="s">
        <v>5</v>
      </c>
      <c r="C3" s="16">
        <v>166.5</v>
      </c>
      <c r="D3" s="16" t="s">
        <v>20</v>
      </c>
      <c r="E3" s="16"/>
      <c r="F3" s="33" t="s">
        <v>56</v>
      </c>
      <c r="G3" s="34">
        <v>0.16700000000000001</v>
      </c>
      <c r="H3" s="16">
        <f t="shared" ref="H3:H23" si="0">G3*2</f>
        <v>0.33400000000000002</v>
      </c>
      <c r="I3" s="7">
        <v>0.875</v>
      </c>
      <c r="J3" s="16">
        <f t="shared" ref="J3:J23" si="1">I3*2</f>
        <v>1.75</v>
      </c>
      <c r="K3" s="7">
        <v>0.31</v>
      </c>
      <c r="L3" s="16">
        <f t="shared" ref="L3:L23" si="2">H3/(J3*K3)</f>
        <v>0.61566820276497702</v>
      </c>
      <c r="M3" s="16">
        <f t="shared" ref="M3:M23" si="3">J3/K3</f>
        <v>5.645161290322581</v>
      </c>
      <c r="N3" s="7">
        <v>0.95</v>
      </c>
      <c r="O3" s="16">
        <f t="shared" ref="O3:O23" si="4">(PI()/8)*$C$12*(J3^2)*N3*$C$14</f>
        <v>0.77290726463785298</v>
      </c>
      <c r="P3" s="16">
        <f t="shared" ref="P3:P22" si="5">(O3+O4)/2</f>
        <v>7.1156072660698539</v>
      </c>
      <c r="Q3" s="34">
        <f t="shared" ref="Q3:Q22" si="6">((H3+H4)/2)*$L$26</f>
        <v>76.741874999999993</v>
      </c>
      <c r="R3" s="16">
        <v>17</v>
      </c>
      <c r="S3" s="16">
        <f t="shared" ref="S3:S22" si="7">(R3+R4)/2</f>
        <v>27.5</v>
      </c>
      <c r="T3" s="16">
        <f t="shared" ref="T3:T22" si="8">S3*$L$26</f>
        <v>216.5625</v>
      </c>
      <c r="U3" s="16">
        <f>C5*C6*L26</f>
        <v>1539.1923750000001</v>
      </c>
      <c r="V3">
        <f t="shared" ref="V3:V22" si="9">(P3+T3)/$U$3*1000</f>
        <v>145.32173554073759</v>
      </c>
      <c r="W3">
        <f>C6*C5</f>
        <v>195.453</v>
      </c>
      <c r="X3">
        <f t="shared" ref="X3:X23" si="10">O3+R3*$L$26</f>
        <v>134.64790726463787</v>
      </c>
    </row>
    <row r="4" spans="2:24" x14ac:dyDescent="0.3">
      <c r="B4" s="31" t="s">
        <v>6</v>
      </c>
      <c r="C4" s="16">
        <v>157.5</v>
      </c>
      <c r="D4" s="16" t="s">
        <v>20</v>
      </c>
      <c r="E4" s="16"/>
      <c r="F4" s="33" t="s">
        <v>36</v>
      </c>
      <c r="G4" s="34">
        <v>9.5779999999999994</v>
      </c>
      <c r="H4" s="16">
        <f t="shared" si="0"/>
        <v>19.155999999999999</v>
      </c>
      <c r="I4" s="7">
        <v>4.1369999999999996</v>
      </c>
      <c r="J4" s="16">
        <f t="shared" si="1"/>
        <v>8.2739999999999991</v>
      </c>
      <c r="K4" s="7">
        <v>8.6470000000000002</v>
      </c>
      <c r="L4" s="16">
        <f t="shared" si="2"/>
        <v>0.26774653108483276</v>
      </c>
      <c r="M4" s="16">
        <f t="shared" si="3"/>
        <v>0.95686365213368785</v>
      </c>
      <c r="N4" s="7">
        <v>0.74</v>
      </c>
      <c r="O4" s="16">
        <f t="shared" si="4"/>
        <v>13.458307267501855</v>
      </c>
      <c r="P4" s="16">
        <f t="shared" si="5"/>
        <v>23.989961051361654</v>
      </c>
      <c r="Q4" s="34">
        <f t="shared" si="6"/>
        <v>272.388375</v>
      </c>
      <c r="R4" s="16">
        <v>38</v>
      </c>
      <c r="S4" s="16">
        <f t="shared" si="7"/>
        <v>48.5</v>
      </c>
      <c r="T4" s="16">
        <f t="shared" si="8"/>
        <v>381.9375</v>
      </c>
      <c r="U4" s="16"/>
      <c r="V4">
        <f t="shared" si="9"/>
        <v>263.72756755071742</v>
      </c>
      <c r="X4">
        <f t="shared" si="10"/>
        <v>312.70830726750188</v>
      </c>
    </row>
    <row r="5" spans="2:24" x14ac:dyDescent="0.3">
      <c r="B5" s="31" t="s">
        <v>7</v>
      </c>
      <c r="C5" s="16">
        <v>22.86</v>
      </c>
      <c r="D5" s="16" t="s">
        <v>20</v>
      </c>
      <c r="E5" s="16"/>
      <c r="F5" s="33" t="s">
        <v>37</v>
      </c>
      <c r="G5" s="34">
        <v>25.010999999999999</v>
      </c>
      <c r="H5" s="16">
        <f t="shared" si="0"/>
        <v>50.021999999999998</v>
      </c>
      <c r="I5" s="7">
        <v>6.5380000000000003</v>
      </c>
      <c r="J5" s="16">
        <f t="shared" si="1"/>
        <v>13.076000000000001</v>
      </c>
      <c r="K5" s="7">
        <v>8.7629999999999999</v>
      </c>
      <c r="L5" s="16">
        <f t="shared" si="2"/>
        <v>0.43654933227378784</v>
      </c>
      <c r="M5" s="16">
        <f t="shared" si="3"/>
        <v>1.4921830423370992</v>
      </c>
      <c r="N5" s="7">
        <v>0.76</v>
      </c>
      <c r="O5" s="16">
        <f t="shared" si="4"/>
        <v>34.521614835221449</v>
      </c>
      <c r="P5" s="16">
        <f t="shared" si="5"/>
        <v>48.875426540890253</v>
      </c>
      <c r="Q5" s="34">
        <f t="shared" si="6"/>
        <v>511.08750000000003</v>
      </c>
      <c r="R5" s="16">
        <v>59</v>
      </c>
      <c r="S5" s="16">
        <f t="shared" si="7"/>
        <v>66</v>
      </c>
      <c r="T5" s="16">
        <f t="shared" si="8"/>
        <v>519.75</v>
      </c>
      <c r="U5" s="16"/>
      <c r="V5">
        <f t="shared" si="9"/>
        <v>369.43103134908017</v>
      </c>
      <c r="X5">
        <f t="shared" si="10"/>
        <v>499.14661483522144</v>
      </c>
    </row>
    <row r="6" spans="2:24" x14ac:dyDescent="0.3">
      <c r="B6" s="31" t="s">
        <v>8</v>
      </c>
      <c r="C6" s="16">
        <v>8.5500000000000007</v>
      </c>
      <c r="D6" s="16" t="s">
        <v>20</v>
      </c>
      <c r="E6" s="16"/>
      <c r="F6" s="33" t="s">
        <v>38</v>
      </c>
      <c r="G6" s="34">
        <v>39.889000000000003</v>
      </c>
      <c r="H6" s="16">
        <f t="shared" si="0"/>
        <v>79.778000000000006</v>
      </c>
      <c r="I6" s="7">
        <v>8.27</v>
      </c>
      <c r="J6" s="16">
        <f t="shared" si="1"/>
        <v>16.54</v>
      </c>
      <c r="K6" s="7">
        <v>8.7309999999999999</v>
      </c>
      <c r="L6" s="16">
        <f t="shared" si="2"/>
        <v>0.55243813583394141</v>
      </c>
      <c r="M6" s="16">
        <f t="shared" si="3"/>
        <v>1.8943992669797274</v>
      </c>
      <c r="N6" s="7">
        <v>0.87</v>
      </c>
      <c r="O6" s="16">
        <f t="shared" si="4"/>
        <v>63.229238246559056</v>
      </c>
      <c r="P6" s="16">
        <f t="shared" si="5"/>
        <v>77.212502868970148</v>
      </c>
      <c r="Q6" s="34">
        <f t="shared" si="6"/>
        <v>740.34450000000004</v>
      </c>
      <c r="R6" s="16">
        <v>73</v>
      </c>
      <c r="S6" s="16">
        <f t="shared" si="7"/>
        <v>80.5</v>
      </c>
      <c r="T6" s="16">
        <f t="shared" si="8"/>
        <v>633.9375</v>
      </c>
      <c r="U6" s="16"/>
      <c r="V6">
        <f t="shared" si="9"/>
        <v>462.02801834239216</v>
      </c>
      <c r="X6">
        <f t="shared" si="10"/>
        <v>638.10423824655902</v>
      </c>
    </row>
    <row r="7" spans="2:24" x14ac:dyDescent="0.3">
      <c r="B7" s="31" t="s">
        <v>9</v>
      </c>
      <c r="C7" s="16">
        <v>0</v>
      </c>
      <c r="D7" s="16" t="s">
        <v>20</v>
      </c>
      <c r="E7" s="16"/>
      <c r="F7" s="33" t="s">
        <v>39</v>
      </c>
      <c r="G7" s="34">
        <v>54.122999999999998</v>
      </c>
      <c r="H7" s="16">
        <f t="shared" si="0"/>
        <v>108.246</v>
      </c>
      <c r="I7" s="7">
        <v>9.7650000000000006</v>
      </c>
      <c r="J7" s="16">
        <f t="shared" si="1"/>
        <v>19.53</v>
      </c>
      <c r="K7" s="7">
        <v>8.6319999999999997</v>
      </c>
      <c r="L7" s="16">
        <f t="shared" si="2"/>
        <v>0.64209336459627941</v>
      </c>
      <c r="M7" s="16">
        <f t="shared" si="3"/>
        <v>2.2625115848007415</v>
      </c>
      <c r="N7" s="7">
        <v>0.9</v>
      </c>
      <c r="O7" s="16">
        <f t="shared" si="4"/>
        <v>91.195767491381233</v>
      </c>
      <c r="P7" s="16">
        <f t="shared" si="5"/>
        <v>105.18340582249311</v>
      </c>
      <c r="Q7" s="34">
        <f t="shared" si="6"/>
        <v>953.30812500000002</v>
      </c>
      <c r="R7" s="16">
        <v>88</v>
      </c>
      <c r="S7" s="16">
        <f t="shared" si="7"/>
        <v>95.5</v>
      </c>
      <c r="T7" s="16">
        <f t="shared" si="8"/>
        <v>752.0625</v>
      </c>
      <c r="U7" s="16"/>
      <c r="V7">
        <f t="shared" si="9"/>
        <v>556.94526541719188</v>
      </c>
      <c r="X7">
        <f t="shared" si="10"/>
        <v>784.19576749138128</v>
      </c>
    </row>
    <row r="8" spans="2:24" x14ac:dyDescent="0.3">
      <c r="B8" s="31" t="s">
        <v>10</v>
      </c>
      <c r="C8" s="16">
        <v>18036.900000000001</v>
      </c>
      <c r="D8" s="16" t="s">
        <v>20</v>
      </c>
      <c r="E8" s="16"/>
      <c r="F8" s="33" t="s">
        <v>40</v>
      </c>
      <c r="G8" s="34">
        <v>66.932000000000002</v>
      </c>
      <c r="H8" s="16">
        <f t="shared" si="0"/>
        <v>133.864</v>
      </c>
      <c r="I8" s="7">
        <v>10.865</v>
      </c>
      <c r="J8" s="16">
        <f t="shared" si="1"/>
        <v>21.73</v>
      </c>
      <c r="K8" s="7">
        <v>8.5210000000000008</v>
      </c>
      <c r="L8" s="16">
        <f t="shared" si="2"/>
        <v>0.72295873009769362</v>
      </c>
      <c r="M8" s="16">
        <f t="shared" si="3"/>
        <v>2.5501701678206783</v>
      </c>
      <c r="N8" s="7">
        <v>0.95</v>
      </c>
      <c r="O8" s="16">
        <f t="shared" si="4"/>
        <v>119.17104415360498</v>
      </c>
      <c r="P8" s="16">
        <f t="shared" si="5"/>
        <v>134.82329399294713</v>
      </c>
      <c r="Q8" s="34">
        <f t="shared" si="6"/>
        <v>1137.6067499999999</v>
      </c>
      <c r="R8" s="16">
        <v>103</v>
      </c>
      <c r="S8" s="16">
        <f t="shared" si="7"/>
        <v>110</v>
      </c>
      <c r="T8" s="16">
        <f t="shared" si="8"/>
        <v>866.25</v>
      </c>
      <c r="U8" s="16"/>
      <c r="V8">
        <f t="shared" si="9"/>
        <v>650.38867801885203</v>
      </c>
      <c r="X8">
        <f t="shared" si="10"/>
        <v>930.29604415360495</v>
      </c>
    </row>
    <row r="9" spans="2:24" x14ac:dyDescent="0.3">
      <c r="B9" s="31" t="s">
        <v>11</v>
      </c>
      <c r="C9" s="16">
        <v>-1.77</v>
      </c>
      <c r="D9" s="16" t="s">
        <v>20</v>
      </c>
      <c r="E9" s="16"/>
      <c r="F9" s="33" t="s">
        <v>41</v>
      </c>
      <c r="G9" s="34">
        <v>77.525999999999996</v>
      </c>
      <c r="H9" s="16">
        <f t="shared" si="0"/>
        <v>155.05199999999999</v>
      </c>
      <c r="I9" s="7">
        <v>11.346</v>
      </c>
      <c r="J9" s="16">
        <f t="shared" si="1"/>
        <v>22.692</v>
      </c>
      <c r="K9" s="7">
        <v>8.6069999999999993</v>
      </c>
      <c r="L9" s="16">
        <f t="shared" si="2"/>
        <v>0.79387622277121606</v>
      </c>
      <c r="M9" s="16">
        <f t="shared" si="3"/>
        <v>2.6364586964098993</v>
      </c>
      <c r="N9" s="7">
        <v>1.1000000000000001</v>
      </c>
      <c r="O9" s="16">
        <f t="shared" si="4"/>
        <v>150.47554383228928</v>
      </c>
      <c r="P9" s="16">
        <f t="shared" si="5"/>
        <v>157.90869968175556</v>
      </c>
      <c r="Q9" s="34">
        <f t="shared" si="6"/>
        <v>1283.6486249999998</v>
      </c>
      <c r="R9" s="16">
        <v>117</v>
      </c>
      <c r="S9" s="16">
        <f t="shared" si="7"/>
        <v>124.5</v>
      </c>
      <c r="T9" s="16">
        <f t="shared" si="8"/>
        <v>980.4375</v>
      </c>
      <c r="U9" s="16"/>
      <c r="V9">
        <f t="shared" si="9"/>
        <v>739.57369992932524</v>
      </c>
      <c r="X9">
        <f t="shared" si="10"/>
        <v>1071.8505438322893</v>
      </c>
    </row>
    <row r="10" spans="2:24" x14ac:dyDescent="0.3">
      <c r="B10" s="31" t="s">
        <v>12</v>
      </c>
      <c r="C10" s="16">
        <v>8.5500000000000007</v>
      </c>
      <c r="D10" s="16" t="s">
        <v>20</v>
      </c>
      <c r="E10" s="16"/>
      <c r="F10" s="33" t="s">
        <v>42</v>
      </c>
      <c r="G10" s="34">
        <v>85.477000000000004</v>
      </c>
      <c r="H10" s="16">
        <f t="shared" si="0"/>
        <v>170.95400000000001</v>
      </c>
      <c r="I10" s="7">
        <v>11.532</v>
      </c>
      <c r="J10" s="16">
        <f t="shared" si="1"/>
        <v>23.064</v>
      </c>
      <c r="K10" s="7">
        <v>8.6069999999999993</v>
      </c>
      <c r="L10" s="16">
        <f t="shared" si="2"/>
        <v>0.8611778174570216</v>
      </c>
      <c r="M10" s="16">
        <f t="shared" si="3"/>
        <v>2.6796793307772746</v>
      </c>
      <c r="N10" s="7">
        <v>1.17</v>
      </c>
      <c r="O10" s="16">
        <f t="shared" si="4"/>
        <v>165.34185553122185</v>
      </c>
      <c r="P10" s="16">
        <f t="shared" si="5"/>
        <v>167.84360464516612</v>
      </c>
      <c r="Q10" s="34">
        <f t="shared" si="6"/>
        <v>1404.5298750000002</v>
      </c>
      <c r="R10" s="16">
        <v>132</v>
      </c>
      <c r="S10" s="16">
        <f t="shared" si="7"/>
        <v>139</v>
      </c>
      <c r="T10" s="16">
        <f t="shared" si="8"/>
        <v>1094.625</v>
      </c>
      <c r="U10" s="16"/>
      <c r="V10">
        <f t="shared" si="9"/>
        <v>820.21495503131382</v>
      </c>
      <c r="X10">
        <f t="shared" si="10"/>
        <v>1204.8418555312219</v>
      </c>
    </row>
    <row r="11" spans="2:24" x14ac:dyDescent="0.3">
      <c r="B11" s="31" t="s">
        <v>13</v>
      </c>
      <c r="C11" s="16">
        <v>0.9</v>
      </c>
      <c r="D11" s="16" t="s">
        <v>20</v>
      </c>
      <c r="E11" s="16"/>
      <c r="F11" s="33" t="s">
        <v>43</v>
      </c>
      <c r="G11" s="34">
        <v>92.876000000000005</v>
      </c>
      <c r="H11" s="16">
        <f t="shared" si="0"/>
        <v>185.75200000000001</v>
      </c>
      <c r="I11" s="7">
        <v>11.37</v>
      </c>
      <c r="J11" s="16">
        <f t="shared" si="1"/>
        <v>22.74</v>
      </c>
      <c r="K11" s="7">
        <v>8.57</v>
      </c>
      <c r="L11" s="16">
        <f t="shared" si="2"/>
        <v>0.953152115795318</v>
      </c>
      <c r="M11" s="16">
        <f t="shared" si="3"/>
        <v>2.6534422403733955</v>
      </c>
      <c r="N11" s="7">
        <v>1.24</v>
      </c>
      <c r="O11" s="16">
        <f t="shared" si="4"/>
        <v>170.3453537591104</v>
      </c>
      <c r="P11" s="16">
        <f t="shared" si="5"/>
        <v>179.27474730293474</v>
      </c>
      <c r="Q11" s="34">
        <f t="shared" si="6"/>
        <v>1477.7909999999999</v>
      </c>
      <c r="R11" s="16">
        <v>146</v>
      </c>
      <c r="S11" s="16">
        <f t="shared" si="7"/>
        <v>146</v>
      </c>
      <c r="T11" s="16">
        <f t="shared" si="8"/>
        <v>1149.75</v>
      </c>
      <c r="U11" s="16"/>
      <c r="V11">
        <f t="shared" si="9"/>
        <v>863.45590641516435</v>
      </c>
      <c r="X11">
        <f t="shared" si="10"/>
        <v>1320.0953537591104</v>
      </c>
    </row>
    <row r="12" spans="2:24" x14ac:dyDescent="0.3">
      <c r="B12" s="31" t="s">
        <v>57</v>
      </c>
      <c r="C12" s="16">
        <v>1.0249999999999999</v>
      </c>
      <c r="D12" s="16" t="s">
        <v>74</v>
      </c>
      <c r="F12" s="33" t="s">
        <v>44</v>
      </c>
      <c r="G12" s="34">
        <v>94.78</v>
      </c>
      <c r="H12" s="16">
        <f t="shared" si="0"/>
        <v>189.56</v>
      </c>
      <c r="I12" s="7">
        <v>11.37</v>
      </c>
      <c r="J12" s="16">
        <f t="shared" si="1"/>
        <v>22.74</v>
      </c>
      <c r="K12" s="7">
        <v>8.57</v>
      </c>
      <c r="L12" s="16">
        <f t="shared" si="2"/>
        <v>0.97269216519962354</v>
      </c>
      <c r="M12" s="16">
        <f t="shared" si="3"/>
        <v>2.6534422403733955</v>
      </c>
      <c r="N12" s="7">
        <v>1.37</v>
      </c>
      <c r="O12" s="16">
        <f t="shared" si="4"/>
        <v>188.20414084675909</v>
      </c>
      <c r="P12" s="16">
        <f t="shared" si="5"/>
        <v>188.20414084675909</v>
      </c>
      <c r="Q12" s="34">
        <f t="shared" si="6"/>
        <v>1488.4537499999999</v>
      </c>
      <c r="R12" s="16">
        <v>146</v>
      </c>
      <c r="S12" s="16">
        <f t="shared" si="7"/>
        <v>146</v>
      </c>
      <c r="T12" s="16">
        <f t="shared" si="8"/>
        <v>1149.75</v>
      </c>
      <c r="U12" s="16"/>
      <c r="V12">
        <f t="shared" si="9"/>
        <v>869.25725632363469</v>
      </c>
      <c r="X12">
        <f t="shared" si="10"/>
        <v>1337.9541408467592</v>
      </c>
    </row>
    <row r="13" spans="2:24" x14ac:dyDescent="0.3">
      <c r="B13" s="31" t="s">
        <v>62</v>
      </c>
      <c r="C13" s="22">
        <f>C5/C3</f>
        <v>0.13729729729729728</v>
      </c>
      <c r="D13" s="16" t="s">
        <v>73</v>
      </c>
      <c r="F13" s="33" t="s">
        <v>45</v>
      </c>
      <c r="G13" s="34">
        <v>94.23</v>
      </c>
      <c r="H13" s="16">
        <f t="shared" si="0"/>
        <v>188.46</v>
      </c>
      <c r="I13" s="7">
        <v>11.37</v>
      </c>
      <c r="J13" s="16">
        <f t="shared" si="1"/>
        <v>22.74</v>
      </c>
      <c r="K13" s="7">
        <v>8.57</v>
      </c>
      <c r="L13" s="16">
        <f t="shared" si="2"/>
        <v>0.96704771815531265</v>
      </c>
      <c r="M13" s="16">
        <f t="shared" si="3"/>
        <v>2.6534422403733955</v>
      </c>
      <c r="N13" s="7">
        <v>1.37</v>
      </c>
      <c r="O13" s="16">
        <f t="shared" si="4"/>
        <v>188.20414084675909</v>
      </c>
      <c r="P13" s="16">
        <f t="shared" si="5"/>
        <v>188.20414084675909</v>
      </c>
      <c r="Q13" s="34">
        <f t="shared" si="6"/>
        <v>1467.6401250000001</v>
      </c>
      <c r="R13" s="16">
        <v>146</v>
      </c>
      <c r="S13" s="16">
        <f t="shared" si="7"/>
        <v>146</v>
      </c>
      <c r="T13" s="16">
        <f t="shared" si="8"/>
        <v>1149.75</v>
      </c>
      <c r="U13" s="16"/>
      <c r="V13">
        <f t="shared" si="9"/>
        <v>869.25725632363469</v>
      </c>
      <c r="X13">
        <f t="shared" si="10"/>
        <v>1337.9541408467592</v>
      </c>
    </row>
    <row r="14" spans="2:24" x14ac:dyDescent="0.3">
      <c r="B14" s="31" t="s">
        <v>133</v>
      </c>
      <c r="C14" s="16">
        <v>0.66</v>
      </c>
      <c r="D14" s="16" t="s">
        <v>73</v>
      </c>
      <c r="F14" s="33" t="s">
        <v>46</v>
      </c>
      <c r="G14" s="34">
        <v>92.137</v>
      </c>
      <c r="H14" s="16">
        <f t="shared" si="0"/>
        <v>184.274</v>
      </c>
      <c r="I14" s="7">
        <v>11.37</v>
      </c>
      <c r="J14" s="16">
        <f t="shared" si="1"/>
        <v>22.74</v>
      </c>
      <c r="K14" s="7">
        <v>8.57</v>
      </c>
      <c r="L14" s="16">
        <f t="shared" si="2"/>
        <v>0.94556803149396196</v>
      </c>
      <c r="M14" s="16">
        <f t="shared" si="3"/>
        <v>2.6534422403733955</v>
      </c>
      <c r="N14" s="7">
        <v>1.37</v>
      </c>
      <c r="O14" s="16">
        <f t="shared" si="4"/>
        <v>188.20414084675909</v>
      </c>
      <c r="P14" s="16">
        <f t="shared" si="5"/>
        <v>172.03743853915711</v>
      </c>
      <c r="Q14" s="34">
        <f t="shared" si="6"/>
        <v>1413.5152499999999</v>
      </c>
      <c r="R14" s="16">
        <v>146</v>
      </c>
      <c r="S14" s="16">
        <f t="shared" si="7"/>
        <v>146</v>
      </c>
      <c r="T14" s="16">
        <f t="shared" si="8"/>
        <v>1149.75</v>
      </c>
      <c r="U14" s="16"/>
      <c r="V14">
        <f t="shared" si="9"/>
        <v>858.75388938251274</v>
      </c>
      <c r="X14">
        <f t="shared" si="10"/>
        <v>1337.9541408467592</v>
      </c>
    </row>
    <row r="15" spans="2:24" x14ac:dyDescent="0.3">
      <c r="B15" s="31"/>
      <c r="C15" s="16"/>
      <c r="F15" s="33" t="s">
        <v>47</v>
      </c>
      <c r="G15" s="34">
        <v>87.356999999999999</v>
      </c>
      <c r="H15" s="16">
        <f t="shared" si="0"/>
        <v>174.714</v>
      </c>
      <c r="I15" s="7">
        <v>11.244999999999999</v>
      </c>
      <c r="J15" s="16">
        <f t="shared" si="1"/>
        <v>22.49</v>
      </c>
      <c r="K15" s="7">
        <v>8.57</v>
      </c>
      <c r="L15" s="16">
        <f t="shared" si="2"/>
        <v>0.90647833628118402</v>
      </c>
      <c r="M15" s="16">
        <f t="shared" si="3"/>
        <v>2.6242707117852975</v>
      </c>
      <c r="N15" s="7">
        <v>1.1599999999999999</v>
      </c>
      <c r="O15" s="16">
        <f t="shared" si="4"/>
        <v>155.87073623155516</v>
      </c>
      <c r="P15" s="16">
        <f t="shared" si="5"/>
        <v>145.92946337568202</v>
      </c>
      <c r="Q15" s="34">
        <f t="shared" si="6"/>
        <v>1298.4142499999998</v>
      </c>
      <c r="R15" s="16">
        <v>146</v>
      </c>
      <c r="S15" s="16">
        <f t="shared" si="7"/>
        <v>140.5</v>
      </c>
      <c r="T15" s="16">
        <f t="shared" si="8"/>
        <v>1106.4375</v>
      </c>
      <c r="U15" s="16"/>
      <c r="V15">
        <f t="shared" si="9"/>
        <v>813.65200589411825</v>
      </c>
      <c r="X15">
        <f t="shared" si="10"/>
        <v>1305.6207362315552</v>
      </c>
    </row>
    <row r="16" spans="2:24" x14ac:dyDescent="0.3">
      <c r="B16" s="31"/>
      <c r="C16" s="16"/>
      <c r="F16" s="33" t="s">
        <v>48</v>
      </c>
      <c r="G16" s="34">
        <v>77.521000000000001</v>
      </c>
      <c r="H16" s="16">
        <f t="shared" si="0"/>
        <v>155.042</v>
      </c>
      <c r="I16" s="38">
        <v>10.786</v>
      </c>
      <c r="J16" s="16">
        <f t="shared" si="1"/>
        <v>21.571999999999999</v>
      </c>
      <c r="K16" s="38">
        <v>8.4339999999999993</v>
      </c>
      <c r="L16" s="16">
        <f t="shared" si="2"/>
        <v>0.85216825875997226</v>
      </c>
      <c r="M16" s="16">
        <f t="shared" si="3"/>
        <v>2.5577424709509131</v>
      </c>
      <c r="N16" s="7">
        <v>1.1000000000000001</v>
      </c>
      <c r="O16" s="16">
        <f t="shared" si="4"/>
        <v>135.98819051980885</v>
      </c>
      <c r="P16" s="16">
        <f t="shared" si="5"/>
        <v>122.70034947541282</v>
      </c>
      <c r="Q16" s="34">
        <f t="shared" si="6"/>
        <v>1133.7716250000001</v>
      </c>
      <c r="R16" s="16">
        <v>135</v>
      </c>
      <c r="S16" s="16">
        <f t="shared" si="7"/>
        <v>129</v>
      </c>
      <c r="T16" s="16">
        <f t="shared" si="8"/>
        <v>1015.875</v>
      </c>
      <c r="U16" s="16"/>
      <c r="V16">
        <f t="shared" si="9"/>
        <v>739.72257657228374</v>
      </c>
      <c r="X16">
        <f t="shared" si="10"/>
        <v>1199.1131905198088</v>
      </c>
    </row>
    <row r="17" spans="6:27" x14ac:dyDescent="0.3">
      <c r="F17" s="33" t="s">
        <v>49</v>
      </c>
      <c r="G17" s="34">
        <v>66.45</v>
      </c>
      <c r="H17" s="16">
        <f t="shared" si="0"/>
        <v>132.9</v>
      </c>
      <c r="I17" s="38">
        <v>9.7639999999999993</v>
      </c>
      <c r="J17" s="16">
        <f t="shared" si="1"/>
        <v>19.527999999999999</v>
      </c>
      <c r="K17" s="38">
        <v>8.5190000000000001</v>
      </c>
      <c r="L17" s="16">
        <f t="shared" si="2"/>
        <v>0.79887456907058718</v>
      </c>
      <c r="M17" s="16">
        <f t="shared" si="3"/>
        <v>2.2922878272097664</v>
      </c>
      <c r="N17" s="7">
        <v>1.08</v>
      </c>
      <c r="O17" s="16">
        <f t="shared" si="4"/>
        <v>109.41250843101679</v>
      </c>
      <c r="P17" s="16">
        <f t="shared" si="5"/>
        <v>90.702970549066237</v>
      </c>
      <c r="Q17" s="34">
        <f t="shared" si="6"/>
        <v>937.27462500000001</v>
      </c>
      <c r="R17" s="16">
        <v>123</v>
      </c>
      <c r="S17" s="16">
        <f t="shared" si="7"/>
        <v>117</v>
      </c>
      <c r="T17" s="16">
        <f t="shared" si="8"/>
        <v>921.375</v>
      </c>
      <c r="U17" s="16"/>
      <c r="V17">
        <f t="shared" si="9"/>
        <v>657.53832138693269</v>
      </c>
      <c r="X17">
        <f t="shared" si="10"/>
        <v>1078.0375084310167</v>
      </c>
    </row>
    <row r="18" spans="6:27" x14ac:dyDescent="0.3">
      <c r="F18" s="33" t="s">
        <v>50</v>
      </c>
      <c r="G18" s="34">
        <v>52.569000000000003</v>
      </c>
      <c r="H18" s="16">
        <f t="shared" si="0"/>
        <v>105.13800000000001</v>
      </c>
      <c r="I18" s="38">
        <v>8.2309999999999999</v>
      </c>
      <c r="J18" s="16">
        <f t="shared" si="1"/>
        <v>16.462</v>
      </c>
      <c r="K18" s="38">
        <v>8.484</v>
      </c>
      <c r="L18" s="16">
        <f t="shared" si="2"/>
        <v>0.75279452897994725</v>
      </c>
      <c r="M18" s="16">
        <f t="shared" si="3"/>
        <v>1.9403583215464404</v>
      </c>
      <c r="N18" s="7">
        <v>1</v>
      </c>
      <c r="O18" s="16">
        <f t="shared" si="4"/>
        <v>71.993432667115698</v>
      </c>
      <c r="P18" s="16">
        <f t="shared" si="5"/>
        <v>56.822621341441085</v>
      </c>
      <c r="Q18" s="34">
        <f t="shared" si="6"/>
        <v>725.50800000000004</v>
      </c>
      <c r="R18" s="16">
        <v>111</v>
      </c>
      <c r="S18" s="16">
        <f t="shared" si="7"/>
        <v>105</v>
      </c>
      <c r="T18" s="16">
        <f t="shared" si="8"/>
        <v>826.875</v>
      </c>
      <c r="U18" s="16"/>
      <c r="V18">
        <f t="shared" si="9"/>
        <v>574.13071666330268</v>
      </c>
      <c r="X18">
        <f t="shared" si="10"/>
        <v>946.11843266711571</v>
      </c>
    </row>
    <row r="19" spans="6:27" x14ac:dyDescent="0.3">
      <c r="F19" s="33" t="s">
        <v>51</v>
      </c>
      <c r="G19" s="34">
        <v>39.558999999999997</v>
      </c>
      <c r="H19" s="16">
        <f t="shared" si="0"/>
        <v>79.117999999999995</v>
      </c>
      <c r="I19" s="38">
        <v>6.5629999999999997</v>
      </c>
      <c r="J19" s="16">
        <f t="shared" si="1"/>
        <v>13.125999999999999</v>
      </c>
      <c r="K19" s="38">
        <v>8.5210000000000008</v>
      </c>
      <c r="L19" s="16">
        <f t="shared" si="2"/>
        <v>0.70737928073408651</v>
      </c>
      <c r="M19" s="16">
        <f t="shared" si="3"/>
        <v>1.5404295270508155</v>
      </c>
      <c r="N19" s="7">
        <v>0.91</v>
      </c>
      <c r="O19" s="16">
        <f t="shared" si="4"/>
        <v>41.651810015766472</v>
      </c>
      <c r="P19" s="16">
        <f t="shared" si="5"/>
        <v>31.905958895868949</v>
      </c>
      <c r="Q19" s="34">
        <f t="shared" si="6"/>
        <v>534.39750000000004</v>
      </c>
      <c r="R19" s="16">
        <v>99</v>
      </c>
      <c r="S19" s="16">
        <f t="shared" si="7"/>
        <v>93.5</v>
      </c>
      <c r="T19" s="16">
        <f t="shared" si="8"/>
        <v>736.3125</v>
      </c>
      <c r="U19" s="16"/>
      <c r="V19">
        <f t="shared" si="9"/>
        <v>499.10490161820672</v>
      </c>
      <c r="X19">
        <f t="shared" si="10"/>
        <v>821.2768100157665</v>
      </c>
    </row>
    <row r="20" spans="6:27" x14ac:dyDescent="0.3">
      <c r="F20" s="33" t="s">
        <v>52</v>
      </c>
      <c r="G20" s="34">
        <v>28.300999999999998</v>
      </c>
      <c r="H20" s="16">
        <f t="shared" si="0"/>
        <v>56.601999999999997</v>
      </c>
      <c r="I20" s="38">
        <v>4.7610000000000001</v>
      </c>
      <c r="J20" s="16">
        <f t="shared" si="1"/>
        <v>9.5220000000000002</v>
      </c>
      <c r="K20" s="38">
        <v>8.5500000000000007</v>
      </c>
      <c r="L20" s="16">
        <f t="shared" si="2"/>
        <v>0.69524437713340959</v>
      </c>
      <c r="M20" s="16">
        <f t="shared" si="3"/>
        <v>1.1136842105263158</v>
      </c>
      <c r="N20" s="7">
        <v>0.92</v>
      </c>
      <c r="O20" s="16">
        <f t="shared" si="4"/>
        <v>22.160107775971429</v>
      </c>
      <c r="P20" s="16">
        <f t="shared" si="5"/>
        <v>14.902823690672301</v>
      </c>
      <c r="Q20" s="34">
        <f t="shared" si="6"/>
        <v>369.14849999999996</v>
      </c>
      <c r="R20" s="16">
        <v>88</v>
      </c>
      <c r="S20" s="16">
        <f t="shared" si="7"/>
        <v>82</v>
      </c>
      <c r="T20" s="16">
        <f t="shared" si="8"/>
        <v>645.75</v>
      </c>
      <c r="U20" s="16"/>
      <c r="V20">
        <f t="shared" si="9"/>
        <v>429.22043691300922</v>
      </c>
      <c r="X20">
        <f t="shared" si="10"/>
        <v>715.16010777597148</v>
      </c>
      <c r="Y20" s="16"/>
      <c r="Z20" s="16"/>
    </row>
    <row r="21" spans="6:27" x14ac:dyDescent="0.3">
      <c r="F21" s="33" t="s">
        <v>53</v>
      </c>
      <c r="G21" s="34">
        <v>18.574999999999999</v>
      </c>
      <c r="H21" s="16">
        <f t="shared" si="0"/>
        <v>37.15</v>
      </c>
      <c r="I21" s="38">
        <v>2.7519999999999998</v>
      </c>
      <c r="J21" s="16">
        <f t="shared" si="1"/>
        <v>5.5039999999999996</v>
      </c>
      <c r="K21" s="38">
        <v>8.3719999999999999</v>
      </c>
      <c r="L21" s="16">
        <f t="shared" si="2"/>
        <v>0.80621555517283527</v>
      </c>
      <c r="M21" s="16">
        <f t="shared" si="3"/>
        <v>0.65742952699474433</v>
      </c>
      <c r="N21" s="7">
        <v>0.95</v>
      </c>
      <c r="O21" s="16">
        <f t="shared" si="4"/>
        <v>7.6455396053731741</v>
      </c>
      <c r="P21" s="16">
        <f t="shared" si="5"/>
        <v>4.8696600531557204</v>
      </c>
      <c r="Q21" s="34">
        <f t="shared" si="6"/>
        <v>236.45474999999999</v>
      </c>
      <c r="R21" s="16">
        <v>76</v>
      </c>
      <c r="S21" s="16">
        <f t="shared" si="7"/>
        <v>63.5</v>
      </c>
      <c r="T21" s="16">
        <f t="shared" si="8"/>
        <v>500.0625</v>
      </c>
      <c r="U21" s="16"/>
      <c r="V21">
        <f t="shared" si="9"/>
        <v>328.05006590105779</v>
      </c>
      <c r="X21">
        <f t="shared" si="10"/>
        <v>606.14553960537319</v>
      </c>
      <c r="Y21" s="16"/>
      <c r="Z21" s="16"/>
    </row>
    <row r="22" spans="6:27" x14ac:dyDescent="0.3">
      <c r="F22" s="33" t="s">
        <v>54</v>
      </c>
      <c r="G22" s="34">
        <v>11.451000000000001</v>
      </c>
      <c r="H22" s="16">
        <f t="shared" si="0"/>
        <v>22.902000000000001</v>
      </c>
      <c r="I22" s="38">
        <v>1.357</v>
      </c>
      <c r="J22" s="16">
        <f t="shared" si="1"/>
        <v>2.714</v>
      </c>
      <c r="K22" s="38">
        <v>8.5009999999999994</v>
      </c>
      <c r="L22" s="16">
        <f t="shared" si="2"/>
        <v>0.99264406623625812</v>
      </c>
      <c r="M22" s="16">
        <f t="shared" si="3"/>
        <v>0.31925655805199388</v>
      </c>
      <c r="N22" s="7">
        <v>1.07</v>
      </c>
      <c r="O22" s="16">
        <f t="shared" si="4"/>
        <v>2.0937805009382671</v>
      </c>
      <c r="P22" s="16">
        <f t="shared" si="5"/>
        <v>1.6953751500460963</v>
      </c>
      <c r="Q22" s="34">
        <f t="shared" si="6"/>
        <v>136.64699999999999</v>
      </c>
      <c r="R22" s="16">
        <v>51</v>
      </c>
      <c r="S22" s="16">
        <f t="shared" si="7"/>
        <v>39</v>
      </c>
      <c r="T22" s="16">
        <f t="shared" si="8"/>
        <v>307.125</v>
      </c>
      <c r="U22" s="16"/>
      <c r="V22">
        <f t="shared" si="9"/>
        <v>200.63793205189577</v>
      </c>
      <c r="X22">
        <f t="shared" si="10"/>
        <v>403.71878050093829</v>
      </c>
      <c r="Y22" s="16"/>
    </row>
    <row r="23" spans="6:27" x14ac:dyDescent="0.3">
      <c r="F23" s="33" t="s">
        <v>55</v>
      </c>
      <c r="G23" s="34">
        <v>5.9009999999999998</v>
      </c>
      <c r="H23" s="16">
        <f t="shared" si="0"/>
        <v>11.802</v>
      </c>
      <c r="I23" s="38">
        <v>1.2589999999999999</v>
      </c>
      <c r="J23" s="16">
        <f t="shared" si="1"/>
        <v>2.5179999999999998</v>
      </c>
      <c r="K23" s="38">
        <v>8.1069999999999993</v>
      </c>
      <c r="L23" s="16">
        <f t="shared" si="2"/>
        <v>0.57814891042787242</v>
      </c>
      <c r="M23" s="16">
        <f t="shared" si="3"/>
        <v>0.31059578142346123</v>
      </c>
      <c r="N23" s="7">
        <v>0.77</v>
      </c>
      <c r="O23" s="16">
        <f t="shared" si="4"/>
        <v>1.2969697991539255</v>
      </c>
      <c r="P23" s="16" t="s">
        <v>73</v>
      </c>
      <c r="Q23" s="34" t="s">
        <v>73</v>
      </c>
      <c r="R23" s="16">
        <v>27</v>
      </c>
      <c r="S23" s="16" t="s">
        <v>73</v>
      </c>
      <c r="T23" s="16" t="s">
        <v>73</v>
      </c>
      <c r="U23" s="16" t="s">
        <v>73</v>
      </c>
      <c r="V23" t="s">
        <v>73</v>
      </c>
      <c r="X23">
        <f t="shared" si="10"/>
        <v>213.92196979915391</v>
      </c>
      <c r="Y23" s="16"/>
    </row>
    <row r="24" spans="6:27" x14ac:dyDescent="0.3">
      <c r="Y24" s="16"/>
      <c r="Z24" s="16"/>
      <c r="AA24" s="16"/>
    </row>
    <row r="25" spans="6:27" x14ac:dyDescent="0.3">
      <c r="L25" s="31" t="s">
        <v>75</v>
      </c>
      <c r="M25" s="31" t="s">
        <v>64</v>
      </c>
      <c r="N25" s="31" t="s">
        <v>65</v>
      </c>
      <c r="O25" s="31" t="s">
        <v>63</v>
      </c>
      <c r="P25" s="31" t="s">
        <v>94</v>
      </c>
      <c r="S25" s="49" t="s">
        <v>16</v>
      </c>
      <c r="T25" s="49"/>
      <c r="W25" s="16"/>
      <c r="X25" s="16"/>
      <c r="Y25" s="16"/>
    </row>
    <row r="26" spans="6:27" x14ac:dyDescent="0.3">
      <c r="L26" s="16">
        <f>C4/20</f>
        <v>7.875</v>
      </c>
      <c r="M26" s="31">
        <v>0</v>
      </c>
      <c r="N26" s="16">
        <f>0</f>
        <v>0</v>
      </c>
      <c r="O26" s="35">
        <f>T26</f>
        <v>3543</v>
      </c>
      <c r="P26" s="36">
        <f t="shared" ref="P26:P46" si="11">O26/$L$28*10^9</f>
        <v>2975622460.2282405</v>
      </c>
      <c r="S26" s="16">
        <v>0</v>
      </c>
      <c r="T26" s="16">
        <v>3543</v>
      </c>
      <c r="W26" s="16"/>
      <c r="X26" s="16"/>
      <c r="Y26" s="16"/>
    </row>
    <row r="27" spans="6:27" x14ac:dyDescent="0.3">
      <c r="L27" s="31" t="s">
        <v>92</v>
      </c>
      <c r="M27" s="31">
        <v>1</v>
      </c>
      <c r="N27" s="16">
        <f t="shared" ref="N27:N46" si="12">N26+$L$26</f>
        <v>7.875</v>
      </c>
      <c r="O27" s="35">
        <f>(((N27-S26)/(S27-S26))*(T27-T26))+T26</f>
        <v>4576.375</v>
      </c>
      <c r="P27" s="36">
        <f t="shared" si="11"/>
        <v>3843512344.4614773</v>
      </c>
      <c r="S27" s="16">
        <v>18</v>
      </c>
      <c r="T27" s="16">
        <v>5905</v>
      </c>
      <c r="W27" s="16"/>
      <c r="X27" s="16"/>
      <c r="Y27" s="16"/>
    </row>
    <row r="28" spans="6:27" x14ac:dyDescent="0.3">
      <c r="L28" s="16">
        <f>(C5*C6^3)/12</f>
        <v>1190.6752443750004</v>
      </c>
      <c r="M28" s="31">
        <v>2</v>
      </c>
      <c r="N28" s="16">
        <f t="shared" si="12"/>
        <v>15.75</v>
      </c>
      <c r="O28" s="35">
        <f>(((N28-S26)/(S27-S26))*(T27-T26))+T26</f>
        <v>5609.75</v>
      </c>
      <c r="P28" s="36">
        <f t="shared" si="11"/>
        <v>4711402228.6947145</v>
      </c>
      <c r="S28" s="16">
        <v>36</v>
      </c>
      <c r="T28" s="16">
        <v>7086</v>
      </c>
      <c r="W28" s="16"/>
      <c r="X28" s="16"/>
      <c r="Y28" s="16"/>
    </row>
    <row r="29" spans="6:27" x14ac:dyDescent="0.3">
      <c r="L29" s="16"/>
      <c r="M29" s="31">
        <v>3</v>
      </c>
      <c r="N29" s="16">
        <f t="shared" si="12"/>
        <v>23.625</v>
      </c>
      <c r="O29" s="35">
        <f>(((N29-S27)/(S28-S27))*(T28-T27))+T27</f>
        <v>6274.0625</v>
      </c>
      <c r="P29" s="36">
        <f t="shared" si="11"/>
        <v>5269331439.9875088</v>
      </c>
      <c r="S29" s="16">
        <v>54</v>
      </c>
      <c r="T29" s="16">
        <v>7676</v>
      </c>
      <c r="W29" s="16"/>
      <c r="X29" s="16"/>
      <c r="Y29" s="16"/>
    </row>
    <row r="30" spans="6:27" x14ac:dyDescent="0.3">
      <c r="L30" s="16"/>
      <c r="M30" s="31">
        <v>4</v>
      </c>
      <c r="N30" s="16">
        <f t="shared" si="12"/>
        <v>31.5</v>
      </c>
      <c r="O30" s="35">
        <f>(((N30-S27)/(S28-S27))*(T28-T27))+T27</f>
        <v>6790.75</v>
      </c>
      <c r="P30" s="36">
        <f t="shared" si="11"/>
        <v>5703276382.1041279</v>
      </c>
      <c r="S30" s="16">
        <v>108</v>
      </c>
      <c r="T30" s="16">
        <v>7676</v>
      </c>
      <c r="W30" s="16"/>
      <c r="X30" s="16"/>
      <c r="Y30" s="16"/>
    </row>
    <row r="31" spans="6:27" x14ac:dyDescent="0.3">
      <c r="L31" s="16"/>
      <c r="M31" s="31">
        <v>5</v>
      </c>
      <c r="N31" s="16">
        <f t="shared" si="12"/>
        <v>39.375</v>
      </c>
      <c r="O31" s="35">
        <f>(((N31-S28)/(S29-S28))*(T29-T28))+T28</f>
        <v>7196.625</v>
      </c>
      <c r="P31" s="36">
        <f t="shared" si="11"/>
        <v>6044154385.503828</v>
      </c>
      <c r="S31" s="16">
        <v>144</v>
      </c>
      <c r="T31" s="16">
        <v>6495</v>
      </c>
      <c r="W31" s="16"/>
      <c r="X31" s="16"/>
      <c r="Y31" s="16"/>
    </row>
    <row r="32" spans="6:27" x14ac:dyDescent="0.3">
      <c r="L32" s="16"/>
      <c r="M32" s="31">
        <v>6</v>
      </c>
      <c r="N32" s="16">
        <f t="shared" si="12"/>
        <v>47.25</v>
      </c>
      <c r="O32" s="35">
        <f>(((N32-S28)/(S29-S28))*(T29-T28))+T28</f>
        <v>7454.75</v>
      </c>
      <c r="P32" s="36">
        <f t="shared" si="11"/>
        <v>6260943137.2809696</v>
      </c>
      <c r="S32" s="16">
        <v>157.5</v>
      </c>
      <c r="T32" s="16">
        <v>4724</v>
      </c>
      <c r="W32" s="16"/>
      <c r="X32" s="16"/>
      <c r="Y32" s="16"/>
    </row>
    <row r="33" spans="12:25" x14ac:dyDescent="0.3">
      <c r="L33" s="16"/>
      <c r="M33" s="31">
        <v>7</v>
      </c>
      <c r="N33" s="16">
        <f t="shared" si="12"/>
        <v>55.125</v>
      </c>
      <c r="O33" s="35">
        <f>(((N33-S29)/(S30-S29))*(T30-T29))+T29</f>
        <v>7676</v>
      </c>
      <c r="P33" s="36">
        <f t="shared" si="11"/>
        <v>6446762067.3756628</v>
      </c>
      <c r="V33" s="16"/>
      <c r="W33" s="16"/>
      <c r="X33" s="16"/>
      <c r="Y33" s="16"/>
    </row>
    <row r="34" spans="12:25" x14ac:dyDescent="0.3">
      <c r="L34" s="16"/>
      <c r="M34" s="31">
        <v>8</v>
      </c>
      <c r="N34" s="16">
        <f t="shared" si="12"/>
        <v>63</v>
      </c>
      <c r="O34" s="35">
        <f>(((N34-S29)/(S30-S29))*(T30-T29))+T29</f>
        <v>7676</v>
      </c>
      <c r="P34" s="36">
        <f t="shared" si="11"/>
        <v>6446762067.3756628</v>
      </c>
      <c r="V34" s="16"/>
      <c r="W34" s="16"/>
      <c r="X34" s="16"/>
      <c r="Y34" s="16"/>
    </row>
    <row r="35" spans="12:25" x14ac:dyDescent="0.3">
      <c r="L35" s="16"/>
      <c r="M35" s="31">
        <v>9</v>
      </c>
      <c r="N35" s="16">
        <f t="shared" si="12"/>
        <v>70.875</v>
      </c>
      <c r="O35" s="35">
        <f>(((N35-S29)/(S30-S29))*(T30-T29))+T29</f>
        <v>7676</v>
      </c>
      <c r="P35" s="36">
        <f t="shared" si="11"/>
        <v>6446762067.3756628</v>
      </c>
      <c r="V35" s="16"/>
      <c r="W35" s="16"/>
      <c r="X35" s="16"/>
      <c r="Y35" s="16"/>
    </row>
    <row r="36" spans="12:25" x14ac:dyDescent="0.3">
      <c r="L36" s="16"/>
      <c r="M36" s="31">
        <v>10</v>
      </c>
      <c r="N36" s="16">
        <f t="shared" si="12"/>
        <v>78.75</v>
      </c>
      <c r="O36" s="35">
        <f>(((N36-S29)/(S30-S29))*(T30-T29))+T29</f>
        <v>7676</v>
      </c>
      <c r="P36" s="36">
        <f t="shared" si="11"/>
        <v>6446762067.3756628</v>
      </c>
    </row>
    <row r="37" spans="12:25" x14ac:dyDescent="0.3">
      <c r="L37" s="16"/>
      <c r="M37" s="31">
        <v>11</v>
      </c>
      <c r="N37" s="16">
        <f t="shared" si="12"/>
        <v>86.625</v>
      </c>
      <c r="O37" s="35">
        <f>(((N37-S29)/(S30-S29))*(T30-T29))+T29</f>
        <v>7676</v>
      </c>
      <c r="P37" s="36">
        <f t="shared" si="11"/>
        <v>6446762067.3756628</v>
      </c>
    </row>
    <row r="38" spans="12:25" x14ac:dyDescent="0.3">
      <c r="L38" s="16"/>
      <c r="M38" s="31">
        <v>12</v>
      </c>
      <c r="N38" s="16">
        <f t="shared" si="12"/>
        <v>94.5</v>
      </c>
      <c r="O38" s="35">
        <f>(((N38-S29)/(S30-S29))*(T30-T29))+T29</f>
        <v>7676</v>
      </c>
      <c r="P38" s="36">
        <f t="shared" si="11"/>
        <v>6446762067.3756628</v>
      </c>
    </row>
    <row r="39" spans="12:25" x14ac:dyDescent="0.3">
      <c r="L39" s="16"/>
      <c r="M39" s="31">
        <v>13</v>
      </c>
      <c r="N39" s="16">
        <f t="shared" si="12"/>
        <v>102.375</v>
      </c>
      <c r="O39" s="35">
        <f>(((N39-S29)/(S30-S29))*(T30-T29))+T29</f>
        <v>7676</v>
      </c>
      <c r="P39" s="36">
        <f t="shared" si="11"/>
        <v>6446762067.3756628</v>
      </c>
    </row>
    <row r="40" spans="12:25" x14ac:dyDescent="0.3">
      <c r="L40" s="16"/>
      <c r="M40" s="31">
        <v>14</v>
      </c>
      <c r="N40" s="16">
        <f t="shared" si="12"/>
        <v>110.25</v>
      </c>
      <c r="O40" s="35">
        <f>(((N40-S30)/(S31-S30))*(T31-T30))+T30</f>
        <v>7602.1875</v>
      </c>
      <c r="P40" s="36">
        <f t="shared" si="11"/>
        <v>6384769932.7875748</v>
      </c>
    </row>
    <row r="41" spans="12:25" x14ac:dyDescent="0.3">
      <c r="L41" s="16"/>
      <c r="M41" s="31">
        <v>15</v>
      </c>
      <c r="N41" s="16">
        <f t="shared" si="12"/>
        <v>118.125</v>
      </c>
      <c r="O41" s="35">
        <f>(((N41-S30)/(S31-S30))*(T31-T30))+T30</f>
        <v>7343.84375</v>
      </c>
      <c r="P41" s="36">
        <f t="shared" si="11"/>
        <v>6167797461.7292652</v>
      </c>
    </row>
    <row r="42" spans="12:25" x14ac:dyDescent="0.3">
      <c r="L42" s="16"/>
      <c r="M42" s="31">
        <v>16</v>
      </c>
      <c r="N42" s="16">
        <f t="shared" si="12"/>
        <v>126</v>
      </c>
      <c r="O42" s="35">
        <f>(((N42-S30)/(S31-S30))*(T31-T30))+T30</f>
        <v>7085.5</v>
      </c>
      <c r="P42" s="36">
        <f t="shared" si="11"/>
        <v>5950824990.6709557</v>
      </c>
    </row>
    <row r="43" spans="12:25" x14ac:dyDescent="0.3">
      <c r="L43" s="16"/>
      <c r="M43" s="31">
        <v>17</v>
      </c>
      <c r="N43" s="16">
        <f t="shared" si="12"/>
        <v>133.875</v>
      </c>
      <c r="O43" s="35">
        <f>(((N43-S30)/(S31-S30))*(T31-T30))+T30</f>
        <v>6827.15625</v>
      </c>
      <c r="P43" s="36">
        <f t="shared" si="11"/>
        <v>5733852519.6126471</v>
      </c>
    </row>
    <row r="44" spans="12:25" x14ac:dyDescent="0.3">
      <c r="L44" s="16"/>
      <c r="M44" s="31">
        <v>18</v>
      </c>
      <c r="N44" s="16">
        <f t="shared" si="12"/>
        <v>141.75</v>
      </c>
      <c r="O44" s="35">
        <f>(((N44-S30)/(S31-S30))*(T31-T30))+T30</f>
        <v>6568.8125</v>
      </c>
      <c r="P44" s="36">
        <f t="shared" si="11"/>
        <v>5516880048.5543375</v>
      </c>
    </row>
    <row r="45" spans="12:25" x14ac:dyDescent="0.3">
      <c r="L45" s="16"/>
      <c r="M45" s="31">
        <v>19</v>
      </c>
      <c r="N45" s="16">
        <f t="shared" si="12"/>
        <v>149.625</v>
      </c>
      <c r="O45" s="35">
        <f>(((N45-S31)/(S32-S31))*(T32-T31))+T31</f>
        <v>5757.083333333333</v>
      </c>
      <c r="P45" s="36">
        <f t="shared" si="11"/>
        <v>4835141538.8293343</v>
      </c>
    </row>
    <row r="46" spans="12:25" x14ac:dyDescent="0.3">
      <c r="L46" s="16"/>
      <c r="M46" s="31">
        <v>20</v>
      </c>
      <c r="N46" s="16">
        <f t="shared" si="12"/>
        <v>157.5</v>
      </c>
      <c r="O46" s="35">
        <f>(((N46-S31)/(S32-S31))*(T32-T31))+T31</f>
        <v>4724</v>
      </c>
      <c r="P46" s="36">
        <f t="shared" si="11"/>
        <v>3967496613.6376538</v>
      </c>
    </row>
    <row r="47" spans="12:25" x14ac:dyDescent="0.3">
      <c r="O47" s="16"/>
      <c r="P47" s="16"/>
      <c r="Q47" s="30"/>
    </row>
  </sheetData>
  <mergeCells count="3">
    <mergeCell ref="B2:D2"/>
    <mergeCell ref="F2:G2"/>
    <mergeCell ref="S25:T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7E32-1828-4BEB-B5EC-B2355BC04C5F}">
  <dimension ref="B2:Q34"/>
  <sheetViews>
    <sheetView workbookViewId="0">
      <selection activeCell="P3" sqref="P3"/>
    </sheetView>
  </sheetViews>
  <sheetFormatPr defaultRowHeight="14.4" x14ac:dyDescent="0.3"/>
  <cols>
    <col min="3" max="3" width="10.5546875" bestFit="1" customWidth="1"/>
    <col min="4" max="4" width="11.5546875" bestFit="1" customWidth="1"/>
    <col min="8" max="8" width="10.109375" customWidth="1"/>
    <col min="12" max="12" width="10.77734375" bestFit="1" customWidth="1"/>
  </cols>
  <sheetData>
    <row r="2" spans="2:17" x14ac:dyDescent="0.3">
      <c r="K2" s="50" t="s">
        <v>84</v>
      </c>
      <c r="L2" s="50"/>
    </row>
    <row r="3" spans="2:17" x14ac:dyDescent="0.3">
      <c r="B3" t="s">
        <v>76</v>
      </c>
      <c r="G3" t="s">
        <v>82</v>
      </c>
    </row>
    <row r="4" spans="2:17" x14ac:dyDescent="0.3">
      <c r="C4" s="50" t="s">
        <v>79</v>
      </c>
      <c r="D4" s="50"/>
      <c r="K4" s="50" t="s">
        <v>117</v>
      </c>
      <c r="L4" s="50"/>
      <c r="O4" s="50" t="s">
        <v>118</v>
      </c>
      <c r="P4" s="50"/>
    </row>
    <row r="5" spans="2:17" ht="14.4" customHeight="1" x14ac:dyDescent="0.3">
      <c r="B5" t="s">
        <v>78</v>
      </c>
      <c r="C5" t="s">
        <v>80</v>
      </c>
      <c r="D5" t="s">
        <v>81</v>
      </c>
      <c r="G5" t="s">
        <v>83</v>
      </c>
      <c r="H5" t="s">
        <v>79</v>
      </c>
      <c r="K5" t="s">
        <v>78</v>
      </c>
      <c r="L5" t="s">
        <v>86</v>
      </c>
      <c r="M5" t="s">
        <v>81</v>
      </c>
      <c r="P5" t="s">
        <v>134</v>
      </c>
      <c r="Q5" t="s">
        <v>135</v>
      </c>
    </row>
    <row r="6" spans="2:17" x14ac:dyDescent="0.3">
      <c r="B6">
        <v>1</v>
      </c>
      <c r="C6">
        <v>0.21690000000000001</v>
      </c>
      <c r="D6">
        <f t="shared" ref="D6:D15" si="0">C6*2*PI()</f>
        <v>1.3628228931272524</v>
      </c>
      <c r="G6" s="26">
        <v>1</v>
      </c>
      <c r="H6">
        <v>0.89209000000000005</v>
      </c>
      <c r="I6">
        <f t="shared" ref="I6:I15" si="1">H6*2*PI()</f>
        <v>5.605166780681837</v>
      </c>
      <c r="K6">
        <v>1</v>
      </c>
      <c r="L6">
        <v>1.9855</v>
      </c>
      <c r="M6">
        <f t="shared" ref="M6:M15" si="2">L6*2*PI()</f>
        <v>12.475264427405069</v>
      </c>
      <c r="O6" s="20">
        <v>1</v>
      </c>
      <c r="P6">
        <v>1.9853000000000001</v>
      </c>
      <c r="Q6">
        <f>P6*2*PI()</f>
        <v>12.474007790343633</v>
      </c>
    </row>
    <row r="7" spans="2:17" x14ac:dyDescent="0.3">
      <c r="B7">
        <v>2</v>
      </c>
      <c r="C7">
        <v>0.31780000000000003</v>
      </c>
      <c r="D7">
        <f t="shared" si="0"/>
        <v>1.9967962906216727</v>
      </c>
      <c r="G7">
        <v>2</v>
      </c>
      <c r="H7">
        <v>0.90486</v>
      </c>
      <c r="I7">
        <f t="shared" si="1"/>
        <v>5.6854030570545202</v>
      </c>
      <c r="K7">
        <v>2</v>
      </c>
      <c r="L7">
        <v>5.4759000000000002</v>
      </c>
      <c r="M7">
        <f t="shared" si="2"/>
        <v>34.406094423584697</v>
      </c>
      <c r="O7" s="20">
        <v>2</v>
      </c>
      <c r="P7">
        <v>5.4715999999999996</v>
      </c>
      <c r="Q7">
        <f t="shared" ref="Q7:Q15" si="3">P7*2*PI()</f>
        <v>34.37907672676382</v>
      </c>
    </row>
    <row r="8" spans="2:17" x14ac:dyDescent="0.3">
      <c r="B8">
        <v>3</v>
      </c>
      <c r="C8">
        <v>0.48593999999999998</v>
      </c>
      <c r="D8">
        <f t="shared" si="0"/>
        <v>3.053251068170848</v>
      </c>
      <c r="G8" s="26">
        <v>3</v>
      </c>
      <c r="H8">
        <v>1.2553000000000001</v>
      </c>
      <c r="I8">
        <f t="shared" si="1"/>
        <v>7.8872825161025348</v>
      </c>
      <c r="K8">
        <v>3</v>
      </c>
      <c r="L8">
        <v>6.5662000000000003</v>
      </c>
      <c r="M8">
        <f t="shared" si="2"/>
        <v>41.2566513640026</v>
      </c>
      <c r="O8" s="20">
        <v>3</v>
      </c>
      <c r="P8">
        <v>10.724</v>
      </c>
      <c r="Q8">
        <f t="shared" si="3"/>
        <v>67.380879234193884</v>
      </c>
    </row>
    <row r="9" spans="2:17" x14ac:dyDescent="0.3">
      <c r="B9">
        <v>4</v>
      </c>
      <c r="C9">
        <v>0.72131000000000001</v>
      </c>
      <c r="D9">
        <f t="shared" si="0"/>
        <v>4.5321243939217073</v>
      </c>
      <c r="G9">
        <v>4</v>
      </c>
      <c r="H9">
        <v>1.2672000000000001</v>
      </c>
      <c r="I9">
        <f t="shared" si="1"/>
        <v>7.9620524212579724</v>
      </c>
      <c r="K9">
        <v>4</v>
      </c>
      <c r="L9">
        <v>10.744</v>
      </c>
      <c r="M9">
        <f t="shared" si="2"/>
        <v>67.506542940337468</v>
      </c>
      <c r="O9">
        <v>4</v>
      </c>
      <c r="P9">
        <v>17.721</v>
      </c>
      <c r="Q9">
        <f t="shared" si="3"/>
        <v>111.34432682852945</v>
      </c>
    </row>
    <row r="10" spans="2:17" x14ac:dyDescent="0.3">
      <c r="B10">
        <v>5</v>
      </c>
      <c r="C10">
        <v>0.76649</v>
      </c>
      <c r="D10">
        <f t="shared" si="0"/>
        <v>4.8159987061000811</v>
      </c>
      <c r="G10">
        <v>5</v>
      </c>
      <c r="H10">
        <v>1.3647</v>
      </c>
      <c r="I10">
        <f t="shared" si="1"/>
        <v>8.5746629887079813</v>
      </c>
      <c r="K10">
        <v>5</v>
      </c>
      <c r="L10">
        <v>17.780999999999999</v>
      </c>
      <c r="M10">
        <f t="shared" si="2"/>
        <v>111.72131794696021</v>
      </c>
      <c r="O10">
        <v>5</v>
      </c>
      <c r="P10">
        <v>26.46</v>
      </c>
      <c r="Q10">
        <f t="shared" si="3"/>
        <v>166.25308322797187</v>
      </c>
    </row>
    <row r="11" spans="2:17" x14ac:dyDescent="0.3">
      <c r="B11">
        <v>6</v>
      </c>
      <c r="C11">
        <v>0.86711000000000005</v>
      </c>
      <c r="D11">
        <f t="shared" si="0"/>
        <v>5.4482128117084914</v>
      </c>
      <c r="G11">
        <v>6</v>
      </c>
      <c r="H11">
        <v>1.4119999999999999</v>
      </c>
      <c r="I11">
        <f t="shared" si="1"/>
        <v>8.8718576537375746</v>
      </c>
      <c r="K11">
        <v>6</v>
      </c>
      <c r="L11">
        <v>17.925000000000001</v>
      </c>
      <c r="M11">
        <f t="shared" si="2"/>
        <v>112.62609663119409</v>
      </c>
      <c r="O11">
        <v>6</v>
      </c>
      <c r="P11">
        <v>36.936999999999998</v>
      </c>
      <c r="Q11">
        <f t="shared" si="3"/>
        <v>232.08201569129236</v>
      </c>
    </row>
    <row r="12" spans="2:17" x14ac:dyDescent="0.3">
      <c r="B12">
        <v>7</v>
      </c>
      <c r="C12">
        <v>1.0239</v>
      </c>
      <c r="D12">
        <f t="shared" si="0"/>
        <v>6.4333534360211786</v>
      </c>
      <c r="G12">
        <v>7</v>
      </c>
      <c r="H12">
        <v>1.6089</v>
      </c>
      <c r="I12">
        <f t="shared" si="1"/>
        <v>10.109016840721237</v>
      </c>
      <c r="K12">
        <v>7</v>
      </c>
      <c r="L12">
        <v>26.603000000000002</v>
      </c>
      <c r="M12">
        <f t="shared" si="2"/>
        <v>167.15157872689855</v>
      </c>
      <c r="O12">
        <v>7</v>
      </c>
      <c r="P12">
        <v>49.146999999999998</v>
      </c>
      <c r="Q12">
        <f t="shared" si="3"/>
        <v>308.79970829195514</v>
      </c>
    </row>
    <row r="13" spans="2:17" x14ac:dyDescent="0.3">
      <c r="B13">
        <v>8</v>
      </c>
      <c r="C13">
        <v>1.0347999999999999</v>
      </c>
      <c r="D13">
        <f t="shared" si="0"/>
        <v>6.5018401558694352</v>
      </c>
      <c r="G13">
        <v>8</v>
      </c>
      <c r="H13">
        <v>1.6554</v>
      </c>
      <c r="I13">
        <f t="shared" si="1"/>
        <v>10.401184957505087</v>
      </c>
      <c r="K13">
        <v>8</v>
      </c>
      <c r="L13">
        <v>29.366</v>
      </c>
      <c r="M13">
        <f t="shared" si="2"/>
        <v>184.51201973063573</v>
      </c>
      <c r="O13">
        <v>8</v>
      </c>
      <c r="P13">
        <v>63.081000000000003</v>
      </c>
      <c r="Q13">
        <f t="shared" si="3"/>
        <v>396.3496123621955</v>
      </c>
    </row>
    <row r="14" spans="2:17" x14ac:dyDescent="0.3">
      <c r="B14">
        <v>9</v>
      </c>
      <c r="C14">
        <v>1.2695000000000001</v>
      </c>
      <c r="D14">
        <f t="shared" si="0"/>
        <v>7.9765037474644851</v>
      </c>
      <c r="G14">
        <v>9</v>
      </c>
      <c r="H14">
        <v>2.1002999999999998</v>
      </c>
      <c r="I14">
        <f t="shared" si="1"/>
        <v>13.196574100669284</v>
      </c>
      <c r="K14">
        <v>9</v>
      </c>
      <c r="L14">
        <v>34.703000000000003</v>
      </c>
      <c r="M14">
        <f t="shared" si="2"/>
        <v>218.0453797150532</v>
      </c>
      <c r="O14">
        <v>9</v>
      </c>
      <c r="P14">
        <v>78.734999999999999</v>
      </c>
      <c r="Q14">
        <f t="shared" si="3"/>
        <v>494.70659516078473</v>
      </c>
    </row>
    <row r="15" spans="2:17" x14ac:dyDescent="0.3">
      <c r="B15">
        <v>10</v>
      </c>
      <c r="C15">
        <v>1.3935999999999999</v>
      </c>
      <c r="D15">
        <f t="shared" si="0"/>
        <v>8.7562470440854714</v>
      </c>
      <c r="G15">
        <v>10</v>
      </c>
      <c r="H15">
        <v>2.1985999999999999</v>
      </c>
      <c r="I15">
        <f t="shared" si="1"/>
        <v>13.814211216365038</v>
      </c>
      <c r="K15">
        <v>10</v>
      </c>
      <c r="L15">
        <v>37.225000000000001</v>
      </c>
      <c r="M15">
        <f t="shared" si="2"/>
        <v>233.89157305976011</v>
      </c>
      <c r="O15">
        <v>10</v>
      </c>
      <c r="P15">
        <v>90.147000000000006</v>
      </c>
      <c r="Q15">
        <f t="shared" si="3"/>
        <v>566.41030588631816</v>
      </c>
    </row>
    <row r="16" spans="2:17" x14ac:dyDescent="0.3">
      <c r="G16" t="s">
        <v>77</v>
      </c>
      <c r="K16" t="s">
        <v>77</v>
      </c>
    </row>
    <row r="19" spans="2:11" x14ac:dyDescent="0.3">
      <c r="B19" t="s">
        <v>127</v>
      </c>
      <c r="G19" s="37"/>
      <c r="K19" t="s">
        <v>77</v>
      </c>
    </row>
    <row r="20" spans="2:11" x14ac:dyDescent="0.3">
      <c r="C20" t="s">
        <v>79</v>
      </c>
    </row>
    <row r="21" spans="2:11" x14ac:dyDescent="0.3">
      <c r="B21" t="s">
        <v>78</v>
      </c>
      <c r="C21" t="s">
        <v>80</v>
      </c>
      <c r="D21" t="s">
        <v>81</v>
      </c>
    </row>
    <row r="22" spans="2:11" x14ac:dyDescent="0.3">
      <c r="B22">
        <v>1</v>
      </c>
      <c r="C22" s="23">
        <v>0</v>
      </c>
      <c r="D22" s="23">
        <f t="shared" ref="D22:D29" si="4">C22*2*PI()</f>
        <v>0</v>
      </c>
      <c r="G22" t="s">
        <v>77</v>
      </c>
      <c r="K22" t="s">
        <v>77</v>
      </c>
    </row>
    <row r="23" spans="2:11" x14ac:dyDescent="0.3">
      <c r="B23">
        <v>2</v>
      </c>
      <c r="C23" s="23">
        <v>3.3673000000000002E-7</v>
      </c>
      <c r="D23" s="23">
        <f t="shared" si="4"/>
        <v>2.1157369884865822E-6</v>
      </c>
    </row>
    <row r="24" spans="2:11" x14ac:dyDescent="0.3">
      <c r="B24">
        <v>3</v>
      </c>
      <c r="C24" s="23">
        <v>1.4240999999999999</v>
      </c>
      <c r="D24" s="23">
        <f t="shared" si="4"/>
        <v>8.9478841959544475</v>
      </c>
    </row>
    <row r="25" spans="2:11" x14ac:dyDescent="0.3">
      <c r="B25">
        <v>4</v>
      </c>
      <c r="C25" s="23">
        <v>3.5226999999999999</v>
      </c>
      <c r="D25" s="23">
        <f t="shared" si="4"/>
        <v>22.133776881601527</v>
      </c>
      <c r="G25" t="s">
        <v>77</v>
      </c>
      <c r="K25" t="s">
        <v>77</v>
      </c>
    </row>
    <row r="26" spans="2:11" x14ac:dyDescent="0.3">
      <c r="B26">
        <v>5</v>
      </c>
      <c r="C26" s="23">
        <v>6.6444999999999999</v>
      </c>
      <c r="D26" s="23">
        <f t="shared" si="4"/>
        <v>41.748624773554759</v>
      </c>
    </row>
    <row r="27" spans="2:11" x14ac:dyDescent="0.3">
      <c r="B27">
        <v>6</v>
      </c>
      <c r="C27" s="23">
        <v>10.824999999999999</v>
      </c>
      <c r="D27" s="23">
        <f t="shared" si="4"/>
        <v>68.015480950219015</v>
      </c>
    </row>
    <row r="28" spans="2:11" x14ac:dyDescent="0.3">
      <c r="B28">
        <v>7</v>
      </c>
      <c r="C28" s="23">
        <v>15.93</v>
      </c>
      <c r="D28" s="23">
        <f t="shared" si="4"/>
        <v>100.0911419433708</v>
      </c>
      <c r="G28" t="s">
        <v>77</v>
      </c>
      <c r="K28" t="s">
        <v>77</v>
      </c>
    </row>
    <row r="29" spans="2:11" x14ac:dyDescent="0.3">
      <c r="B29">
        <v>8</v>
      </c>
      <c r="C29" s="23">
        <v>21.457000000000001</v>
      </c>
      <c r="D29" s="23">
        <f t="shared" si="4"/>
        <v>134.81830713615238</v>
      </c>
    </row>
    <row r="31" spans="2:11" x14ac:dyDescent="0.3">
      <c r="G31" t="s">
        <v>77</v>
      </c>
      <c r="K31" t="s">
        <v>77</v>
      </c>
    </row>
    <row r="34" spans="2:11" x14ac:dyDescent="0.3">
      <c r="B34" t="s">
        <v>77</v>
      </c>
      <c r="G34" t="s">
        <v>77</v>
      </c>
      <c r="K34" t="s">
        <v>77</v>
      </c>
    </row>
  </sheetData>
  <mergeCells count="4">
    <mergeCell ref="C4:D4"/>
    <mergeCell ref="K2:L2"/>
    <mergeCell ref="K4:L4"/>
    <mergeCell ref="O4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2B41-A5A3-4E74-AE5C-BF111F224644}">
  <dimension ref="B5:P34"/>
  <sheetViews>
    <sheetView workbookViewId="0">
      <selection activeCell="O18" sqref="O18"/>
    </sheetView>
  </sheetViews>
  <sheetFormatPr defaultRowHeight="14.4" x14ac:dyDescent="0.3"/>
  <cols>
    <col min="5" max="5" width="12" bestFit="1" customWidth="1"/>
    <col min="9" max="11" width="11.5546875" bestFit="1" customWidth="1"/>
  </cols>
  <sheetData>
    <row r="5" spans="2:16" x14ac:dyDescent="0.3">
      <c r="B5" t="s">
        <v>18</v>
      </c>
      <c r="C5">
        <v>30</v>
      </c>
      <c r="E5" t="s">
        <v>97</v>
      </c>
      <c r="F5" t="s">
        <v>98</v>
      </c>
      <c r="G5" t="s">
        <v>99</v>
      </c>
      <c r="I5" t="s">
        <v>106</v>
      </c>
      <c r="J5" t="s">
        <v>107</v>
      </c>
      <c r="K5" t="s">
        <v>108</v>
      </c>
      <c r="M5" s="14" t="s">
        <v>111</v>
      </c>
      <c r="N5" t="s">
        <v>112</v>
      </c>
      <c r="O5" t="s">
        <v>113</v>
      </c>
      <c r="P5" t="s">
        <v>114</v>
      </c>
    </row>
    <row r="6" spans="2:16" x14ac:dyDescent="0.3">
      <c r="B6" t="s">
        <v>7</v>
      </c>
      <c r="C6">
        <v>1.2</v>
      </c>
      <c r="E6">
        <v>4.71</v>
      </c>
      <c r="F6">
        <v>7.85398</v>
      </c>
      <c r="G6">
        <v>10.9956</v>
      </c>
      <c r="I6" s="19">
        <f>(E6^2)*SQRT(($C$10*$C$11)/($C$9*$C$8*($C$5^4)))</f>
        <v>14.366429387058339</v>
      </c>
      <c r="J6" s="19">
        <f t="shared" ref="J6" si="0">(F6^2)*SQRT(($C$10*$C$11)/($C$9*$C$8*($C$5^4)))</f>
        <v>39.947224506771526</v>
      </c>
      <c r="K6" s="19">
        <f>(G6^2)*SQRT(($C$10*$C$11)/($C$9*$C$8*($C$5^4)))</f>
        <v>78.296958794968674</v>
      </c>
      <c r="M6">
        <v>0</v>
      </c>
      <c r="N6">
        <f t="shared" ref="N6:N34" si="1">$E$15*(-SIN(E$9*$M6)+SINH(E$9*$M6)+E$12*(-COS(E$9*$M6)+COSH(E$9*$M6)))</f>
        <v>0</v>
      </c>
      <c r="O6">
        <f t="shared" ref="O6:O34" si="2">$E$15*(-SIN(F$9*$M6)+SINH(F$9*$M6)+F$12*(-COS(F$9*$M6)+COSH(F$9*$M6)))</f>
        <v>0</v>
      </c>
      <c r="P6">
        <f t="shared" ref="P6:P34" si="3">$E$15*(-SIN(G$9*$M6)+SINH(G$9*$M6)+G$12*(-COS(G$9*$M6)+COSH(G$9*$M6)))</f>
        <v>0</v>
      </c>
    </row>
    <row r="7" spans="2:16" x14ac:dyDescent="0.3">
      <c r="B7" t="s">
        <v>21</v>
      </c>
      <c r="C7">
        <v>0.4</v>
      </c>
      <c r="M7">
        <v>1</v>
      </c>
      <c r="N7">
        <f t="shared" si="1"/>
        <v>-2.3797880984916218E-2</v>
      </c>
      <c r="O7">
        <f t="shared" si="2"/>
        <v>-6.2505371141690233E-2</v>
      </c>
      <c r="P7">
        <f t="shared" si="3"/>
        <v>-0.11793541121506707</v>
      </c>
    </row>
    <row r="8" spans="2:16" x14ac:dyDescent="0.3">
      <c r="B8" t="s">
        <v>109</v>
      </c>
      <c r="C8">
        <f>C6*C7</f>
        <v>0.48</v>
      </c>
      <c r="E8" t="s">
        <v>100</v>
      </c>
      <c r="F8" t="s">
        <v>101</v>
      </c>
      <c r="G8" t="s">
        <v>102</v>
      </c>
      <c r="I8" s="23">
        <f>I6*1</f>
        <v>14.366429387058339</v>
      </c>
      <c r="J8" s="23">
        <f>J6*1</f>
        <v>39.947224506771526</v>
      </c>
      <c r="K8" s="23">
        <f>K6*1</f>
        <v>78.296958794968674</v>
      </c>
      <c r="M8">
        <f>M7+1</f>
        <v>2</v>
      </c>
      <c r="N8">
        <f t="shared" si="1"/>
        <v>-9.0034091361514995E-2</v>
      </c>
      <c r="O8">
        <f t="shared" si="2"/>
        <v>-0.22614637593541936</v>
      </c>
      <c r="P8">
        <f t="shared" si="3"/>
        <v>-0.40645245607329261</v>
      </c>
    </row>
    <row r="9" spans="2:16" x14ac:dyDescent="0.3">
      <c r="B9" t="s">
        <v>110</v>
      </c>
      <c r="C9">
        <v>7850</v>
      </c>
      <c r="E9">
        <f>E6/$C$5</f>
        <v>0.157</v>
      </c>
      <c r="F9">
        <f>F6/$C$5</f>
        <v>0.26179933333333333</v>
      </c>
      <c r="G9">
        <f t="shared" ref="G9" si="4">G6/$C$5</f>
        <v>0.36652000000000001</v>
      </c>
      <c r="M9">
        <f t="shared" ref="M9:M34" si="5">M8+1</f>
        <v>3</v>
      </c>
      <c r="N9">
        <f t="shared" si="1"/>
        <v>-0.19099002436159934</v>
      </c>
      <c r="O9">
        <f t="shared" si="2"/>
        <v>-0.45545835259111545</v>
      </c>
      <c r="P9">
        <f t="shared" si="3"/>
        <v>-0.77007779095976181</v>
      </c>
    </row>
    <row r="10" spans="2:16" x14ac:dyDescent="0.3">
      <c r="B10" t="s">
        <v>93</v>
      </c>
      <c r="C10" s="19">
        <f>2*10^11</f>
        <v>200000000000</v>
      </c>
      <c r="M10">
        <f t="shared" si="5"/>
        <v>4</v>
      </c>
      <c r="N10">
        <f t="shared" si="1"/>
        <v>-0.3190052912686725</v>
      </c>
      <c r="O10">
        <f t="shared" si="2"/>
        <v>-0.71609038889615551</v>
      </c>
      <c r="P10">
        <f t="shared" si="3"/>
        <v>-1.1208988024530311</v>
      </c>
    </row>
    <row r="11" spans="2:16" x14ac:dyDescent="0.3">
      <c r="B11" t="s">
        <v>90</v>
      </c>
      <c r="C11">
        <f>(C6*C7^3)/12</f>
        <v>6.400000000000002E-3</v>
      </c>
      <c r="E11" t="s">
        <v>103</v>
      </c>
      <c r="F11" t="s">
        <v>104</v>
      </c>
      <c r="G11" t="s">
        <v>105</v>
      </c>
      <c r="M11">
        <f t="shared" si="5"/>
        <v>5</v>
      </c>
      <c r="N11">
        <f t="shared" si="1"/>
        <v>-0.46653828377745465</v>
      </c>
      <c r="O11">
        <f t="shared" si="2"/>
        <v>-0.97585563201155623</v>
      </c>
      <c r="P11">
        <f t="shared" si="3"/>
        <v>-1.3848611524733321</v>
      </c>
    </row>
    <row r="12" spans="2:16" x14ac:dyDescent="0.3">
      <c r="E12">
        <f>(SIN(E9*$C$5)-SINH(E9*$C$5))/(COSH(E9*$C$5)-COS(E9*$C$5))</f>
        <v>-1.0178020978744453</v>
      </c>
      <c r="F12">
        <f>(SIN(F9*$C$5)-SINH(F9*$C$5))/(COSH(F9*$C$5)-COS(F9*$C$5))</f>
        <v>-0.99922329230377482</v>
      </c>
      <c r="G12">
        <f>(SIN(G9*$C$5)-SINH(G9*$C$5))/(COSH(G9*$C$5)-COS(G9*$C$5))</f>
        <v>-1.000033551000221</v>
      </c>
      <c r="M12">
        <f t="shared" si="5"/>
        <v>6</v>
      </c>
      <c r="N12">
        <f t="shared" si="1"/>
        <v>-0.62624318889361563</v>
      </c>
      <c r="O12">
        <f t="shared" si="2"/>
        <v>-1.2059304200921805</v>
      </c>
      <c r="P12">
        <f t="shared" si="3"/>
        <v>-1.5078769396674985</v>
      </c>
    </row>
    <row r="13" spans="2:16" x14ac:dyDescent="0.3">
      <c r="M13">
        <f t="shared" si="5"/>
        <v>7</v>
      </c>
      <c r="N13">
        <f t="shared" si="1"/>
        <v>-0.79105888209719044</v>
      </c>
      <c r="O13">
        <f t="shared" si="2"/>
        <v>-1.3820519752537783</v>
      </c>
      <c r="P13">
        <f t="shared" si="3"/>
        <v>-1.4604254678367141</v>
      </c>
    </row>
    <row r="14" spans="2:16" x14ac:dyDescent="0.3">
      <c r="E14" t="s">
        <v>115</v>
      </c>
      <c r="M14">
        <f t="shared" si="5"/>
        <v>8</v>
      </c>
      <c r="N14">
        <f t="shared" si="1"/>
        <v>-0.95430524465585087</v>
      </c>
      <c r="O14">
        <f t="shared" si="2"/>
        <v>-1.4855801950375374</v>
      </c>
      <c r="P14">
        <f t="shared" si="3"/>
        <v>-1.2396843917093037</v>
      </c>
    </row>
    <row r="15" spans="2:16" x14ac:dyDescent="0.3">
      <c r="E15">
        <v>1</v>
      </c>
      <c r="M15">
        <f t="shared" si="5"/>
        <v>9</v>
      </c>
      <c r="N15">
        <f t="shared" si="1"/>
        <v>-1.1097826246949378</v>
      </c>
      <c r="O15">
        <f t="shared" si="2"/>
        <v>-1.504310398096699</v>
      </c>
      <c r="P15">
        <f t="shared" si="3"/>
        <v>-0.86866492094622672</v>
      </c>
    </row>
    <row r="16" spans="2:16" x14ac:dyDescent="0.3">
      <c r="M16">
        <f t="shared" si="5"/>
        <v>10</v>
      </c>
      <c r="N16">
        <f t="shared" si="1"/>
        <v>-1.2518703934381961</v>
      </c>
      <c r="O16">
        <f t="shared" si="2"/>
        <v>-1.4329500976367386</v>
      </c>
      <c r="P16">
        <f t="shared" si="3"/>
        <v>-0.3922975493641836</v>
      </c>
    </row>
    <row r="17" spans="13:16" x14ac:dyDescent="0.3">
      <c r="M17">
        <f t="shared" si="5"/>
        <v>11</v>
      </c>
      <c r="N17">
        <f t="shared" si="1"/>
        <v>-1.3756208398600942</v>
      </c>
      <c r="O17">
        <f t="shared" si="2"/>
        <v>-1.2732028438026557</v>
      </c>
      <c r="P17">
        <f t="shared" si="3"/>
        <v>0.12912820462432251</v>
      </c>
    </row>
    <row r="18" spans="13:16" x14ac:dyDescent="0.3">
      <c r="M18">
        <f t="shared" si="5"/>
        <v>12</v>
      </c>
      <c r="N18">
        <f t="shared" si="1"/>
        <v>-1.4768449983171688</v>
      </c>
      <c r="O18">
        <f t="shared" si="2"/>
        <v>-1.0334343389406282</v>
      </c>
      <c r="P18">
        <f t="shared" si="3"/>
        <v>0.62837896449576647</v>
      </c>
    </row>
    <row r="19" spans="13:16" x14ac:dyDescent="0.3">
      <c r="M19">
        <f t="shared" si="5"/>
        <v>13</v>
      </c>
      <c r="N19">
        <f t="shared" si="1"/>
        <v>-1.5521874117554004</v>
      </c>
      <c r="O19">
        <f t="shared" si="2"/>
        <v>-0.72792856683509477</v>
      </c>
      <c r="P19">
        <f t="shared" si="3"/>
        <v>1.0404848980551904</v>
      </c>
    </row>
    <row r="20" spans="13:16" x14ac:dyDescent="0.3">
      <c r="M20">
        <f t="shared" si="5"/>
        <v>14</v>
      </c>
      <c r="N20">
        <f t="shared" si="1"/>
        <v>-1.5991872929632116</v>
      </c>
      <c r="O20">
        <f t="shared" si="2"/>
        <v>-0.37577265181701236</v>
      </c>
      <c r="P20">
        <f t="shared" si="3"/>
        <v>1.311553759183326</v>
      </c>
    </row>
    <row r="21" spans="13:16" x14ac:dyDescent="0.3">
      <c r="M21">
        <f t="shared" si="5"/>
        <v>15</v>
      </c>
      <c r="N21">
        <f t="shared" si="1"/>
        <v>-1.616324051379312</v>
      </c>
      <c r="O21">
        <f t="shared" si="2"/>
        <v>5.633256237693729E-4</v>
      </c>
      <c r="P21">
        <f t="shared" si="3"/>
        <v>1.4060456369213483</v>
      </c>
    </row>
    <row r="22" spans="13:16" x14ac:dyDescent="0.3">
      <c r="M22">
        <f t="shared" si="5"/>
        <v>16</v>
      </c>
      <c r="N22">
        <f t="shared" si="1"/>
        <v>-1.6030456949584808</v>
      </c>
      <c r="O22">
        <f t="shared" si="2"/>
        <v>0.37686300592957167</v>
      </c>
      <c r="P22">
        <f t="shared" si="3"/>
        <v>1.3115577556906715</v>
      </c>
    </row>
    <row r="23" spans="13:16" x14ac:dyDescent="0.3">
      <c r="M23">
        <f t="shared" si="5"/>
        <v>17</v>
      </c>
      <c r="N23">
        <f t="shared" si="1"/>
        <v>-1.5597791861019914</v>
      </c>
      <c r="O23">
        <f t="shared" si="2"/>
        <v>0.7289126473742229</v>
      </c>
      <c r="P23">
        <f t="shared" si="3"/>
        <v>1.0404923666403363</v>
      </c>
    </row>
    <row r="24" spans="13:16" x14ac:dyDescent="0.3">
      <c r="M24">
        <f t="shared" si="5"/>
        <v>18</v>
      </c>
      <c r="N24">
        <f t="shared" si="1"/>
        <v>-1.4879224173260877</v>
      </c>
      <c r="O24">
        <f t="shared" si="2"/>
        <v>1.0342498545043384</v>
      </c>
      <c r="P24">
        <f t="shared" si="3"/>
        <v>0.62838892684305847</v>
      </c>
    </row>
    <row r="25" spans="13:16" x14ac:dyDescent="0.3">
      <c r="M25">
        <f t="shared" si="5"/>
        <v>19</v>
      </c>
      <c r="N25">
        <f t="shared" si="1"/>
        <v>-1.3898180652665744</v>
      </c>
      <c r="O25">
        <f t="shared" si="2"/>
        <v>1.2737997620219659</v>
      </c>
      <c r="P25">
        <f t="shared" si="3"/>
        <v>0.12913936036704854</v>
      </c>
    </row>
    <row r="26" spans="13:16" x14ac:dyDescent="0.3">
      <c r="M26">
        <f>M25+1</f>
        <v>20</v>
      </c>
      <c r="N26">
        <f t="shared" si="1"/>
        <v>-1.2687101696933549</v>
      </c>
      <c r="O26">
        <f t="shared" si="2"/>
        <v>1.4332944369279801</v>
      </c>
      <c r="P26">
        <f t="shared" si="3"/>
        <v>-0.39228664677432334</v>
      </c>
    </row>
    <row r="27" spans="13:16" x14ac:dyDescent="0.3">
      <c r="M27">
        <f t="shared" si="5"/>
        <v>21</v>
      </c>
      <c r="N27">
        <f t="shared" si="1"/>
        <v>-1.1286848564842185</v>
      </c>
      <c r="O27">
        <f t="shared" si="2"/>
        <v>1.5043870051087396</v>
      </c>
      <c r="P27">
        <f t="shared" si="3"/>
        <v>-0.86865566727510668</v>
      </c>
    </row>
    <row r="28" spans="13:16" x14ac:dyDescent="0.3">
      <c r="M28">
        <f t="shared" si="5"/>
        <v>22</v>
      </c>
      <c r="N28">
        <f t="shared" si="1"/>
        <v>-0.97459716954539388</v>
      </c>
      <c r="O28">
        <f t="shared" si="2"/>
        <v>1.4853943503385096</v>
      </c>
      <c r="P28">
        <f t="shared" si="3"/>
        <v>-1.239677939389594</v>
      </c>
    </row>
    <row r="29" spans="13:16" x14ac:dyDescent="0.3">
      <c r="M29">
        <f t="shared" si="5"/>
        <v>23</v>
      </c>
      <c r="N29">
        <f t="shared" si="1"/>
        <v>-0.81198648688820896</v>
      </c>
      <c r="O29">
        <f t="shared" si="2"/>
        <v>1.3816297573305008</v>
      </c>
      <c r="P29">
        <f t="shared" si="3"/>
        <v>-1.4604225624439096</v>
      </c>
    </row>
    <row r="30" spans="13:16" x14ac:dyDescent="0.3">
      <c r="M30">
        <f t="shared" si="5"/>
        <v>24</v>
      </c>
      <c r="N30">
        <f t="shared" si="1"/>
        <v>-0.64698346208865587</v>
      </c>
      <c r="O30">
        <f t="shared" si="2"/>
        <v>1.2053178527531827</v>
      </c>
      <c r="P30">
        <f t="shared" si="3"/>
        <v>-1.507877805723183</v>
      </c>
    </row>
    <row r="31" spans="13:16" x14ac:dyDescent="0.3">
      <c r="M31">
        <f t="shared" si="5"/>
        <v>25</v>
      </c>
      <c r="N31">
        <f t="shared" si="1"/>
        <v>-0.48621184728153821</v>
      </c>
      <c r="O31">
        <f t="shared" si="2"/>
        <v>0.97511673703155566</v>
      </c>
      <c r="P31">
        <f t="shared" si="3"/>
        <v>-1.3848654416924546</v>
      </c>
    </row>
    <row r="32" spans="13:16" x14ac:dyDescent="0.3">
      <c r="M32">
        <f t="shared" si="5"/>
        <v>26</v>
      </c>
      <c r="N32">
        <f t="shared" si="1"/>
        <v>-0.33668891256503741</v>
      </c>
      <c r="O32">
        <f t="shared" si="2"/>
        <v>0.71530435857550856</v>
      </c>
      <c r="P32">
        <f t="shared" si="3"/>
        <v>-1.1209056083198448</v>
      </c>
    </row>
    <row r="33" spans="13:16" x14ac:dyDescent="0.3">
      <c r="M33">
        <f t="shared" si="5"/>
        <v>27</v>
      </c>
      <c r="N33">
        <f t="shared" si="1"/>
        <v>-0.20572847614297984</v>
      </c>
      <c r="O33">
        <f t="shared" si="2"/>
        <v>0.45471614076257083</v>
      </c>
      <c r="P33">
        <f t="shared" si="3"/>
        <v>-0.77008572340855608</v>
      </c>
    </row>
    <row r="34" spans="13:16" x14ac:dyDescent="0.3">
      <c r="M34">
        <f t="shared" si="5"/>
        <v>28</v>
      </c>
      <c r="N34">
        <f t="shared" si="1"/>
        <v>-0.10085079888700932</v>
      </c>
      <c r="O34">
        <f t="shared" si="2"/>
        <v>0.22554707675908503</v>
      </c>
      <c r="P34">
        <f t="shared" si="3"/>
        <v>-0.4064597601263813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4257-8F18-4FAE-A112-5D98624A683F}">
  <dimension ref="A4:M16"/>
  <sheetViews>
    <sheetView workbookViewId="0">
      <selection activeCell="D13" sqref="D13"/>
    </sheetView>
  </sheetViews>
  <sheetFormatPr defaultRowHeight="14.4" x14ac:dyDescent="0.3"/>
  <cols>
    <col min="2" max="2" width="17.109375" customWidth="1"/>
    <col min="3" max="3" width="14.5546875" customWidth="1"/>
    <col min="4" max="4" width="13.77734375" customWidth="1"/>
    <col min="5" max="5" width="14.44140625" bestFit="1" customWidth="1"/>
    <col min="6" max="6" width="11.33203125" bestFit="1" customWidth="1"/>
    <col min="7" max="7" width="9.33203125" customWidth="1"/>
  </cols>
  <sheetData>
    <row r="4" spans="1:13" ht="20.399999999999999" thickBot="1" x14ac:dyDescent="0.45">
      <c r="B4" s="51" t="s">
        <v>119</v>
      </c>
      <c r="C4" s="51"/>
      <c r="D4" s="51"/>
      <c r="E4" s="51"/>
    </row>
    <row r="5" spans="1:13" ht="15" thickTop="1" x14ac:dyDescent="0.3"/>
    <row r="6" spans="1:13" x14ac:dyDescent="0.3">
      <c r="B6" s="52" t="s">
        <v>128</v>
      </c>
      <c r="C6" s="52"/>
      <c r="D6" s="52"/>
      <c r="E6" s="52"/>
      <c r="F6" s="52"/>
    </row>
    <row r="7" spans="1:13" x14ac:dyDescent="0.3">
      <c r="B7" s="24" t="s">
        <v>120</v>
      </c>
      <c r="C7" s="24" t="s">
        <v>125</v>
      </c>
      <c r="D7" s="24" t="s">
        <v>126</v>
      </c>
      <c r="E7" s="28" t="s">
        <v>131</v>
      </c>
      <c r="F7" s="28" t="s">
        <v>130</v>
      </c>
      <c r="M7" s="21"/>
    </row>
    <row r="8" spans="1:13" x14ac:dyDescent="0.3">
      <c r="A8" s="25" t="s">
        <v>106</v>
      </c>
      <c r="B8" s="30">
        <v>12.474534983162984</v>
      </c>
      <c r="C8" s="30">
        <v>12.474007790343633</v>
      </c>
      <c r="D8" s="30">
        <v>11.124365216197299</v>
      </c>
      <c r="E8" s="30">
        <f>(ABS(B8-C8)/B8)*100</f>
        <v>4.2261520775171068E-3</v>
      </c>
      <c r="F8" s="30">
        <f>(ABS(B8-D8)/B8)*100</f>
        <v>10.823407596259289</v>
      </c>
      <c r="M8" s="21"/>
    </row>
    <row r="9" spans="1:13" x14ac:dyDescent="0.3">
      <c r="A9" s="25" t="s">
        <v>107</v>
      </c>
      <c r="B9" s="30">
        <v>34.386550161206067</v>
      </c>
      <c r="C9" s="30">
        <v>34.37907672676382</v>
      </c>
      <c r="D9" s="30">
        <v>31.3163629159184</v>
      </c>
      <c r="E9" s="30">
        <f>(ABS(B9-C9)/B9)*100</f>
        <v>2.1733597604908915E-2</v>
      </c>
      <c r="F9" s="30">
        <f>(ABS(B9-D9)/B9)*100</f>
        <v>8.9284538021245439</v>
      </c>
      <c r="M9" s="21"/>
    </row>
    <row r="10" spans="1:13" x14ac:dyDescent="0.3">
      <c r="A10" s="25" t="s">
        <v>108</v>
      </c>
      <c r="B10" s="30">
        <v>67.411284676790615</v>
      </c>
      <c r="C10" s="30">
        <v>67.380879234193884</v>
      </c>
      <c r="D10" s="30">
        <v>61.6363489795405</v>
      </c>
      <c r="E10" s="30">
        <f>(ABS(B10-C10)/B10)*100</f>
        <v>4.5104380880015012E-2</v>
      </c>
      <c r="F10" s="30">
        <f>(ABS(B10-D10)/B10)*100</f>
        <v>8.56671954100646</v>
      </c>
      <c r="M10" s="21"/>
    </row>
    <row r="11" spans="1:13" x14ac:dyDescent="0.3">
      <c r="B11" s="52" t="s">
        <v>124</v>
      </c>
      <c r="C11" s="52"/>
      <c r="D11" s="52"/>
      <c r="E11" s="16"/>
      <c r="F11" s="30"/>
      <c r="L11" s="21"/>
    </row>
    <row r="12" spans="1:13" x14ac:dyDescent="0.3">
      <c r="B12" s="28" t="s">
        <v>125</v>
      </c>
      <c r="C12" s="28" t="s">
        <v>126</v>
      </c>
      <c r="D12" s="28" t="s">
        <v>129</v>
      </c>
      <c r="E12" s="16"/>
      <c r="F12" s="30"/>
      <c r="L12" s="21"/>
    </row>
    <row r="13" spans="1:13" x14ac:dyDescent="0.3">
      <c r="A13" s="29" t="s">
        <v>106</v>
      </c>
      <c r="B13" s="30">
        <v>8.9478841959544475</v>
      </c>
      <c r="C13" s="30">
        <v>8.5242000000000004</v>
      </c>
      <c r="D13" s="30">
        <f>(ABS(C13-B13)/C13)*100</f>
        <v>4.9703690194322876</v>
      </c>
      <c r="E13" s="16"/>
      <c r="F13" s="30"/>
      <c r="L13" s="21"/>
    </row>
    <row r="14" spans="1:13" x14ac:dyDescent="0.3">
      <c r="A14" s="29" t="s">
        <v>107</v>
      </c>
      <c r="B14" s="30">
        <v>22.133776881601527</v>
      </c>
      <c r="C14" s="30">
        <v>21.647400000000001</v>
      </c>
      <c r="D14" s="30">
        <f t="shared" ref="D14:D15" si="0">(ABS(C14-B14)/C14)*100</f>
        <v>2.2468143130423326</v>
      </c>
      <c r="E14" s="16"/>
      <c r="F14" s="30"/>
      <c r="L14" s="21"/>
    </row>
    <row r="15" spans="1:13" x14ac:dyDescent="0.3">
      <c r="A15" s="29" t="s">
        <v>108</v>
      </c>
      <c r="B15" s="30">
        <v>41.748624773554759</v>
      </c>
      <c r="C15" s="30">
        <v>40.5989</v>
      </c>
      <c r="D15" s="30">
        <f t="shared" si="0"/>
        <v>2.8319111442791773</v>
      </c>
      <c r="E15" s="16"/>
      <c r="F15" s="30"/>
      <c r="L15" s="21"/>
    </row>
    <row r="16" spans="1:13" x14ac:dyDescent="0.3">
      <c r="B16" s="16"/>
      <c r="C16" s="16"/>
      <c r="D16" s="16"/>
      <c r="E16" s="16"/>
      <c r="F16" s="16"/>
    </row>
  </sheetData>
  <mergeCells count="3">
    <mergeCell ref="B4:E4"/>
    <mergeCell ref="B11:D11"/>
    <mergeCell ref="B6:F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7EF9-C390-4DED-B2D6-7CFCA4613614}">
  <dimension ref="B3:C22"/>
  <sheetViews>
    <sheetView workbookViewId="0">
      <selection activeCell="F32" sqref="F32"/>
    </sheetView>
  </sheetViews>
  <sheetFormatPr defaultRowHeight="14.4" x14ac:dyDescent="0.3"/>
  <cols>
    <col min="2" max="2" width="12.88671875" bestFit="1" customWidth="1"/>
  </cols>
  <sheetData>
    <row r="3" spans="2:3" x14ac:dyDescent="0.3">
      <c r="B3" s="16" t="s">
        <v>121</v>
      </c>
      <c r="C3" s="16" t="s">
        <v>124</v>
      </c>
    </row>
    <row r="4" spans="2:3" x14ac:dyDescent="0.3">
      <c r="B4" s="22">
        <v>1.76395836865834</v>
      </c>
      <c r="C4" s="27">
        <v>8.5242000000000004</v>
      </c>
    </row>
    <row r="5" spans="2:3" x14ac:dyDescent="0.3">
      <c r="B5" s="22">
        <v>11.124365216197299</v>
      </c>
      <c r="C5" s="27">
        <v>21.647400000000001</v>
      </c>
    </row>
    <row r="6" spans="2:3" x14ac:dyDescent="0.3">
      <c r="B6" s="22">
        <v>31.3163629159184</v>
      </c>
      <c r="C6" s="27">
        <v>40.5989</v>
      </c>
    </row>
    <row r="7" spans="2:3" x14ac:dyDescent="0.3">
      <c r="B7" s="22">
        <v>61.6363489795405</v>
      </c>
      <c r="C7" s="16">
        <v>64.998999999999995</v>
      </c>
    </row>
    <row r="8" spans="2:3" x14ac:dyDescent="0.3">
      <c r="B8" s="22">
        <v>102.003803542898</v>
      </c>
      <c r="C8" s="16">
        <v>95.49</v>
      </c>
    </row>
    <row r="9" spans="2:3" x14ac:dyDescent="0.3">
      <c r="B9" s="22">
        <v>151.359141210556</v>
      </c>
      <c r="C9" s="16">
        <v>131.2901</v>
      </c>
    </row>
    <row r="10" spans="2:3" x14ac:dyDescent="0.3">
      <c r="B10" s="22">
        <v>206.43610338460101</v>
      </c>
      <c r="C10" s="16">
        <v>172.8912</v>
      </c>
    </row>
    <row r="11" spans="2:3" x14ac:dyDescent="0.3">
      <c r="B11" s="22">
        <v>259.64387589381801</v>
      </c>
      <c r="C11" s="16">
        <v>220.21369999999999</v>
      </c>
    </row>
    <row r="12" spans="2:3" x14ac:dyDescent="0.3">
      <c r="B12" s="22">
        <v>298.73693919726099</v>
      </c>
      <c r="C12" s="16">
        <v>273.07240000000002</v>
      </c>
    </row>
    <row r="13" spans="2:3" x14ac:dyDescent="0.3">
      <c r="B13" s="16"/>
      <c r="C13" s="16">
        <v>331.61970000000002</v>
      </c>
    </row>
    <row r="14" spans="2:3" x14ac:dyDescent="0.3">
      <c r="B14" s="16"/>
      <c r="C14" s="16">
        <v>394.66930000000002</v>
      </c>
    </row>
    <row r="15" spans="2:3" x14ac:dyDescent="0.3">
      <c r="B15" s="16"/>
      <c r="C15" s="16">
        <v>461.43599999999998</v>
      </c>
    </row>
    <row r="16" spans="2:3" x14ac:dyDescent="0.3">
      <c r="B16" s="16"/>
      <c r="C16" s="16">
        <v>531.8306</v>
      </c>
    </row>
    <row r="17" spans="2:3" x14ac:dyDescent="0.3">
      <c r="B17" s="16"/>
      <c r="C17" s="16">
        <v>599.14269999999999</v>
      </c>
    </row>
    <row r="18" spans="2:3" x14ac:dyDescent="0.3">
      <c r="B18" s="16"/>
      <c r="C18" s="16">
        <v>664.55730000000005</v>
      </c>
    </row>
    <row r="19" spans="2:3" x14ac:dyDescent="0.3">
      <c r="B19" s="16"/>
      <c r="C19" s="16">
        <v>729.8768</v>
      </c>
    </row>
    <row r="20" spans="2:3" x14ac:dyDescent="0.3">
      <c r="B20" s="16"/>
      <c r="C20" s="16">
        <v>756.32529999999997</v>
      </c>
    </row>
    <row r="21" spans="2:3" x14ac:dyDescent="0.3">
      <c r="B21" s="16"/>
      <c r="C21" s="16">
        <v>871.58090000000004</v>
      </c>
    </row>
    <row r="22" spans="2:3" x14ac:dyDescent="0.3">
      <c r="B22" s="16"/>
      <c r="C22" s="16">
        <v>910.61339999999996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5CDC6FBE9BDF4CAE3FCB4C16258CB8" ma:contentTypeVersion="7" ma:contentTypeDescription="Criar um novo documento." ma:contentTypeScope="" ma:versionID="ac4407da6cbba976ab253708062c39a3">
  <xsd:schema xmlns:xsd="http://www.w3.org/2001/XMLSchema" xmlns:xs="http://www.w3.org/2001/XMLSchema" xmlns:p="http://schemas.microsoft.com/office/2006/metadata/properties" xmlns:ns3="15e45949-0dfb-425f-b883-c372b88521e8" xmlns:ns4="c125bbaa-c13a-42e0-8e7b-2553359fc874" targetNamespace="http://schemas.microsoft.com/office/2006/metadata/properties" ma:root="true" ma:fieldsID="02788c6bda23e7453d2fa40d97aa9f36" ns3:_="" ns4:_="">
    <xsd:import namespace="15e45949-0dfb-425f-b883-c372b88521e8"/>
    <xsd:import namespace="c125bbaa-c13a-42e0-8e7b-2553359fc8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45949-0dfb-425f-b883-c372b88521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25bbaa-c13a-42e0-8e7b-2553359fc8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EAF59E-4AF6-4521-AB57-3A0746141CF3}">
  <ds:schemaRefs>
    <ds:schemaRef ds:uri="http://schemas.microsoft.com/office/infopath/2007/PartnerControls"/>
    <ds:schemaRef ds:uri="15e45949-0dfb-425f-b883-c372b88521e8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c125bbaa-c13a-42e0-8e7b-2553359fc87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64C2151-AE22-418C-944E-F1E0BC3BB2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50BED3-3BBD-4E89-B70F-9CD82F06FA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e45949-0dfb-425f-b883-c372b88521e8"/>
    <ds:schemaRef ds:uri="c125bbaa-c13a-42e0-8e7b-2553359fc8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Folha1</vt:lpstr>
      <vt:lpstr>Rhinoceros-J2</vt:lpstr>
      <vt:lpstr>Foglio1</vt:lpstr>
      <vt:lpstr>J3</vt:lpstr>
      <vt:lpstr>J4</vt:lpstr>
      <vt:lpstr>ANSYS</vt:lpstr>
      <vt:lpstr>Analytical</vt:lpstr>
      <vt:lpstr>Method_Comp</vt:lpstr>
      <vt:lpstr>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B Correia</dc:creator>
  <cp:lastModifiedBy>davide melozzi</cp:lastModifiedBy>
  <dcterms:created xsi:type="dcterms:W3CDTF">2022-04-26T10:59:36Z</dcterms:created>
  <dcterms:modified xsi:type="dcterms:W3CDTF">2022-05-02T09:33:36Z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0x0101006A5CDC6FBE9BDF4CAE3FCB4C16258CB8</vt:lpwstr>
  </property>
</Properties>
</file>