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ti\OneDrive\Documents\University\VN\"/>
    </mc:Choice>
  </mc:AlternateContent>
  <xr:revisionPtr revIDLastSave="0" documentId="13_ncr:1_{5C6CCB16-A6F0-48A4-BF8F-D77727D17EE3}" xr6:coauthVersionLast="47" xr6:coauthVersionMax="47" xr10:uidLastSave="{00000000-0000-0000-0000-000000000000}"/>
  <bookViews>
    <workbookView xWindow="4440" yWindow="756" windowWidth="17280" windowHeight="8880" firstSheet="1" activeTab="2" xr2:uid="{8902AEA7-42F9-4EB9-A6E8-DB80F7CD24EA}"/>
  </bookViews>
  <sheets>
    <sheet name="Variables" sheetId="3" r:id="rId1"/>
    <sheet name="Uniform Beam" sheetId="1" r:id="rId2"/>
    <sheet name="Unstiffened Plate " sheetId="2" r:id="rId3"/>
    <sheet name="Stiffened Plate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2" l="1"/>
  <c r="F6" i="2"/>
  <c r="E6" i="2"/>
  <c r="G5" i="2"/>
  <c r="F5" i="2"/>
  <c r="E5" i="2"/>
  <c r="G4" i="2"/>
  <c r="F4" i="2"/>
  <c r="E4" i="2"/>
  <c r="V13" i="1"/>
  <c r="U13" i="1"/>
  <c r="T13" i="1"/>
  <c r="V12" i="1"/>
  <c r="U12" i="1"/>
  <c r="T12" i="1"/>
  <c r="V11" i="1"/>
  <c r="U11" i="1"/>
  <c r="T11" i="1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14" i="2"/>
  <c r="M17" i="2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16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14" i="2"/>
  <c r="H17" i="2"/>
  <c r="H18" i="2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16" i="2"/>
  <c r="C7" i="4"/>
  <c r="C6" i="4"/>
  <c r="J8" i="2"/>
  <c r="R9" i="2"/>
  <c r="R10" i="2"/>
  <c r="R8" i="2"/>
  <c r="L10" i="2"/>
  <c r="L9" i="2"/>
  <c r="L8" i="2"/>
  <c r="K10" i="2"/>
  <c r="Q10" i="2" s="1"/>
  <c r="K9" i="2"/>
  <c r="Q9" i="2" s="1"/>
  <c r="K8" i="2"/>
  <c r="Q8" i="2" s="1"/>
  <c r="J10" i="2"/>
  <c r="P10" i="2" s="1"/>
  <c r="J9" i="2"/>
  <c r="P9" i="2" s="1"/>
  <c r="P8" i="2"/>
  <c r="C13" i="2"/>
  <c r="C12" i="2"/>
  <c r="F5" i="1"/>
  <c r="C11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9" i="1"/>
  <c r="G34" i="1"/>
  <c r="G35" i="1" s="1"/>
  <c r="G36" i="1" s="1"/>
  <c r="G37" i="1" s="1"/>
  <c r="G38" i="1" s="1"/>
  <c r="G39" i="1" s="1"/>
  <c r="G30" i="1"/>
  <c r="G31" i="1" s="1"/>
  <c r="G32" i="1" s="1"/>
  <c r="G33" i="1" s="1"/>
  <c r="G12" i="1"/>
  <c r="G13" i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11" i="1"/>
  <c r="T4" i="1"/>
  <c r="S4" i="1"/>
  <c r="R4" i="1"/>
  <c r="G5" i="1"/>
  <c r="J5" i="1"/>
  <c r="M5" i="1"/>
  <c r="G9" i="3"/>
  <c r="G8" i="3"/>
  <c r="C12" i="3"/>
  <c r="C11" i="3"/>
  <c r="C10" i="3"/>
  <c r="C14" i="3" s="1"/>
  <c r="C15" i="3" s="1"/>
  <c r="N5" i="1" l="1"/>
  <c r="Q4" i="1"/>
  <c r="H5" i="1"/>
  <c r="O5" i="1"/>
  <c r="K5" i="1"/>
  <c r="L5" i="1" s="1"/>
  <c r="I5" i="1"/>
  <c r="C13" i="3"/>
  <c r="C10" i="2" l="1"/>
  <c r="C7" i="2"/>
  <c r="C10" i="1"/>
  <c r="C9" i="1"/>
  <c r="C13" i="1" s="1"/>
  <c r="C14" i="1" s="1"/>
  <c r="C12" i="1" l="1"/>
</calcChain>
</file>

<file path=xl/sharedStrings.xml><?xml version="1.0" encoding="utf-8"?>
<sst xmlns="http://schemas.openxmlformats.org/spreadsheetml/2006/main" count="159" uniqueCount="91">
  <si>
    <t>Uniform Beam</t>
  </si>
  <si>
    <t>L [m]</t>
  </si>
  <si>
    <t>B [m]</t>
  </si>
  <si>
    <t>H [m]</t>
  </si>
  <si>
    <t>E [N/m^2]</t>
  </si>
  <si>
    <t>ro [kg/m^3]</t>
  </si>
  <si>
    <t>Area [m^2]</t>
  </si>
  <si>
    <t>I_yy [m^4]</t>
  </si>
  <si>
    <t>I_xx [m^4]</t>
  </si>
  <si>
    <t>I [m^4]</t>
  </si>
  <si>
    <t>omega_1</t>
  </si>
  <si>
    <t>1st mode</t>
  </si>
  <si>
    <t>2nd mode</t>
  </si>
  <si>
    <t>3rd mode</t>
  </si>
  <si>
    <t>beta_2</t>
  </si>
  <si>
    <t>omega_2</t>
  </si>
  <si>
    <t>beta_3</t>
  </si>
  <si>
    <t>omega_3</t>
  </si>
  <si>
    <t>Volume [m^3]</t>
  </si>
  <si>
    <t>Mass [kg]</t>
  </si>
  <si>
    <t>beta1/L</t>
  </si>
  <si>
    <t>constant_1</t>
  </si>
  <si>
    <t>[Hz]</t>
  </si>
  <si>
    <t>[rad/s]</t>
  </si>
  <si>
    <t>A [m]</t>
  </si>
  <si>
    <t>rho [kg/m^3]</t>
  </si>
  <si>
    <t>Project 2 (Vibration of Ships and Platforms)</t>
  </si>
  <si>
    <t>Condit.</t>
  </si>
  <si>
    <t>Fixed-fixed</t>
  </si>
  <si>
    <t>Rho [kg/m^3]</t>
  </si>
  <si>
    <t>Unstiffened Plate</t>
  </si>
  <si>
    <t>t [m]</t>
  </si>
  <si>
    <t>Simply-supp.</t>
  </si>
  <si>
    <t>Stiffened Plate</t>
  </si>
  <si>
    <t>a [m]</t>
  </si>
  <si>
    <t>b [m]</t>
  </si>
  <si>
    <t>be [m]</t>
  </si>
  <si>
    <t>hw [m]</t>
  </si>
  <si>
    <t>t,tw [m]</t>
  </si>
  <si>
    <t>Ship's Dimensions</t>
  </si>
  <si>
    <t>LOA [m]</t>
  </si>
  <si>
    <t>Lpp [m]</t>
  </si>
  <si>
    <t>T [m]</t>
  </si>
  <si>
    <t>Trim [m]</t>
  </si>
  <si>
    <t>D [t]</t>
  </si>
  <si>
    <t>LCG</t>
  </si>
  <si>
    <t>KG [m]</t>
  </si>
  <si>
    <t>GM [m]</t>
  </si>
  <si>
    <t>x [m]</t>
  </si>
  <si>
    <t>W [t/m]</t>
  </si>
  <si>
    <t>Constants</t>
  </si>
  <si>
    <t>Analytical solution</t>
  </si>
  <si>
    <t>ANSYS solution</t>
  </si>
  <si>
    <t>βL (1st mode)</t>
  </si>
  <si>
    <t>βL (3rd mode)</t>
  </si>
  <si>
    <t>βL (2nd mode)</t>
  </si>
  <si>
    <t>W(x) [1st mode]</t>
  </si>
  <si>
    <t>W(x) [2nd mode]</t>
  </si>
  <si>
    <t>W(x) [3rd mode]</t>
  </si>
  <si>
    <t>beta2/L</t>
  </si>
  <si>
    <t>beta3/L</t>
  </si>
  <si>
    <t>Rectangular Plate</t>
  </si>
  <si>
    <t>Analytical</t>
  </si>
  <si>
    <t>ANSYS Analysis</t>
  </si>
  <si>
    <t>4th mode</t>
  </si>
  <si>
    <t>5th mode</t>
  </si>
  <si>
    <t>6th mode</t>
  </si>
  <si>
    <t>7th mode</t>
  </si>
  <si>
    <t>8th mode</t>
  </si>
  <si>
    <t>9th mode</t>
  </si>
  <si>
    <t>D</t>
  </si>
  <si>
    <t>ν</t>
  </si>
  <si>
    <t>m</t>
  </si>
  <si>
    <t>n</t>
  </si>
  <si>
    <t>First constant</t>
  </si>
  <si>
    <t>Rectangular Stiffened Plate</t>
  </si>
  <si>
    <t>Thickness [m]</t>
  </si>
  <si>
    <t>tw [m]</t>
  </si>
  <si>
    <t>W(x) 1st mode</t>
  </si>
  <si>
    <t>W(x) 2nd mode</t>
  </si>
  <si>
    <t>W(x) 3rd mode</t>
  </si>
  <si>
    <t>y [m]</t>
  </si>
  <si>
    <t>W(y) 1st mode</t>
  </si>
  <si>
    <t>W(y) 2nd mode</t>
  </si>
  <si>
    <t>W(y) 3rd mode</t>
  </si>
  <si>
    <t>Discrepancy</t>
  </si>
  <si>
    <t>FEM</t>
  </si>
  <si>
    <t>1st Mode</t>
  </si>
  <si>
    <t>2nd Mode</t>
  </si>
  <si>
    <t>3rd Mode</t>
  </si>
  <si>
    <t>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</si>
</sst>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71" formatCode="0.0000000"/>
    <numFmt numFmtId="173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1" fontId="0" fillId="0" borderId="10" xfId="0" applyNumberForma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/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1" fontId="0" fillId="0" borderId="1" xfId="0" applyNumberFormat="1" applyBorder="1" applyAlignment="1"/>
    <xf numFmtId="0" fontId="1" fillId="2" borderId="16" xfId="0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  <xf numFmtId="173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/>
    <xf numFmtId="0" fontId="1" fillId="0" borderId="0" xfId="0" applyFont="1" applyBorder="1" applyAlignment="1"/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0" xfId="0" applyBorder="1" applyAlignment="1"/>
    <xf numFmtId="0" fontId="1" fillId="0" borderId="4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1st, 2nd and 3rd Normal Modes for the Uniform</a:t>
            </a:r>
            <a:r>
              <a:rPr lang="en-GB" baseline="0"/>
              <a:t> Beam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1st Mode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'Uniform Beam'!$G$9:$G$39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'Uniform Beam'!$H$9:$H$39</c:f>
              <c:numCache>
                <c:formatCode>0.000</c:formatCode>
                <c:ptCount val="31"/>
                <c:pt idx="0">
                  <c:v>0</c:v>
                </c:pt>
                <c:pt idx="1">
                  <c:v>-2.340472243284324E-2</c:v>
                </c:pt>
                <c:pt idx="2">
                  <c:v>-8.8543961770050014E-2</c:v>
                </c:pt>
                <c:pt idx="3">
                  <c:v>-0.18782261311044812</c:v>
                </c:pt>
                <c:pt idx="4">
                  <c:v>-0.31370294172738178</c:v>
                </c:pt>
                <c:pt idx="5">
                  <c:v>-0.45876425969985468</c:v>
                </c:pt>
                <c:pt idx="6">
                  <c:v>-0.61577880968899157</c:v>
                </c:pt>
                <c:pt idx="7">
                  <c:v>-0.77779934579798438</c:v>
                </c:pt>
                <c:pt idx="8">
                  <c:v>-0.93825402009794312</c:v>
                </c:pt>
                <c:pt idx="9">
                  <c:v>-1.0910443549204676</c:v>
                </c:pt>
                <c:pt idx="10">
                  <c:v>-1.2306423098755406</c:v>
                </c:pt>
                <c:pt idx="11">
                  <c:v>-1.3521827406522693</c:v>
                </c:pt>
                <c:pt idx="12">
                  <c:v>-1.451547893478228</c:v>
                </c:pt>
                <c:pt idx="13">
                  <c:v>-1.5254409818803425</c:v>
                </c:pt>
                <c:pt idx="14">
                  <c:v>-1.5714463462985528</c:v>
                </c:pt>
                <c:pt idx="15">
                  <c:v>-1.5880741955520978</c:v>
                </c:pt>
                <c:pt idx="16">
                  <c:v>-1.5747884640295151</c:v>
                </c:pt>
                <c:pt idx="17">
                  <c:v>-1.5320168804346697</c:v>
                </c:pt>
                <c:pt idx="18">
                  <c:v>-1.4611429227503567</c:v>
                </c:pt>
                <c:pt idx="19">
                  <c:v>-1.3644799190070831</c:v>
                </c:pt>
                <c:pt idx="20">
                  <c:v>-1.2452281334992357</c:v>
                </c:pt>
                <c:pt idx="21">
                  <c:v>-1.1074162424629321</c:v>
                </c:pt>
                <c:pt idx="22">
                  <c:v>-0.95582914161826338</c:v>
                </c:pt>
                <c:pt idx="23">
                  <c:v>-0.79592453093431814</c:v>
                </c:pt>
                <c:pt idx="24">
                  <c:v>-0.63374118122755618</c:v>
                </c:pt>
                <c:pt idx="25">
                  <c:v>-0.47580219596779116</c:v>
                </c:pt>
                <c:pt idx="26">
                  <c:v>-0.32901693491766082</c:v>
                </c:pt>
                <c:pt idx="27">
                  <c:v>-0.2005855609605689</c:v>
                </c:pt>
                <c:pt idx="28">
                  <c:v>-9.7910406893376489E-2</c:v>
                </c:pt>
                <c:pt idx="29">
                  <c:v>-2.8518536694932095E-2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BB-4C48-9B43-3F839ADB8A74}"/>
            </c:ext>
          </c:extLst>
        </c:ser>
        <c:ser>
          <c:idx val="1"/>
          <c:order val="1"/>
          <c:tx>
            <c:v>2nd Mode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'Uniform Beam'!$G$9:$G$39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'Uniform Beam'!$I$9:$I$39</c:f>
              <c:numCache>
                <c:formatCode>0.000</c:formatCode>
                <c:ptCount val="31"/>
                <c:pt idx="0">
                  <c:v>0</c:v>
                </c:pt>
                <c:pt idx="1">
                  <c:v>-6.2553982065122249E-2</c:v>
                </c:pt>
                <c:pt idx="2">
                  <c:v>-0.2263222463513474</c:v>
                </c:pt>
                <c:pt idx="3">
                  <c:v>-0.4558125420806729</c:v>
                </c:pt>
                <c:pt idx="4">
                  <c:v>-0.7166472351161649</c:v>
                </c:pt>
                <c:pt idx="5">
                  <c:v>-0.97661443537398496</c:v>
                </c:pt>
                <c:pt idx="6">
                  <c:v>-1.2068680618296999</c:v>
                </c:pt>
                <c:pt idx="7">
                  <c:v>-1.3831264676336428</c:v>
                </c:pt>
                <c:pt idx="8">
                  <c:v>-1.4867350577886418</c:v>
                </c:pt>
                <c:pt idx="9">
                  <c:v>-1.505479667029415</c:v>
                </c:pt>
                <c:pt idx="10">
                  <c:v>-1.4340637037783024</c:v>
                </c:pt>
                <c:pt idx="11">
                  <c:v>-1.274192057062363</c:v>
                </c:pt>
                <c:pt idx="12">
                  <c:v>-1.0342369510665232</c:v>
                </c:pt>
                <c:pt idx="13">
                  <c:v>-0.72849349451568024</c:v>
                </c:pt>
                <c:pt idx="14">
                  <c:v>-0.37606367099631299</c:v>
                </c:pt>
                <c:pt idx="15">
                  <c:v>5.6495151432400803E-4</c:v>
                </c:pt>
                <c:pt idx="16">
                  <c:v>0.37715717210951993</c:v>
                </c:pt>
                <c:pt idx="17">
                  <c:v>0.72948041527186547</c:v>
                </c:pt>
                <c:pt idx="18">
                  <c:v>1.0350548202477157</c:v>
                </c:pt>
                <c:pt idx="19">
                  <c:v>1.2747906978757726</c:v>
                </c:pt>
                <c:pt idx="20">
                  <c:v>1.434409036554996</c:v>
                </c:pt>
                <c:pt idx="21">
                  <c:v>1.5055564946890598</c:v>
                </c:pt>
                <c:pt idx="22">
                  <c:v>1.4865486761601971</c:v>
                </c:pt>
                <c:pt idx="23">
                  <c:v>1.3827030305034782</c:v>
                </c:pt>
                <c:pt idx="24">
                  <c:v>1.2062537258810266</c:v>
                </c:pt>
                <c:pt idx="25">
                  <c:v>0.97587340720582461</c:v>
                </c:pt>
                <c:pt idx="26">
                  <c:v>0.71585893563741365</c:v>
                </c:pt>
                <c:pt idx="27">
                  <c:v>0.45506818767228197</c:v>
                </c:pt>
                <c:pt idx="28">
                  <c:v>0.2257212172042955</c:v>
                </c:pt>
                <c:pt idx="29">
                  <c:v>6.2200403343922517E-2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BB-4C48-9B43-3F839ADB8A74}"/>
            </c:ext>
          </c:extLst>
        </c:ser>
        <c:ser>
          <c:idx val="2"/>
          <c:order val="2"/>
          <c:tx>
            <c:v>3rd Mode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'Uniform Beam'!$G$9:$G$39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'Uniform Beam'!$J$9:$J$39</c:f>
              <c:numCache>
                <c:formatCode>0.00</c:formatCode>
                <c:ptCount val="31"/>
                <c:pt idx="0">
                  <c:v>0</c:v>
                </c:pt>
                <c:pt idx="1">
                  <c:v>-0.11793094126754343</c:v>
                </c:pt>
                <c:pt idx="2">
                  <c:v>-0.40643722230743384</c:v>
                </c:pt>
                <c:pt idx="3">
                  <c:v>-0.77004935279861764</c:v>
                </c:pt>
                <c:pt idx="4">
                  <c:v>-1.1208582196486481</c:v>
                </c:pt>
                <c:pt idx="5">
                  <c:v>-1.3848123454825991</c:v>
                </c:pt>
                <c:pt idx="6">
                  <c:v>-1.5078257823403263</c:v>
                </c:pt>
                <c:pt idx="7">
                  <c:v>-1.4603786945345982</c:v>
                </c:pt>
                <c:pt idx="8">
                  <c:v>-1.239648444664887</c:v>
                </c:pt>
                <c:pt idx="9">
                  <c:v>-0.8686448839462102</c:v>
                </c:pt>
                <c:pt idx="10">
                  <c:v>-0.39229630932662474</c:v>
                </c:pt>
                <c:pt idx="11">
                  <c:v>0.12911045421007827</c:v>
                </c:pt>
                <c:pt idx="12">
                  <c:v>0.62834481031355693</c:v>
                </c:pt>
                <c:pt idx="13">
                  <c:v>1.040439373250031</c:v>
                </c:pt>
                <c:pt idx="14">
                  <c:v>1.3115036385471939</c:v>
                </c:pt>
                <c:pt idx="15">
                  <c:v>1.4059984640817191</c:v>
                </c:pt>
                <c:pt idx="16">
                  <c:v>1.3115207449215802</c:v>
                </c:pt>
                <c:pt idx="17">
                  <c:v>1.040471341277879</c:v>
                </c:pt>
                <c:pt idx="18">
                  <c:v>0.62838745249956673</c:v>
                </c:pt>
                <c:pt idx="19">
                  <c:v>0.12915820457737937</c:v>
                </c:pt>
                <c:pt idx="20">
                  <c:v>-0.39224964246523086</c:v>
                </c:pt>
                <c:pt idx="21">
                  <c:v>-0.86860527491876383</c:v>
                </c:pt>
                <c:pt idx="22">
                  <c:v>-1.2396208262691744</c:v>
                </c:pt>
                <c:pt idx="23">
                  <c:v>-1.4603662580984746</c:v>
                </c:pt>
                <c:pt idx="24">
                  <c:v>-1.5078294889258359</c:v>
                </c:pt>
                <c:pt idx="25">
                  <c:v>-1.3848307043508612</c:v>
                </c:pt>
                <c:pt idx="26">
                  <c:v>-1.1208873506629971</c:v>
                </c:pt>
                <c:pt idx="27">
                  <c:v>-0.77008330605349329</c:v>
                </c:pt>
                <c:pt idx="28">
                  <c:v>-0.40646848593314644</c:v>
                </c:pt>
                <c:pt idx="29">
                  <c:v>-0.11795103154145181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BB-4C48-9B43-3F839ADB8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723536"/>
        <c:axId val="1074511408"/>
      </c:scatterChart>
      <c:valAx>
        <c:axId val="68172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11408"/>
        <c:crosses val="autoZero"/>
        <c:crossBetween val="midCat"/>
      </c:valAx>
      <c:valAx>
        <c:axId val="107451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72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</a:t>
            </a:r>
            <a:r>
              <a:rPr lang="en-GB" baseline="0"/>
              <a:t> Modes functions on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1st Mode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'Unstiffened Plate '!$H$14:$H$44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'Unstiffened Plate '!$I$14:$I$44</c:f>
              <c:numCache>
                <c:formatCode>General</c:formatCode>
                <c:ptCount val="31"/>
                <c:pt idx="0">
                  <c:v>0</c:v>
                </c:pt>
                <c:pt idx="1">
                  <c:v>0.10452846326765346</c:v>
                </c:pt>
                <c:pt idx="2">
                  <c:v>0.20791169081775931</c:v>
                </c:pt>
                <c:pt idx="3">
                  <c:v>0.3090169943749474</c:v>
                </c:pt>
                <c:pt idx="4">
                  <c:v>0.40673664307580015</c:v>
                </c:pt>
                <c:pt idx="5">
                  <c:v>0.49999999999999994</c:v>
                </c:pt>
                <c:pt idx="6">
                  <c:v>0.58778525229247314</c:v>
                </c:pt>
                <c:pt idx="7">
                  <c:v>0.66913060635885824</c:v>
                </c:pt>
                <c:pt idx="8">
                  <c:v>0.74314482547739413</c:v>
                </c:pt>
                <c:pt idx="9">
                  <c:v>0.80901699437494745</c:v>
                </c:pt>
                <c:pt idx="10">
                  <c:v>0.8660254037844386</c:v>
                </c:pt>
                <c:pt idx="11">
                  <c:v>0.91354545764260087</c:v>
                </c:pt>
                <c:pt idx="12">
                  <c:v>0.95105651629515353</c:v>
                </c:pt>
                <c:pt idx="13">
                  <c:v>0.97814760073380569</c:v>
                </c:pt>
                <c:pt idx="14">
                  <c:v>0.99452189536827329</c:v>
                </c:pt>
                <c:pt idx="15">
                  <c:v>1</c:v>
                </c:pt>
                <c:pt idx="16">
                  <c:v>0.9945218953682734</c:v>
                </c:pt>
                <c:pt idx="17">
                  <c:v>0.97814760073380569</c:v>
                </c:pt>
                <c:pt idx="18">
                  <c:v>0.95105651629515364</c:v>
                </c:pt>
                <c:pt idx="19">
                  <c:v>0.91354545764260098</c:v>
                </c:pt>
                <c:pt idx="20">
                  <c:v>0.86602540378443871</c:v>
                </c:pt>
                <c:pt idx="21">
                  <c:v>0.80901699437494745</c:v>
                </c:pt>
                <c:pt idx="22">
                  <c:v>0.74314482547739447</c:v>
                </c:pt>
                <c:pt idx="23">
                  <c:v>0.66913060635885835</c:v>
                </c:pt>
                <c:pt idx="24">
                  <c:v>0.58778525229247325</c:v>
                </c:pt>
                <c:pt idx="25">
                  <c:v>0.49999999999999994</c:v>
                </c:pt>
                <c:pt idx="26">
                  <c:v>0.40673664307580004</c:v>
                </c:pt>
                <c:pt idx="27">
                  <c:v>0.30901699437494751</c:v>
                </c:pt>
                <c:pt idx="28">
                  <c:v>0.20791169081775931</c:v>
                </c:pt>
                <c:pt idx="29">
                  <c:v>0.10452846326765329</c:v>
                </c:pt>
                <c:pt idx="30">
                  <c:v>5.6660405534092462E-16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37-4D7B-B208-96846C9DB052}"/>
            </c:ext>
          </c:extLst>
        </c:ser>
        <c:ser>
          <c:idx val="1"/>
          <c:order val="1"/>
          <c:tx>
            <c:v>2nd Mode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'Unstiffened Plate '!$H$14:$H$44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'Unstiffened Plate '!$J$14:$J$44</c:f>
              <c:numCache>
                <c:formatCode>General</c:formatCode>
                <c:ptCount val="31"/>
                <c:pt idx="0">
                  <c:v>0</c:v>
                </c:pt>
                <c:pt idx="1">
                  <c:v>0.20791169081775931</c:v>
                </c:pt>
                <c:pt idx="2">
                  <c:v>0.40673664307580015</c:v>
                </c:pt>
                <c:pt idx="3">
                  <c:v>0.58778525229247314</c:v>
                </c:pt>
                <c:pt idx="4">
                  <c:v>0.74314482547739413</c:v>
                </c:pt>
                <c:pt idx="5">
                  <c:v>0.8660254037844386</c:v>
                </c:pt>
                <c:pt idx="6">
                  <c:v>0.95105651629515353</c:v>
                </c:pt>
                <c:pt idx="7">
                  <c:v>0.99452189536827329</c:v>
                </c:pt>
                <c:pt idx="8">
                  <c:v>0.9945218953682734</c:v>
                </c:pt>
                <c:pt idx="9">
                  <c:v>0.95105651629515364</c:v>
                </c:pt>
                <c:pt idx="10">
                  <c:v>0.86602540378443871</c:v>
                </c:pt>
                <c:pt idx="11">
                  <c:v>0.74314482547739447</c:v>
                </c:pt>
                <c:pt idx="12">
                  <c:v>0.58778525229247325</c:v>
                </c:pt>
                <c:pt idx="13">
                  <c:v>0.40673664307580004</c:v>
                </c:pt>
                <c:pt idx="14">
                  <c:v>0.20791169081775931</c:v>
                </c:pt>
                <c:pt idx="15">
                  <c:v>5.6660405534092462E-16</c:v>
                </c:pt>
                <c:pt idx="16">
                  <c:v>-0.20791169081775907</c:v>
                </c:pt>
                <c:pt idx="17">
                  <c:v>-0.40673664307580021</c:v>
                </c:pt>
                <c:pt idx="18">
                  <c:v>-0.58778525229247303</c:v>
                </c:pt>
                <c:pt idx="19">
                  <c:v>-0.74314482547739402</c:v>
                </c:pt>
                <c:pt idx="20">
                  <c:v>-0.86602540378443837</c:v>
                </c:pt>
                <c:pt idx="21">
                  <c:v>-0.95105651629515353</c:v>
                </c:pt>
                <c:pt idx="22">
                  <c:v>-0.99452189536827329</c:v>
                </c:pt>
                <c:pt idx="23">
                  <c:v>-0.9945218953682734</c:v>
                </c:pt>
                <c:pt idx="24">
                  <c:v>-0.95105651629515364</c:v>
                </c:pt>
                <c:pt idx="25">
                  <c:v>-0.8660254037844386</c:v>
                </c:pt>
                <c:pt idx="26">
                  <c:v>-0.74314482547739402</c:v>
                </c:pt>
                <c:pt idx="27">
                  <c:v>-0.58778525229247336</c:v>
                </c:pt>
                <c:pt idx="28">
                  <c:v>-0.40673664307580015</c:v>
                </c:pt>
                <c:pt idx="29">
                  <c:v>-0.20791169081775898</c:v>
                </c:pt>
                <c:pt idx="30">
                  <c:v>-1.1332081106818492E-15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37-4D7B-B208-96846C9DB052}"/>
            </c:ext>
          </c:extLst>
        </c:ser>
        <c:ser>
          <c:idx val="2"/>
          <c:order val="2"/>
          <c:tx>
            <c:v>3rd Mode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'Unstiffened Plate '!$H$14:$H$44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'Unstiffened Plate '!$K$14:$K$44</c:f>
              <c:numCache>
                <c:formatCode>General</c:formatCode>
                <c:ptCount val="31"/>
                <c:pt idx="0">
                  <c:v>0</c:v>
                </c:pt>
                <c:pt idx="1">
                  <c:v>0.3090169943749474</c:v>
                </c:pt>
                <c:pt idx="2">
                  <c:v>0.58778525229247314</c:v>
                </c:pt>
                <c:pt idx="3">
                  <c:v>0.80901699437494745</c:v>
                </c:pt>
                <c:pt idx="4">
                  <c:v>0.95105651629515353</c:v>
                </c:pt>
                <c:pt idx="5">
                  <c:v>1</c:v>
                </c:pt>
                <c:pt idx="6">
                  <c:v>0.95105651629515364</c:v>
                </c:pt>
                <c:pt idx="7">
                  <c:v>0.80901699437494745</c:v>
                </c:pt>
                <c:pt idx="8">
                  <c:v>0.58778525229247325</c:v>
                </c:pt>
                <c:pt idx="9">
                  <c:v>0.30901699437494751</c:v>
                </c:pt>
                <c:pt idx="10">
                  <c:v>5.6660405534092462E-16</c:v>
                </c:pt>
                <c:pt idx="11">
                  <c:v>-0.30901699437494728</c:v>
                </c:pt>
                <c:pt idx="12">
                  <c:v>-0.58778525229247303</c:v>
                </c:pt>
                <c:pt idx="13">
                  <c:v>-0.80901699437494734</c:v>
                </c:pt>
                <c:pt idx="14">
                  <c:v>-0.95105651629515353</c:v>
                </c:pt>
                <c:pt idx="15">
                  <c:v>-1</c:v>
                </c:pt>
                <c:pt idx="16">
                  <c:v>-0.95105651629515364</c:v>
                </c:pt>
                <c:pt idx="17">
                  <c:v>-0.80901699437494756</c:v>
                </c:pt>
                <c:pt idx="18">
                  <c:v>-0.58778525229247336</c:v>
                </c:pt>
                <c:pt idx="19">
                  <c:v>-0.30901699437494762</c:v>
                </c:pt>
                <c:pt idx="20">
                  <c:v>-1.1332081106818492E-15</c:v>
                </c:pt>
                <c:pt idx="21">
                  <c:v>0.30901699437494717</c:v>
                </c:pt>
                <c:pt idx="22">
                  <c:v>0.58778525229247292</c:v>
                </c:pt>
                <c:pt idx="23">
                  <c:v>0.80901699437494723</c:v>
                </c:pt>
                <c:pt idx="24">
                  <c:v>0.95105651629515353</c:v>
                </c:pt>
                <c:pt idx="25">
                  <c:v>1</c:v>
                </c:pt>
                <c:pt idx="26">
                  <c:v>0.95105651629515364</c:v>
                </c:pt>
                <c:pt idx="27">
                  <c:v>0.80901699437494767</c:v>
                </c:pt>
                <c:pt idx="28">
                  <c:v>0.58778525229247336</c:v>
                </c:pt>
                <c:pt idx="29">
                  <c:v>0.30901699437494778</c:v>
                </c:pt>
                <c:pt idx="30">
                  <c:v>3.67544536472586E-16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37-4D7B-B208-96846C9DB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860416"/>
        <c:axId val="1444861664"/>
      </c:scatterChart>
      <c:valAx>
        <c:axId val="144486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861664"/>
        <c:crosses val="autoZero"/>
        <c:crossBetween val="midCat"/>
      </c:valAx>
      <c:valAx>
        <c:axId val="144486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86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 Modes functions</a:t>
            </a:r>
            <a:r>
              <a:rPr lang="en-GB" baseline="0"/>
              <a:t> on 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1st Mode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'Unstiffened Plate '!$M$14:$M$40</c:f>
              <c:numCache>
                <c:formatCode>General</c:formatCode>
                <c:ptCount val="2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</c:numCache>
            </c:numRef>
          </c:xVal>
          <c:yVal>
            <c:numRef>
              <c:f>'Unstiffened Plate '!$N$14:$N$40</c:f>
              <c:numCache>
                <c:formatCode>General</c:formatCode>
                <c:ptCount val="27"/>
                <c:pt idx="0">
                  <c:v>0</c:v>
                </c:pt>
                <c:pt idx="1">
                  <c:v>0.12053668025532305</c:v>
                </c:pt>
                <c:pt idx="2">
                  <c:v>0.23931566428755774</c:v>
                </c:pt>
                <c:pt idx="3">
                  <c:v>0.35460488704253562</c:v>
                </c:pt>
                <c:pt idx="4">
                  <c:v>0.46472317204376851</c:v>
                </c:pt>
                <c:pt idx="5">
                  <c:v>0.56806474673115581</c:v>
                </c:pt>
                <c:pt idx="6">
                  <c:v>0.66312265824079519</c:v>
                </c:pt>
                <c:pt idx="7">
                  <c:v>0.74851074817110108</c:v>
                </c:pt>
                <c:pt idx="8">
                  <c:v>0.82298386589365635</c:v>
                </c:pt>
                <c:pt idx="9">
                  <c:v>0.88545602565320991</c:v>
                </c:pt>
                <c:pt idx="10">
                  <c:v>0.93501624268541483</c:v>
                </c:pt>
                <c:pt idx="11">
                  <c:v>0.97094181742605201</c:v>
                </c:pt>
                <c:pt idx="12">
                  <c:v>0.99270887409805397</c:v>
                </c:pt>
                <c:pt idx="13">
                  <c:v>1</c:v>
                </c:pt>
                <c:pt idx="14">
                  <c:v>0.99270887409805397</c:v>
                </c:pt>
                <c:pt idx="15">
                  <c:v>0.97094181742605212</c:v>
                </c:pt>
                <c:pt idx="16">
                  <c:v>0.93501624268541483</c:v>
                </c:pt>
                <c:pt idx="17">
                  <c:v>0.88545602565320991</c:v>
                </c:pt>
                <c:pt idx="18">
                  <c:v>0.82298386589365646</c:v>
                </c:pt>
                <c:pt idx="19">
                  <c:v>0.7485107481711013</c:v>
                </c:pt>
                <c:pt idx="20">
                  <c:v>0.66312265824079519</c:v>
                </c:pt>
                <c:pt idx="21">
                  <c:v>0.56806474673115581</c:v>
                </c:pt>
                <c:pt idx="22">
                  <c:v>0.46472317204376906</c:v>
                </c:pt>
                <c:pt idx="23">
                  <c:v>0.35460488704253584</c:v>
                </c:pt>
                <c:pt idx="24">
                  <c:v>0.23931566428755768</c:v>
                </c:pt>
                <c:pt idx="25">
                  <c:v>0.12053668025532308</c:v>
                </c:pt>
                <c:pt idx="26">
                  <c:v>-3.2157436435920062E-16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F9-48D3-A32B-4DEBB7AA318B}"/>
            </c:ext>
          </c:extLst>
        </c:ser>
        <c:ser>
          <c:idx val="1"/>
          <c:order val="1"/>
          <c:tx>
            <c:v>2nd Mode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'Unstiffened Plate '!$M$14:$M$40</c:f>
              <c:numCache>
                <c:formatCode>General</c:formatCode>
                <c:ptCount val="2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</c:numCache>
            </c:numRef>
          </c:xVal>
          <c:yVal>
            <c:numRef>
              <c:f>'Unstiffened Plate '!$O$14:$O$40</c:f>
              <c:numCache>
                <c:formatCode>General</c:formatCode>
                <c:ptCount val="27"/>
                <c:pt idx="0">
                  <c:v>0</c:v>
                </c:pt>
                <c:pt idx="1">
                  <c:v>0.23931566428755774</c:v>
                </c:pt>
                <c:pt idx="2">
                  <c:v>0.46472317204376851</c:v>
                </c:pt>
                <c:pt idx="3">
                  <c:v>0.66312265824079519</c:v>
                </c:pt>
                <c:pt idx="4">
                  <c:v>0.82298386589365635</c:v>
                </c:pt>
                <c:pt idx="5">
                  <c:v>0.93501624268541483</c:v>
                </c:pt>
                <c:pt idx="6">
                  <c:v>0.99270887409805397</c:v>
                </c:pt>
                <c:pt idx="7">
                  <c:v>0.99270887409805397</c:v>
                </c:pt>
                <c:pt idx="8">
                  <c:v>0.93501624268541483</c:v>
                </c:pt>
                <c:pt idx="9">
                  <c:v>0.82298386589365646</c:v>
                </c:pt>
                <c:pt idx="10">
                  <c:v>0.66312265824079519</c:v>
                </c:pt>
                <c:pt idx="11">
                  <c:v>0.46472317204376906</c:v>
                </c:pt>
                <c:pt idx="12">
                  <c:v>0.23931566428755768</c:v>
                </c:pt>
                <c:pt idx="13">
                  <c:v>-3.2157436435920062E-16</c:v>
                </c:pt>
                <c:pt idx="14">
                  <c:v>-0.23931566428755743</c:v>
                </c:pt>
                <c:pt idx="15">
                  <c:v>-0.46472317204376806</c:v>
                </c:pt>
                <c:pt idx="16">
                  <c:v>-0.66312265824079497</c:v>
                </c:pt>
                <c:pt idx="17">
                  <c:v>-0.82298386589365635</c:v>
                </c:pt>
                <c:pt idx="18">
                  <c:v>-0.93501624268541472</c:v>
                </c:pt>
                <c:pt idx="19">
                  <c:v>-0.99270887409805397</c:v>
                </c:pt>
                <c:pt idx="20">
                  <c:v>-0.99270887409805397</c:v>
                </c:pt>
                <c:pt idx="21">
                  <c:v>-0.93501624268541483</c:v>
                </c:pt>
                <c:pt idx="22">
                  <c:v>-0.82298386589365702</c:v>
                </c:pt>
                <c:pt idx="23">
                  <c:v>-0.66312265824079553</c:v>
                </c:pt>
                <c:pt idx="24">
                  <c:v>-0.4647231720437684</c:v>
                </c:pt>
                <c:pt idx="25">
                  <c:v>-0.23931566428755779</c:v>
                </c:pt>
                <c:pt idx="26">
                  <c:v>6.4314872871840123E-16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F9-48D3-A32B-4DEBB7AA318B}"/>
            </c:ext>
          </c:extLst>
        </c:ser>
        <c:ser>
          <c:idx val="2"/>
          <c:order val="2"/>
          <c:tx>
            <c:v>3rd Mode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'Unstiffened Plate '!$M$14:$M$40</c:f>
              <c:numCache>
                <c:formatCode>General</c:formatCode>
                <c:ptCount val="2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</c:numCache>
            </c:numRef>
          </c:xVal>
          <c:yVal>
            <c:numRef>
              <c:f>'Unstiffened Plate '!$P$14:$P$40</c:f>
              <c:numCache>
                <c:formatCode>General</c:formatCode>
                <c:ptCount val="27"/>
                <c:pt idx="0">
                  <c:v>0</c:v>
                </c:pt>
                <c:pt idx="1">
                  <c:v>0.35460488704253562</c:v>
                </c:pt>
                <c:pt idx="2">
                  <c:v>0.66312265824079519</c:v>
                </c:pt>
                <c:pt idx="3">
                  <c:v>0.88545602565320991</c:v>
                </c:pt>
                <c:pt idx="4">
                  <c:v>0.99270887409805397</c:v>
                </c:pt>
                <c:pt idx="5">
                  <c:v>0.97094181742605212</c:v>
                </c:pt>
                <c:pt idx="6">
                  <c:v>0.82298386589365646</c:v>
                </c:pt>
                <c:pt idx="7">
                  <c:v>0.56806474673115581</c:v>
                </c:pt>
                <c:pt idx="8">
                  <c:v>0.23931566428755768</c:v>
                </c:pt>
                <c:pt idx="9">
                  <c:v>-0.12053668025532283</c:v>
                </c:pt>
                <c:pt idx="10">
                  <c:v>-0.46472317204376806</c:v>
                </c:pt>
                <c:pt idx="11">
                  <c:v>-0.74851074817110108</c:v>
                </c:pt>
                <c:pt idx="12">
                  <c:v>-0.93501624268541472</c:v>
                </c:pt>
                <c:pt idx="13">
                  <c:v>-1</c:v>
                </c:pt>
                <c:pt idx="14">
                  <c:v>-0.93501624268541483</c:v>
                </c:pt>
                <c:pt idx="15">
                  <c:v>-0.74851074817110108</c:v>
                </c:pt>
                <c:pt idx="16">
                  <c:v>-0.4647231720437684</c:v>
                </c:pt>
                <c:pt idx="17">
                  <c:v>-0.12053668025532363</c:v>
                </c:pt>
                <c:pt idx="18">
                  <c:v>0.23931566428755732</c:v>
                </c:pt>
                <c:pt idx="19">
                  <c:v>0.56806474673115548</c:v>
                </c:pt>
                <c:pt idx="20">
                  <c:v>0.8229838658936558</c:v>
                </c:pt>
                <c:pt idx="21">
                  <c:v>0.97094181742605201</c:v>
                </c:pt>
                <c:pt idx="22">
                  <c:v>0.99270887409805397</c:v>
                </c:pt>
                <c:pt idx="23">
                  <c:v>0.88545602565321024</c:v>
                </c:pt>
                <c:pt idx="24">
                  <c:v>0.66312265824079564</c:v>
                </c:pt>
                <c:pt idx="25">
                  <c:v>0.35460488704253607</c:v>
                </c:pt>
                <c:pt idx="26">
                  <c:v>3.67544536472586E-16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F9-48D3-A32B-4DEBB7AA3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661216"/>
        <c:axId val="1754646240"/>
      </c:scatterChart>
      <c:valAx>
        <c:axId val="175466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646240"/>
        <c:crosses val="autoZero"/>
        <c:crossBetween val="midCat"/>
      </c:valAx>
      <c:valAx>
        <c:axId val="17546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66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487680</xdr:colOff>
      <xdr:row>12</xdr:row>
      <xdr:rowOff>15240</xdr:rowOff>
    </xdr:from>
    <xdr:to>
      <xdr:col>17</xdr:col>
      <xdr:colOff>281940</xdr:colOff>
      <xdr:row>27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06737C-898F-4097-87CD-C54ADDEDA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60960</xdr:colOff>
      <xdr:row>11</xdr:row>
      <xdr:rowOff>83820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4056AA1-21A7-4FA9-8DC3-6624FAD2A80A}"/>
            </a:ext>
          </a:extLst>
        </xdr:cNvPr>
        <xdr:cNvSpPr txBox="1"/>
      </xdr:nvSpPr>
      <xdr:spPr>
        <a:xfrm>
          <a:off x="66294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twoCellAnchor>
    <xdr:from>
      <xdr:col>0</xdr:col>
      <xdr:colOff>20955</xdr:colOff>
      <xdr:row>26</xdr:row>
      <xdr:rowOff>0</xdr:rowOff>
    </xdr:from>
    <xdr:to>
      <xdr:col>6</xdr:col>
      <xdr:colOff>470535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8F6A43-8268-4D21-AEE6-DE21521E5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15</xdr:col>
      <xdr:colOff>60960</xdr:colOff>
      <xdr:row>11</xdr:row>
      <xdr:rowOff>83820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674FE1B-7856-4FA3-AE4D-EB720EBD6590}"/>
            </a:ext>
          </a:extLst>
        </xdr:cNvPr>
        <xdr:cNvSpPr txBox="1"/>
      </xdr:nvSpPr>
      <xdr:spPr>
        <a:xfrm>
          <a:off x="7204710" y="207454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twoCellAnchor>
    <xdr:from>
      <xdr:col>0</xdr:col>
      <xdr:colOff>38100</xdr:colOff>
      <xdr:row>42</xdr:row>
      <xdr:rowOff>9525</xdr:rowOff>
    </xdr:from>
    <xdr:to>
      <xdr:col>6</xdr:col>
      <xdr:colOff>485775</xdr:colOff>
      <xdr:row>57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2859A3-5557-47DE-AEFA-0C6BF2F70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CC41A-E458-4654-8BAD-423CD752FD32}">
  <dimension ref="B1:K24"/>
  <sheetViews>
    <sheetView topLeftCell="B1" workbookViewId="0">
      <selection activeCell="K5" sqref="K5"/>
    </sheetView>
  </sheetViews>
  <sheetFormatPr defaultRowHeight="14.4" x14ac:dyDescent="0.3"/>
  <cols>
    <col min="2" max="2" width="12.44140625" customWidth="1"/>
    <col min="3" max="3" width="11.6640625" customWidth="1"/>
    <col min="5" max="5" width="13.109375" customWidth="1"/>
    <col min="7" max="7" width="12.109375" customWidth="1"/>
  </cols>
  <sheetData>
    <row r="1" spans="2:11" ht="15" thickBot="1" x14ac:dyDescent="0.35"/>
    <row r="2" spans="2:11" ht="18" thickBot="1" x14ac:dyDescent="0.35">
      <c r="B2" s="35" t="s">
        <v>26</v>
      </c>
      <c r="C2" s="36"/>
      <c r="D2" s="36"/>
      <c r="E2" s="36"/>
      <c r="F2" s="36"/>
      <c r="G2" s="37"/>
    </row>
    <row r="3" spans="2:11" x14ac:dyDescent="0.3">
      <c r="B3" s="32" t="s">
        <v>0</v>
      </c>
      <c r="C3" s="32"/>
      <c r="D3" s="32" t="s">
        <v>30</v>
      </c>
      <c r="E3" s="32"/>
      <c r="F3" s="34" t="s">
        <v>33</v>
      </c>
      <c r="G3" s="34"/>
      <c r="H3" s="33" t="s">
        <v>39</v>
      </c>
      <c r="I3" s="38"/>
      <c r="J3" s="40" t="s">
        <v>48</v>
      </c>
      <c r="K3" s="40" t="s">
        <v>49</v>
      </c>
    </row>
    <row r="4" spans="2:11" x14ac:dyDescent="0.3">
      <c r="B4" s="25" t="s">
        <v>1</v>
      </c>
      <c r="C4" s="22">
        <v>30</v>
      </c>
      <c r="D4" s="25" t="s">
        <v>1</v>
      </c>
      <c r="E4" s="22">
        <v>30</v>
      </c>
      <c r="F4" s="25" t="s">
        <v>1</v>
      </c>
      <c r="G4" s="22">
        <v>30</v>
      </c>
      <c r="H4" s="25" t="s">
        <v>40</v>
      </c>
      <c r="I4" s="39">
        <v>166.5</v>
      </c>
      <c r="J4" s="22">
        <v>0</v>
      </c>
      <c r="K4" s="22">
        <v>17</v>
      </c>
    </row>
    <row r="5" spans="2:11" x14ac:dyDescent="0.3">
      <c r="B5" s="25" t="s">
        <v>2</v>
      </c>
      <c r="C5" s="22">
        <v>1.2</v>
      </c>
      <c r="D5" s="25" t="s">
        <v>2</v>
      </c>
      <c r="E5" s="22">
        <v>13</v>
      </c>
      <c r="F5" s="25" t="s">
        <v>2</v>
      </c>
      <c r="G5" s="22">
        <v>13</v>
      </c>
      <c r="H5" s="25" t="s">
        <v>41</v>
      </c>
      <c r="I5" s="39">
        <v>157.5</v>
      </c>
      <c r="J5" s="22">
        <v>7.88</v>
      </c>
      <c r="K5" s="22">
        <v>38</v>
      </c>
    </row>
    <row r="6" spans="2:11" x14ac:dyDescent="0.3">
      <c r="B6" s="25" t="s">
        <v>3</v>
      </c>
      <c r="C6" s="22">
        <v>0.4</v>
      </c>
      <c r="D6" s="25" t="s">
        <v>31</v>
      </c>
      <c r="E6" s="22">
        <v>1.0999999999999999E-2</v>
      </c>
      <c r="F6" s="25" t="s">
        <v>31</v>
      </c>
      <c r="G6" s="22">
        <v>1.0999999999999999E-2</v>
      </c>
      <c r="H6" s="25" t="s">
        <v>2</v>
      </c>
      <c r="I6" s="39">
        <v>22.86</v>
      </c>
      <c r="J6" s="22">
        <v>15.75</v>
      </c>
      <c r="K6" s="22">
        <v>59</v>
      </c>
    </row>
    <row r="7" spans="2:11" x14ac:dyDescent="0.3">
      <c r="B7" s="25" t="s">
        <v>27</v>
      </c>
      <c r="C7" s="22" t="s">
        <v>28</v>
      </c>
      <c r="D7" s="25" t="s">
        <v>27</v>
      </c>
      <c r="E7" s="22" t="s">
        <v>32</v>
      </c>
      <c r="F7" s="25" t="s">
        <v>27</v>
      </c>
      <c r="G7" s="30" t="s">
        <v>32</v>
      </c>
      <c r="H7" s="25" t="s">
        <v>42</v>
      </c>
      <c r="I7" s="39">
        <v>8.5500000000000007</v>
      </c>
      <c r="J7" s="22">
        <v>23.63</v>
      </c>
      <c r="K7" s="22">
        <v>73</v>
      </c>
    </row>
    <row r="8" spans="2:11" x14ac:dyDescent="0.3">
      <c r="B8" s="25" t="s">
        <v>4</v>
      </c>
      <c r="C8" s="23">
        <v>200000000000</v>
      </c>
      <c r="F8" s="25" t="s">
        <v>34</v>
      </c>
      <c r="G8" s="22">
        <f>G4/2</f>
        <v>15</v>
      </c>
      <c r="H8" s="25" t="s">
        <v>43</v>
      </c>
      <c r="I8" s="39">
        <v>0</v>
      </c>
      <c r="J8" s="22">
        <v>31.5</v>
      </c>
      <c r="K8" s="22">
        <v>88</v>
      </c>
    </row>
    <row r="9" spans="2:11" x14ac:dyDescent="0.3">
      <c r="B9" s="25" t="s">
        <v>29</v>
      </c>
      <c r="C9" s="22">
        <v>7850</v>
      </c>
      <c r="F9" s="25" t="s">
        <v>35</v>
      </c>
      <c r="G9" s="22">
        <f>G5/2</f>
        <v>6.5</v>
      </c>
      <c r="H9" s="25" t="s">
        <v>44</v>
      </c>
      <c r="I9" s="39">
        <v>18036.900000000001</v>
      </c>
      <c r="J9" s="22">
        <v>39.380000000000003</v>
      </c>
      <c r="K9" s="22">
        <v>103</v>
      </c>
    </row>
    <row r="10" spans="2:11" x14ac:dyDescent="0.3">
      <c r="B10" s="25" t="s">
        <v>6</v>
      </c>
      <c r="C10" s="22">
        <f>C4*C5</f>
        <v>36</v>
      </c>
      <c r="F10" s="25" t="s">
        <v>36</v>
      </c>
      <c r="G10" s="22">
        <v>0.3</v>
      </c>
      <c r="H10" s="25" t="s">
        <v>45</v>
      </c>
      <c r="I10" s="39">
        <v>-1.77</v>
      </c>
      <c r="J10" s="22">
        <v>47.25</v>
      </c>
      <c r="K10" s="22">
        <v>117</v>
      </c>
    </row>
    <row r="11" spans="2:11" x14ac:dyDescent="0.3">
      <c r="B11" s="25" t="s">
        <v>8</v>
      </c>
      <c r="C11" s="22">
        <f>C5*(C6^3)/12</f>
        <v>6.400000000000002E-3</v>
      </c>
      <c r="F11" s="25" t="s">
        <v>37</v>
      </c>
      <c r="G11" s="22">
        <v>0.3</v>
      </c>
      <c r="H11" s="25" t="s">
        <v>46</v>
      </c>
      <c r="I11" s="39">
        <v>8.5500000000000007</v>
      </c>
      <c r="J11" s="22">
        <v>55.13</v>
      </c>
      <c r="K11" s="22">
        <v>132</v>
      </c>
    </row>
    <row r="12" spans="2:11" x14ac:dyDescent="0.3">
      <c r="B12" s="25" t="s">
        <v>7</v>
      </c>
      <c r="C12" s="22">
        <f>(C5^3)*C6/12</f>
        <v>5.7600000000000005E-2</v>
      </c>
      <c r="F12" s="25" t="s">
        <v>38</v>
      </c>
      <c r="G12" s="22">
        <v>1.0999999999999999E-2</v>
      </c>
      <c r="H12" s="25" t="s">
        <v>47</v>
      </c>
      <c r="I12" s="39">
        <v>0.9</v>
      </c>
      <c r="J12" s="22">
        <v>63</v>
      </c>
      <c r="K12" s="22">
        <v>146</v>
      </c>
    </row>
    <row r="13" spans="2:11" x14ac:dyDescent="0.3">
      <c r="B13" s="25" t="s">
        <v>9</v>
      </c>
      <c r="C13" s="22">
        <f>C11+C12</f>
        <v>6.4000000000000001E-2</v>
      </c>
      <c r="J13" s="22">
        <v>70.88</v>
      </c>
      <c r="K13" s="22">
        <v>146</v>
      </c>
    </row>
    <row r="14" spans="2:11" x14ac:dyDescent="0.3">
      <c r="B14" s="25" t="s">
        <v>18</v>
      </c>
      <c r="C14" s="22">
        <f>C10*C5</f>
        <v>43.199999999999996</v>
      </c>
      <c r="J14" s="22">
        <v>78.75</v>
      </c>
      <c r="K14" s="22">
        <v>146</v>
      </c>
    </row>
    <row r="15" spans="2:11" x14ac:dyDescent="0.3">
      <c r="B15" s="25" t="s">
        <v>19</v>
      </c>
      <c r="C15" s="22">
        <f>C9*C14</f>
        <v>339119.99999999994</v>
      </c>
      <c r="J15" s="22">
        <v>86.63</v>
      </c>
      <c r="K15" s="22">
        <v>146</v>
      </c>
    </row>
    <row r="16" spans="2:11" x14ac:dyDescent="0.3">
      <c r="J16" s="22">
        <v>94.5</v>
      </c>
      <c r="K16" s="22">
        <v>146</v>
      </c>
    </row>
    <row r="17" spans="10:11" x14ac:dyDescent="0.3">
      <c r="J17" s="22">
        <v>102.38</v>
      </c>
      <c r="K17" s="22">
        <v>135</v>
      </c>
    </row>
    <row r="18" spans="10:11" x14ac:dyDescent="0.3">
      <c r="J18" s="22">
        <v>110.25</v>
      </c>
      <c r="K18" s="22">
        <v>123</v>
      </c>
    </row>
    <row r="19" spans="10:11" x14ac:dyDescent="0.3">
      <c r="J19" s="22">
        <v>118.13</v>
      </c>
      <c r="K19" s="22">
        <v>111</v>
      </c>
    </row>
    <row r="20" spans="10:11" x14ac:dyDescent="0.3">
      <c r="J20" s="22">
        <v>126</v>
      </c>
      <c r="K20" s="22">
        <v>99</v>
      </c>
    </row>
    <row r="21" spans="10:11" x14ac:dyDescent="0.3">
      <c r="J21" s="22">
        <v>133.88</v>
      </c>
      <c r="K21" s="22">
        <v>88</v>
      </c>
    </row>
    <row r="22" spans="10:11" x14ac:dyDescent="0.3">
      <c r="J22" s="22">
        <v>141.75</v>
      </c>
      <c r="K22" s="22">
        <v>76</v>
      </c>
    </row>
    <row r="23" spans="10:11" x14ac:dyDescent="0.3">
      <c r="J23" s="22">
        <v>149.63</v>
      </c>
      <c r="K23" s="22">
        <v>51</v>
      </c>
    </row>
    <row r="24" spans="10:11" x14ac:dyDescent="0.3">
      <c r="J24" s="22">
        <v>157.5</v>
      </c>
      <c r="K24" s="22">
        <v>27</v>
      </c>
    </row>
  </sheetData>
  <mergeCells count="5">
    <mergeCell ref="B3:C3"/>
    <mergeCell ref="D3:E3"/>
    <mergeCell ref="B2:G2"/>
    <mergeCell ref="F3:G3"/>
    <mergeCell ref="H3:I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E0833-E6C0-450E-BD30-EECE298A5F72}">
  <dimension ref="B1:W39"/>
  <sheetViews>
    <sheetView topLeftCell="I1" workbookViewId="0">
      <selection activeCell="S10" sqref="S10:V13"/>
    </sheetView>
  </sheetViews>
  <sheetFormatPr defaultRowHeight="14.4" x14ac:dyDescent="0.3"/>
  <cols>
    <col min="2" max="2" width="14" customWidth="1"/>
    <col min="5" max="5" width="8.88671875" style="1"/>
    <col min="6" max="6" width="19.5546875" customWidth="1"/>
    <col min="7" max="7" width="12.77734375" customWidth="1"/>
    <col min="8" max="8" width="15.21875" customWidth="1"/>
    <col min="9" max="9" width="15.77734375" customWidth="1"/>
    <col min="10" max="10" width="15" customWidth="1"/>
    <col min="11" max="11" width="14.6640625" bestFit="1" customWidth="1"/>
    <col min="12" max="12" width="10.88671875" customWidth="1"/>
    <col min="13" max="13" width="13.109375" customWidth="1"/>
    <col min="14" max="15" width="14.6640625" bestFit="1" customWidth="1"/>
    <col min="17" max="17" width="10.109375" customWidth="1"/>
    <col min="19" max="19" width="10.77734375" customWidth="1"/>
  </cols>
  <sheetData>
    <row r="1" spans="2:23" ht="15" thickBot="1" x14ac:dyDescent="0.35"/>
    <row r="2" spans="2:23" ht="15" thickBot="1" x14ac:dyDescent="0.35">
      <c r="B2" s="45"/>
      <c r="C2" s="45"/>
      <c r="F2" s="47" t="s">
        <v>51</v>
      </c>
      <c r="G2" s="16" t="s">
        <v>11</v>
      </c>
      <c r="H2" s="16"/>
      <c r="I2" s="18"/>
      <c r="J2" s="17" t="s">
        <v>12</v>
      </c>
      <c r="K2" s="16"/>
      <c r="L2" s="18"/>
      <c r="M2" s="17" t="s">
        <v>13</v>
      </c>
      <c r="N2" s="16"/>
      <c r="O2" s="18"/>
      <c r="P2" s="13"/>
    </row>
    <row r="3" spans="2:23" ht="15" thickBot="1" x14ac:dyDescent="0.35">
      <c r="B3" s="42" t="s">
        <v>0</v>
      </c>
      <c r="C3" s="43"/>
      <c r="E3" s="20"/>
      <c r="F3" s="15" t="s">
        <v>50</v>
      </c>
      <c r="G3" s="46" t="s">
        <v>53</v>
      </c>
      <c r="H3" s="14" t="s">
        <v>23</v>
      </c>
      <c r="I3" s="41" t="s">
        <v>22</v>
      </c>
      <c r="J3" s="15" t="s">
        <v>55</v>
      </c>
      <c r="K3" s="41" t="s">
        <v>23</v>
      </c>
      <c r="L3" s="41" t="s">
        <v>22</v>
      </c>
      <c r="M3" s="15" t="s">
        <v>54</v>
      </c>
      <c r="N3" s="41" t="s">
        <v>23</v>
      </c>
      <c r="O3" s="41" t="s">
        <v>22</v>
      </c>
      <c r="P3" s="11"/>
      <c r="Q3" s="49" t="s">
        <v>21</v>
      </c>
      <c r="R3" s="50" t="s">
        <v>20</v>
      </c>
      <c r="S3" s="51" t="s">
        <v>59</v>
      </c>
      <c r="T3" s="51" t="s">
        <v>60</v>
      </c>
    </row>
    <row r="4" spans="2:23" x14ac:dyDescent="0.3">
      <c r="B4" s="4" t="s">
        <v>1</v>
      </c>
      <c r="C4" s="5">
        <v>30</v>
      </c>
      <c r="F4" s="19" t="s">
        <v>21</v>
      </c>
      <c r="G4" s="19" t="s">
        <v>21</v>
      </c>
      <c r="H4" s="19" t="s">
        <v>10</v>
      </c>
      <c r="I4" s="19" t="s">
        <v>10</v>
      </c>
      <c r="J4" s="19" t="s">
        <v>14</v>
      </c>
      <c r="K4" s="19" t="s">
        <v>15</v>
      </c>
      <c r="L4" s="19" t="s">
        <v>15</v>
      </c>
      <c r="M4" s="19" t="s">
        <v>16</v>
      </c>
      <c r="N4" s="19" t="s">
        <v>17</v>
      </c>
      <c r="O4" s="19" t="s">
        <v>17</v>
      </c>
      <c r="Q4" s="50">
        <f>SQRT((C7*C11)/(C8*C9*C4^4))</f>
        <v>1.9428008420974936</v>
      </c>
      <c r="R4" s="52">
        <f>G5/30</f>
        <v>0.15707963267948966</v>
      </c>
      <c r="S4" s="29">
        <f>J5/30</f>
        <v>0.26179938779914941</v>
      </c>
      <c r="T4" s="29">
        <f>M5/30</f>
        <v>0.36651914291880922</v>
      </c>
    </row>
    <row r="5" spans="2:23" x14ac:dyDescent="0.3">
      <c r="B5" s="6" t="s">
        <v>2</v>
      </c>
      <c r="C5" s="7">
        <v>1.2</v>
      </c>
      <c r="F5" s="59">
        <f>SQRT((C7*C10)/(C8*C9*C4^4))</f>
        <v>0.64760028069916464</v>
      </c>
      <c r="G5" s="60">
        <f>1.5*PI()</f>
        <v>4.7123889803846897</v>
      </c>
      <c r="H5" s="60">
        <f>G5^2*F5</f>
        <v>14.381006806204153</v>
      </c>
      <c r="I5" s="60">
        <f>H5/(2*PI())</f>
        <v>2.2888083198455815</v>
      </c>
      <c r="J5" s="60">
        <f>5/2*PI()</f>
        <v>7.8539816339744828</v>
      </c>
      <c r="K5" s="60">
        <f>J5^2*F5</f>
        <v>39.947241128344871</v>
      </c>
      <c r="L5" s="60">
        <f>K5/(2*PI())</f>
        <v>6.3578008884599493</v>
      </c>
      <c r="M5" s="60">
        <f>3.5*PI()</f>
        <v>10.995574287564276</v>
      </c>
      <c r="N5" s="60">
        <f>M5^2*F5</f>
        <v>78.296592611555937</v>
      </c>
      <c r="O5" s="60">
        <f>N5/(2*PI())</f>
        <v>12.461289741381499</v>
      </c>
    </row>
    <row r="6" spans="2:23" x14ac:dyDescent="0.3">
      <c r="B6" s="6" t="s">
        <v>3</v>
      </c>
      <c r="C6" s="7">
        <v>0.4</v>
      </c>
    </row>
    <row r="7" spans="2:23" ht="15" thickBot="1" x14ac:dyDescent="0.35">
      <c r="B7" s="6" t="s">
        <v>4</v>
      </c>
      <c r="C7" s="8">
        <v>200000000000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1" t="s">
        <v>52</v>
      </c>
      <c r="Q7" s="21"/>
      <c r="R7" s="21" t="s">
        <v>11</v>
      </c>
      <c r="S7" s="21"/>
      <c r="T7" s="21" t="s">
        <v>12</v>
      </c>
      <c r="U7" s="21"/>
      <c r="V7" s="21" t="s">
        <v>13</v>
      </c>
      <c r="W7" s="21"/>
    </row>
    <row r="8" spans="2:23" ht="15" thickBot="1" x14ac:dyDescent="0.35">
      <c r="B8" s="6" t="s">
        <v>5</v>
      </c>
      <c r="C8" s="7">
        <v>7850</v>
      </c>
      <c r="F8" s="26"/>
      <c r="G8" s="2" t="s">
        <v>48</v>
      </c>
      <c r="H8" s="3" t="s">
        <v>56</v>
      </c>
      <c r="I8" s="3" t="s">
        <v>57</v>
      </c>
      <c r="J8" s="53" t="s">
        <v>58</v>
      </c>
      <c r="K8" s="26"/>
      <c r="L8" s="26"/>
      <c r="M8" s="26"/>
      <c r="N8" s="26"/>
      <c r="O8" s="26"/>
      <c r="R8" s="21">
        <v>2.3058000000000001</v>
      </c>
      <c r="S8" s="21"/>
      <c r="T8" s="21">
        <v>6.3544</v>
      </c>
      <c r="U8" s="21"/>
      <c r="V8" s="44">
        <v>12.452</v>
      </c>
      <c r="W8" s="44"/>
    </row>
    <row r="9" spans="2:23" x14ac:dyDescent="0.3">
      <c r="B9" s="6" t="s">
        <v>6</v>
      </c>
      <c r="C9" s="7">
        <f>C5*C6</f>
        <v>0.48</v>
      </c>
      <c r="F9" s="26"/>
      <c r="G9" s="56">
        <v>0</v>
      </c>
      <c r="H9" s="57">
        <f>(COS($R$4*G9)-COSH($R$4*G9))-((COS($G$5)-COSH($G$5))/(SIN($G$5)-SINH($G$5)))*(SIN($R$4*G9)-SINH($R$4*G9))</f>
        <v>0</v>
      </c>
      <c r="I9" s="57">
        <f>(COS($S$4*G9)-COSH($S$4*G9))-((COS($J$5)-COSH($J$5))/(SIN($J$5)-SINH($J$5)))*(SIN($S$4*G9)-SINH($S$4*G9))</f>
        <v>0</v>
      </c>
      <c r="J9" s="58">
        <f>(COS($T$4*G9)-COSH($T$4*G9))-((COS($M$5)-COSH($M$5))/(SIN($M$5)-SINH($M$5)))*(SIN($T$4*G9)-SINH($T$4*G9))</f>
        <v>0</v>
      </c>
      <c r="K9" s="26"/>
      <c r="L9" s="26"/>
      <c r="M9" s="26"/>
      <c r="N9" s="26"/>
      <c r="O9" s="26"/>
    </row>
    <row r="10" spans="2:23" x14ac:dyDescent="0.3">
      <c r="B10" s="6" t="s">
        <v>8</v>
      </c>
      <c r="C10" s="7">
        <f>C5*(C6^3)/12</f>
        <v>6.400000000000002E-3</v>
      </c>
      <c r="F10" s="26"/>
      <c r="G10" s="22">
        <v>1</v>
      </c>
      <c r="H10" s="54">
        <f t="shared" ref="H10:H39" si="0">(COS($R$4*G10)-COSH($R$4*G10))-((COS($G$5)-COSH($G$5))/(SIN($G$5)-SINH($G$5)))*(SIN($R$4*G10)-SINH($R$4*G10))</f>
        <v>-2.340472243284324E-2</v>
      </c>
      <c r="I10" s="54">
        <f t="shared" ref="I10:I39" si="1">(COS($S$4*G10)-COSH($S$4*G10))-((COS($J$5)-COSH($J$5))/(SIN($J$5)-SINH($J$5)))*(SIN($S$4*G10)-SINH($S$4*G10))</f>
        <v>-6.2553982065122249E-2</v>
      </c>
      <c r="J10" s="55">
        <f t="shared" ref="J10:J39" si="2">(COS($T$4*G10)-COSH($T$4*G10))-((COS($M$5)-COSH($M$5))/(SIN($M$5)-SINH($M$5)))*(SIN($T$4*G10)-SINH($T$4*G10))</f>
        <v>-0.11793094126754343</v>
      </c>
      <c r="K10" s="26"/>
      <c r="L10" s="26"/>
      <c r="M10" s="26"/>
      <c r="N10" s="26"/>
      <c r="O10" s="26"/>
      <c r="S10" s="25" t="s">
        <v>90</v>
      </c>
      <c r="T10" s="25" t="s">
        <v>87</v>
      </c>
      <c r="U10" s="25" t="s">
        <v>88</v>
      </c>
      <c r="V10" s="25" t="s">
        <v>89</v>
      </c>
    </row>
    <row r="11" spans="2:23" x14ac:dyDescent="0.3">
      <c r="B11" s="6" t="s">
        <v>7</v>
      </c>
      <c r="C11" s="7">
        <f>(C5^3)*C6/12</f>
        <v>5.7600000000000005E-2</v>
      </c>
      <c r="F11" s="26"/>
      <c r="G11" s="22">
        <f>G10+1</f>
        <v>2</v>
      </c>
      <c r="H11" s="54">
        <f t="shared" si="0"/>
        <v>-8.8543961770050014E-2</v>
      </c>
      <c r="I11" s="54">
        <f t="shared" si="1"/>
        <v>-0.2263222463513474</v>
      </c>
      <c r="J11" s="55">
        <f t="shared" si="2"/>
        <v>-0.40643722230743384</v>
      </c>
      <c r="K11" s="26"/>
      <c r="L11" s="26"/>
      <c r="M11" s="26"/>
      <c r="N11" s="26"/>
      <c r="O11" s="26"/>
      <c r="S11" s="78" t="s">
        <v>62</v>
      </c>
      <c r="T11" s="60">
        <f>I5</f>
        <v>2.2888083198455815</v>
      </c>
      <c r="U11" s="60">
        <f>L5</f>
        <v>6.3578008884599493</v>
      </c>
      <c r="V11" s="60">
        <f>O5</f>
        <v>12.461289741381499</v>
      </c>
    </row>
    <row r="12" spans="2:23" x14ac:dyDescent="0.3">
      <c r="B12" s="6" t="s">
        <v>9</v>
      </c>
      <c r="C12" s="7">
        <f>C10+C11</f>
        <v>6.4000000000000001E-2</v>
      </c>
      <c r="G12" s="22">
        <f t="shared" ref="G12:G39" si="3">G11+1</f>
        <v>3</v>
      </c>
      <c r="H12" s="54">
        <f t="shared" si="0"/>
        <v>-0.18782261311044812</v>
      </c>
      <c r="I12" s="54">
        <f t="shared" si="1"/>
        <v>-0.4558125420806729</v>
      </c>
      <c r="J12" s="55">
        <f t="shared" si="2"/>
        <v>-0.77004935279861764</v>
      </c>
      <c r="S12" s="78" t="s">
        <v>86</v>
      </c>
      <c r="T12" s="22">
        <f>R8</f>
        <v>2.3058000000000001</v>
      </c>
      <c r="U12" s="22">
        <f>T8</f>
        <v>6.3544</v>
      </c>
      <c r="V12" s="54">
        <f>V8</f>
        <v>12.452</v>
      </c>
    </row>
    <row r="13" spans="2:23" x14ac:dyDescent="0.3">
      <c r="B13" s="6" t="s">
        <v>18</v>
      </c>
      <c r="C13" s="7">
        <f>C9*C4</f>
        <v>14.399999999999999</v>
      </c>
      <c r="G13" s="22">
        <f t="shared" si="3"/>
        <v>4</v>
      </c>
      <c r="H13" s="54">
        <f t="shared" si="0"/>
        <v>-0.31370294172738178</v>
      </c>
      <c r="I13" s="54">
        <f t="shared" si="1"/>
        <v>-0.7166472351161649</v>
      </c>
      <c r="J13" s="55">
        <f t="shared" si="2"/>
        <v>-1.1208582196486481</v>
      </c>
      <c r="S13" s="78" t="s">
        <v>85</v>
      </c>
      <c r="T13" s="22">
        <f>(T12-T11)/T11*100</f>
        <v>0.74238109006720654</v>
      </c>
      <c r="U13" s="22">
        <f>(U11-U12)/U11*100</f>
        <v>5.3491584898831795E-2</v>
      </c>
      <c r="V13" s="22">
        <f>(V11-V12)/V11*100</f>
        <v>7.4548795303665677E-2</v>
      </c>
    </row>
    <row r="14" spans="2:23" ht="15" thickBot="1" x14ac:dyDescent="0.35">
      <c r="B14" s="9" t="s">
        <v>19</v>
      </c>
      <c r="C14" s="10">
        <f>C8*C13</f>
        <v>113039.99999999999</v>
      </c>
      <c r="G14" s="22">
        <f t="shared" si="3"/>
        <v>5</v>
      </c>
      <c r="H14" s="54">
        <f t="shared" si="0"/>
        <v>-0.45876425969985468</v>
      </c>
      <c r="I14" s="54">
        <f t="shared" si="1"/>
        <v>-0.97661443537398496</v>
      </c>
      <c r="J14" s="55">
        <f t="shared" si="2"/>
        <v>-1.3848123454825991</v>
      </c>
    </row>
    <row r="15" spans="2:23" x14ac:dyDescent="0.3">
      <c r="G15" s="22">
        <f t="shared" si="3"/>
        <v>6</v>
      </c>
      <c r="H15" s="54">
        <f t="shared" si="0"/>
        <v>-0.61577880968899157</v>
      </c>
      <c r="I15" s="54">
        <f t="shared" si="1"/>
        <v>-1.2068680618296999</v>
      </c>
      <c r="J15" s="55">
        <f t="shared" si="2"/>
        <v>-1.5078257823403263</v>
      </c>
    </row>
    <row r="16" spans="2:23" x14ac:dyDescent="0.3">
      <c r="G16" s="22">
        <f t="shared" si="3"/>
        <v>7</v>
      </c>
      <c r="H16" s="54">
        <f t="shared" si="0"/>
        <v>-0.77779934579798438</v>
      </c>
      <c r="I16" s="54">
        <f t="shared" si="1"/>
        <v>-1.3831264676336428</v>
      </c>
      <c r="J16" s="55">
        <f t="shared" si="2"/>
        <v>-1.4603786945345982</v>
      </c>
    </row>
    <row r="17" spans="7:10" x14ac:dyDescent="0.3">
      <c r="G17" s="22">
        <f t="shared" si="3"/>
        <v>8</v>
      </c>
      <c r="H17" s="54">
        <f t="shared" si="0"/>
        <v>-0.93825402009794312</v>
      </c>
      <c r="I17" s="54">
        <f t="shared" si="1"/>
        <v>-1.4867350577886418</v>
      </c>
      <c r="J17" s="55">
        <f t="shared" si="2"/>
        <v>-1.239648444664887</v>
      </c>
    </row>
    <row r="18" spans="7:10" x14ac:dyDescent="0.3">
      <c r="G18" s="22">
        <f t="shared" si="3"/>
        <v>9</v>
      </c>
      <c r="H18" s="54">
        <f t="shared" si="0"/>
        <v>-1.0910443549204676</v>
      </c>
      <c r="I18" s="54">
        <f t="shared" si="1"/>
        <v>-1.505479667029415</v>
      </c>
      <c r="J18" s="55">
        <f t="shared" si="2"/>
        <v>-0.8686448839462102</v>
      </c>
    </row>
    <row r="19" spans="7:10" x14ac:dyDescent="0.3">
      <c r="G19" s="22">
        <f t="shared" si="3"/>
        <v>10</v>
      </c>
      <c r="H19" s="54">
        <f t="shared" si="0"/>
        <v>-1.2306423098755406</v>
      </c>
      <c r="I19" s="54">
        <f t="shared" si="1"/>
        <v>-1.4340637037783024</v>
      </c>
      <c r="J19" s="55">
        <f t="shared" si="2"/>
        <v>-0.39229630932662474</v>
      </c>
    </row>
    <row r="20" spans="7:10" x14ac:dyDescent="0.3">
      <c r="G20" s="22">
        <f t="shared" si="3"/>
        <v>11</v>
      </c>
      <c r="H20" s="54">
        <f t="shared" si="0"/>
        <v>-1.3521827406522693</v>
      </c>
      <c r="I20" s="54">
        <f t="shared" si="1"/>
        <v>-1.274192057062363</v>
      </c>
      <c r="J20" s="55">
        <f t="shared" si="2"/>
        <v>0.12911045421007827</v>
      </c>
    </row>
    <row r="21" spans="7:10" x14ac:dyDescent="0.3">
      <c r="G21" s="22">
        <f t="shared" si="3"/>
        <v>12</v>
      </c>
      <c r="H21" s="54">
        <f t="shared" si="0"/>
        <v>-1.451547893478228</v>
      </c>
      <c r="I21" s="54">
        <f t="shared" si="1"/>
        <v>-1.0342369510665232</v>
      </c>
      <c r="J21" s="55">
        <f t="shared" si="2"/>
        <v>0.62834481031355693</v>
      </c>
    </row>
    <row r="22" spans="7:10" x14ac:dyDescent="0.3">
      <c r="G22" s="22">
        <f t="shared" si="3"/>
        <v>13</v>
      </c>
      <c r="H22" s="54">
        <f t="shared" si="0"/>
        <v>-1.5254409818803425</v>
      </c>
      <c r="I22" s="54">
        <f t="shared" si="1"/>
        <v>-0.72849349451568024</v>
      </c>
      <c r="J22" s="55">
        <f t="shared" si="2"/>
        <v>1.040439373250031</v>
      </c>
    </row>
    <row r="23" spans="7:10" x14ac:dyDescent="0.3">
      <c r="G23" s="22">
        <f t="shared" si="3"/>
        <v>14</v>
      </c>
      <c r="H23" s="54">
        <f t="shared" si="0"/>
        <v>-1.5714463462985528</v>
      </c>
      <c r="I23" s="54">
        <f t="shared" si="1"/>
        <v>-0.37606367099631299</v>
      </c>
      <c r="J23" s="55">
        <f t="shared" si="2"/>
        <v>1.3115036385471939</v>
      </c>
    </row>
    <row r="24" spans="7:10" x14ac:dyDescent="0.3">
      <c r="G24" s="22">
        <f t="shared" si="3"/>
        <v>15</v>
      </c>
      <c r="H24" s="54">
        <f t="shared" si="0"/>
        <v>-1.5880741955520978</v>
      </c>
      <c r="I24" s="54">
        <f t="shared" si="1"/>
        <v>5.6495151432400803E-4</v>
      </c>
      <c r="J24" s="55">
        <f t="shared" si="2"/>
        <v>1.4059984640817191</v>
      </c>
    </row>
    <row r="25" spans="7:10" x14ac:dyDescent="0.3">
      <c r="G25" s="22">
        <f t="shared" si="3"/>
        <v>16</v>
      </c>
      <c r="H25" s="54">
        <f t="shared" si="0"/>
        <v>-1.5747884640295151</v>
      </c>
      <c r="I25" s="54">
        <f t="shared" si="1"/>
        <v>0.37715717210951993</v>
      </c>
      <c r="J25" s="55">
        <f t="shared" si="2"/>
        <v>1.3115207449215802</v>
      </c>
    </row>
    <row r="26" spans="7:10" x14ac:dyDescent="0.3">
      <c r="G26" s="22">
        <f t="shared" si="3"/>
        <v>17</v>
      </c>
      <c r="H26" s="54">
        <f t="shared" si="0"/>
        <v>-1.5320168804346697</v>
      </c>
      <c r="I26" s="54">
        <f t="shared" si="1"/>
        <v>0.72948041527186547</v>
      </c>
      <c r="J26" s="55">
        <f t="shared" si="2"/>
        <v>1.040471341277879</v>
      </c>
    </row>
    <row r="27" spans="7:10" x14ac:dyDescent="0.3">
      <c r="G27" s="22">
        <f t="shared" si="3"/>
        <v>18</v>
      </c>
      <c r="H27" s="54">
        <f t="shared" si="0"/>
        <v>-1.4611429227503567</v>
      </c>
      <c r="I27" s="54">
        <f t="shared" si="1"/>
        <v>1.0350548202477157</v>
      </c>
      <c r="J27" s="55">
        <f t="shared" si="2"/>
        <v>0.62838745249956673</v>
      </c>
    </row>
    <row r="28" spans="7:10" x14ac:dyDescent="0.3">
      <c r="G28" s="22">
        <f t="shared" si="3"/>
        <v>19</v>
      </c>
      <c r="H28" s="54">
        <f t="shared" si="0"/>
        <v>-1.3644799190070831</v>
      </c>
      <c r="I28" s="54">
        <f t="shared" si="1"/>
        <v>1.2747906978757726</v>
      </c>
      <c r="J28" s="55">
        <f t="shared" si="2"/>
        <v>0.12915820457737937</v>
      </c>
    </row>
    <row r="29" spans="7:10" x14ac:dyDescent="0.3">
      <c r="G29" s="22">
        <f t="shared" si="3"/>
        <v>20</v>
      </c>
      <c r="H29" s="54">
        <f t="shared" si="0"/>
        <v>-1.2452281334992357</v>
      </c>
      <c r="I29" s="54">
        <f t="shared" si="1"/>
        <v>1.434409036554996</v>
      </c>
      <c r="J29" s="55">
        <f t="shared" si="2"/>
        <v>-0.39224964246523086</v>
      </c>
    </row>
    <row r="30" spans="7:10" x14ac:dyDescent="0.3">
      <c r="G30" s="22">
        <f>G29+1</f>
        <v>21</v>
      </c>
      <c r="H30" s="54">
        <f t="shared" si="0"/>
        <v>-1.1074162424629321</v>
      </c>
      <c r="I30" s="54">
        <f t="shared" si="1"/>
        <v>1.5055564946890598</v>
      </c>
      <c r="J30" s="55">
        <f t="shared" si="2"/>
        <v>-0.86860527491876383</v>
      </c>
    </row>
    <row r="31" spans="7:10" x14ac:dyDescent="0.3">
      <c r="G31" s="22">
        <f t="shared" si="3"/>
        <v>22</v>
      </c>
      <c r="H31" s="54">
        <f t="shared" si="0"/>
        <v>-0.95582914161826338</v>
      </c>
      <c r="I31" s="54">
        <f t="shared" si="1"/>
        <v>1.4865486761601971</v>
      </c>
      <c r="J31" s="55">
        <f t="shared" si="2"/>
        <v>-1.2396208262691744</v>
      </c>
    </row>
    <row r="32" spans="7:10" x14ac:dyDescent="0.3">
      <c r="G32" s="22">
        <f t="shared" si="3"/>
        <v>23</v>
      </c>
      <c r="H32" s="54">
        <f t="shared" si="0"/>
        <v>-0.79592453093431814</v>
      </c>
      <c r="I32" s="54">
        <f t="shared" si="1"/>
        <v>1.3827030305034782</v>
      </c>
      <c r="J32" s="55">
        <f t="shared" si="2"/>
        <v>-1.4603662580984746</v>
      </c>
    </row>
    <row r="33" spans="7:10" x14ac:dyDescent="0.3">
      <c r="G33" s="22">
        <f t="shared" si="3"/>
        <v>24</v>
      </c>
      <c r="H33" s="54">
        <f t="shared" si="0"/>
        <v>-0.63374118122755618</v>
      </c>
      <c r="I33" s="54">
        <f t="shared" si="1"/>
        <v>1.2062537258810266</v>
      </c>
      <c r="J33" s="55">
        <f t="shared" si="2"/>
        <v>-1.5078294889258359</v>
      </c>
    </row>
    <row r="34" spans="7:10" x14ac:dyDescent="0.3">
      <c r="G34" s="22">
        <f>G33+1</f>
        <v>25</v>
      </c>
      <c r="H34" s="54">
        <f t="shared" si="0"/>
        <v>-0.47580219596779116</v>
      </c>
      <c r="I34" s="54">
        <f t="shared" si="1"/>
        <v>0.97587340720582461</v>
      </c>
      <c r="J34" s="55">
        <f t="shared" si="2"/>
        <v>-1.3848307043508612</v>
      </c>
    </row>
    <row r="35" spans="7:10" x14ac:dyDescent="0.3">
      <c r="G35" s="22">
        <f t="shared" si="3"/>
        <v>26</v>
      </c>
      <c r="H35" s="54">
        <f t="shared" si="0"/>
        <v>-0.32901693491766082</v>
      </c>
      <c r="I35" s="54">
        <f t="shared" si="1"/>
        <v>0.71585893563741365</v>
      </c>
      <c r="J35" s="55">
        <f t="shared" si="2"/>
        <v>-1.1208873506629971</v>
      </c>
    </row>
    <row r="36" spans="7:10" x14ac:dyDescent="0.3">
      <c r="G36" s="22">
        <f t="shared" si="3"/>
        <v>27</v>
      </c>
      <c r="H36" s="54">
        <f t="shared" si="0"/>
        <v>-0.2005855609605689</v>
      </c>
      <c r="I36" s="54">
        <f t="shared" si="1"/>
        <v>0.45506818767228197</v>
      </c>
      <c r="J36" s="55">
        <f t="shared" si="2"/>
        <v>-0.77008330605349329</v>
      </c>
    </row>
    <row r="37" spans="7:10" x14ac:dyDescent="0.3">
      <c r="G37" s="22">
        <f t="shared" si="3"/>
        <v>28</v>
      </c>
      <c r="H37" s="54">
        <f t="shared" si="0"/>
        <v>-9.7910406893376489E-2</v>
      </c>
      <c r="I37" s="54">
        <f t="shared" si="1"/>
        <v>0.2257212172042955</v>
      </c>
      <c r="J37" s="55">
        <f t="shared" si="2"/>
        <v>-0.40646848593314644</v>
      </c>
    </row>
    <row r="38" spans="7:10" x14ac:dyDescent="0.3">
      <c r="G38" s="22">
        <f t="shared" si="3"/>
        <v>29</v>
      </c>
      <c r="H38" s="54">
        <f t="shared" si="0"/>
        <v>-2.8518536694932095E-2</v>
      </c>
      <c r="I38" s="54">
        <f t="shared" si="1"/>
        <v>6.2200403343922517E-2</v>
      </c>
      <c r="J38" s="55">
        <f t="shared" si="2"/>
        <v>-0.11795103154145181</v>
      </c>
    </row>
    <row r="39" spans="7:10" x14ac:dyDescent="0.3">
      <c r="G39" s="22">
        <f t="shared" si="3"/>
        <v>30</v>
      </c>
      <c r="H39" s="54">
        <f t="shared" si="0"/>
        <v>0</v>
      </c>
      <c r="I39" s="54">
        <f t="shared" si="1"/>
        <v>0</v>
      </c>
      <c r="J39" s="55">
        <f t="shared" si="2"/>
        <v>0</v>
      </c>
    </row>
  </sheetData>
  <mergeCells count="12">
    <mergeCell ref="P7:Q7"/>
    <mergeCell ref="R7:S7"/>
    <mergeCell ref="T7:U7"/>
    <mergeCell ref="V7:W7"/>
    <mergeCell ref="R8:S8"/>
    <mergeCell ref="T8:U8"/>
    <mergeCell ref="V8:W8"/>
    <mergeCell ref="B3:C3"/>
    <mergeCell ref="G2:I2"/>
    <mergeCell ref="B2:C2"/>
    <mergeCell ref="J2:L2"/>
    <mergeCell ref="M2:O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4DCD1-4D88-4805-A59C-3ACBA1638C4E}">
  <dimension ref="B2:R73"/>
  <sheetViews>
    <sheetView tabSelected="1" topLeftCell="C1" zoomScale="80" zoomScaleNormal="80" workbookViewId="0">
      <selection activeCell="E11" sqref="E11"/>
    </sheetView>
  </sheetViews>
  <sheetFormatPr defaultRowHeight="14.4" x14ac:dyDescent="0.3"/>
  <cols>
    <col min="2" max="2" width="13.109375" customWidth="1"/>
    <col min="3" max="3" width="11.5546875" customWidth="1"/>
    <col min="4" max="4" width="13.44140625" customWidth="1"/>
    <col min="6" max="6" width="12" customWidth="1"/>
    <col min="7" max="7" width="10.44140625" customWidth="1"/>
    <col min="9" max="9" width="12.88671875" customWidth="1"/>
    <col min="10" max="10" width="13.33203125" customWidth="1"/>
    <col min="11" max="11" width="13.88671875" customWidth="1"/>
    <col min="14" max="14" width="14.77734375" customWidth="1"/>
    <col min="15" max="15" width="15.44140625" customWidth="1"/>
    <col min="16" max="16" width="13.77734375" customWidth="1"/>
  </cols>
  <sheetData>
    <row r="2" spans="2:18" x14ac:dyDescent="0.3">
      <c r="B2" s="65"/>
      <c r="C2" s="65"/>
      <c r="E2" s="72"/>
      <c r="F2" s="72"/>
    </row>
    <row r="3" spans="2:18" x14ac:dyDescent="0.3">
      <c r="B3" s="31" t="s">
        <v>61</v>
      </c>
      <c r="C3" s="31"/>
      <c r="D3" s="48" t="s">
        <v>90</v>
      </c>
      <c r="E3" s="48" t="s">
        <v>87</v>
      </c>
      <c r="F3" s="48" t="s">
        <v>88</v>
      </c>
      <c r="G3" s="48" t="s">
        <v>89</v>
      </c>
    </row>
    <row r="4" spans="2:18" x14ac:dyDescent="0.3">
      <c r="B4" s="63" t="s">
        <v>1</v>
      </c>
      <c r="C4" s="48">
        <v>30</v>
      </c>
      <c r="D4" s="48" t="s">
        <v>62</v>
      </c>
      <c r="E4" s="22">
        <f>P8</f>
        <v>0.1854940158699773</v>
      </c>
      <c r="F4" s="22">
        <f>Q9</f>
        <v>0.74197606347990919</v>
      </c>
      <c r="G4" s="22">
        <f>R10</f>
        <v>1.6694461428297966</v>
      </c>
    </row>
    <row r="5" spans="2:18" x14ac:dyDescent="0.3">
      <c r="B5" s="63" t="s">
        <v>2</v>
      </c>
      <c r="C5" s="48">
        <v>13</v>
      </c>
      <c r="D5" s="48" t="s">
        <v>86</v>
      </c>
      <c r="E5" s="22">
        <f>C17</f>
        <v>0.18548000000000001</v>
      </c>
      <c r="F5" s="22">
        <f>C18</f>
        <v>0.74180000000000001</v>
      </c>
      <c r="G5" s="22">
        <f>C19</f>
        <v>1.6685000000000001</v>
      </c>
    </row>
    <row r="6" spans="2:18" x14ac:dyDescent="0.3">
      <c r="B6" s="63" t="s">
        <v>3</v>
      </c>
      <c r="C6" s="48">
        <v>1.0999999999999999E-2</v>
      </c>
      <c r="D6" s="48" t="s">
        <v>85</v>
      </c>
      <c r="E6" s="22">
        <f>(E4-E5)/E4*100</f>
        <v>7.5559688066245958E-3</v>
      </c>
      <c r="F6" s="22">
        <f>(F4-F5)/F4*100</f>
        <v>2.3728997278352145E-2</v>
      </c>
      <c r="G6" s="22">
        <f>(G4-G5)/G4*100</f>
        <v>5.6674055276367735E-2</v>
      </c>
      <c r="I6" s="24" t="s">
        <v>72</v>
      </c>
      <c r="J6" s="24"/>
      <c r="K6" s="24"/>
      <c r="L6" s="24"/>
      <c r="O6" s="24" t="s">
        <v>72</v>
      </c>
      <c r="P6" s="24"/>
      <c r="Q6" s="24"/>
      <c r="R6" s="24"/>
    </row>
    <row r="7" spans="2:18" x14ac:dyDescent="0.3">
      <c r="B7" s="63" t="s">
        <v>24</v>
      </c>
      <c r="C7" s="48">
        <f>C5*C4</f>
        <v>390</v>
      </c>
      <c r="E7" s="12"/>
      <c r="F7" s="61"/>
      <c r="H7" s="27" t="s">
        <v>73</v>
      </c>
      <c r="I7" s="22" t="s">
        <v>23</v>
      </c>
      <c r="J7" s="22">
        <v>1</v>
      </c>
      <c r="K7" s="22">
        <v>2</v>
      </c>
      <c r="L7" s="22">
        <v>3</v>
      </c>
      <c r="N7" s="27" t="s">
        <v>73</v>
      </c>
      <c r="O7" s="22" t="s">
        <v>22</v>
      </c>
      <c r="P7" s="22">
        <v>1</v>
      </c>
      <c r="Q7" s="22">
        <v>2</v>
      </c>
      <c r="R7" s="22">
        <v>3</v>
      </c>
    </row>
    <row r="8" spans="2:18" x14ac:dyDescent="0.3">
      <c r="B8" s="63" t="s">
        <v>4</v>
      </c>
      <c r="C8" s="62">
        <v>200000000000</v>
      </c>
      <c r="E8" s="12"/>
      <c r="F8" s="61"/>
      <c r="H8" s="27"/>
      <c r="I8" s="22">
        <v>1</v>
      </c>
      <c r="J8" s="22">
        <f>$C$13*(((1*PI()/$C$4)^2)+(1*PI()/$C$5)^2)</f>
        <v>1.1654932750839784</v>
      </c>
      <c r="K8" s="22">
        <f>$C$13*(((2*PI()/$C$4)^2)+(1*PI()/$C$5)^2)</f>
        <v>1.7182576253810571</v>
      </c>
      <c r="L8" s="22">
        <f>$C$13*(((3*PI()/$C$4)^2)+(1*PI()/$C$5)^2)</f>
        <v>2.6395315425428549</v>
      </c>
      <c r="N8" s="27"/>
      <c r="O8" s="22">
        <v>1</v>
      </c>
      <c r="P8" s="22">
        <f>J8/(2*PI())</f>
        <v>0.1854940158699773</v>
      </c>
      <c r="Q8" s="22">
        <f>K8/(2*PI())</f>
        <v>0.27346919458473734</v>
      </c>
      <c r="R8" s="22">
        <f>L8/(2*PI())</f>
        <v>0.42009449244267083</v>
      </c>
    </row>
    <row r="9" spans="2:18" x14ac:dyDescent="0.3">
      <c r="B9" s="63" t="s">
        <v>25</v>
      </c>
      <c r="C9" s="48">
        <v>7850</v>
      </c>
      <c r="E9" s="12"/>
      <c r="F9" s="61"/>
      <c r="H9" s="27"/>
      <c r="I9" s="22">
        <v>2</v>
      </c>
      <c r="J9" s="22">
        <f>$C$13*(((1*PI()/$C$4)^2)+(2*PI()/$C$5)^2)</f>
        <v>4.1092087500388352</v>
      </c>
      <c r="K9" s="22">
        <f>$C$13*(((2*PI()/$C$4)^2)+(2*PI()/$C$5)^2)</f>
        <v>4.6619731003359135</v>
      </c>
      <c r="L9" s="22">
        <f>$C$13*(((3*PI()/$C$4)^2)+(2*PI()/$C$5)^2)</f>
        <v>5.5832470174977127</v>
      </c>
      <c r="N9" s="27"/>
      <c r="O9" s="22">
        <v>2</v>
      </c>
      <c r="P9" s="22">
        <f t="shared" ref="P9:P10" si="0">J9/(2*PI())</f>
        <v>0.65400088476514917</v>
      </c>
      <c r="Q9" s="22">
        <f t="shared" ref="Q9:Q10" si="1">K9/(2*PI())</f>
        <v>0.74197606347990919</v>
      </c>
      <c r="R9" s="22">
        <f t="shared" ref="R9:R10" si="2">L9/(2*PI())</f>
        <v>0.88860136133784284</v>
      </c>
    </row>
    <row r="10" spans="2:18" x14ac:dyDescent="0.3">
      <c r="B10" s="63" t="s">
        <v>9</v>
      </c>
      <c r="C10" s="48">
        <f>((C5^3)*C6)/12</f>
        <v>2.0139166666666664</v>
      </c>
      <c r="E10" s="12"/>
      <c r="F10" s="61"/>
      <c r="H10" s="27"/>
      <c r="I10" s="22">
        <v>3</v>
      </c>
      <c r="J10" s="22">
        <f>$C$13*(((1*PI()/$C$4)^2)+(3*PI()/$C$5)^2)</f>
        <v>9.0154012082969341</v>
      </c>
      <c r="K10" s="22">
        <f>$C$13*(((2*PI()/$C$4)^2)+(3*PI()/$C$5)^2)</f>
        <v>9.5681655585940124</v>
      </c>
      <c r="L10" s="22">
        <f>$C$13*(((3*PI()/$C$4)^2)+(3*PI()/$C$5)^2)</f>
        <v>10.489439475755811</v>
      </c>
      <c r="N10" s="27"/>
      <c r="O10" s="22">
        <v>3</v>
      </c>
      <c r="P10" s="22">
        <f t="shared" si="0"/>
        <v>1.434845666257103</v>
      </c>
      <c r="Q10" s="22">
        <f t="shared" si="1"/>
        <v>1.522820844971863</v>
      </c>
      <c r="R10" s="22">
        <f t="shared" si="2"/>
        <v>1.6694461428297966</v>
      </c>
    </row>
    <row r="11" spans="2:18" x14ac:dyDescent="0.3">
      <c r="B11" s="63" t="s">
        <v>71</v>
      </c>
      <c r="C11" s="70">
        <v>0.3</v>
      </c>
      <c r="E11" s="12"/>
      <c r="F11" s="61"/>
    </row>
    <row r="12" spans="2:18" x14ac:dyDescent="0.3">
      <c r="B12" s="63" t="s">
        <v>70</v>
      </c>
      <c r="C12" s="71">
        <f>(C8*C6^3)/(12*(1-C11^2))</f>
        <v>24377.289377289373</v>
      </c>
      <c r="H12" s="72"/>
      <c r="I12" s="72"/>
      <c r="J12" s="72"/>
      <c r="K12" s="72"/>
      <c r="L12" s="72"/>
    </row>
    <row r="13" spans="2:18" x14ac:dyDescent="0.3">
      <c r="B13" s="63" t="s">
        <v>74</v>
      </c>
      <c r="C13" s="48">
        <f>SQRT(C12/(C9*C6))</f>
        <v>16.802021474216353</v>
      </c>
      <c r="H13" s="48" t="s">
        <v>48</v>
      </c>
      <c r="I13" s="64" t="s">
        <v>78</v>
      </c>
      <c r="J13" s="64" t="s">
        <v>79</v>
      </c>
      <c r="K13" s="79" t="s">
        <v>80</v>
      </c>
      <c r="L13" s="72"/>
      <c r="M13" s="48" t="s">
        <v>81</v>
      </c>
      <c r="N13" s="64" t="s">
        <v>82</v>
      </c>
      <c r="O13" s="64" t="s">
        <v>83</v>
      </c>
      <c r="P13" s="79" t="s">
        <v>84</v>
      </c>
    </row>
    <row r="14" spans="2:18" x14ac:dyDescent="0.3">
      <c r="H14" s="29">
        <v>0</v>
      </c>
      <c r="I14" s="29">
        <f>SIN((PI()*H14)/$C$4)</f>
        <v>0</v>
      </c>
      <c r="J14" s="29">
        <f>SIN((2*PI()*H14)/$C$4)</f>
        <v>0</v>
      </c>
      <c r="K14" s="29">
        <f>SIN((3*PI()*H14)/$C$4)</f>
        <v>0</v>
      </c>
      <c r="L14" s="72"/>
      <c r="M14" s="28">
        <v>0</v>
      </c>
      <c r="N14" s="28">
        <f>SIN((PI()*M14/$C$5))</f>
        <v>0</v>
      </c>
      <c r="O14" s="28">
        <f>SIN((2*PI()*M14/$C$5))</f>
        <v>0</v>
      </c>
      <c r="P14" s="28">
        <f>SIN((3*PI()*M14/$C$5))</f>
        <v>0</v>
      </c>
    </row>
    <row r="15" spans="2:18" ht="15" thickBot="1" x14ac:dyDescent="0.35">
      <c r="H15" s="29">
        <v>1</v>
      </c>
      <c r="I15" s="29">
        <f t="shared" ref="I15:I44" si="3">SIN((PI()*H15)/$C$4)</f>
        <v>0.10452846326765346</v>
      </c>
      <c r="J15" s="29">
        <f t="shared" ref="J15:J44" si="4">SIN((2*PI()*H15)/$C$4)</f>
        <v>0.20791169081775931</v>
      </c>
      <c r="K15" s="29">
        <f t="shared" ref="K15:K44" si="5">SIN((3*PI()*H15)/$C$4)</f>
        <v>0.3090169943749474</v>
      </c>
      <c r="L15" s="72"/>
      <c r="M15" s="28">
        <v>0.5</v>
      </c>
      <c r="N15" s="28">
        <f t="shared" ref="N15:N66" si="6">SIN((PI()*M15/$C$5))</f>
        <v>0.12053668025532305</v>
      </c>
      <c r="O15" s="28">
        <f t="shared" ref="O15:O40" si="7">SIN((2*PI()*M15/$C$5))</f>
        <v>0.23931566428755774</v>
      </c>
      <c r="P15" s="28">
        <f t="shared" ref="P15:P40" si="8">SIN((3*PI()*M15/$C$5))</f>
        <v>0.35460488704253562</v>
      </c>
    </row>
    <row r="16" spans="2:18" ht="15" thickBot="1" x14ac:dyDescent="0.35">
      <c r="B16" s="66" t="s">
        <v>63</v>
      </c>
      <c r="C16" s="67"/>
      <c r="H16" s="29">
        <f>H15+1</f>
        <v>2</v>
      </c>
      <c r="I16" s="29">
        <f t="shared" si="3"/>
        <v>0.20791169081775931</v>
      </c>
      <c r="J16" s="29">
        <f t="shared" si="4"/>
        <v>0.40673664307580015</v>
      </c>
      <c r="K16" s="29">
        <f t="shared" si="5"/>
        <v>0.58778525229247314</v>
      </c>
      <c r="L16" s="72"/>
      <c r="M16" s="28">
        <f>M15+0.5</f>
        <v>1</v>
      </c>
      <c r="N16" s="28">
        <f t="shared" si="6"/>
        <v>0.23931566428755774</v>
      </c>
      <c r="O16" s="28">
        <f t="shared" si="7"/>
        <v>0.46472317204376851</v>
      </c>
      <c r="P16" s="28">
        <f t="shared" si="8"/>
        <v>0.66312265824079519</v>
      </c>
    </row>
    <row r="17" spans="2:16" x14ac:dyDescent="0.3">
      <c r="B17" s="69" t="s">
        <v>11</v>
      </c>
      <c r="C17" s="56">
        <v>0.18548000000000001</v>
      </c>
      <c r="H17" s="29">
        <f t="shared" ref="H17:H73" si="9">H16+1</f>
        <v>3</v>
      </c>
      <c r="I17" s="29">
        <f t="shared" si="3"/>
        <v>0.3090169943749474</v>
      </c>
      <c r="J17" s="29">
        <f t="shared" si="4"/>
        <v>0.58778525229247314</v>
      </c>
      <c r="K17" s="29">
        <f t="shared" si="5"/>
        <v>0.80901699437494745</v>
      </c>
      <c r="M17" s="28">
        <f t="shared" ref="M17:M65" si="10">M16+0.5</f>
        <v>1.5</v>
      </c>
      <c r="N17" s="28">
        <f t="shared" si="6"/>
        <v>0.35460488704253562</v>
      </c>
      <c r="O17" s="28">
        <f t="shared" si="7"/>
        <v>0.66312265824079519</v>
      </c>
      <c r="P17" s="28">
        <f t="shared" si="8"/>
        <v>0.88545602565320991</v>
      </c>
    </row>
    <row r="18" spans="2:16" x14ac:dyDescent="0.3">
      <c r="B18" s="68" t="s">
        <v>12</v>
      </c>
      <c r="C18" s="22">
        <v>0.74180000000000001</v>
      </c>
      <c r="H18" s="29">
        <f t="shared" si="9"/>
        <v>4</v>
      </c>
      <c r="I18" s="29">
        <f t="shared" si="3"/>
        <v>0.40673664307580015</v>
      </c>
      <c r="J18" s="29">
        <f t="shared" si="4"/>
        <v>0.74314482547739413</v>
      </c>
      <c r="K18" s="29">
        <f t="shared" si="5"/>
        <v>0.95105651629515353</v>
      </c>
      <c r="M18" s="28">
        <f t="shared" si="10"/>
        <v>2</v>
      </c>
      <c r="N18" s="28">
        <f t="shared" si="6"/>
        <v>0.46472317204376851</v>
      </c>
      <c r="O18" s="28">
        <f t="shared" si="7"/>
        <v>0.82298386589365635</v>
      </c>
      <c r="P18" s="28">
        <f t="shared" si="8"/>
        <v>0.99270887409805397</v>
      </c>
    </row>
    <row r="19" spans="2:16" x14ac:dyDescent="0.3">
      <c r="B19" s="68" t="s">
        <v>13</v>
      </c>
      <c r="C19" s="22">
        <v>1.6685000000000001</v>
      </c>
      <c r="H19" s="29">
        <f t="shared" si="9"/>
        <v>5</v>
      </c>
      <c r="I19" s="29">
        <f t="shared" si="3"/>
        <v>0.49999999999999994</v>
      </c>
      <c r="J19" s="29">
        <f t="shared" si="4"/>
        <v>0.8660254037844386</v>
      </c>
      <c r="K19" s="29">
        <f t="shared" si="5"/>
        <v>1</v>
      </c>
      <c r="M19" s="28">
        <f t="shared" si="10"/>
        <v>2.5</v>
      </c>
      <c r="N19" s="28">
        <f t="shared" si="6"/>
        <v>0.56806474673115581</v>
      </c>
      <c r="O19" s="28">
        <f t="shared" si="7"/>
        <v>0.93501624268541483</v>
      </c>
      <c r="P19" s="28">
        <f t="shared" si="8"/>
        <v>0.97094181742605212</v>
      </c>
    </row>
    <row r="20" spans="2:16" x14ac:dyDescent="0.3">
      <c r="B20" s="68" t="s">
        <v>64</v>
      </c>
      <c r="C20" s="22"/>
      <c r="H20" s="29">
        <f t="shared" si="9"/>
        <v>6</v>
      </c>
      <c r="I20" s="29">
        <f t="shared" si="3"/>
        <v>0.58778525229247314</v>
      </c>
      <c r="J20" s="29">
        <f t="shared" si="4"/>
        <v>0.95105651629515353</v>
      </c>
      <c r="K20" s="29">
        <f t="shared" si="5"/>
        <v>0.95105651629515364</v>
      </c>
      <c r="M20" s="28">
        <f t="shared" si="10"/>
        <v>3</v>
      </c>
      <c r="N20" s="28">
        <f t="shared" si="6"/>
        <v>0.66312265824079519</v>
      </c>
      <c r="O20" s="28">
        <f t="shared" si="7"/>
        <v>0.99270887409805397</v>
      </c>
      <c r="P20" s="28">
        <f t="shared" si="8"/>
        <v>0.82298386589365646</v>
      </c>
    </row>
    <row r="21" spans="2:16" x14ac:dyDescent="0.3">
      <c r="B21" s="68" t="s">
        <v>65</v>
      </c>
      <c r="C21" s="22"/>
      <c r="H21" s="29">
        <f t="shared" si="9"/>
        <v>7</v>
      </c>
      <c r="I21" s="29">
        <f t="shared" si="3"/>
        <v>0.66913060635885824</v>
      </c>
      <c r="J21" s="29">
        <f t="shared" si="4"/>
        <v>0.99452189536827329</v>
      </c>
      <c r="K21" s="29">
        <f t="shared" si="5"/>
        <v>0.80901699437494745</v>
      </c>
      <c r="M21" s="28">
        <f t="shared" si="10"/>
        <v>3.5</v>
      </c>
      <c r="N21" s="28">
        <f t="shared" si="6"/>
        <v>0.74851074817110108</v>
      </c>
      <c r="O21" s="28">
        <f t="shared" si="7"/>
        <v>0.99270887409805397</v>
      </c>
      <c r="P21" s="28">
        <f t="shared" si="8"/>
        <v>0.56806474673115581</v>
      </c>
    </row>
    <row r="22" spans="2:16" x14ac:dyDescent="0.3">
      <c r="B22" s="68" t="s">
        <v>66</v>
      </c>
      <c r="C22" s="22"/>
      <c r="H22" s="29">
        <f t="shared" si="9"/>
        <v>8</v>
      </c>
      <c r="I22" s="29">
        <f t="shared" si="3"/>
        <v>0.74314482547739413</v>
      </c>
      <c r="J22" s="29">
        <f t="shared" si="4"/>
        <v>0.9945218953682734</v>
      </c>
      <c r="K22" s="29">
        <f t="shared" si="5"/>
        <v>0.58778525229247325</v>
      </c>
      <c r="M22" s="28">
        <f t="shared" si="10"/>
        <v>4</v>
      </c>
      <c r="N22" s="28">
        <f t="shared" si="6"/>
        <v>0.82298386589365635</v>
      </c>
      <c r="O22" s="28">
        <f t="shared" si="7"/>
        <v>0.93501624268541483</v>
      </c>
      <c r="P22" s="28">
        <f t="shared" si="8"/>
        <v>0.23931566428755768</v>
      </c>
    </row>
    <row r="23" spans="2:16" x14ac:dyDescent="0.3">
      <c r="B23" s="68" t="s">
        <v>67</v>
      </c>
      <c r="C23" s="22"/>
      <c r="H23" s="29">
        <f t="shared" si="9"/>
        <v>9</v>
      </c>
      <c r="I23" s="29">
        <f t="shared" si="3"/>
        <v>0.80901699437494745</v>
      </c>
      <c r="J23" s="29">
        <f t="shared" si="4"/>
        <v>0.95105651629515364</v>
      </c>
      <c r="K23" s="29">
        <f t="shared" si="5"/>
        <v>0.30901699437494751</v>
      </c>
      <c r="M23" s="28">
        <f t="shared" si="10"/>
        <v>4.5</v>
      </c>
      <c r="N23" s="28">
        <f t="shared" si="6"/>
        <v>0.88545602565320991</v>
      </c>
      <c r="O23" s="28">
        <f t="shared" si="7"/>
        <v>0.82298386589365646</v>
      </c>
      <c r="P23" s="28">
        <f t="shared" si="8"/>
        <v>-0.12053668025532283</v>
      </c>
    </row>
    <row r="24" spans="2:16" x14ac:dyDescent="0.3">
      <c r="B24" s="68" t="s">
        <v>68</v>
      </c>
      <c r="C24" s="22"/>
      <c r="H24" s="29">
        <f t="shared" si="9"/>
        <v>10</v>
      </c>
      <c r="I24" s="29">
        <f t="shared" si="3"/>
        <v>0.8660254037844386</v>
      </c>
      <c r="J24" s="29">
        <f t="shared" si="4"/>
        <v>0.86602540378443871</v>
      </c>
      <c r="K24" s="29">
        <f t="shared" si="5"/>
        <v>5.6660405534092462E-16</v>
      </c>
      <c r="M24" s="28">
        <f t="shared" si="10"/>
        <v>5</v>
      </c>
      <c r="N24" s="28">
        <f t="shared" si="6"/>
        <v>0.93501624268541483</v>
      </c>
      <c r="O24" s="28">
        <f t="shared" si="7"/>
        <v>0.66312265824079519</v>
      </c>
      <c r="P24" s="28">
        <f t="shared" si="8"/>
        <v>-0.46472317204376806</v>
      </c>
    </row>
    <row r="25" spans="2:16" x14ac:dyDescent="0.3">
      <c r="B25" s="68" t="s">
        <v>69</v>
      </c>
      <c r="C25" s="22"/>
      <c r="H25" s="29">
        <f t="shared" si="9"/>
        <v>11</v>
      </c>
      <c r="I25" s="29">
        <f t="shared" si="3"/>
        <v>0.91354545764260087</v>
      </c>
      <c r="J25" s="29">
        <f t="shared" si="4"/>
        <v>0.74314482547739447</v>
      </c>
      <c r="K25" s="29">
        <f t="shared" si="5"/>
        <v>-0.30901699437494728</v>
      </c>
      <c r="M25" s="28">
        <f t="shared" si="10"/>
        <v>5.5</v>
      </c>
      <c r="N25" s="28">
        <f t="shared" si="6"/>
        <v>0.97094181742605201</v>
      </c>
      <c r="O25" s="28">
        <f t="shared" si="7"/>
        <v>0.46472317204376906</v>
      </c>
      <c r="P25" s="28">
        <f t="shared" si="8"/>
        <v>-0.74851074817110108</v>
      </c>
    </row>
    <row r="26" spans="2:16" x14ac:dyDescent="0.3">
      <c r="H26" s="29">
        <f t="shared" si="9"/>
        <v>12</v>
      </c>
      <c r="I26" s="29">
        <f t="shared" si="3"/>
        <v>0.95105651629515353</v>
      </c>
      <c r="J26" s="29">
        <f t="shared" si="4"/>
        <v>0.58778525229247325</v>
      </c>
      <c r="K26" s="29">
        <f t="shared" si="5"/>
        <v>-0.58778525229247303</v>
      </c>
      <c r="M26" s="28">
        <f t="shared" si="10"/>
        <v>6</v>
      </c>
      <c r="N26" s="28">
        <f t="shared" si="6"/>
        <v>0.99270887409805397</v>
      </c>
      <c r="O26" s="28">
        <f t="shared" si="7"/>
        <v>0.23931566428755768</v>
      </c>
      <c r="P26" s="28">
        <f t="shared" si="8"/>
        <v>-0.93501624268541472</v>
      </c>
    </row>
    <row r="27" spans="2:16" x14ac:dyDescent="0.3">
      <c r="H27" s="29">
        <f t="shared" si="9"/>
        <v>13</v>
      </c>
      <c r="I27" s="29">
        <f t="shared" si="3"/>
        <v>0.97814760073380569</v>
      </c>
      <c r="J27" s="29">
        <f t="shared" si="4"/>
        <v>0.40673664307580004</v>
      </c>
      <c r="K27" s="29">
        <f t="shared" si="5"/>
        <v>-0.80901699437494734</v>
      </c>
      <c r="M27" s="28">
        <f t="shared" si="10"/>
        <v>6.5</v>
      </c>
      <c r="N27" s="28">
        <f t="shared" si="6"/>
        <v>1</v>
      </c>
      <c r="O27" s="28">
        <f t="shared" si="7"/>
        <v>-3.2157436435920062E-16</v>
      </c>
      <c r="P27" s="28">
        <f t="shared" si="8"/>
        <v>-1</v>
      </c>
    </row>
    <row r="28" spans="2:16" x14ac:dyDescent="0.3">
      <c r="H28" s="29">
        <f t="shared" si="9"/>
        <v>14</v>
      </c>
      <c r="I28" s="29">
        <f t="shared" si="3"/>
        <v>0.99452189536827329</v>
      </c>
      <c r="J28" s="29">
        <f t="shared" si="4"/>
        <v>0.20791169081775931</v>
      </c>
      <c r="K28" s="29">
        <f t="shared" si="5"/>
        <v>-0.95105651629515353</v>
      </c>
      <c r="M28" s="28">
        <f t="shared" si="10"/>
        <v>7</v>
      </c>
      <c r="N28" s="28">
        <f t="shared" si="6"/>
        <v>0.99270887409805397</v>
      </c>
      <c r="O28" s="28">
        <f t="shared" si="7"/>
        <v>-0.23931566428755743</v>
      </c>
      <c r="P28" s="28">
        <f t="shared" si="8"/>
        <v>-0.93501624268541483</v>
      </c>
    </row>
    <row r="29" spans="2:16" x14ac:dyDescent="0.3">
      <c r="H29" s="29">
        <f t="shared" si="9"/>
        <v>15</v>
      </c>
      <c r="I29" s="29">
        <f t="shared" si="3"/>
        <v>1</v>
      </c>
      <c r="J29" s="29">
        <f t="shared" si="4"/>
        <v>5.6660405534092462E-16</v>
      </c>
      <c r="K29" s="29">
        <f t="shared" si="5"/>
        <v>-1</v>
      </c>
      <c r="M29" s="28">
        <f t="shared" si="10"/>
        <v>7.5</v>
      </c>
      <c r="N29" s="28">
        <f t="shared" si="6"/>
        <v>0.97094181742605212</v>
      </c>
      <c r="O29" s="28">
        <f t="shared" si="7"/>
        <v>-0.46472317204376806</v>
      </c>
      <c r="P29" s="28">
        <f t="shared" si="8"/>
        <v>-0.74851074817110108</v>
      </c>
    </row>
    <row r="30" spans="2:16" x14ac:dyDescent="0.3">
      <c r="H30" s="29">
        <f t="shared" si="9"/>
        <v>16</v>
      </c>
      <c r="I30" s="29">
        <f t="shared" si="3"/>
        <v>0.9945218953682734</v>
      </c>
      <c r="J30" s="29">
        <f t="shared" si="4"/>
        <v>-0.20791169081775907</v>
      </c>
      <c r="K30" s="29">
        <f t="shared" si="5"/>
        <v>-0.95105651629515364</v>
      </c>
      <c r="M30" s="28">
        <f t="shared" si="10"/>
        <v>8</v>
      </c>
      <c r="N30" s="28">
        <f t="shared" si="6"/>
        <v>0.93501624268541483</v>
      </c>
      <c r="O30" s="28">
        <f t="shared" si="7"/>
        <v>-0.66312265824079497</v>
      </c>
      <c r="P30" s="28">
        <f t="shared" si="8"/>
        <v>-0.4647231720437684</v>
      </c>
    </row>
    <row r="31" spans="2:16" x14ac:dyDescent="0.3">
      <c r="H31" s="29">
        <f t="shared" si="9"/>
        <v>17</v>
      </c>
      <c r="I31" s="29">
        <f t="shared" si="3"/>
        <v>0.97814760073380569</v>
      </c>
      <c r="J31" s="29">
        <f t="shared" si="4"/>
        <v>-0.40673664307580021</v>
      </c>
      <c r="K31" s="29">
        <f t="shared" si="5"/>
        <v>-0.80901699437494756</v>
      </c>
      <c r="M31" s="28">
        <f t="shared" si="10"/>
        <v>8.5</v>
      </c>
      <c r="N31" s="28">
        <f t="shared" si="6"/>
        <v>0.88545602565320991</v>
      </c>
      <c r="O31" s="28">
        <f t="shared" si="7"/>
        <v>-0.82298386589365635</v>
      </c>
      <c r="P31" s="28">
        <f t="shared" si="8"/>
        <v>-0.12053668025532363</v>
      </c>
    </row>
    <row r="32" spans="2:16" x14ac:dyDescent="0.3">
      <c r="H32" s="29">
        <f t="shared" si="9"/>
        <v>18</v>
      </c>
      <c r="I32" s="29">
        <f t="shared" si="3"/>
        <v>0.95105651629515364</v>
      </c>
      <c r="J32" s="29">
        <f t="shared" si="4"/>
        <v>-0.58778525229247303</v>
      </c>
      <c r="K32" s="29">
        <f t="shared" si="5"/>
        <v>-0.58778525229247336</v>
      </c>
      <c r="M32" s="28">
        <f t="shared" si="10"/>
        <v>9</v>
      </c>
      <c r="N32" s="28">
        <f t="shared" si="6"/>
        <v>0.82298386589365646</v>
      </c>
      <c r="O32" s="28">
        <f t="shared" si="7"/>
        <v>-0.93501624268541472</v>
      </c>
      <c r="P32" s="28">
        <f t="shared" si="8"/>
        <v>0.23931566428755732</v>
      </c>
    </row>
    <row r="33" spans="8:16" x14ac:dyDescent="0.3">
      <c r="H33" s="29">
        <f t="shared" si="9"/>
        <v>19</v>
      </c>
      <c r="I33" s="29">
        <f t="shared" si="3"/>
        <v>0.91354545764260098</v>
      </c>
      <c r="J33" s="29">
        <f t="shared" si="4"/>
        <v>-0.74314482547739402</v>
      </c>
      <c r="K33" s="29">
        <f t="shared" si="5"/>
        <v>-0.30901699437494762</v>
      </c>
      <c r="M33" s="28">
        <f t="shared" si="10"/>
        <v>9.5</v>
      </c>
      <c r="N33" s="28">
        <f t="shared" si="6"/>
        <v>0.7485107481711013</v>
      </c>
      <c r="O33" s="28">
        <f t="shared" si="7"/>
        <v>-0.99270887409805397</v>
      </c>
      <c r="P33" s="28">
        <f t="shared" si="8"/>
        <v>0.56806474673115548</v>
      </c>
    </row>
    <row r="34" spans="8:16" x14ac:dyDescent="0.3">
      <c r="H34" s="29">
        <f t="shared" si="9"/>
        <v>20</v>
      </c>
      <c r="I34" s="29">
        <f t="shared" si="3"/>
        <v>0.86602540378443871</v>
      </c>
      <c r="J34" s="29">
        <f t="shared" si="4"/>
        <v>-0.86602540378443837</v>
      </c>
      <c r="K34" s="29">
        <f t="shared" si="5"/>
        <v>-1.1332081106818492E-15</v>
      </c>
      <c r="M34" s="28">
        <f t="shared" si="10"/>
        <v>10</v>
      </c>
      <c r="N34" s="28">
        <f t="shared" si="6"/>
        <v>0.66312265824079519</v>
      </c>
      <c r="O34" s="28">
        <f t="shared" si="7"/>
        <v>-0.99270887409805397</v>
      </c>
      <c r="P34" s="28">
        <f t="shared" si="8"/>
        <v>0.8229838658936558</v>
      </c>
    </row>
    <row r="35" spans="8:16" x14ac:dyDescent="0.3">
      <c r="H35" s="29">
        <f t="shared" si="9"/>
        <v>21</v>
      </c>
      <c r="I35" s="29">
        <f t="shared" si="3"/>
        <v>0.80901699437494745</v>
      </c>
      <c r="J35" s="29">
        <f t="shared" si="4"/>
        <v>-0.95105651629515353</v>
      </c>
      <c r="K35" s="29">
        <f t="shared" si="5"/>
        <v>0.30901699437494717</v>
      </c>
      <c r="M35" s="28">
        <f t="shared" si="10"/>
        <v>10.5</v>
      </c>
      <c r="N35" s="28">
        <f t="shared" si="6"/>
        <v>0.56806474673115581</v>
      </c>
      <c r="O35" s="28">
        <f t="shared" si="7"/>
        <v>-0.93501624268541483</v>
      </c>
      <c r="P35" s="28">
        <f t="shared" si="8"/>
        <v>0.97094181742605201</v>
      </c>
    </row>
    <row r="36" spans="8:16" x14ac:dyDescent="0.3">
      <c r="H36" s="29">
        <f t="shared" si="9"/>
        <v>22</v>
      </c>
      <c r="I36" s="29">
        <f t="shared" si="3"/>
        <v>0.74314482547739447</v>
      </c>
      <c r="J36" s="29">
        <f t="shared" si="4"/>
        <v>-0.99452189536827329</v>
      </c>
      <c r="K36" s="29">
        <f t="shared" si="5"/>
        <v>0.58778525229247292</v>
      </c>
      <c r="M36" s="28">
        <f t="shared" si="10"/>
        <v>11</v>
      </c>
      <c r="N36" s="28">
        <f t="shared" si="6"/>
        <v>0.46472317204376906</v>
      </c>
      <c r="O36" s="28">
        <f t="shared" si="7"/>
        <v>-0.82298386589365702</v>
      </c>
      <c r="P36" s="28">
        <f t="shared" si="8"/>
        <v>0.99270887409805397</v>
      </c>
    </row>
    <row r="37" spans="8:16" x14ac:dyDescent="0.3">
      <c r="H37" s="29">
        <f t="shared" si="9"/>
        <v>23</v>
      </c>
      <c r="I37" s="29">
        <f t="shared" si="3"/>
        <v>0.66913060635885835</v>
      </c>
      <c r="J37" s="29">
        <f t="shared" si="4"/>
        <v>-0.9945218953682734</v>
      </c>
      <c r="K37" s="29">
        <f t="shared" si="5"/>
        <v>0.80901699437494723</v>
      </c>
      <c r="M37" s="28">
        <f t="shared" si="10"/>
        <v>11.5</v>
      </c>
      <c r="N37" s="28">
        <f t="shared" si="6"/>
        <v>0.35460488704253584</v>
      </c>
      <c r="O37" s="28">
        <f t="shared" si="7"/>
        <v>-0.66312265824079553</v>
      </c>
      <c r="P37" s="28">
        <f t="shared" si="8"/>
        <v>0.88545602565321024</v>
      </c>
    </row>
    <row r="38" spans="8:16" x14ac:dyDescent="0.3">
      <c r="H38" s="29">
        <f t="shared" si="9"/>
        <v>24</v>
      </c>
      <c r="I38" s="29">
        <f t="shared" si="3"/>
        <v>0.58778525229247325</v>
      </c>
      <c r="J38" s="29">
        <f t="shared" si="4"/>
        <v>-0.95105651629515364</v>
      </c>
      <c r="K38" s="29">
        <f t="shared" si="5"/>
        <v>0.95105651629515353</v>
      </c>
      <c r="M38" s="28">
        <f t="shared" si="10"/>
        <v>12</v>
      </c>
      <c r="N38" s="28">
        <f t="shared" si="6"/>
        <v>0.23931566428755768</v>
      </c>
      <c r="O38" s="28">
        <f t="shared" si="7"/>
        <v>-0.4647231720437684</v>
      </c>
      <c r="P38" s="28">
        <f t="shared" si="8"/>
        <v>0.66312265824079564</v>
      </c>
    </row>
    <row r="39" spans="8:16" x14ac:dyDescent="0.3">
      <c r="H39" s="29">
        <f t="shared" si="9"/>
        <v>25</v>
      </c>
      <c r="I39" s="29">
        <f t="shared" si="3"/>
        <v>0.49999999999999994</v>
      </c>
      <c r="J39" s="29">
        <f t="shared" si="4"/>
        <v>-0.8660254037844386</v>
      </c>
      <c r="K39" s="29">
        <f t="shared" si="5"/>
        <v>1</v>
      </c>
      <c r="M39" s="28">
        <f t="shared" si="10"/>
        <v>12.5</v>
      </c>
      <c r="N39" s="28">
        <f t="shared" si="6"/>
        <v>0.12053668025532308</v>
      </c>
      <c r="O39" s="28">
        <f t="shared" si="7"/>
        <v>-0.23931566428755779</v>
      </c>
      <c r="P39" s="28">
        <f t="shared" si="8"/>
        <v>0.35460488704253607</v>
      </c>
    </row>
    <row r="40" spans="8:16" x14ac:dyDescent="0.3">
      <c r="H40" s="29">
        <f t="shared" si="9"/>
        <v>26</v>
      </c>
      <c r="I40" s="29">
        <f t="shared" si="3"/>
        <v>0.40673664307580004</v>
      </c>
      <c r="J40" s="29">
        <f t="shared" si="4"/>
        <v>-0.74314482547739402</v>
      </c>
      <c r="K40" s="29">
        <f t="shared" si="5"/>
        <v>0.95105651629515364</v>
      </c>
      <c r="M40" s="28">
        <f t="shared" si="10"/>
        <v>13</v>
      </c>
      <c r="N40" s="28">
        <f t="shared" si="6"/>
        <v>-3.2157436435920062E-16</v>
      </c>
      <c r="O40" s="28">
        <f t="shared" si="7"/>
        <v>6.4314872871840123E-16</v>
      </c>
      <c r="P40" s="28">
        <f t="shared" si="8"/>
        <v>3.67544536472586E-16</v>
      </c>
    </row>
    <row r="41" spans="8:16" x14ac:dyDescent="0.3">
      <c r="H41" s="29">
        <f t="shared" si="9"/>
        <v>27</v>
      </c>
      <c r="I41" s="29">
        <f t="shared" si="3"/>
        <v>0.30901699437494751</v>
      </c>
      <c r="J41" s="29">
        <f t="shared" si="4"/>
        <v>-0.58778525229247336</v>
      </c>
      <c r="K41" s="29">
        <f t="shared" si="5"/>
        <v>0.80901699437494767</v>
      </c>
    </row>
    <row r="42" spans="8:16" x14ac:dyDescent="0.3">
      <c r="H42" s="29">
        <f t="shared" si="9"/>
        <v>28</v>
      </c>
      <c r="I42" s="29">
        <f t="shared" si="3"/>
        <v>0.20791169081775931</v>
      </c>
      <c r="J42" s="29">
        <f t="shared" si="4"/>
        <v>-0.40673664307580015</v>
      </c>
      <c r="K42" s="29">
        <f t="shared" si="5"/>
        <v>0.58778525229247336</v>
      </c>
    </row>
    <row r="43" spans="8:16" x14ac:dyDescent="0.3">
      <c r="H43" s="29">
        <f t="shared" si="9"/>
        <v>29</v>
      </c>
      <c r="I43" s="29">
        <f t="shared" si="3"/>
        <v>0.10452846326765329</v>
      </c>
      <c r="J43" s="29">
        <f t="shared" si="4"/>
        <v>-0.20791169081775898</v>
      </c>
      <c r="K43" s="29">
        <f t="shared" si="5"/>
        <v>0.30901699437494778</v>
      </c>
    </row>
    <row r="44" spans="8:16" x14ac:dyDescent="0.3">
      <c r="H44" s="29">
        <f t="shared" si="9"/>
        <v>30</v>
      </c>
      <c r="I44" s="29">
        <f t="shared" si="3"/>
        <v>5.6660405534092462E-16</v>
      </c>
      <c r="J44" s="29">
        <f t="shared" si="4"/>
        <v>-1.1332081106818492E-15</v>
      </c>
      <c r="K44" s="29">
        <f t="shared" si="5"/>
        <v>3.67544536472586E-16</v>
      </c>
    </row>
    <row r="45" spans="8:16" x14ac:dyDescent="0.3">
      <c r="H45" s="72"/>
    </row>
    <row r="46" spans="8:16" x14ac:dyDescent="0.3">
      <c r="H46" s="72"/>
    </row>
    <row r="47" spans="8:16" x14ac:dyDescent="0.3">
      <c r="H47" s="72"/>
    </row>
    <row r="48" spans="8:16" x14ac:dyDescent="0.3">
      <c r="H48" s="72"/>
    </row>
    <row r="49" spans="8:8" x14ac:dyDescent="0.3">
      <c r="H49" s="72"/>
    </row>
    <row r="50" spans="8:8" x14ac:dyDescent="0.3">
      <c r="H50" s="72"/>
    </row>
    <row r="51" spans="8:8" x14ac:dyDescent="0.3">
      <c r="H51" s="72"/>
    </row>
    <row r="52" spans="8:8" x14ac:dyDescent="0.3">
      <c r="H52" s="72"/>
    </row>
    <row r="53" spans="8:8" x14ac:dyDescent="0.3">
      <c r="H53" s="72"/>
    </row>
    <row r="54" spans="8:8" x14ac:dyDescent="0.3">
      <c r="H54" s="72"/>
    </row>
    <row r="55" spans="8:8" x14ac:dyDescent="0.3">
      <c r="H55" s="72"/>
    </row>
    <row r="56" spans="8:8" x14ac:dyDescent="0.3">
      <c r="H56" s="72"/>
    </row>
    <row r="57" spans="8:8" x14ac:dyDescent="0.3">
      <c r="H57" s="72"/>
    </row>
    <row r="58" spans="8:8" x14ac:dyDescent="0.3">
      <c r="H58" s="72"/>
    </row>
    <row r="59" spans="8:8" x14ac:dyDescent="0.3">
      <c r="H59" s="72"/>
    </row>
    <row r="60" spans="8:8" x14ac:dyDescent="0.3">
      <c r="H60" s="72"/>
    </row>
    <row r="61" spans="8:8" x14ac:dyDescent="0.3">
      <c r="H61" s="72"/>
    </row>
    <row r="62" spans="8:8" x14ac:dyDescent="0.3">
      <c r="H62" s="72"/>
    </row>
    <row r="63" spans="8:8" x14ac:dyDescent="0.3">
      <c r="H63" s="72"/>
    </row>
    <row r="64" spans="8:8" x14ac:dyDescent="0.3">
      <c r="H64" s="72"/>
    </row>
    <row r="65" spans="8:8" x14ac:dyDescent="0.3">
      <c r="H65" s="72"/>
    </row>
    <row r="66" spans="8:8" x14ac:dyDescent="0.3">
      <c r="H66" s="72"/>
    </row>
    <row r="67" spans="8:8" x14ac:dyDescent="0.3">
      <c r="H67" s="72"/>
    </row>
    <row r="68" spans="8:8" x14ac:dyDescent="0.3">
      <c r="H68" s="72"/>
    </row>
    <row r="69" spans="8:8" x14ac:dyDescent="0.3">
      <c r="H69" s="72"/>
    </row>
    <row r="70" spans="8:8" x14ac:dyDescent="0.3">
      <c r="H70" s="72"/>
    </row>
    <row r="71" spans="8:8" x14ac:dyDescent="0.3">
      <c r="H71" s="72"/>
    </row>
    <row r="72" spans="8:8" x14ac:dyDescent="0.3">
      <c r="H72" s="72"/>
    </row>
    <row r="73" spans="8:8" x14ac:dyDescent="0.3">
      <c r="H73" s="72"/>
    </row>
  </sheetData>
  <mergeCells count="6">
    <mergeCell ref="O6:R6"/>
    <mergeCell ref="N7:N10"/>
    <mergeCell ref="B3:C3"/>
    <mergeCell ref="B16:C16"/>
    <mergeCell ref="I6:L6"/>
    <mergeCell ref="H7:H1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6FEFA-ABEF-4EE9-B002-F076B8365A06}">
  <dimension ref="B1:F11"/>
  <sheetViews>
    <sheetView workbookViewId="0">
      <selection activeCell="E10" sqref="E10"/>
    </sheetView>
  </sheetViews>
  <sheetFormatPr defaultRowHeight="14.4" x14ac:dyDescent="0.3"/>
  <cols>
    <col min="2" max="2" width="12.6640625" customWidth="1"/>
    <col min="3" max="3" width="12.21875" customWidth="1"/>
  </cols>
  <sheetData>
    <row r="1" spans="2:6" ht="15" thickBot="1" x14ac:dyDescent="0.35"/>
    <row r="2" spans="2:6" ht="15" thickBot="1" x14ac:dyDescent="0.35">
      <c r="B2" s="75" t="s">
        <v>75</v>
      </c>
      <c r="C2" s="76"/>
      <c r="E2" s="77" t="s">
        <v>63</v>
      </c>
      <c r="F2" s="77"/>
    </row>
    <row r="3" spans="2:6" x14ac:dyDescent="0.3">
      <c r="B3" s="74" t="s">
        <v>1</v>
      </c>
      <c r="C3" s="73">
        <v>30</v>
      </c>
      <c r="E3" s="68" t="s">
        <v>11</v>
      </c>
      <c r="F3" s="68" t="s">
        <v>11</v>
      </c>
    </row>
    <row r="4" spans="2:6" x14ac:dyDescent="0.3">
      <c r="B4" s="40" t="s">
        <v>2</v>
      </c>
      <c r="C4" s="48">
        <v>13</v>
      </c>
      <c r="E4" s="48">
        <v>0.77788000000000002</v>
      </c>
      <c r="F4" s="48">
        <v>0.78649999999999998</v>
      </c>
    </row>
    <row r="5" spans="2:6" x14ac:dyDescent="0.3">
      <c r="B5" s="40" t="s">
        <v>76</v>
      </c>
      <c r="C5" s="48">
        <v>1.0999999999999999E-2</v>
      </c>
      <c r="E5" s="68" t="s">
        <v>12</v>
      </c>
      <c r="F5" s="68" t="s">
        <v>12</v>
      </c>
    </row>
    <row r="6" spans="2:6" x14ac:dyDescent="0.3">
      <c r="B6" s="40" t="s">
        <v>34</v>
      </c>
      <c r="C6" s="48">
        <f>C3/2</f>
        <v>15</v>
      </c>
      <c r="E6" s="48">
        <v>1.0255000000000001</v>
      </c>
      <c r="F6" s="48">
        <v>1.0306999999999999</v>
      </c>
    </row>
    <row r="7" spans="2:6" x14ac:dyDescent="0.3">
      <c r="B7" s="40" t="s">
        <v>35</v>
      </c>
      <c r="C7" s="48">
        <f>C4/2</f>
        <v>6.5</v>
      </c>
      <c r="E7" s="68" t="s">
        <v>13</v>
      </c>
      <c r="F7" s="68" t="s">
        <v>13</v>
      </c>
    </row>
    <row r="8" spans="2:6" x14ac:dyDescent="0.3">
      <c r="B8" s="40" t="s">
        <v>36</v>
      </c>
      <c r="C8" s="48">
        <v>0.3</v>
      </c>
      <c r="E8" s="48">
        <v>1.2176</v>
      </c>
      <c r="F8" s="48">
        <v>1.2491000000000001</v>
      </c>
    </row>
    <row r="9" spans="2:6" x14ac:dyDescent="0.3">
      <c r="B9" s="40" t="s">
        <v>37</v>
      </c>
      <c r="C9" s="48">
        <v>0.3</v>
      </c>
    </row>
    <row r="10" spans="2:6" x14ac:dyDescent="0.3">
      <c r="B10" s="40" t="s">
        <v>77</v>
      </c>
      <c r="C10" s="48">
        <v>1.0999999999999999E-2</v>
      </c>
    </row>
    <row r="11" spans="2:6" x14ac:dyDescent="0.3">
      <c r="B11" s="40" t="s">
        <v>27</v>
      </c>
      <c r="C11" s="48" t="s">
        <v>32</v>
      </c>
    </row>
  </sheetData>
  <mergeCells count="2">
    <mergeCell ref="B2:C2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Variables</vt:lpstr>
      <vt:lpstr>Uniform Beam</vt:lpstr>
      <vt:lpstr>Unstiffened Plate </vt:lpstr>
      <vt:lpstr>Stiffened 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Bentivogli</dc:creator>
  <cp:lastModifiedBy>Fabio Bentivogli</cp:lastModifiedBy>
  <dcterms:created xsi:type="dcterms:W3CDTF">2022-04-27T22:31:32Z</dcterms:created>
  <dcterms:modified xsi:type="dcterms:W3CDTF">2022-05-01T04:44:17Z</dcterms:modified>
</cp:coreProperties>
</file>