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ti\OneDrive\Desktop\University\TMP\"/>
    </mc:Choice>
  </mc:AlternateContent>
  <xr:revisionPtr revIDLastSave="0" documentId="8_{9ACC00D5-43B6-4DDE-B3CA-3E8A39713EFD}" xr6:coauthVersionLast="47" xr6:coauthVersionMax="47" xr10:uidLastSave="{00000000-0000-0000-0000-000000000000}"/>
  <bookViews>
    <workbookView xWindow="-108" yWindow="-108" windowWidth="23256" windowHeight="12456" activeTab="1" xr2:uid="{DA8B5A7A-03DA-4051-AFE0-65BDECEDA208}"/>
  </bookViews>
  <sheets>
    <sheet name="Initial variables" sheetId="1" r:id="rId1"/>
    <sheet name="Analysis" sheetId="2" r:id="rId2"/>
    <sheet name="Comparisons" sheetId="3" r:id="rId3"/>
  </sheets>
  <definedNames>
    <definedName name="solver_adj" localSheetId="1" hidden="1">Analysis!$Y$20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Analysis!$AB$18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" i="1" l="1"/>
  <c r="I25" i="1"/>
  <c r="AC5" i="2" s="1"/>
  <c r="AC6" i="2" s="1"/>
  <c r="AC7" i="2" s="1"/>
  <c r="AC8" i="2" s="1"/>
  <c r="AC9" i="2" s="1"/>
  <c r="AC10" i="2" s="1"/>
  <c r="AC11" i="2" s="1"/>
  <c r="AC12" i="2" s="1"/>
  <c r="AC13" i="2" s="1"/>
  <c r="AC14" i="2" s="1"/>
  <c r="K5" i="2"/>
  <c r="V26" i="2"/>
  <c r="V27" i="2" s="1"/>
  <c r="V28" i="2" s="1"/>
  <c r="V29" i="2" s="1"/>
  <c r="V30" i="2" s="1"/>
  <c r="V31" i="2" s="1"/>
  <c r="V32" i="2" s="1"/>
  <c r="V33" i="2" s="1"/>
  <c r="V34" i="2" s="1"/>
  <c r="V35" i="2" s="1"/>
  <c r="Q26" i="2"/>
  <c r="O35" i="2"/>
  <c r="E25" i="2"/>
  <c r="M25" i="2"/>
  <c r="AK25" i="2"/>
  <c r="AO25" i="2"/>
  <c r="AS25" i="2"/>
  <c r="AU25" i="2"/>
  <c r="AW25" i="2"/>
  <c r="G26" i="2"/>
  <c r="I26" i="2"/>
  <c r="K26" i="2"/>
  <c r="M26" i="2"/>
  <c r="S26" i="2"/>
  <c r="Y26" i="2"/>
  <c r="AA26" i="2"/>
  <c r="AE26" i="2"/>
  <c r="AM26" i="2"/>
  <c r="AU26" i="2"/>
  <c r="G27" i="2"/>
  <c r="I27" i="2"/>
  <c r="K27" i="2"/>
  <c r="M27" i="2"/>
  <c r="Q27" i="2"/>
  <c r="S27" i="2"/>
  <c r="Y27" i="2"/>
  <c r="AA27" i="2"/>
  <c r="AE27" i="2"/>
  <c r="AM27" i="2"/>
  <c r="AU27" i="2"/>
  <c r="G28" i="2"/>
  <c r="I28" i="2"/>
  <c r="K28" i="2"/>
  <c r="M28" i="2"/>
  <c r="Q28" i="2"/>
  <c r="S28" i="2"/>
  <c r="Y28" i="2"/>
  <c r="AA28" i="2"/>
  <c r="AE28" i="2"/>
  <c r="AM28" i="2"/>
  <c r="AU28" i="2"/>
  <c r="G29" i="2"/>
  <c r="I29" i="2"/>
  <c r="K29" i="2"/>
  <c r="M29" i="2"/>
  <c r="Q29" i="2"/>
  <c r="S29" i="2"/>
  <c r="Y29" i="2"/>
  <c r="AA29" i="2"/>
  <c r="AE29" i="2"/>
  <c r="AM29" i="2"/>
  <c r="AU29" i="2"/>
  <c r="G30" i="2"/>
  <c r="I30" i="2"/>
  <c r="K30" i="2"/>
  <c r="M30" i="2"/>
  <c r="Q30" i="2"/>
  <c r="S30" i="2"/>
  <c r="Y30" i="2"/>
  <c r="AA30" i="2"/>
  <c r="AE30" i="2"/>
  <c r="AM30" i="2"/>
  <c r="AU30" i="2"/>
  <c r="G31" i="2"/>
  <c r="I31" i="2"/>
  <c r="K31" i="2"/>
  <c r="M31" i="2"/>
  <c r="Q31" i="2"/>
  <c r="S31" i="2"/>
  <c r="Y31" i="2"/>
  <c r="AA31" i="2"/>
  <c r="AE31" i="2"/>
  <c r="AM31" i="2"/>
  <c r="AU31" i="2"/>
  <c r="Q32" i="2"/>
  <c r="S32" i="2"/>
  <c r="Y32" i="2"/>
  <c r="AA32" i="2"/>
  <c r="AE32" i="2"/>
  <c r="AM32" i="2"/>
  <c r="AU32" i="2"/>
  <c r="Q33" i="2"/>
  <c r="S33" i="2"/>
  <c r="Y33" i="2"/>
  <c r="AA33" i="2"/>
  <c r="AE33" i="2"/>
  <c r="AM33" i="2"/>
  <c r="AU33" i="2"/>
  <c r="Q34" i="2"/>
  <c r="S34" i="2"/>
  <c r="Y34" i="2"/>
  <c r="AA34" i="2"/>
  <c r="AE34" i="2"/>
  <c r="AM34" i="2"/>
  <c r="AU34" i="2"/>
  <c r="Q35" i="2"/>
  <c r="S35" i="2"/>
  <c r="Y35" i="2"/>
  <c r="AA35" i="2"/>
  <c r="AE35" i="2"/>
  <c r="AM35" i="2"/>
  <c r="AU35" i="2"/>
  <c r="Y19" i="2"/>
  <c r="I26" i="1"/>
  <c r="AW4" i="2"/>
  <c r="AU6" i="2"/>
  <c r="AU7" i="2"/>
  <c r="AU8" i="2"/>
  <c r="AU9" i="2"/>
  <c r="AU10" i="2"/>
  <c r="AU11" i="2"/>
  <c r="AU12" i="2"/>
  <c r="AU13" i="2"/>
  <c r="AU14" i="2"/>
  <c r="AU5" i="2"/>
  <c r="AU4" i="2"/>
  <c r="AS4" i="2"/>
  <c r="AE6" i="2"/>
  <c r="AE7" i="2"/>
  <c r="AE8" i="2"/>
  <c r="AE9" i="2"/>
  <c r="AE10" i="2"/>
  <c r="AE11" i="2"/>
  <c r="AE12" i="2"/>
  <c r="AE13" i="2"/>
  <c r="AE14" i="2"/>
  <c r="AE5" i="2"/>
  <c r="AA6" i="2"/>
  <c r="AA7" i="2"/>
  <c r="AA8" i="2"/>
  <c r="AA9" i="2"/>
  <c r="AA10" i="2"/>
  <c r="AA11" i="2"/>
  <c r="AA12" i="2"/>
  <c r="AA13" i="2"/>
  <c r="AA14" i="2"/>
  <c r="AA5" i="2"/>
  <c r="Y6" i="2"/>
  <c r="Y7" i="2"/>
  <c r="Y8" i="2"/>
  <c r="Y9" i="2"/>
  <c r="Y10" i="2"/>
  <c r="Y11" i="2"/>
  <c r="Y12" i="2"/>
  <c r="Y13" i="2"/>
  <c r="Y14" i="2"/>
  <c r="Y5" i="2"/>
  <c r="V6" i="2"/>
  <c r="V7" i="2" s="1"/>
  <c r="V8" i="2" s="1"/>
  <c r="V5" i="2"/>
  <c r="S6" i="2"/>
  <c r="S7" i="2"/>
  <c r="S8" i="2"/>
  <c r="S9" i="2"/>
  <c r="S10" i="2"/>
  <c r="S11" i="2"/>
  <c r="S12" i="2"/>
  <c r="S13" i="2"/>
  <c r="S14" i="2"/>
  <c r="S5" i="2"/>
  <c r="Q5" i="2"/>
  <c r="Q6" i="2" s="1"/>
  <c r="Q7" i="2" s="1"/>
  <c r="Q8" i="2" s="1"/>
  <c r="Q9" i="2" s="1"/>
  <c r="Q10" i="2" s="1"/>
  <c r="Q11" i="2" s="1"/>
  <c r="Q12" i="2" s="1"/>
  <c r="Q13" i="2" s="1"/>
  <c r="Q14" i="2" s="1"/>
  <c r="O14" i="2"/>
  <c r="M4" i="2"/>
  <c r="AK4" i="2" s="1"/>
  <c r="AO4" i="2" s="1"/>
  <c r="I5" i="2"/>
  <c r="I6" i="2" s="1"/>
  <c r="G7" i="2"/>
  <c r="G9" i="2"/>
  <c r="G5" i="2"/>
  <c r="E4" i="2"/>
  <c r="G8" i="2" s="1"/>
  <c r="I31" i="1" a="1"/>
  <c r="I31" i="1" s="1"/>
  <c r="I33" i="1" s="1"/>
  <c r="I30" i="1"/>
  <c r="I29" i="1"/>
  <c r="AC26" i="2" l="1"/>
  <c r="AI26" i="2"/>
  <c r="AI27" i="2"/>
  <c r="AI28" i="2"/>
  <c r="AI29" i="2"/>
  <c r="AI30" i="2"/>
  <c r="AI31" i="2"/>
  <c r="AI32" i="2"/>
  <c r="AI33" i="2"/>
  <c r="AI34" i="2"/>
  <c r="AI35" i="2"/>
  <c r="AI6" i="2"/>
  <c r="AI7" i="2"/>
  <c r="AI8" i="2"/>
  <c r="AI9" i="2"/>
  <c r="AI10" i="2"/>
  <c r="AI11" i="2"/>
  <c r="AI12" i="2"/>
  <c r="AI13" i="2"/>
  <c r="AI14" i="2"/>
  <c r="AI5" i="2"/>
  <c r="V9" i="2"/>
  <c r="V10" i="2" s="1"/>
  <c r="V11" i="2" s="1"/>
  <c r="V12" i="2" s="1"/>
  <c r="AG8" i="2"/>
  <c r="K6" i="2"/>
  <c r="G10" i="2"/>
  <c r="G6" i="2"/>
  <c r="M6" i="2" s="1"/>
  <c r="M5" i="2"/>
  <c r="AG5" i="2"/>
  <c r="AG11" i="2"/>
  <c r="AK11" i="2" s="1"/>
  <c r="AO11" i="2" s="1"/>
  <c r="AG7" i="2"/>
  <c r="AG10" i="2"/>
  <c r="AG6" i="2"/>
  <c r="AG9" i="2"/>
  <c r="AG26" i="2" l="1"/>
  <c r="AK26" i="2" s="1"/>
  <c r="AO26" i="2" s="1"/>
  <c r="AC27" i="2"/>
  <c r="AK5" i="2"/>
  <c r="AO5" i="2" s="1"/>
  <c r="AQ11" i="2"/>
  <c r="AS11" i="2" s="1"/>
  <c r="AW11" i="2" s="1"/>
  <c r="AK6" i="2"/>
  <c r="AO6" i="2" s="1"/>
  <c r="I7" i="2"/>
  <c r="V13" i="2"/>
  <c r="AG12" i="2"/>
  <c r="AK12" i="2" s="1"/>
  <c r="AO12" i="2" s="1"/>
  <c r="AQ26" i="2" l="1"/>
  <c r="AS26" i="2" s="1"/>
  <c r="AW26" i="2" s="1"/>
  <c r="AG27" i="2"/>
  <c r="AK27" i="2" s="1"/>
  <c r="AO27" i="2" s="1"/>
  <c r="AC28" i="2"/>
  <c r="AQ6" i="2"/>
  <c r="AS6" i="2" s="1"/>
  <c r="AW6" i="2" s="1"/>
  <c r="AQ5" i="2"/>
  <c r="AS5" i="2" s="1"/>
  <c r="AQ12" i="2"/>
  <c r="AS12" i="2" s="1"/>
  <c r="AW12" i="2" s="1"/>
  <c r="V14" i="2"/>
  <c r="AG14" i="2" s="1"/>
  <c r="AG13" i="2"/>
  <c r="AK13" i="2" s="1"/>
  <c r="AO13" i="2" s="1"/>
  <c r="I8" i="2"/>
  <c r="K7" i="2"/>
  <c r="M7" i="2" s="1"/>
  <c r="AK7" i="2" s="1"/>
  <c r="AO7" i="2" s="1"/>
  <c r="AG28" i="2" l="1"/>
  <c r="AK28" i="2" s="1"/>
  <c r="AO28" i="2" s="1"/>
  <c r="AC29" i="2"/>
  <c r="AQ27" i="2"/>
  <c r="AS27" i="2" s="1"/>
  <c r="AW27" i="2" s="1"/>
  <c r="AK14" i="2"/>
  <c r="AO14" i="2" s="1"/>
  <c r="AQ14" i="2" s="1"/>
  <c r="AS14" i="2" s="1"/>
  <c r="AW14" i="2" s="1"/>
  <c r="AW5" i="2"/>
  <c r="AQ7" i="2"/>
  <c r="AS7" i="2" s="1"/>
  <c r="AW7" i="2" s="1"/>
  <c r="AQ13" i="2"/>
  <c r="AS13" i="2" s="1"/>
  <c r="AW13" i="2" s="1"/>
  <c r="K8" i="2"/>
  <c r="M8" i="2" s="1"/>
  <c r="AK8" i="2" s="1"/>
  <c r="AO8" i="2" s="1"/>
  <c r="I9" i="2"/>
  <c r="AG29" i="2" l="1"/>
  <c r="AK29" i="2" s="1"/>
  <c r="AO29" i="2" s="1"/>
  <c r="AC30" i="2"/>
  <c r="AQ28" i="2"/>
  <c r="AS28" i="2" s="1"/>
  <c r="AW28" i="2" s="1"/>
  <c r="AQ8" i="2"/>
  <c r="AS8" i="2" s="1"/>
  <c r="K9" i="2"/>
  <c r="M9" i="2" s="1"/>
  <c r="AK9" i="2" s="1"/>
  <c r="AO9" i="2" s="1"/>
  <c r="I10" i="2"/>
  <c r="K10" i="2" s="1"/>
  <c r="M10" i="2" s="1"/>
  <c r="AK10" i="2" s="1"/>
  <c r="AO10" i="2" s="1"/>
  <c r="AG30" i="2" l="1"/>
  <c r="AK30" i="2" s="1"/>
  <c r="AO30" i="2" s="1"/>
  <c r="AC31" i="2"/>
  <c r="AQ29" i="2"/>
  <c r="AS29" i="2" s="1"/>
  <c r="AW29" i="2" s="1"/>
  <c r="AW8" i="2"/>
  <c r="AQ10" i="2"/>
  <c r="AS10" i="2" s="1"/>
  <c r="AW10" i="2" s="1"/>
  <c r="AQ9" i="2"/>
  <c r="AS9" i="2" s="1"/>
  <c r="AB20" i="2" l="1"/>
  <c r="AG31" i="2"/>
  <c r="AK31" i="2" s="1"/>
  <c r="AO31" i="2" s="1"/>
  <c r="AC32" i="2"/>
  <c r="AQ30" i="2"/>
  <c r="AS30" i="2" s="1"/>
  <c r="AW30" i="2" s="1"/>
  <c r="AW9" i="2"/>
  <c r="AB18" i="2" s="1"/>
  <c r="I19" i="1"/>
  <c r="D11" i="1"/>
  <c r="D29" i="1"/>
  <c r="D18" i="1"/>
  <c r="D19" i="1" s="1"/>
  <c r="D21" i="1" s="1"/>
  <c r="AG32" i="2" l="1"/>
  <c r="AK32" i="2" s="1"/>
  <c r="AO32" i="2" s="1"/>
  <c r="AC33" i="2"/>
  <c r="AQ31" i="2"/>
  <c r="AS31" i="2" s="1"/>
  <c r="AW31" i="2" s="1"/>
  <c r="AG33" i="2" l="1"/>
  <c r="AK33" i="2" s="1"/>
  <c r="AO33" i="2" s="1"/>
  <c r="AC34" i="2"/>
  <c r="AQ32" i="2"/>
  <c r="AS32" i="2" s="1"/>
  <c r="AW32" i="2" s="1"/>
  <c r="AG34" i="2" l="1"/>
  <c r="AK34" i="2" s="1"/>
  <c r="AO34" i="2" s="1"/>
  <c r="AC35" i="2"/>
  <c r="AG35" i="2" s="1"/>
  <c r="AK35" i="2" s="1"/>
  <c r="AO35" i="2" s="1"/>
  <c r="AQ33" i="2"/>
  <c r="AS33" i="2" s="1"/>
  <c r="AW33" i="2" s="1"/>
  <c r="AQ35" i="2" l="1"/>
  <c r="AS35" i="2" s="1"/>
  <c r="AW35" i="2" s="1"/>
  <c r="AQ34" i="2"/>
  <c r="AS34" i="2" s="1"/>
  <c r="AW3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<sst xmlns="http://schemas.openxmlformats.org/spreadsheetml/2006/main" count="192" uniqueCount="102">
  <si>
    <t>Maritime Transportation and Ports I</t>
  </si>
  <si>
    <t xml:space="preserve">Financial Analysis </t>
  </si>
  <si>
    <t xml:space="preserve">Project lifetime </t>
  </si>
  <si>
    <t>[years]</t>
  </si>
  <si>
    <t>Some values have been changed from the 1st project in order to comply with the necessities of this one.</t>
  </si>
  <si>
    <t>Voyage details</t>
  </si>
  <si>
    <t>Distance calculations</t>
  </si>
  <si>
    <t>CDW</t>
  </si>
  <si>
    <t>[TEUs]</t>
  </si>
  <si>
    <t>Shanghai</t>
  </si>
  <si>
    <t>Shenzhen</t>
  </si>
  <si>
    <t>[miles]</t>
  </si>
  <si>
    <t xml:space="preserve">Roundvoyage time </t>
  </si>
  <si>
    <t>[days]</t>
  </si>
  <si>
    <t>Singapore</t>
  </si>
  <si>
    <t xml:space="preserve">Distance </t>
  </si>
  <si>
    <t>Athens</t>
  </si>
  <si>
    <t>Sines</t>
  </si>
  <si>
    <t>[kn]</t>
  </si>
  <si>
    <t>Rotterdam</t>
  </si>
  <si>
    <t>Total distance:</t>
  </si>
  <si>
    <t>*Rounded up to consider the inaccuracy between the ports</t>
  </si>
  <si>
    <t xml:space="preserve">Port time </t>
  </si>
  <si>
    <t xml:space="preserve">Off hire </t>
  </si>
  <si>
    <t>Costs</t>
  </si>
  <si>
    <t>Number voyages per year</t>
  </si>
  <si>
    <t>[-]</t>
  </si>
  <si>
    <t>Newbuilding Cost</t>
  </si>
  <si>
    <t>[USD]</t>
  </si>
  <si>
    <t xml:space="preserve">Cargo carried per year </t>
  </si>
  <si>
    <t>Initial Investment</t>
  </si>
  <si>
    <t>(Newbuilding + 5%)</t>
  </si>
  <si>
    <t xml:space="preserve">Freight rate </t>
  </si>
  <si>
    <t>[USD/TEUs]</t>
  </si>
  <si>
    <t xml:space="preserve">Manning </t>
  </si>
  <si>
    <t>[USD/year]</t>
  </si>
  <si>
    <t>(+2% each year)</t>
  </si>
  <si>
    <t>Freight revenue</t>
  </si>
  <si>
    <t>Stores and Consumables</t>
  </si>
  <si>
    <t xml:space="preserve">Periodic Maintenance </t>
  </si>
  <si>
    <t>(+2,5% each year)</t>
  </si>
  <si>
    <t>Bank loan details</t>
  </si>
  <si>
    <t>Insurance and P&amp;I</t>
  </si>
  <si>
    <t>Discount Rate</t>
  </si>
  <si>
    <t>[%]</t>
  </si>
  <si>
    <t>Administration Fees</t>
  </si>
  <si>
    <t>Bank Loan</t>
  </si>
  <si>
    <t>Fuel Costs</t>
  </si>
  <si>
    <t>Loans</t>
  </si>
  <si>
    <t>[re-paid 6 years]</t>
  </si>
  <si>
    <t>Ports Costs</t>
  </si>
  <si>
    <t>Spread rate</t>
  </si>
  <si>
    <t>LIBOR rate</t>
  </si>
  <si>
    <t>Ship's depreciation</t>
  </si>
  <si>
    <t>Loan Interest rate</t>
  </si>
  <si>
    <t>[year]</t>
  </si>
  <si>
    <t>Taxes</t>
  </si>
  <si>
    <t>Residual Value</t>
  </si>
  <si>
    <t>LW</t>
  </si>
  <si>
    <t>[t]</t>
  </si>
  <si>
    <t>(CDW-cargo, passengers and effects)</t>
  </si>
  <si>
    <t>Scrap</t>
  </si>
  <si>
    <t>[USD/t]</t>
  </si>
  <si>
    <t>(Pakistan Scrap Market)</t>
  </si>
  <si>
    <t>Operational Costs</t>
  </si>
  <si>
    <t>Year</t>
  </si>
  <si>
    <t>Investment</t>
  </si>
  <si>
    <t>Instalment</t>
  </si>
  <si>
    <t>Capital in debt</t>
  </si>
  <si>
    <t>Debt Interests</t>
  </si>
  <si>
    <t>Capital Costs</t>
  </si>
  <si>
    <t>Periodic Maintenance</t>
  </si>
  <si>
    <t>Administration</t>
  </si>
  <si>
    <t>Fuel costs</t>
  </si>
  <si>
    <t>Annual Average</t>
  </si>
  <si>
    <t>Revenue</t>
  </si>
  <si>
    <t>Cashflow (before)</t>
  </si>
  <si>
    <t>Cashflow (after)</t>
  </si>
  <si>
    <t>Taxes (21%)</t>
  </si>
  <si>
    <t>Cashflow (after taxes)</t>
  </si>
  <si>
    <t>Discount factor 7%</t>
  </si>
  <si>
    <t>Discounted cashflow</t>
  </si>
  <si>
    <t>/</t>
  </si>
  <si>
    <t>-</t>
  </si>
  <si>
    <t>NPV</t>
  </si>
  <si>
    <t>Freight Rate</t>
  </si>
  <si>
    <t>IRR</t>
  </si>
  <si>
    <t>Depreciation (5% each year)</t>
  </si>
  <si>
    <t>Navigation time (Sha - Rot)</t>
  </si>
  <si>
    <t>Cruise speed (Sha - Rot)</t>
  </si>
  <si>
    <t>Navigation time (Rot - Sha)</t>
  </si>
  <si>
    <t>Cruise speed (Rot - Sha)</t>
  </si>
  <si>
    <t>Shanghai - Rotterdam</t>
  </si>
  <si>
    <t>Rotterdam - Shanghai</t>
  </si>
  <si>
    <t>Total time</t>
  </si>
  <si>
    <t>Voyage</t>
  </si>
  <si>
    <t>Cargo</t>
  </si>
  <si>
    <t>Installments</t>
  </si>
  <si>
    <t xml:space="preserve">Depreciation </t>
  </si>
  <si>
    <t>Annual  Costs</t>
  </si>
  <si>
    <t>Total cargo</t>
  </si>
  <si>
    <t>[TEUs/year]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</si>
</sst>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)\ &quot;€&quot;_ ;_ * \(#,##0.00\)\ &quot;€&quot;_ ;_ * &quot;-&quot;??_)\ &quot;€&quot;_ ;_ @_ "/>
    <numFmt numFmtId="165" formatCode="_ * #,##0.00_)_ ;_ * \(#,##0.00\)_ ;_ * &quot;-&quot;??_)_ ;_ @_ "/>
    <numFmt numFmtId="166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8" fillId="0" borderId="0"/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9" fillId="2" borderId="1" applyNumberFormat="0" applyAlignment="0" applyProtection="0"/>
    <xf numFmtId="0" fontId="10" fillId="0" borderId="0" applyNumberFormat="0" applyFill="0" applyBorder="0" applyAlignment="0" applyProtection="0"/>
    <xf numFmtId="0" fontId="8" fillId="3" borderId="2" applyNumberFormat="0" applyFont="0" applyAlignment="0" applyProtection="0"/>
  </cellStyleXfs>
  <cellXfs count="182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1" applyFont="1" applyBorder="1" applyAlignment="1">
      <alignment horizontal="center"/>
    </xf>
    <xf numFmtId="0" fontId="0" fillId="0" borderId="13" xfId="1" applyFont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14" xfId="1" applyFont="1" applyFill="1" applyBorder="1" applyAlignment="1">
      <alignment horizontal="center"/>
    </xf>
    <xf numFmtId="0" fontId="0" fillId="0" borderId="15" xfId="1" applyFont="1" applyBorder="1" applyAlignment="1">
      <alignment horizontal="center"/>
    </xf>
    <xf numFmtId="0" fontId="0" fillId="7" borderId="14" xfId="1" applyFont="1" applyFill="1" applyBorder="1" applyAlignment="1">
      <alignment horizontal="center" vertical="center"/>
    </xf>
    <xf numFmtId="0" fontId="0" fillId="0" borderId="15" xfId="1" applyFont="1" applyBorder="1" applyAlignment="1">
      <alignment horizontal="center" vertical="center"/>
    </xf>
    <xf numFmtId="1" fontId="0" fillId="0" borderId="13" xfId="1" applyNumberFormat="1" applyFont="1" applyBorder="1" applyAlignment="1">
      <alignment horizontal="center"/>
    </xf>
    <xf numFmtId="0" fontId="0" fillId="7" borderId="13" xfId="0" applyFill="1" applyBorder="1" applyAlignment="1">
      <alignment horizontal="center" vertical="center"/>
    </xf>
    <xf numFmtId="166" fontId="0" fillId="0" borderId="13" xfId="0" applyNumberFormat="1" applyBorder="1" applyAlignment="1">
      <alignment horizontal="center" vertical="center"/>
    </xf>
    <xf numFmtId="0" fontId="12" fillId="0" borderId="0" xfId="0" applyFont="1"/>
    <xf numFmtId="0" fontId="11" fillId="0" borderId="13" xfId="0" applyFont="1" applyBorder="1" applyAlignment="1">
      <alignment horizontal="center" vertical="center"/>
    </xf>
    <xf numFmtId="0" fontId="11" fillId="10" borderId="14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10" borderId="16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166" fontId="0" fillId="0" borderId="25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7" borderId="24" xfId="1" applyFont="1" applyFill="1" applyBorder="1" applyAlignment="1">
      <alignment horizontal="center"/>
    </xf>
    <xf numFmtId="1" fontId="0" fillId="0" borderId="25" xfId="1" applyNumberFormat="1" applyFont="1" applyBorder="1" applyAlignment="1">
      <alignment horizontal="center"/>
    </xf>
    <xf numFmtId="0" fontId="0" fillId="0" borderId="26" xfId="1" applyFont="1" applyBorder="1" applyAlignment="1">
      <alignment horizontal="center"/>
    </xf>
    <xf numFmtId="0" fontId="0" fillId="11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8" xfId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4" fillId="0" borderId="13" xfId="0" applyFon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11" borderId="16" xfId="1" applyFont="1" applyFill="1" applyBorder="1" applyAlignment="1">
      <alignment horizontal="center"/>
    </xf>
    <xf numFmtId="0" fontId="0" fillId="14" borderId="28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3" fillId="0" borderId="35" xfId="0" applyFont="1" applyBorder="1" applyAlignment="1">
      <alignment horizontal="center"/>
    </xf>
    <xf numFmtId="9" fontId="0" fillId="0" borderId="0" xfId="0" applyNumberFormat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5" xfId="0" applyFont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0" fillId="4" borderId="4" xfId="0" applyFill="1" applyBorder="1" applyAlignment="1"/>
    <xf numFmtId="0" fontId="0" fillId="4" borderId="5" xfId="0" applyFill="1" applyBorder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0" fillId="4" borderId="8" xfId="0" applyFill="1" applyBorder="1" applyAlignment="1"/>
    <xf numFmtId="0" fontId="4" fillId="5" borderId="9" xfId="0" applyFont="1" applyFill="1" applyBorder="1" applyAlignment="1">
      <alignment horizontal="center"/>
    </xf>
    <xf numFmtId="0" fontId="0" fillId="5" borderId="10" xfId="0" applyFill="1" applyBorder="1" applyAlignment="1"/>
    <xf numFmtId="0" fontId="0" fillId="5" borderId="11" xfId="0" applyFill="1" applyBorder="1" applyAlignment="1"/>
    <xf numFmtId="0" fontId="5" fillId="6" borderId="9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3" fillId="9" borderId="21" xfId="0" applyFont="1" applyFill="1" applyBorder="1" applyAlignment="1">
      <alignment horizontal="center" vertical="center"/>
    </xf>
    <xf numFmtId="0" fontId="13" fillId="9" borderId="22" xfId="0" applyFont="1" applyFill="1" applyBorder="1" applyAlignment="1">
      <alignment horizontal="center" vertical="center"/>
    </xf>
    <xf numFmtId="0" fontId="13" fillId="9" borderId="23" xfId="0" applyFont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11" fillId="10" borderId="14" xfId="0" applyFont="1" applyFill="1" applyBorder="1" applyAlignment="1">
      <alignment horizontal="center"/>
    </xf>
    <xf numFmtId="0" fontId="11" fillId="10" borderId="13" xfId="0" applyFont="1" applyFill="1" applyBorder="1" applyAlignment="1">
      <alignment horizontal="center"/>
    </xf>
    <xf numFmtId="0" fontId="11" fillId="10" borderId="14" xfId="0" applyFont="1" applyFill="1" applyBorder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" fillId="12" borderId="21" xfId="0" applyFont="1" applyFill="1" applyBorder="1" applyAlignment="1">
      <alignment horizontal="center"/>
    </xf>
    <xf numFmtId="0" fontId="1" fillId="12" borderId="22" xfId="0" applyFont="1" applyFill="1" applyBorder="1" applyAlignment="1">
      <alignment horizontal="center"/>
    </xf>
    <xf numFmtId="0" fontId="1" fillId="12" borderId="23" xfId="0" applyFont="1" applyFill="1" applyBorder="1" applyAlignment="1">
      <alignment horizontal="center"/>
    </xf>
    <xf numFmtId="0" fontId="1" fillId="13" borderId="16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0" xfId="0" applyAlignment="1">
      <alignment horizontal="center"/>
    </xf>
    <xf numFmtId="0" fontId="1" fillId="8" borderId="28" xfId="0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/>
    </xf>
    <xf numFmtId="0" fontId="1" fillId="8" borderId="30" xfId="0" applyFont="1" applyFill="1" applyBorder="1" applyAlignment="1">
      <alignment horizontal="center" vertical="center"/>
    </xf>
    <xf numFmtId="0" fontId="11" fillId="10" borderId="37" xfId="0" applyFont="1" applyFill="1" applyBorder="1" applyAlignment="1">
      <alignment horizontal="center"/>
    </xf>
    <xf numFmtId="0" fontId="11" fillId="10" borderId="36" xfId="0" applyFont="1" applyFill="1" applyBorder="1" applyAlignment="1">
      <alignment horizontal="center"/>
    </xf>
    <xf numFmtId="0" fontId="11" fillId="10" borderId="38" xfId="0" applyFont="1" applyFill="1" applyBorder="1" applyAlignment="1">
      <alignment horizontal="center"/>
    </xf>
    <xf numFmtId="0" fontId="11" fillId="10" borderId="39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3" fillId="0" borderId="31" xfId="0" applyFont="1" applyBorder="1" applyAlignment="1">
      <alignment horizontal="center"/>
    </xf>
    <xf numFmtId="0" fontId="6" fillId="0" borderId="41" xfId="0" applyFont="1" applyBorder="1" applyAlignment="1"/>
    <xf numFmtId="0" fontId="3" fillId="0" borderId="4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6" fillId="0" borderId="32" xfId="0" applyFont="1" applyBorder="1" applyAlignment="1"/>
    <xf numFmtId="0" fontId="11" fillId="0" borderId="1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4" fillId="0" borderId="32" xfId="0" applyFont="1" applyBorder="1" applyAlignment="1">
      <alignment horizontal="center"/>
    </xf>
    <xf numFmtId="0" fontId="14" fillId="0" borderId="41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Alignment="1"/>
    <xf numFmtId="0" fontId="0" fillId="16" borderId="1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1" fillId="15" borderId="28" xfId="0" applyFont="1" applyFill="1" applyBorder="1" applyAlignment="1">
      <alignment horizontal="center" vertical="center"/>
    </xf>
    <xf numFmtId="0" fontId="1" fillId="15" borderId="29" xfId="0" applyFont="1" applyFill="1" applyBorder="1" applyAlignment="1">
      <alignment horizontal="center" vertical="center"/>
    </xf>
    <xf numFmtId="0" fontId="1" fillId="15" borderId="30" xfId="0" applyFont="1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11" fillId="9" borderId="49" xfId="0" applyFont="1" applyFill="1" applyBorder="1" applyAlignment="1">
      <alignment horizontal="center"/>
    </xf>
    <xf numFmtId="0" fontId="11" fillId="9" borderId="50" xfId="0" applyFont="1" applyFill="1" applyBorder="1" applyAlignment="1">
      <alignment horizontal="center"/>
    </xf>
    <xf numFmtId="0" fontId="12" fillId="9" borderId="51" xfId="0" applyFont="1" applyFill="1" applyBorder="1" applyAlignment="1"/>
    <xf numFmtId="0" fontId="3" fillId="9" borderId="50" xfId="0" applyFont="1" applyFill="1" applyBorder="1" applyAlignment="1">
      <alignment horizontal="center"/>
    </xf>
    <xf numFmtId="0" fontId="12" fillId="9" borderId="4" xfId="0" applyFont="1" applyFill="1" applyBorder="1" applyAlignment="1"/>
    <xf numFmtId="0" fontId="11" fillId="9" borderId="52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2" fillId="18" borderId="43" xfId="0" applyFont="1" applyFill="1" applyBorder="1" applyAlignment="1"/>
    <xf numFmtId="0" fontId="11" fillId="18" borderId="44" xfId="0" applyFont="1" applyFill="1" applyBorder="1" applyAlignment="1">
      <alignment horizontal="center"/>
    </xf>
    <xf numFmtId="0" fontId="11" fillId="18" borderId="45" xfId="0" applyFont="1" applyFill="1" applyBorder="1" applyAlignment="1">
      <alignment horizontal="center"/>
    </xf>
    <xf numFmtId="0" fontId="11" fillId="18" borderId="46" xfId="0" applyFont="1" applyFill="1" applyBorder="1" applyAlignment="1">
      <alignment horizontal="center"/>
    </xf>
    <xf numFmtId="0" fontId="11" fillId="18" borderId="47" xfId="0" applyFont="1" applyFill="1" applyBorder="1" applyAlignment="1">
      <alignment horizontal="center"/>
    </xf>
    <xf numFmtId="0" fontId="11" fillId="9" borderId="54" xfId="0" applyFont="1" applyFill="1" applyBorder="1" applyAlignment="1">
      <alignment horizontal="center"/>
    </xf>
    <xf numFmtId="0" fontId="0" fillId="0" borderId="55" xfId="0" applyBorder="1" applyAlignment="1">
      <alignment horizontal="center"/>
    </xf>
    <xf numFmtId="0" fontId="11" fillId="18" borderId="40" xfId="0" applyFont="1" applyFill="1" applyBorder="1" applyAlignment="1">
      <alignment horizontal="center"/>
    </xf>
    <xf numFmtId="0" fontId="12" fillId="18" borderId="0" xfId="0" applyFont="1" applyFill="1" applyBorder="1" applyAlignment="1"/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9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0" fillId="0" borderId="56" xfId="0" applyBorder="1" applyAlignment="1">
      <alignment horizontal="center"/>
    </xf>
    <xf numFmtId="0" fontId="0" fillId="18" borderId="57" xfId="0" applyFill="1" applyBorder="1" applyAlignment="1">
      <alignment horizontal="center"/>
    </xf>
    <xf numFmtId="0" fontId="0" fillId="18" borderId="53" xfId="0" applyFill="1" applyBorder="1" applyAlignment="1">
      <alignment horizontal="center"/>
    </xf>
    <xf numFmtId="0" fontId="3" fillId="16" borderId="21" xfId="0" applyFont="1" applyFill="1" applyBorder="1" applyAlignment="1">
      <alignment horizontal="center" vertical="center"/>
    </xf>
    <xf numFmtId="0" fontId="3" fillId="16" borderId="23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/>
    </xf>
    <xf numFmtId="0" fontId="1" fillId="13" borderId="10" xfId="0" applyFont="1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0" fillId="0" borderId="0" xfId="0" applyBorder="1"/>
    <xf numFmtId="0" fontId="11" fillId="4" borderId="3" xfId="0" applyFont="1" applyFill="1" applyBorder="1" applyAlignment="1">
      <alignment horizontal="center"/>
    </xf>
    <xf numFmtId="0" fontId="12" fillId="4" borderId="4" xfId="0" applyFont="1" applyFill="1" applyBorder="1" applyAlignment="1"/>
    <xf numFmtId="0" fontId="3" fillId="4" borderId="29" xfId="0" applyFont="1" applyFill="1" applyBorder="1" applyAlignment="1">
      <alignment horizontal="center"/>
    </xf>
    <xf numFmtId="0" fontId="11" fillId="4" borderId="29" xfId="0" applyFont="1" applyFill="1" applyBorder="1" applyAlignment="1">
      <alignment horizontal="center"/>
    </xf>
    <xf numFmtId="0" fontId="14" fillId="4" borderId="4" xfId="0" applyFont="1" applyFill="1" applyBorder="1" applyAlignment="1">
      <alignment horizontal="center"/>
    </xf>
    <xf numFmtId="0" fontId="14" fillId="4" borderId="51" xfId="0" applyFont="1" applyFill="1" applyBorder="1" applyAlignment="1">
      <alignment horizontal="center"/>
    </xf>
    <xf numFmtId="0" fontId="11" fillId="4" borderId="50" xfId="0" applyFont="1" applyFill="1" applyBorder="1" applyAlignment="1">
      <alignment horizontal="center"/>
    </xf>
    <xf numFmtId="0" fontId="12" fillId="4" borderId="51" xfId="0" applyFont="1" applyFill="1" applyBorder="1" applyAlignment="1"/>
    <xf numFmtId="0" fontId="11" fillId="4" borderId="5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8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9" fontId="15" fillId="0" borderId="27" xfId="0" applyNumberFormat="1" applyFont="1" applyBorder="1" applyAlignment="1">
      <alignment horizontal="center" vertical="center"/>
    </xf>
    <xf numFmtId="0" fontId="0" fillId="16" borderId="59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</cellXfs>
  <cellStyles count="7">
    <cellStyle name="Calculation 2" xfId="4" xr:uid="{41A2E8C1-0276-4EE7-9356-FFDE9BEF7F0F}"/>
    <cellStyle name="Comma 2" xfId="2" xr:uid="{B2DF2494-3343-42D0-BC65-EDFB5801A5AD}"/>
    <cellStyle name="Currency 2" xfId="3" xr:uid="{90625895-9AD5-4A7E-B415-97D19D696C86}"/>
    <cellStyle name="Normal" xfId="0" builtinId="0"/>
    <cellStyle name="Normal 2" xfId="1" xr:uid="{787B87F8-DCD8-4285-BEDD-EAAF39EF8618}"/>
    <cellStyle name="Note 2" xfId="6" xr:uid="{F9A34FB9-FBD4-494A-A381-6E0D2A2E7AAD}"/>
    <cellStyle name="Warning Text 2" xfId="5" xr:uid="{28543BFC-9039-43D2-9133-7322DCF07E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3BFE-95B2-4D32-B0F4-7287B75B5C46}">
  <dimension ref="C1:U36"/>
  <sheetViews>
    <sheetView topLeftCell="A7" zoomScale="80" zoomScaleNormal="80" workbookViewId="0">
      <selection activeCell="I33" sqref="I33:J33"/>
    </sheetView>
  </sheetViews>
  <sheetFormatPr defaultRowHeight="14.4" x14ac:dyDescent="0.3"/>
  <cols>
    <col min="2" max="2" width="7.33203125" customWidth="1"/>
    <col min="3" max="3" width="23.88671875" customWidth="1"/>
    <col min="4" max="4" width="9.5546875" bestFit="1" customWidth="1"/>
    <col min="5" max="5" width="15.33203125" customWidth="1"/>
    <col min="6" max="6" width="8.88671875" customWidth="1"/>
    <col min="7" max="7" width="13.44140625" customWidth="1"/>
    <col min="8" max="8" width="13.88671875" customWidth="1"/>
    <col min="9" max="9" width="17.88671875" customWidth="1"/>
    <col min="10" max="10" width="11.6640625" customWidth="1"/>
    <col min="11" max="11" width="11.33203125" customWidth="1"/>
    <col min="18" max="18" width="10.88671875" customWidth="1"/>
  </cols>
  <sheetData>
    <row r="1" spans="3:21" ht="15" thickBot="1" x14ac:dyDescent="0.35"/>
    <row r="2" spans="3:21" x14ac:dyDescent="0.3">
      <c r="C2" s="55" t="s">
        <v>0</v>
      </c>
      <c r="D2" s="56"/>
      <c r="E2" s="56"/>
      <c r="F2" s="56"/>
      <c r="G2" s="56"/>
      <c r="H2" s="56"/>
      <c r="I2" s="56"/>
      <c r="J2" s="56"/>
      <c r="K2" s="57"/>
      <c r="L2" s="1"/>
      <c r="M2" s="1"/>
      <c r="N2" s="1"/>
      <c r="O2" s="1"/>
      <c r="P2" s="1"/>
    </row>
    <row r="3" spans="3:21" ht="15" thickBot="1" x14ac:dyDescent="0.35">
      <c r="C3" s="58"/>
      <c r="D3" s="59"/>
      <c r="E3" s="59"/>
      <c r="F3" s="59"/>
      <c r="G3" s="59"/>
      <c r="H3" s="59"/>
      <c r="I3" s="59"/>
      <c r="J3" s="59"/>
      <c r="K3" s="60"/>
      <c r="L3" s="1"/>
      <c r="M3" s="1"/>
      <c r="N3" s="1"/>
      <c r="O3" s="1"/>
      <c r="P3" s="1"/>
    </row>
    <row r="4" spans="3:21" ht="18.600000000000001" thickBot="1" x14ac:dyDescent="0.4">
      <c r="C4" s="61" t="s">
        <v>1</v>
      </c>
      <c r="D4" s="62"/>
      <c r="E4" s="62"/>
      <c r="F4" s="62"/>
      <c r="G4" s="62"/>
      <c r="H4" s="62"/>
      <c r="I4" s="62"/>
      <c r="J4" s="62"/>
      <c r="K4" s="63"/>
      <c r="L4" s="1"/>
      <c r="M4" s="64" t="s">
        <v>2</v>
      </c>
      <c r="N4" s="65"/>
      <c r="O4" s="23">
        <v>10</v>
      </c>
      <c r="P4" s="24" t="s">
        <v>3</v>
      </c>
    </row>
    <row r="5" spans="3:21" x14ac:dyDescent="0.3">
      <c r="C5" s="66" t="s">
        <v>4</v>
      </c>
      <c r="D5" s="66"/>
      <c r="E5" s="66"/>
      <c r="F5" s="66"/>
      <c r="G5" s="66"/>
      <c r="H5" s="66"/>
      <c r="I5" s="66"/>
      <c r="J5" s="66"/>
      <c r="K5" s="66"/>
      <c r="L5" s="1"/>
      <c r="M5" s="1"/>
      <c r="N5" s="1"/>
      <c r="O5" s="1"/>
      <c r="P5" s="1"/>
    </row>
    <row r="6" spans="3:21" ht="15" thickBot="1" x14ac:dyDescent="0.35"/>
    <row r="7" spans="3:21" ht="15" thickBot="1" x14ac:dyDescent="0.35">
      <c r="Q7" s="125" t="s">
        <v>94</v>
      </c>
      <c r="R7" s="126"/>
      <c r="S7" s="126"/>
      <c r="T7" s="127"/>
      <c r="U7" s="118"/>
    </row>
    <row r="8" spans="3:21" x14ac:dyDescent="0.3">
      <c r="C8" s="67" t="s">
        <v>5</v>
      </c>
      <c r="D8" s="68"/>
      <c r="E8" s="69"/>
      <c r="G8" s="70" t="s">
        <v>6</v>
      </c>
      <c r="H8" s="71"/>
      <c r="I8" s="71"/>
      <c r="J8" s="72"/>
      <c r="Q8" s="128" t="s">
        <v>13</v>
      </c>
      <c r="R8" s="129"/>
      <c r="S8" s="119" t="s">
        <v>95</v>
      </c>
      <c r="T8" s="121" t="s">
        <v>96</v>
      </c>
    </row>
    <row r="9" spans="3:21" x14ac:dyDescent="0.3">
      <c r="C9" s="7" t="s">
        <v>7</v>
      </c>
      <c r="D9" s="4">
        <v>15576</v>
      </c>
      <c r="E9" s="8" t="s">
        <v>8</v>
      </c>
      <c r="G9" s="7" t="s">
        <v>9</v>
      </c>
      <c r="H9" s="14" t="s">
        <v>10</v>
      </c>
      <c r="I9" s="15">
        <v>606.74</v>
      </c>
      <c r="J9" s="8" t="s">
        <v>11</v>
      </c>
      <c r="Q9" s="122" t="s">
        <v>92</v>
      </c>
      <c r="R9" s="120"/>
      <c r="S9" s="53">
        <v>30</v>
      </c>
      <c r="T9" s="8">
        <v>7</v>
      </c>
    </row>
    <row r="10" spans="3:21" ht="15" thickBot="1" x14ac:dyDescent="0.35">
      <c r="C10" s="7" t="s">
        <v>12</v>
      </c>
      <c r="D10" s="4">
        <v>70</v>
      </c>
      <c r="E10" s="8" t="s">
        <v>13</v>
      </c>
      <c r="G10" s="7" t="s">
        <v>10</v>
      </c>
      <c r="H10" s="14" t="s">
        <v>14</v>
      </c>
      <c r="I10" s="15">
        <v>1426.43</v>
      </c>
      <c r="J10" s="8" t="s">
        <v>11</v>
      </c>
      <c r="Q10" s="123" t="s">
        <v>93</v>
      </c>
      <c r="R10" s="124"/>
      <c r="S10" s="50">
        <v>26</v>
      </c>
      <c r="T10" s="51">
        <v>7</v>
      </c>
    </row>
    <row r="11" spans="3:21" x14ac:dyDescent="0.3">
      <c r="C11" s="9" t="s">
        <v>15</v>
      </c>
      <c r="D11" s="5">
        <f>I14</f>
        <v>10800</v>
      </c>
      <c r="E11" s="10" t="s">
        <v>11</v>
      </c>
      <c r="G11" s="7" t="s">
        <v>14</v>
      </c>
      <c r="H11" s="14" t="s">
        <v>16</v>
      </c>
      <c r="I11" s="15">
        <v>5293.49</v>
      </c>
      <c r="J11" s="8" t="s">
        <v>11</v>
      </c>
    </row>
    <row r="12" spans="3:21" x14ac:dyDescent="0.3">
      <c r="C12" s="9" t="s">
        <v>88</v>
      </c>
      <c r="D12" s="5">
        <v>30</v>
      </c>
      <c r="E12" s="10" t="s">
        <v>13</v>
      </c>
      <c r="G12" s="7" t="s">
        <v>16</v>
      </c>
      <c r="H12" s="14" t="s">
        <v>17</v>
      </c>
      <c r="I12" s="15">
        <v>1952.53</v>
      </c>
      <c r="J12" s="8" t="s">
        <v>11</v>
      </c>
    </row>
    <row r="13" spans="3:21" ht="15" thickBot="1" x14ac:dyDescent="0.35">
      <c r="C13" s="9" t="s">
        <v>89</v>
      </c>
      <c r="D13" s="5">
        <v>15</v>
      </c>
      <c r="E13" s="10" t="s">
        <v>18</v>
      </c>
      <c r="G13" s="25" t="s">
        <v>17</v>
      </c>
      <c r="H13" s="26" t="s">
        <v>19</v>
      </c>
      <c r="I13" s="27">
        <v>1150.18</v>
      </c>
      <c r="J13" s="28" t="s">
        <v>11</v>
      </c>
    </row>
    <row r="14" spans="3:21" s="2" customFormat="1" ht="15" thickBot="1" x14ac:dyDescent="0.35">
      <c r="C14" s="11" t="s">
        <v>90</v>
      </c>
      <c r="D14" s="6">
        <v>26</v>
      </c>
      <c r="E14" s="12" t="s">
        <v>13</v>
      </c>
      <c r="G14" s="76" t="s">
        <v>20</v>
      </c>
      <c r="H14" s="77"/>
      <c r="I14" s="29">
        <v>10800</v>
      </c>
      <c r="J14" s="30" t="s">
        <v>11</v>
      </c>
      <c r="K14" s="2" t="s">
        <v>21</v>
      </c>
    </row>
    <row r="15" spans="3:21" s="2" customFormat="1" x14ac:dyDescent="0.3">
      <c r="C15" s="11" t="s">
        <v>91</v>
      </c>
      <c r="D15" s="6">
        <v>17.3</v>
      </c>
      <c r="E15" s="12" t="s">
        <v>18</v>
      </c>
    </row>
    <row r="16" spans="3:21" ht="15" thickBot="1" x14ac:dyDescent="0.35">
      <c r="C16" s="9" t="s">
        <v>22</v>
      </c>
      <c r="D16" s="5">
        <v>14</v>
      </c>
      <c r="E16" s="10" t="s">
        <v>13</v>
      </c>
    </row>
    <row r="17" spans="3:12" x14ac:dyDescent="0.3">
      <c r="C17" s="9" t="s">
        <v>23</v>
      </c>
      <c r="D17" s="5">
        <v>5</v>
      </c>
      <c r="E17" s="10" t="s">
        <v>13</v>
      </c>
      <c r="G17" s="82" t="s">
        <v>24</v>
      </c>
      <c r="H17" s="83"/>
      <c r="I17" s="83"/>
      <c r="J17" s="84"/>
    </row>
    <row r="18" spans="3:12" x14ac:dyDescent="0.3">
      <c r="C18" s="9" t="s">
        <v>25</v>
      </c>
      <c r="D18" s="13">
        <f>ROUNDDOWN((365-D17)/D10,0)</f>
        <v>5</v>
      </c>
      <c r="E18" s="10" t="s">
        <v>26</v>
      </c>
      <c r="G18" s="78" t="s">
        <v>27</v>
      </c>
      <c r="H18" s="79"/>
      <c r="I18" s="39">
        <v>190000000</v>
      </c>
      <c r="J18" s="8" t="s">
        <v>28</v>
      </c>
    </row>
    <row r="19" spans="3:12" ht="15" thickBot="1" x14ac:dyDescent="0.35">
      <c r="C19" s="31" t="s">
        <v>29</v>
      </c>
      <c r="D19" s="32">
        <f>D9*D18</f>
        <v>77880</v>
      </c>
      <c r="E19" s="33" t="s">
        <v>8</v>
      </c>
      <c r="G19" s="78" t="s">
        <v>30</v>
      </c>
      <c r="H19" s="79"/>
      <c r="I19" s="39">
        <f>I18+I18*0.05</f>
        <v>199500000</v>
      </c>
      <c r="J19" s="8" t="s">
        <v>28</v>
      </c>
      <c r="K19" s="90" t="s">
        <v>31</v>
      </c>
      <c r="L19" s="91"/>
    </row>
    <row r="20" spans="3:12" x14ac:dyDescent="0.3">
      <c r="C20" s="34" t="s">
        <v>32</v>
      </c>
      <c r="D20" s="35">
        <v>1800</v>
      </c>
      <c r="E20" s="36" t="s">
        <v>33</v>
      </c>
      <c r="G20" s="78" t="s">
        <v>34</v>
      </c>
      <c r="H20" s="79"/>
      <c r="I20" s="40">
        <v>900707.4</v>
      </c>
      <c r="J20" s="8" t="s">
        <v>35</v>
      </c>
      <c r="K20" s="90" t="s">
        <v>36</v>
      </c>
      <c r="L20" s="91"/>
    </row>
    <row r="21" spans="3:12" ht="15" thickBot="1" x14ac:dyDescent="0.35">
      <c r="C21" s="45" t="s">
        <v>37</v>
      </c>
      <c r="D21" s="38">
        <f>D20*D19</f>
        <v>140184000</v>
      </c>
      <c r="E21" s="37" t="s">
        <v>35</v>
      </c>
      <c r="F21" s="16"/>
      <c r="G21" s="80" t="s">
        <v>38</v>
      </c>
      <c r="H21" s="81"/>
      <c r="I21" s="41">
        <v>464845.8</v>
      </c>
      <c r="J21" s="8" t="s">
        <v>35</v>
      </c>
    </row>
    <row r="22" spans="3:12" ht="15" thickBot="1" x14ac:dyDescent="0.35">
      <c r="G22" s="78" t="s">
        <v>39</v>
      </c>
      <c r="H22" s="79"/>
      <c r="I22" s="41">
        <f>1140000+758892</f>
        <v>1898892</v>
      </c>
      <c r="J22" s="8" t="s">
        <v>35</v>
      </c>
      <c r="K22" s="90" t="s">
        <v>40</v>
      </c>
      <c r="L22" s="91"/>
    </row>
    <row r="23" spans="3:12" x14ac:dyDescent="0.3">
      <c r="C23" s="73" t="s">
        <v>41</v>
      </c>
      <c r="D23" s="74"/>
      <c r="E23" s="75"/>
      <c r="G23" s="78" t="s">
        <v>42</v>
      </c>
      <c r="H23" s="79"/>
      <c r="I23" s="41">
        <v>1675715</v>
      </c>
      <c r="J23" s="8" t="s">
        <v>35</v>
      </c>
    </row>
    <row r="24" spans="3:12" x14ac:dyDescent="0.3">
      <c r="C24" s="18" t="s">
        <v>43</v>
      </c>
      <c r="D24" s="17">
        <v>7</v>
      </c>
      <c r="E24" s="19" t="s">
        <v>44</v>
      </c>
      <c r="G24" s="78" t="s">
        <v>45</v>
      </c>
      <c r="H24" s="79"/>
      <c r="I24" s="39">
        <v>120000</v>
      </c>
      <c r="J24" s="8" t="s">
        <v>35</v>
      </c>
    </row>
    <row r="25" spans="3:12" x14ac:dyDescent="0.3">
      <c r="C25" s="18" t="s">
        <v>46</v>
      </c>
      <c r="D25" s="17">
        <v>50</v>
      </c>
      <c r="E25" s="19" t="s">
        <v>44</v>
      </c>
      <c r="G25" s="95" t="s">
        <v>47</v>
      </c>
      <c r="H25" s="96"/>
      <c r="I25" s="54">
        <f>10043021*5</f>
        <v>50215105</v>
      </c>
      <c r="J25" s="8" t="s">
        <v>35</v>
      </c>
      <c r="K25" s="90" t="s">
        <v>40</v>
      </c>
      <c r="L25" s="91"/>
    </row>
    <row r="26" spans="3:12" ht="15" thickBot="1" x14ac:dyDescent="0.35">
      <c r="C26" s="18" t="s">
        <v>48</v>
      </c>
      <c r="D26" s="17">
        <v>6</v>
      </c>
      <c r="E26" s="19" t="s">
        <v>49</v>
      </c>
      <c r="G26" s="97" t="s">
        <v>50</v>
      </c>
      <c r="H26" s="98"/>
      <c r="I26" s="38">
        <f>963836</f>
        <v>963836</v>
      </c>
      <c r="J26" s="42" t="s">
        <v>35</v>
      </c>
    </row>
    <row r="27" spans="3:12" ht="15" thickBot="1" x14ac:dyDescent="0.35">
      <c r="C27" s="18" t="s">
        <v>51</v>
      </c>
      <c r="D27" s="17">
        <v>3</v>
      </c>
      <c r="E27" s="19" t="s">
        <v>44</v>
      </c>
    </row>
    <row r="28" spans="3:12" x14ac:dyDescent="0.3">
      <c r="C28" s="18" t="s">
        <v>52</v>
      </c>
      <c r="D28" s="17">
        <v>0.52969999999999995</v>
      </c>
      <c r="E28" s="19" t="s">
        <v>44</v>
      </c>
      <c r="G28" s="92" t="s">
        <v>53</v>
      </c>
      <c r="H28" s="93"/>
      <c r="I28" s="93"/>
      <c r="J28" s="94"/>
    </row>
    <row r="29" spans="3:12" x14ac:dyDescent="0.3">
      <c r="C29" s="18" t="s">
        <v>54</v>
      </c>
      <c r="D29" s="17">
        <f>D27+D28</f>
        <v>3.5297000000000001</v>
      </c>
      <c r="E29" s="19" t="s">
        <v>44</v>
      </c>
      <c r="G29" s="7">
        <v>0</v>
      </c>
      <c r="H29" s="4" t="s">
        <v>55</v>
      </c>
      <c r="I29" s="14">
        <f>I18</f>
        <v>190000000</v>
      </c>
      <c r="J29" s="8" t="s">
        <v>28</v>
      </c>
    </row>
    <row r="30" spans="3:12" ht="15" thickBot="1" x14ac:dyDescent="0.35">
      <c r="C30" s="20" t="s">
        <v>56</v>
      </c>
      <c r="D30" s="21">
        <v>21</v>
      </c>
      <c r="E30" s="22" t="s">
        <v>44</v>
      </c>
      <c r="G30" s="7">
        <v>25</v>
      </c>
      <c r="H30" s="4" t="s">
        <v>55</v>
      </c>
      <c r="I30" s="14">
        <f>H35*H36</f>
        <v>28490860</v>
      </c>
      <c r="J30" s="8" t="s">
        <v>28</v>
      </c>
    </row>
    <row r="31" spans="3:12" x14ac:dyDescent="0.3">
      <c r="G31" s="7">
        <v>10</v>
      </c>
      <c r="H31" s="4" t="s">
        <v>55</v>
      </c>
      <c r="I31" s="14" cm="1">
        <f t="array" ref="I31">TREND(I29:I30,G29:G30,G31)</f>
        <v>125396343.99999999</v>
      </c>
      <c r="J31" s="8" t="s">
        <v>28</v>
      </c>
    </row>
    <row r="32" spans="3:12" x14ac:dyDescent="0.3">
      <c r="G32" s="43"/>
      <c r="H32" s="4"/>
      <c r="I32" s="4"/>
      <c r="J32" s="8"/>
    </row>
    <row r="33" spans="7:12" ht="15" thickBot="1" x14ac:dyDescent="0.35">
      <c r="G33" s="85" t="s">
        <v>57</v>
      </c>
      <c r="H33" s="86"/>
      <c r="I33" s="87">
        <f>I31</f>
        <v>125396343.99999999</v>
      </c>
      <c r="J33" s="88"/>
    </row>
    <row r="34" spans="7:12" ht="15" thickBot="1" x14ac:dyDescent="0.35">
      <c r="G34" s="3"/>
      <c r="H34" s="3"/>
      <c r="I34" s="3"/>
      <c r="J34" s="3"/>
    </row>
    <row r="35" spans="7:12" x14ac:dyDescent="0.3">
      <c r="G35" s="46" t="s">
        <v>58</v>
      </c>
      <c r="H35" s="35">
        <v>45953</v>
      </c>
      <c r="I35" s="36" t="s">
        <v>59</v>
      </c>
      <c r="J35" s="89" t="s">
        <v>60</v>
      </c>
      <c r="K35" s="89"/>
      <c r="L35" s="89"/>
    </row>
    <row r="36" spans="7:12" ht="15" thickBot="1" x14ac:dyDescent="0.35">
      <c r="G36" s="47" t="s">
        <v>61</v>
      </c>
      <c r="H36" s="44">
        <v>620</v>
      </c>
      <c r="I36" s="42" t="s">
        <v>62</v>
      </c>
      <c r="J36" s="89" t="s">
        <v>63</v>
      </c>
      <c r="K36" s="89"/>
      <c r="L36" s="89"/>
    </row>
  </sheetData>
  <mergeCells count="31">
    <mergeCell ref="Q9:R9"/>
    <mergeCell ref="Q10:R10"/>
    <mergeCell ref="Q7:T7"/>
    <mergeCell ref="Q8:R8"/>
    <mergeCell ref="G33:H33"/>
    <mergeCell ref="I33:J33"/>
    <mergeCell ref="J35:L35"/>
    <mergeCell ref="J36:L36"/>
    <mergeCell ref="K19:L19"/>
    <mergeCell ref="K20:L20"/>
    <mergeCell ref="K22:L22"/>
    <mergeCell ref="K25:L25"/>
    <mergeCell ref="G28:J28"/>
    <mergeCell ref="G25:H25"/>
    <mergeCell ref="G26:H26"/>
    <mergeCell ref="G24:H24"/>
    <mergeCell ref="C23:E23"/>
    <mergeCell ref="G14:H14"/>
    <mergeCell ref="G20:H20"/>
    <mergeCell ref="G21:H21"/>
    <mergeCell ref="G22:H22"/>
    <mergeCell ref="G23:H23"/>
    <mergeCell ref="G18:H18"/>
    <mergeCell ref="G19:H19"/>
    <mergeCell ref="G17:J17"/>
    <mergeCell ref="C2:K3"/>
    <mergeCell ref="C4:K4"/>
    <mergeCell ref="M4:N4"/>
    <mergeCell ref="C5:K5"/>
    <mergeCell ref="C8:E8"/>
    <mergeCell ref="G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326C-C4A8-4092-9572-283F65A387E1}">
  <dimension ref="D1:BC35"/>
  <sheetViews>
    <sheetView tabSelected="1" topLeftCell="AG1" zoomScale="90" zoomScaleNormal="90" workbookViewId="0">
      <selection activeCell="AG20" sqref="AG20"/>
    </sheetView>
  </sheetViews>
  <sheetFormatPr defaultRowHeight="14.4" x14ac:dyDescent="0.3"/>
  <cols>
    <col min="24" max="24" width="15.33203125" customWidth="1"/>
    <col min="25" max="25" width="13.44140625" customWidth="1"/>
    <col min="26" max="26" width="10.88671875" customWidth="1"/>
    <col min="28" max="28" width="20.33203125" customWidth="1"/>
    <col min="34" max="34" width="11.77734375" customWidth="1"/>
    <col min="40" max="40" width="16.5546875" customWidth="1"/>
    <col min="42" max="42" width="13.33203125" customWidth="1"/>
    <col min="46" max="46" width="11.88671875" customWidth="1"/>
  </cols>
  <sheetData>
    <row r="1" spans="4:53" ht="15" thickBot="1" x14ac:dyDescent="0.35"/>
    <row r="2" spans="4:53" ht="14.4" customHeight="1" thickBot="1" x14ac:dyDescent="0.35">
      <c r="Q2" s="160" t="s">
        <v>64</v>
      </c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2"/>
      <c r="AG2" s="153"/>
      <c r="AH2" s="153"/>
      <c r="AI2" s="154"/>
      <c r="AJ2" s="154"/>
    </row>
    <row r="3" spans="4:53" x14ac:dyDescent="0.3">
      <c r="D3" s="130" t="s">
        <v>65</v>
      </c>
      <c r="E3" s="131" t="s">
        <v>66</v>
      </c>
      <c r="F3" s="132"/>
      <c r="G3" s="133" t="s">
        <v>97</v>
      </c>
      <c r="H3" s="132"/>
      <c r="I3" s="131" t="s">
        <v>68</v>
      </c>
      <c r="J3" s="134"/>
      <c r="K3" s="135" t="s">
        <v>69</v>
      </c>
      <c r="L3" s="135"/>
      <c r="M3" s="135" t="s">
        <v>70</v>
      </c>
      <c r="N3" s="135"/>
      <c r="O3" s="135" t="s">
        <v>57</v>
      </c>
      <c r="P3" s="145"/>
      <c r="Q3" s="147" t="s">
        <v>34</v>
      </c>
      <c r="R3" s="140"/>
      <c r="S3" s="141" t="s">
        <v>38</v>
      </c>
      <c r="T3" s="148"/>
      <c r="U3" s="140"/>
      <c r="V3" s="141" t="s">
        <v>71</v>
      </c>
      <c r="W3" s="148"/>
      <c r="X3" s="140"/>
      <c r="Y3" s="141" t="s">
        <v>42</v>
      </c>
      <c r="Z3" s="140"/>
      <c r="AA3" s="141" t="s">
        <v>72</v>
      </c>
      <c r="AB3" s="140"/>
      <c r="AC3" s="142" t="s">
        <v>73</v>
      </c>
      <c r="AD3" s="143"/>
      <c r="AE3" s="142" t="s">
        <v>50</v>
      </c>
      <c r="AF3" s="144"/>
      <c r="AG3" s="156" t="s">
        <v>99</v>
      </c>
      <c r="AH3" s="157"/>
      <c r="AI3" s="158" t="s">
        <v>75</v>
      </c>
      <c r="AJ3" s="159"/>
      <c r="AK3" s="164" t="s">
        <v>76</v>
      </c>
      <c r="AL3" s="165"/>
      <c r="AM3" s="166" t="s">
        <v>98</v>
      </c>
      <c r="AN3" s="167"/>
      <c r="AO3" s="168" t="s">
        <v>77</v>
      </c>
      <c r="AP3" s="169"/>
      <c r="AQ3" s="170" t="s">
        <v>78</v>
      </c>
      <c r="AR3" s="171"/>
      <c r="AS3" s="170" t="s">
        <v>79</v>
      </c>
      <c r="AT3" s="171"/>
      <c r="AU3" s="170" t="s">
        <v>80</v>
      </c>
      <c r="AV3" s="172"/>
      <c r="AW3" s="170" t="s">
        <v>81</v>
      </c>
      <c r="AX3" s="173"/>
      <c r="AY3" s="172"/>
      <c r="AZ3" s="174" t="s">
        <v>65</v>
      </c>
    </row>
    <row r="4" spans="4:53" ht="14.4" customHeight="1" x14ac:dyDescent="0.3">
      <c r="D4" s="43">
        <v>0</v>
      </c>
      <c r="E4" s="102">
        <f>-'Initial variables'!I19/2</f>
        <v>-99750000</v>
      </c>
      <c r="F4" s="102"/>
      <c r="G4" s="102">
        <v>0</v>
      </c>
      <c r="H4" s="102"/>
      <c r="I4" s="102">
        <v>0</v>
      </c>
      <c r="J4" s="102"/>
      <c r="K4" s="102" t="s">
        <v>83</v>
      </c>
      <c r="L4" s="102"/>
      <c r="M4" s="102">
        <f>E4</f>
        <v>-99750000</v>
      </c>
      <c r="N4" s="102"/>
      <c r="O4" s="102" t="s">
        <v>83</v>
      </c>
      <c r="P4" s="99"/>
      <c r="Q4" s="149">
        <v>0</v>
      </c>
      <c r="R4" s="102"/>
      <c r="S4" s="102">
        <v>0</v>
      </c>
      <c r="T4" s="102"/>
      <c r="U4" s="102"/>
      <c r="V4" s="102">
        <v>0</v>
      </c>
      <c r="W4" s="102"/>
      <c r="X4" s="102"/>
      <c r="Y4" s="102">
        <v>0</v>
      </c>
      <c r="Z4" s="102"/>
      <c r="AA4" s="102">
        <v>0</v>
      </c>
      <c r="AB4" s="102"/>
      <c r="AC4" s="99">
        <v>0</v>
      </c>
      <c r="AD4" s="101"/>
      <c r="AE4" s="99">
        <v>0</v>
      </c>
      <c r="AF4" s="100"/>
      <c r="AG4" s="149">
        <v>0</v>
      </c>
      <c r="AH4" s="136"/>
      <c r="AI4" s="149">
        <v>0</v>
      </c>
      <c r="AJ4" s="136"/>
      <c r="AK4" s="175">
        <f>M4+AG4+AI4</f>
        <v>-99750000</v>
      </c>
      <c r="AL4" s="103"/>
      <c r="AM4" s="102">
        <v>0</v>
      </c>
      <c r="AN4" s="102"/>
      <c r="AO4" s="102">
        <f>AK4+AM4</f>
        <v>-99750000</v>
      </c>
      <c r="AP4" s="102"/>
      <c r="AQ4" s="102">
        <v>0</v>
      </c>
      <c r="AR4" s="102"/>
      <c r="AS4" s="102">
        <f>AO4+AQ4</f>
        <v>-99750000</v>
      </c>
      <c r="AT4" s="102"/>
      <c r="AU4" s="102">
        <f>(1+0.01*'Initial variables'!D24)^(-AZ4)</f>
        <v>1</v>
      </c>
      <c r="AV4" s="102"/>
      <c r="AW4" s="102">
        <f>AS4*AU4</f>
        <v>-99750000</v>
      </c>
      <c r="AX4" s="102"/>
      <c r="AY4" s="102"/>
      <c r="AZ4" s="8">
        <v>0</v>
      </c>
      <c r="BA4" s="163"/>
    </row>
    <row r="5" spans="4:53" ht="14.4" customHeight="1" x14ac:dyDescent="0.3">
      <c r="D5" s="43">
        <v>1</v>
      </c>
      <c r="E5" s="102">
        <v>0</v>
      </c>
      <c r="F5" s="102"/>
      <c r="G5" s="102">
        <f>$E$4/6</f>
        <v>-16625000</v>
      </c>
      <c r="H5" s="102"/>
      <c r="I5" s="102">
        <f>-E4</f>
        <v>99750000</v>
      </c>
      <c r="J5" s="102"/>
      <c r="K5" s="102">
        <f>-I5*('Initial variables'!$D$29/100)</f>
        <v>-3520875.75</v>
      </c>
      <c r="L5" s="102"/>
      <c r="M5" s="102">
        <f>G5+K5</f>
        <v>-20145875.75</v>
      </c>
      <c r="N5" s="102"/>
      <c r="O5" s="102" t="s">
        <v>83</v>
      </c>
      <c r="P5" s="99"/>
      <c r="Q5" s="149">
        <f>-'Initial variables'!I20</f>
        <v>-900707.4</v>
      </c>
      <c r="R5" s="102"/>
      <c r="S5" s="102">
        <f>-'Initial variables'!$I$21</f>
        <v>-464845.8</v>
      </c>
      <c r="T5" s="102"/>
      <c r="U5" s="102"/>
      <c r="V5" s="102">
        <f>-'Initial variables'!I22</f>
        <v>-1898892</v>
      </c>
      <c r="W5" s="102"/>
      <c r="X5" s="102"/>
      <c r="Y5" s="102">
        <f>-'Initial variables'!$I$23</f>
        <v>-1675715</v>
      </c>
      <c r="Z5" s="102"/>
      <c r="AA5" s="102">
        <f>-'Initial variables'!$I$24</f>
        <v>-120000</v>
      </c>
      <c r="AB5" s="102"/>
      <c r="AC5" s="99">
        <f>-'Initial variables'!I25</f>
        <v>-50215105</v>
      </c>
      <c r="AD5" s="101"/>
      <c r="AE5" s="99">
        <f>-'Initial variables'!$I$26</f>
        <v>-963836</v>
      </c>
      <c r="AF5" s="100"/>
      <c r="AG5" s="149">
        <f>SUM(Q5:AF5)</f>
        <v>-56239101.200000003</v>
      </c>
      <c r="AH5" s="136"/>
      <c r="AI5" s="149">
        <f t="shared" ref="AI5:AI14" si="0">$Y$19</f>
        <v>89906134.728466228</v>
      </c>
      <c r="AJ5" s="136"/>
      <c r="AK5" s="175">
        <f t="shared" ref="AK5:AK13" si="1">M5+AG5+AI5</f>
        <v>13521157.778466225</v>
      </c>
      <c r="AL5" s="103"/>
      <c r="AM5" s="102">
        <v>-6460365.5999999996</v>
      </c>
      <c r="AN5" s="102"/>
      <c r="AO5" s="102">
        <f t="shared" ref="AO5:AO14" si="2">AK5+AM5</f>
        <v>7060792.178466225</v>
      </c>
      <c r="AP5" s="102"/>
      <c r="AQ5" s="102">
        <f t="shared" ref="AQ5:AQ10" si="3">-0.21*AO5</f>
        <v>-1482766.3574779071</v>
      </c>
      <c r="AR5" s="102"/>
      <c r="AS5" s="102">
        <f t="shared" ref="AS5:AS14" si="4">AO5+AQ5</f>
        <v>5578025.820988318</v>
      </c>
      <c r="AT5" s="102"/>
      <c r="AU5" s="102">
        <f>(1+0.01*'Initial variables'!$D$24)^(-AZ5)</f>
        <v>0.93457943925233644</v>
      </c>
      <c r="AV5" s="102"/>
      <c r="AW5" s="102">
        <f t="shared" ref="AW5:AW14" si="5">AS5*AU5</f>
        <v>5213108.2439143155</v>
      </c>
      <c r="AX5" s="102"/>
      <c r="AY5" s="102"/>
      <c r="AZ5" s="8">
        <v>1</v>
      </c>
      <c r="BA5" s="163"/>
    </row>
    <row r="6" spans="4:53" ht="14.4" customHeight="1" x14ac:dyDescent="0.3">
      <c r="D6" s="43">
        <v>2</v>
      </c>
      <c r="E6" s="102">
        <v>0</v>
      </c>
      <c r="F6" s="102"/>
      <c r="G6" s="102">
        <f t="shared" ref="G6:G10" si="6">$E$4/6</f>
        <v>-16625000</v>
      </c>
      <c r="H6" s="102"/>
      <c r="I6" s="102">
        <f>I5+G5</f>
        <v>83125000</v>
      </c>
      <c r="J6" s="102"/>
      <c r="K6" s="102">
        <f>-I6*('Initial variables'!$D$29/100)</f>
        <v>-2934063.125</v>
      </c>
      <c r="L6" s="102"/>
      <c r="M6" s="102">
        <f t="shared" ref="M6:M10" si="7">G6+K6</f>
        <v>-19559063.125</v>
      </c>
      <c r="N6" s="102"/>
      <c r="O6" s="102" t="s">
        <v>83</v>
      </c>
      <c r="P6" s="99"/>
      <c r="Q6" s="149">
        <f t="shared" ref="Q6:Q14" si="8">Q5+Q5*0.02</f>
        <v>-918721.54800000007</v>
      </c>
      <c r="R6" s="102"/>
      <c r="S6" s="102">
        <f>-'Initial variables'!$I$21</f>
        <v>-464845.8</v>
      </c>
      <c r="T6" s="102"/>
      <c r="U6" s="102"/>
      <c r="V6" s="102">
        <f>V5+V5*0.025</f>
        <v>-1946364.3</v>
      </c>
      <c r="W6" s="102"/>
      <c r="X6" s="102"/>
      <c r="Y6" s="102">
        <f>-'Initial variables'!$I$23</f>
        <v>-1675715</v>
      </c>
      <c r="Z6" s="102"/>
      <c r="AA6" s="102">
        <f>-'Initial variables'!$I$24</f>
        <v>-120000</v>
      </c>
      <c r="AB6" s="102"/>
      <c r="AC6" s="99">
        <f>AC5+AC5*0.025</f>
        <v>-51470482.625</v>
      </c>
      <c r="AD6" s="101"/>
      <c r="AE6" s="99">
        <f>-'Initial variables'!$I$26</f>
        <v>-963836</v>
      </c>
      <c r="AF6" s="100"/>
      <c r="AG6" s="149">
        <f t="shared" ref="AG6:AG14" si="9">SUM(Q6:AF6)</f>
        <v>-57559965.273000002</v>
      </c>
      <c r="AH6" s="136"/>
      <c r="AI6" s="149">
        <f t="shared" si="0"/>
        <v>89906134.728466228</v>
      </c>
      <c r="AJ6" s="136"/>
      <c r="AK6" s="175">
        <f t="shared" si="1"/>
        <v>12787106.330466226</v>
      </c>
      <c r="AL6" s="103"/>
      <c r="AM6" s="102">
        <v>-6460364.5999999996</v>
      </c>
      <c r="AN6" s="102"/>
      <c r="AO6" s="102">
        <f t="shared" si="2"/>
        <v>6326741.7304662261</v>
      </c>
      <c r="AP6" s="102"/>
      <c r="AQ6" s="102">
        <f t="shared" si="3"/>
        <v>-1328615.7633979074</v>
      </c>
      <c r="AR6" s="102"/>
      <c r="AS6" s="102">
        <f t="shared" si="4"/>
        <v>4998125.9670683183</v>
      </c>
      <c r="AT6" s="102"/>
      <c r="AU6" s="102">
        <f>(1+0.01*'Initial variables'!$D$24)^(-AZ6)</f>
        <v>0.87343872827321156</v>
      </c>
      <c r="AV6" s="102"/>
      <c r="AW6" s="102">
        <f t="shared" si="5"/>
        <v>4365556.7884254679</v>
      </c>
      <c r="AX6" s="102"/>
      <c r="AY6" s="102"/>
      <c r="AZ6" s="8">
        <v>2</v>
      </c>
      <c r="BA6" s="163"/>
    </row>
    <row r="7" spans="4:53" ht="14.4" customHeight="1" x14ac:dyDescent="0.3">
      <c r="D7" s="43">
        <v>3</v>
      </c>
      <c r="E7" s="102">
        <v>0</v>
      </c>
      <c r="F7" s="102"/>
      <c r="G7" s="102">
        <f t="shared" si="6"/>
        <v>-16625000</v>
      </c>
      <c r="H7" s="102"/>
      <c r="I7" s="102">
        <f t="shared" ref="I7:I10" si="10">I6+G6</f>
        <v>66500000</v>
      </c>
      <c r="J7" s="102"/>
      <c r="K7" s="102">
        <f>-I7*('Initial variables'!$D$29/100)</f>
        <v>-2347250.5</v>
      </c>
      <c r="L7" s="102"/>
      <c r="M7" s="102">
        <f t="shared" si="7"/>
        <v>-18972250.5</v>
      </c>
      <c r="N7" s="102"/>
      <c r="O7" s="102" t="s">
        <v>83</v>
      </c>
      <c r="P7" s="99"/>
      <c r="Q7" s="149">
        <f t="shared" si="8"/>
        <v>-937095.97896000009</v>
      </c>
      <c r="R7" s="102"/>
      <c r="S7" s="102">
        <f>-'Initial variables'!$I$21</f>
        <v>-464845.8</v>
      </c>
      <c r="T7" s="102"/>
      <c r="U7" s="102"/>
      <c r="V7" s="102">
        <f t="shared" ref="V7:V14" si="11">V6+V6*0.025</f>
        <v>-1995023.4075</v>
      </c>
      <c r="W7" s="102"/>
      <c r="X7" s="102"/>
      <c r="Y7" s="102">
        <f>-'Initial variables'!$I$23</f>
        <v>-1675715</v>
      </c>
      <c r="Z7" s="102"/>
      <c r="AA7" s="102">
        <f>-'Initial variables'!$I$24</f>
        <v>-120000</v>
      </c>
      <c r="AB7" s="102"/>
      <c r="AC7" s="99">
        <f t="shared" ref="AC7:AC14" si="12">AC6+AC6*0.025</f>
        <v>-52757244.690624997</v>
      </c>
      <c r="AD7" s="101"/>
      <c r="AE7" s="99">
        <f>-'Initial variables'!$I$26</f>
        <v>-963836</v>
      </c>
      <c r="AF7" s="100"/>
      <c r="AG7" s="149">
        <f t="shared" si="9"/>
        <v>-58913760.877085</v>
      </c>
      <c r="AH7" s="136"/>
      <c r="AI7" s="149">
        <f t="shared" si="0"/>
        <v>89906134.728466228</v>
      </c>
      <c r="AJ7" s="136"/>
      <c r="AK7" s="175">
        <f t="shared" si="1"/>
        <v>12020123.351381227</v>
      </c>
      <c r="AL7" s="103"/>
      <c r="AM7" s="102">
        <v>-6460363.5999999996</v>
      </c>
      <c r="AN7" s="102"/>
      <c r="AO7" s="102">
        <f t="shared" si="2"/>
        <v>5559759.7513812277</v>
      </c>
      <c r="AP7" s="102"/>
      <c r="AQ7" s="102">
        <f t="shared" si="3"/>
        <v>-1167549.5477900577</v>
      </c>
      <c r="AR7" s="102"/>
      <c r="AS7" s="102">
        <f t="shared" si="4"/>
        <v>4392210.2035911698</v>
      </c>
      <c r="AT7" s="102"/>
      <c r="AU7" s="102">
        <f>(1+0.01*'Initial variables'!$D$24)^(-AZ7)</f>
        <v>0.81629787689085187</v>
      </c>
      <c r="AV7" s="102"/>
      <c r="AW7" s="102">
        <f t="shared" si="5"/>
        <v>3585351.8640498081</v>
      </c>
      <c r="AX7" s="102"/>
      <c r="AY7" s="102"/>
      <c r="AZ7" s="8">
        <v>3</v>
      </c>
      <c r="BA7" s="163"/>
    </row>
    <row r="8" spans="4:53" ht="14.4" customHeight="1" x14ac:dyDescent="0.3">
      <c r="D8" s="43">
        <v>4</v>
      </c>
      <c r="E8" s="102">
        <v>0</v>
      </c>
      <c r="F8" s="102"/>
      <c r="G8" s="102">
        <f t="shared" si="6"/>
        <v>-16625000</v>
      </c>
      <c r="H8" s="102"/>
      <c r="I8" s="102">
        <f t="shared" si="10"/>
        <v>49875000</v>
      </c>
      <c r="J8" s="102"/>
      <c r="K8" s="102">
        <f>-I8*('Initial variables'!$D$29/100)</f>
        <v>-1760437.875</v>
      </c>
      <c r="L8" s="102"/>
      <c r="M8" s="102">
        <f t="shared" si="7"/>
        <v>-18385437.875</v>
      </c>
      <c r="N8" s="102"/>
      <c r="O8" s="102" t="s">
        <v>83</v>
      </c>
      <c r="P8" s="99"/>
      <c r="Q8" s="149">
        <f t="shared" si="8"/>
        <v>-955837.89853920008</v>
      </c>
      <c r="R8" s="102"/>
      <c r="S8" s="102">
        <f>-'Initial variables'!$I$21</f>
        <v>-464845.8</v>
      </c>
      <c r="T8" s="102"/>
      <c r="U8" s="102"/>
      <c r="V8" s="102">
        <f t="shared" si="11"/>
        <v>-2044898.9926875001</v>
      </c>
      <c r="W8" s="102"/>
      <c r="X8" s="102"/>
      <c r="Y8" s="102">
        <f>-'Initial variables'!$I$23</f>
        <v>-1675715</v>
      </c>
      <c r="Z8" s="102"/>
      <c r="AA8" s="102">
        <f>-'Initial variables'!$I$24</f>
        <v>-120000</v>
      </c>
      <c r="AB8" s="102"/>
      <c r="AC8" s="99">
        <f t="shared" si="12"/>
        <v>-54076175.807890624</v>
      </c>
      <c r="AD8" s="101"/>
      <c r="AE8" s="99">
        <f>-'Initial variables'!$I$26</f>
        <v>-963836</v>
      </c>
      <c r="AF8" s="100"/>
      <c r="AG8" s="149">
        <f t="shared" si="9"/>
        <v>-60301309.499117322</v>
      </c>
      <c r="AH8" s="136"/>
      <c r="AI8" s="149">
        <f t="shared" si="0"/>
        <v>89906134.728466228</v>
      </c>
      <c r="AJ8" s="136"/>
      <c r="AK8" s="175">
        <f t="shared" si="1"/>
        <v>11219387.354348913</v>
      </c>
      <c r="AL8" s="103"/>
      <c r="AM8" s="102">
        <v>-6460362.5999999996</v>
      </c>
      <c r="AN8" s="102"/>
      <c r="AO8" s="102">
        <f t="shared" si="2"/>
        <v>4759024.7543489132</v>
      </c>
      <c r="AP8" s="102"/>
      <c r="AQ8" s="102">
        <f t="shared" si="3"/>
        <v>-999395.19841327169</v>
      </c>
      <c r="AR8" s="102"/>
      <c r="AS8" s="102">
        <f t="shared" si="4"/>
        <v>3759629.5559356418</v>
      </c>
      <c r="AT8" s="102"/>
      <c r="AU8" s="102">
        <f>(1+0.01*'Initial variables'!$D$24)^(-AZ8)</f>
        <v>0.7628952120475252</v>
      </c>
      <c r="AV8" s="102"/>
      <c r="AW8" s="102">
        <f t="shared" si="5"/>
        <v>2868203.3872956643</v>
      </c>
      <c r="AX8" s="102"/>
      <c r="AY8" s="102"/>
      <c r="AZ8" s="8">
        <v>4</v>
      </c>
      <c r="BA8" s="163"/>
    </row>
    <row r="9" spans="4:53" ht="14.4" customHeight="1" x14ac:dyDescent="0.3">
      <c r="D9" s="43">
        <v>5</v>
      </c>
      <c r="E9" s="102">
        <v>0</v>
      </c>
      <c r="F9" s="102"/>
      <c r="G9" s="102">
        <f t="shared" si="6"/>
        <v>-16625000</v>
      </c>
      <c r="H9" s="102"/>
      <c r="I9" s="102">
        <f t="shared" si="10"/>
        <v>33250000</v>
      </c>
      <c r="J9" s="102"/>
      <c r="K9" s="102">
        <f>-I9*('Initial variables'!$D$29/100)</f>
        <v>-1173625.25</v>
      </c>
      <c r="L9" s="102"/>
      <c r="M9" s="102">
        <f t="shared" si="7"/>
        <v>-17798625.25</v>
      </c>
      <c r="N9" s="102"/>
      <c r="O9" s="102" t="s">
        <v>83</v>
      </c>
      <c r="P9" s="99"/>
      <c r="Q9" s="149">
        <f t="shared" si="8"/>
        <v>-974954.65650998405</v>
      </c>
      <c r="R9" s="102"/>
      <c r="S9" s="102">
        <f>-'Initial variables'!$I$21</f>
        <v>-464845.8</v>
      </c>
      <c r="T9" s="102"/>
      <c r="U9" s="102"/>
      <c r="V9" s="102">
        <f t="shared" si="11"/>
        <v>-2096021.4675046876</v>
      </c>
      <c r="W9" s="102"/>
      <c r="X9" s="102"/>
      <c r="Y9" s="102">
        <f>-'Initial variables'!$I$23</f>
        <v>-1675715</v>
      </c>
      <c r="Z9" s="102"/>
      <c r="AA9" s="102">
        <f>-'Initial variables'!$I$24</f>
        <v>-120000</v>
      </c>
      <c r="AB9" s="102"/>
      <c r="AC9" s="99">
        <f t="shared" si="12"/>
        <v>-55428080.203087889</v>
      </c>
      <c r="AD9" s="101"/>
      <c r="AE9" s="99">
        <f>-'Initial variables'!$I$26</f>
        <v>-963836</v>
      </c>
      <c r="AF9" s="100"/>
      <c r="AG9" s="149">
        <f t="shared" si="9"/>
        <v>-61723453.127102561</v>
      </c>
      <c r="AH9" s="136"/>
      <c r="AI9" s="149">
        <f t="shared" si="0"/>
        <v>89906134.728466228</v>
      </c>
      <c r="AJ9" s="136"/>
      <c r="AK9" s="175">
        <f t="shared" si="1"/>
        <v>10384056.351363674</v>
      </c>
      <c r="AL9" s="103"/>
      <c r="AM9" s="102">
        <v>-6460361.5999999996</v>
      </c>
      <c r="AN9" s="102"/>
      <c r="AO9" s="102">
        <f t="shared" si="2"/>
        <v>3923694.7513636742</v>
      </c>
      <c r="AP9" s="102"/>
      <c r="AQ9" s="102">
        <f t="shared" si="3"/>
        <v>-823975.89778637153</v>
      </c>
      <c r="AR9" s="102"/>
      <c r="AS9" s="102">
        <f t="shared" si="4"/>
        <v>3099718.8535773028</v>
      </c>
      <c r="AT9" s="102"/>
      <c r="AU9" s="102">
        <f>(1+0.01*'Initial variables'!$D$24)^(-AZ9)</f>
        <v>0.71298617948366838</v>
      </c>
      <c r="AV9" s="102"/>
      <c r="AW9" s="102">
        <f t="shared" si="5"/>
        <v>2210056.7028855775</v>
      </c>
      <c r="AX9" s="102"/>
      <c r="AY9" s="102"/>
      <c r="AZ9" s="8">
        <v>5</v>
      </c>
      <c r="BA9" s="163"/>
    </row>
    <row r="10" spans="4:53" ht="14.4" customHeight="1" x14ac:dyDescent="0.3">
      <c r="D10" s="43">
        <v>6</v>
      </c>
      <c r="E10" s="102">
        <v>0</v>
      </c>
      <c r="F10" s="102"/>
      <c r="G10" s="102">
        <f t="shared" si="6"/>
        <v>-16625000</v>
      </c>
      <c r="H10" s="102"/>
      <c r="I10" s="102">
        <f t="shared" si="10"/>
        <v>16625000</v>
      </c>
      <c r="J10" s="102"/>
      <c r="K10" s="102">
        <f>-I10*('Initial variables'!$D$29/100)</f>
        <v>-586812.625</v>
      </c>
      <c r="L10" s="102"/>
      <c r="M10" s="102">
        <f t="shared" si="7"/>
        <v>-17211812.625</v>
      </c>
      <c r="N10" s="102"/>
      <c r="O10" s="102" t="s">
        <v>83</v>
      </c>
      <c r="P10" s="99"/>
      <c r="Q10" s="149">
        <f t="shared" si="8"/>
        <v>-994453.74964018376</v>
      </c>
      <c r="R10" s="102"/>
      <c r="S10" s="102">
        <f>-'Initial variables'!$I$21</f>
        <v>-464845.8</v>
      </c>
      <c r="T10" s="102"/>
      <c r="U10" s="102"/>
      <c r="V10" s="102">
        <f t="shared" si="11"/>
        <v>-2148422.0041923048</v>
      </c>
      <c r="W10" s="102"/>
      <c r="X10" s="102"/>
      <c r="Y10" s="102">
        <f>-'Initial variables'!$I$23</f>
        <v>-1675715</v>
      </c>
      <c r="Z10" s="102"/>
      <c r="AA10" s="102">
        <f>-'Initial variables'!$I$24</f>
        <v>-120000</v>
      </c>
      <c r="AB10" s="102"/>
      <c r="AC10" s="99">
        <f t="shared" si="12"/>
        <v>-56813782.208165087</v>
      </c>
      <c r="AD10" s="101"/>
      <c r="AE10" s="99">
        <f>-'Initial variables'!$I$26</f>
        <v>-963836</v>
      </c>
      <c r="AF10" s="100"/>
      <c r="AG10" s="149">
        <f t="shared" si="9"/>
        <v>-63181054.761997573</v>
      </c>
      <c r="AH10" s="136"/>
      <c r="AI10" s="149">
        <f t="shared" si="0"/>
        <v>89906134.728466228</v>
      </c>
      <c r="AJ10" s="136"/>
      <c r="AK10" s="175">
        <f t="shared" si="1"/>
        <v>9513267.3414686471</v>
      </c>
      <c r="AL10" s="103"/>
      <c r="AM10" s="102">
        <v>-6460360.5999999996</v>
      </c>
      <c r="AN10" s="102"/>
      <c r="AO10" s="102">
        <f t="shared" si="2"/>
        <v>3052906.7414686475</v>
      </c>
      <c r="AP10" s="102"/>
      <c r="AQ10" s="102">
        <f t="shared" si="3"/>
        <v>-641110.41570841591</v>
      </c>
      <c r="AR10" s="102"/>
      <c r="AS10" s="102">
        <f t="shared" si="4"/>
        <v>2411796.3257602314</v>
      </c>
      <c r="AT10" s="102"/>
      <c r="AU10" s="102">
        <f>(1+0.01*'Initial variables'!$D$24)^(-AZ10)</f>
        <v>0.66634222381651254</v>
      </c>
      <c r="AV10" s="102"/>
      <c r="AW10" s="102">
        <f t="shared" si="5"/>
        <v>1607081.7270995667</v>
      </c>
      <c r="AX10" s="102"/>
      <c r="AY10" s="102"/>
      <c r="AZ10" s="8">
        <v>6</v>
      </c>
      <c r="BA10" s="163"/>
    </row>
    <row r="11" spans="4:53" ht="14.4" customHeight="1" x14ac:dyDescent="0.3">
      <c r="D11" s="43">
        <v>7</v>
      </c>
      <c r="E11" s="102">
        <v>0</v>
      </c>
      <c r="F11" s="102"/>
      <c r="G11" s="102">
        <v>0</v>
      </c>
      <c r="H11" s="102"/>
      <c r="I11" s="102">
        <v>0</v>
      </c>
      <c r="J11" s="102"/>
      <c r="K11" s="102">
        <v>0</v>
      </c>
      <c r="L11" s="102"/>
      <c r="M11" s="102">
        <v>0</v>
      </c>
      <c r="N11" s="102"/>
      <c r="O11" s="102" t="s">
        <v>83</v>
      </c>
      <c r="P11" s="99"/>
      <c r="Q11" s="149">
        <f t="shared" si="8"/>
        <v>-1014342.8246329874</v>
      </c>
      <c r="R11" s="102"/>
      <c r="S11" s="102">
        <f>-'Initial variables'!$I$21</f>
        <v>-464845.8</v>
      </c>
      <c r="T11" s="102"/>
      <c r="U11" s="102"/>
      <c r="V11" s="102">
        <f t="shared" si="11"/>
        <v>-2202132.5542971124</v>
      </c>
      <c r="W11" s="102"/>
      <c r="X11" s="102"/>
      <c r="Y11" s="102">
        <f>-'Initial variables'!$I$23</f>
        <v>-1675715</v>
      </c>
      <c r="Z11" s="102"/>
      <c r="AA11" s="152">
        <f>-'Initial variables'!$I$24</f>
        <v>-120000</v>
      </c>
      <c r="AB11" s="152"/>
      <c r="AC11" s="99">
        <f t="shared" si="12"/>
        <v>-58234126.763369218</v>
      </c>
      <c r="AD11" s="101"/>
      <c r="AE11" s="99">
        <f>-'Initial variables'!$I$26</f>
        <v>-963836</v>
      </c>
      <c r="AF11" s="100"/>
      <c r="AG11" s="149">
        <f t="shared" si="9"/>
        <v>-64674998.942299321</v>
      </c>
      <c r="AH11" s="136"/>
      <c r="AI11" s="149">
        <f t="shared" si="0"/>
        <v>89906134.728466228</v>
      </c>
      <c r="AJ11" s="136"/>
      <c r="AK11" s="175">
        <f t="shared" si="1"/>
        <v>25231135.786166906</v>
      </c>
      <c r="AL11" s="103"/>
      <c r="AM11" s="102">
        <v>-6460359.5999999996</v>
      </c>
      <c r="AN11" s="102"/>
      <c r="AO11" s="102">
        <f t="shared" si="2"/>
        <v>18770776.186166905</v>
      </c>
      <c r="AP11" s="102"/>
      <c r="AQ11" s="102">
        <f>-0.21*AO11</f>
        <v>-3941862.9990950497</v>
      </c>
      <c r="AR11" s="102"/>
      <c r="AS11" s="102">
        <f t="shared" si="4"/>
        <v>14828913.187071856</v>
      </c>
      <c r="AT11" s="102"/>
      <c r="AU11" s="102">
        <f>(1+0.01*'Initial variables'!$D$24)^(-AZ11)</f>
        <v>0.62274974188459109</v>
      </c>
      <c r="AV11" s="102"/>
      <c r="AW11" s="102">
        <f t="shared" si="5"/>
        <v>9234701.8596780077</v>
      </c>
      <c r="AX11" s="102"/>
      <c r="AY11" s="102"/>
      <c r="AZ11" s="8">
        <v>7</v>
      </c>
      <c r="BA11" s="163"/>
    </row>
    <row r="12" spans="4:53" ht="14.4" customHeight="1" x14ac:dyDescent="0.3">
      <c r="D12" s="43">
        <v>8</v>
      </c>
      <c r="E12" s="102">
        <v>0</v>
      </c>
      <c r="F12" s="102"/>
      <c r="G12" s="102">
        <v>0</v>
      </c>
      <c r="H12" s="102"/>
      <c r="I12" s="102">
        <v>0</v>
      </c>
      <c r="J12" s="102"/>
      <c r="K12" s="102">
        <v>0</v>
      </c>
      <c r="L12" s="102"/>
      <c r="M12" s="102">
        <v>0</v>
      </c>
      <c r="N12" s="102"/>
      <c r="O12" s="102" t="s">
        <v>83</v>
      </c>
      <c r="P12" s="99"/>
      <c r="Q12" s="149">
        <f t="shared" si="8"/>
        <v>-1034629.6811256472</v>
      </c>
      <c r="R12" s="102"/>
      <c r="S12" s="102">
        <f>-'Initial variables'!$I$21</f>
        <v>-464845.8</v>
      </c>
      <c r="T12" s="102"/>
      <c r="U12" s="102"/>
      <c r="V12" s="102">
        <f t="shared" si="11"/>
        <v>-2257185.8681545402</v>
      </c>
      <c r="W12" s="102"/>
      <c r="X12" s="102"/>
      <c r="Y12" s="102">
        <f>-'Initial variables'!$I$23</f>
        <v>-1675715</v>
      </c>
      <c r="Z12" s="102"/>
      <c r="AA12" s="102">
        <f>-'Initial variables'!$I$24</f>
        <v>-120000</v>
      </c>
      <c r="AB12" s="102"/>
      <c r="AC12" s="99">
        <f t="shared" si="12"/>
        <v>-59689979.932453446</v>
      </c>
      <c r="AD12" s="101"/>
      <c r="AE12" s="99">
        <f>-'Initial variables'!$I$26</f>
        <v>-963836</v>
      </c>
      <c r="AF12" s="100"/>
      <c r="AG12" s="149">
        <f t="shared" si="9"/>
        <v>-66206192.281733632</v>
      </c>
      <c r="AH12" s="136"/>
      <c r="AI12" s="149">
        <f t="shared" si="0"/>
        <v>89906134.728466228</v>
      </c>
      <c r="AJ12" s="136"/>
      <c r="AK12" s="175">
        <f t="shared" si="1"/>
        <v>23699942.446732596</v>
      </c>
      <c r="AL12" s="103"/>
      <c r="AM12" s="102">
        <v>-6460358.5999999996</v>
      </c>
      <c r="AN12" s="102"/>
      <c r="AO12" s="102">
        <f t="shared" si="2"/>
        <v>17239583.846732594</v>
      </c>
      <c r="AP12" s="102"/>
      <c r="AQ12" s="102">
        <f t="shared" ref="AQ12:AQ14" si="13">-0.21*AO12</f>
        <v>-3620312.6078138445</v>
      </c>
      <c r="AR12" s="102"/>
      <c r="AS12" s="102">
        <f t="shared" si="4"/>
        <v>13619271.23891875</v>
      </c>
      <c r="AT12" s="102"/>
      <c r="AU12" s="102">
        <f>(1+0.01*'Initial variables'!$D$24)^(-AZ12)</f>
        <v>0.5820091045650384</v>
      </c>
      <c r="AV12" s="102"/>
      <c r="AW12" s="102">
        <f t="shared" si="5"/>
        <v>7926539.858591483</v>
      </c>
      <c r="AX12" s="102"/>
      <c r="AY12" s="102"/>
      <c r="AZ12" s="8">
        <v>8</v>
      </c>
      <c r="BA12" s="163"/>
    </row>
    <row r="13" spans="4:53" ht="14.4" customHeight="1" x14ac:dyDescent="0.3">
      <c r="D13" s="43">
        <v>9</v>
      </c>
      <c r="E13" s="102">
        <v>0</v>
      </c>
      <c r="F13" s="102"/>
      <c r="G13" s="102">
        <v>0</v>
      </c>
      <c r="H13" s="102"/>
      <c r="I13" s="102">
        <v>0</v>
      </c>
      <c r="J13" s="102"/>
      <c r="K13" s="102">
        <v>0</v>
      </c>
      <c r="L13" s="102"/>
      <c r="M13" s="102">
        <v>0</v>
      </c>
      <c r="N13" s="102"/>
      <c r="O13" s="102" t="s">
        <v>83</v>
      </c>
      <c r="P13" s="99"/>
      <c r="Q13" s="149">
        <f t="shared" si="8"/>
        <v>-1055322.27474816</v>
      </c>
      <c r="R13" s="102"/>
      <c r="S13" s="102">
        <f>-'Initial variables'!$I$21</f>
        <v>-464845.8</v>
      </c>
      <c r="T13" s="102"/>
      <c r="U13" s="102"/>
      <c r="V13" s="102">
        <f t="shared" si="11"/>
        <v>-2313615.5148584037</v>
      </c>
      <c r="W13" s="102"/>
      <c r="X13" s="102"/>
      <c r="Y13" s="102">
        <f>-'Initial variables'!$I$23</f>
        <v>-1675715</v>
      </c>
      <c r="Z13" s="102"/>
      <c r="AA13" s="102">
        <f>-'Initial variables'!$I$24</f>
        <v>-120000</v>
      </c>
      <c r="AB13" s="102"/>
      <c r="AC13" s="99">
        <f t="shared" si="12"/>
        <v>-61182229.430764779</v>
      </c>
      <c r="AD13" s="101"/>
      <c r="AE13" s="99">
        <f>-'Initial variables'!$I$26</f>
        <v>-963836</v>
      </c>
      <c r="AF13" s="100"/>
      <c r="AG13" s="149">
        <f t="shared" si="9"/>
        <v>-67775564.020371348</v>
      </c>
      <c r="AH13" s="136"/>
      <c r="AI13" s="149">
        <f t="shared" si="0"/>
        <v>89906134.728466228</v>
      </c>
      <c r="AJ13" s="136"/>
      <c r="AK13" s="175">
        <f t="shared" si="1"/>
        <v>22130570.70809488</v>
      </c>
      <c r="AL13" s="103"/>
      <c r="AM13" s="102">
        <v>-6460357.5999999996</v>
      </c>
      <c r="AN13" s="102"/>
      <c r="AO13" s="102">
        <f t="shared" si="2"/>
        <v>15670213.10809488</v>
      </c>
      <c r="AP13" s="102"/>
      <c r="AQ13" s="102">
        <f t="shared" si="13"/>
        <v>-3290744.7526999246</v>
      </c>
      <c r="AR13" s="102"/>
      <c r="AS13" s="102">
        <f t="shared" si="4"/>
        <v>12379468.355394956</v>
      </c>
      <c r="AT13" s="102"/>
      <c r="AU13" s="102">
        <f>(1+0.01*'Initial variables'!$D$24)^(-AZ13)</f>
        <v>0.54393374258414806</v>
      </c>
      <c r="AV13" s="102"/>
      <c r="AW13" s="102">
        <f t="shared" si="5"/>
        <v>6733610.553752007</v>
      </c>
      <c r="AX13" s="102"/>
      <c r="AY13" s="102"/>
      <c r="AZ13" s="8">
        <v>9</v>
      </c>
      <c r="BA13" s="163"/>
    </row>
    <row r="14" spans="4:53" ht="14.4" customHeight="1" thickBot="1" x14ac:dyDescent="0.35">
      <c r="D14" s="137">
        <v>10</v>
      </c>
      <c r="E14" s="138">
        <v>0</v>
      </c>
      <c r="F14" s="138"/>
      <c r="G14" s="138">
        <v>0</v>
      </c>
      <c r="H14" s="138"/>
      <c r="I14" s="138">
        <v>0</v>
      </c>
      <c r="J14" s="138"/>
      <c r="K14" s="138">
        <v>0</v>
      </c>
      <c r="L14" s="138"/>
      <c r="M14" s="138">
        <v>0</v>
      </c>
      <c r="N14" s="138"/>
      <c r="O14" s="138">
        <f>'Initial variables'!I33</f>
        <v>125396343.99999999</v>
      </c>
      <c r="P14" s="146"/>
      <c r="Q14" s="150">
        <f t="shared" si="8"/>
        <v>-1076428.7202431231</v>
      </c>
      <c r="R14" s="138"/>
      <c r="S14" s="138">
        <f>-'Initial variables'!$I$21</f>
        <v>-464845.8</v>
      </c>
      <c r="T14" s="138"/>
      <c r="U14" s="138"/>
      <c r="V14" s="138">
        <f t="shared" si="11"/>
        <v>-2371455.9027298638</v>
      </c>
      <c r="W14" s="138"/>
      <c r="X14" s="138"/>
      <c r="Y14" s="138">
        <f>-'Initial variables'!$I$23</f>
        <v>-1675715</v>
      </c>
      <c r="Z14" s="138"/>
      <c r="AA14" s="138">
        <f>-'Initial variables'!$I$24</f>
        <v>-120000</v>
      </c>
      <c r="AB14" s="138"/>
      <c r="AC14" s="146">
        <f t="shared" si="12"/>
        <v>-62711785.166533902</v>
      </c>
      <c r="AD14" s="151"/>
      <c r="AE14" s="146">
        <f>-'Initial variables'!$I$26</f>
        <v>-963836</v>
      </c>
      <c r="AF14" s="155"/>
      <c r="AG14" s="150">
        <f t="shared" si="9"/>
        <v>-69384066.589506894</v>
      </c>
      <c r="AH14" s="139"/>
      <c r="AI14" s="150">
        <f t="shared" si="0"/>
        <v>89906134.728466228</v>
      </c>
      <c r="AJ14" s="139"/>
      <c r="AK14" s="176">
        <f>O14+AG14+AI14</f>
        <v>145918412.13895932</v>
      </c>
      <c r="AL14" s="87"/>
      <c r="AM14" s="138">
        <v>-6460356.5999999996</v>
      </c>
      <c r="AN14" s="138"/>
      <c r="AO14" s="138">
        <f t="shared" si="2"/>
        <v>139458055.53895932</v>
      </c>
      <c r="AP14" s="138"/>
      <c r="AQ14" s="138">
        <f t="shared" si="13"/>
        <v>-29286191.663181458</v>
      </c>
      <c r="AR14" s="138"/>
      <c r="AS14" s="138">
        <f t="shared" si="4"/>
        <v>110171863.87577787</v>
      </c>
      <c r="AT14" s="138"/>
      <c r="AU14" s="138">
        <f>(1+0.01*'Initial variables'!$D$24)^(-AZ14)</f>
        <v>0.5083492921347178</v>
      </c>
      <c r="AV14" s="138"/>
      <c r="AW14" s="138">
        <f t="shared" si="5"/>
        <v>56005789.014414169</v>
      </c>
      <c r="AX14" s="138"/>
      <c r="AY14" s="138"/>
      <c r="AZ14" s="51">
        <v>10</v>
      </c>
      <c r="BA14" s="163"/>
    </row>
    <row r="17" spans="4:55" ht="15" thickBot="1" x14ac:dyDescent="0.35">
      <c r="BB17" s="49"/>
    </row>
    <row r="18" spans="4:55" ht="15" thickBot="1" x14ac:dyDescent="0.35">
      <c r="X18" s="179" t="s">
        <v>100</v>
      </c>
      <c r="Y18" s="35">
        <v>77880</v>
      </c>
      <c r="Z18" s="36" t="s">
        <v>101</v>
      </c>
      <c r="AA18" s="178" t="s">
        <v>84</v>
      </c>
      <c r="AB18" s="30">
        <f>SUM(AW4:AX14)</f>
        <v>1.0605901479721069E-4</v>
      </c>
      <c r="BB18" s="49"/>
      <c r="BC18" s="49"/>
    </row>
    <row r="19" spans="4:55" ht="15" thickBot="1" x14ac:dyDescent="0.35">
      <c r="X19" s="180" t="s">
        <v>37</v>
      </c>
      <c r="Y19" s="53">
        <f>Y18*Y20</f>
        <v>89906134.728466228</v>
      </c>
      <c r="Z19" s="8" t="s">
        <v>28</v>
      </c>
      <c r="AA19" s="52"/>
      <c r="AB19" s="52"/>
      <c r="AY19" s="118"/>
    </row>
    <row r="20" spans="4:55" ht="15" thickBot="1" x14ac:dyDescent="0.35">
      <c r="X20" s="181" t="s">
        <v>85</v>
      </c>
      <c r="Y20" s="50">
        <v>1154.4187818241683</v>
      </c>
      <c r="Z20" s="51" t="s">
        <v>28</v>
      </c>
      <c r="AA20" s="178" t="s">
        <v>86</v>
      </c>
      <c r="AB20" s="177">
        <f>IRR(AS4:AT14)</f>
        <v>7.0000000000140838E-2</v>
      </c>
    </row>
    <row r="21" spans="4:55" x14ac:dyDescent="0.3">
      <c r="AY21" s="118"/>
    </row>
    <row r="24" spans="4:55" ht="15" customHeight="1" x14ac:dyDescent="0.3">
      <c r="D24" s="48" t="s">
        <v>65</v>
      </c>
      <c r="E24" s="104" t="s">
        <v>66</v>
      </c>
      <c r="F24" s="105"/>
      <c r="G24" s="104" t="s">
        <v>67</v>
      </c>
      <c r="H24" s="105"/>
      <c r="I24" s="104" t="s">
        <v>68</v>
      </c>
      <c r="J24" s="112"/>
      <c r="K24" s="117" t="s">
        <v>69</v>
      </c>
      <c r="L24" s="117"/>
      <c r="M24" s="117" t="s">
        <v>70</v>
      </c>
      <c r="N24" s="117"/>
      <c r="O24" s="117" t="s">
        <v>57</v>
      </c>
      <c r="P24" s="117"/>
      <c r="Q24" s="107" t="s">
        <v>34</v>
      </c>
      <c r="R24" s="105"/>
      <c r="S24" s="104" t="s">
        <v>38</v>
      </c>
      <c r="T24" s="112"/>
      <c r="U24" s="105"/>
      <c r="V24" s="104" t="s">
        <v>71</v>
      </c>
      <c r="W24" s="112"/>
      <c r="X24" s="105"/>
      <c r="Y24" s="104" t="s">
        <v>42</v>
      </c>
      <c r="Z24" s="105"/>
      <c r="AA24" s="104" t="s">
        <v>72</v>
      </c>
      <c r="AB24" s="105"/>
      <c r="AC24" s="108" t="s">
        <v>73</v>
      </c>
      <c r="AD24" s="109"/>
      <c r="AE24" s="108" t="s">
        <v>50</v>
      </c>
      <c r="AF24" s="110"/>
      <c r="AG24" s="111" t="s">
        <v>74</v>
      </c>
      <c r="AH24" s="111"/>
      <c r="AI24" s="107" t="s">
        <v>75</v>
      </c>
      <c r="AJ24" s="105"/>
      <c r="AK24" s="104" t="s">
        <v>76</v>
      </c>
      <c r="AL24" s="112"/>
      <c r="AM24" s="113" t="s">
        <v>87</v>
      </c>
      <c r="AN24" s="114"/>
      <c r="AO24" s="115" t="s">
        <v>77</v>
      </c>
      <c r="AP24" s="116"/>
      <c r="AQ24" s="104" t="s">
        <v>78</v>
      </c>
      <c r="AR24" s="105"/>
      <c r="AS24" s="104" t="s">
        <v>79</v>
      </c>
      <c r="AT24" s="105"/>
      <c r="AU24" s="104" t="s">
        <v>80</v>
      </c>
      <c r="AV24" s="106"/>
      <c r="AW24" s="104" t="s">
        <v>81</v>
      </c>
      <c r="AX24" s="107"/>
      <c r="AY24" s="106"/>
      <c r="AZ24" s="48" t="s">
        <v>65</v>
      </c>
    </row>
    <row r="25" spans="4:55" ht="15" customHeight="1" x14ac:dyDescent="0.3">
      <c r="D25" s="4">
        <v>0</v>
      </c>
      <c r="E25" s="102">
        <f>-'Initial variables'!I19/2</f>
        <v>-99750000</v>
      </c>
      <c r="F25" s="102"/>
      <c r="G25" s="102">
        <v>0</v>
      </c>
      <c r="H25" s="102"/>
      <c r="I25" s="102">
        <v>0</v>
      </c>
      <c r="J25" s="102"/>
      <c r="K25" s="102" t="s">
        <v>82</v>
      </c>
      <c r="L25" s="102"/>
      <c r="M25" s="102">
        <f>E25</f>
        <v>-99750000</v>
      </c>
      <c r="N25" s="102"/>
      <c r="O25" s="102" t="s">
        <v>83</v>
      </c>
      <c r="P25" s="102"/>
      <c r="Q25" s="102">
        <v>0</v>
      </c>
      <c r="R25" s="102"/>
      <c r="S25" s="102">
        <v>0</v>
      </c>
      <c r="T25" s="102"/>
      <c r="U25" s="102"/>
      <c r="V25" s="102">
        <v>0</v>
      </c>
      <c r="W25" s="102"/>
      <c r="X25" s="102"/>
      <c r="Y25" s="102">
        <v>0</v>
      </c>
      <c r="Z25" s="102"/>
      <c r="AA25" s="102">
        <v>0</v>
      </c>
      <c r="AB25" s="102"/>
      <c r="AC25" s="99">
        <v>0</v>
      </c>
      <c r="AD25" s="101"/>
      <c r="AE25" s="99">
        <v>0</v>
      </c>
      <c r="AF25" s="101"/>
      <c r="AG25" s="102">
        <v>0</v>
      </c>
      <c r="AH25" s="102"/>
      <c r="AI25" s="102">
        <v>0</v>
      </c>
      <c r="AJ25" s="102"/>
      <c r="AK25" s="103">
        <f t="shared" ref="AK25:AK34" si="14">M25+AG25+AI25</f>
        <v>-99750000</v>
      </c>
      <c r="AL25" s="103"/>
      <c r="AM25" s="102">
        <v>0</v>
      </c>
      <c r="AN25" s="102"/>
      <c r="AO25" s="102">
        <f t="shared" ref="AO25:AO35" si="15">AK25+AM25</f>
        <v>-99750000</v>
      </c>
      <c r="AP25" s="102"/>
      <c r="AQ25" s="102">
        <v>0</v>
      </c>
      <c r="AR25" s="102"/>
      <c r="AS25" s="102">
        <f t="shared" ref="AS25:AS35" si="16">AO25+AQ25</f>
        <v>-99750000</v>
      </c>
      <c r="AT25" s="102"/>
      <c r="AU25" s="102">
        <f>(1+0.01*'Initial variables'!D45)^(-AZ25)</f>
        <v>1</v>
      </c>
      <c r="AV25" s="102"/>
      <c r="AW25" s="102">
        <f t="shared" ref="AW25:AW35" si="17">AS25*AU25</f>
        <v>-99750000</v>
      </c>
      <c r="AX25" s="102"/>
      <c r="AY25" s="102"/>
      <c r="AZ25" s="4">
        <v>0</v>
      </c>
    </row>
    <row r="26" spans="4:55" ht="15" customHeight="1" x14ac:dyDescent="0.3">
      <c r="D26" s="4">
        <v>1</v>
      </c>
      <c r="E26" s="102">
        <v>0</v>
      </c>
      <c r="F26" s="102"/>
      <c r="G26" s="102">
        <f t="shared" ref="G26:G31" si="18">$E$4/6</f>
        <v>-16625000</v>
      </c>
      <c r="H26" s="102"/>
      <c r="I26" s="102">
        <f>-E25</f>
        <v>99750000</v>
      </c>
      <c r="J26" s="102"/>
      <c r="K26" s="102">
        <f>-I26*('Initial variables'!$D$29/100)</f>
        <v>-3520875.75</v>
      </c>
      <c r="L26" s="102"/>
      <c r="M26" s="102">
        <f t="shared" ref="M26:M31" si="19">G26+K26</f>
        <v>-20145875.75</v>
      </c>
      <c r="N26" s="102"/>
      <c r="O26" s="102" t="s">
        <v>83</v>
      </c>
      <c r="P26" s="102"/>
      <c r="Q26" s="102">
        <f>-'Initial variables'!I20</f>
        <v>-900707.4</v>
      </c>
      <c r="R26" s="102"/>
      <c r="S26" s="102">
        <f>-'Initial variables'!$I$21</f>
        <v>-464845.8</v>
      </c>
      <c r="T26" s="102"/>
      <c r="U26" s="102"/>
      <c r="V26" s="102">
        <f>-'Initial variables'!I22</f>
        <v>-1898892</v>
      </c>
      <c r="W26" s="102"/>
      <c r="X26" s="102"/>
      <c r="Y26" s="102">
        <f>-'Initial variables'!$I$23</f>
        <v>-1675715</v>
      </c>
      <c r="Z26" s="102"/>
      <c r="AA26" s="102">
        <f>-'Initial variables'!$I$24</f>
        <v>-120000</v>
      </c>
      <c r="AB26" s="102"/>
      <c r="AC26" s="99">
        <f>-'Initial variables'!I25</f>
        <v>-50215105</v>
      </c>
      <c r="AD26" s="101"/>
      <c r="AE26" s="99">
        <f>-'Initial variables'!$I$26</f>
        <v>-963836</v>
      </c>
      <c r="AF26" s="101"/>
      <c r="AG26" s="102">
        <f t="shared" ref="AG26:AG35" si="20">SUM(Q26:AF26)</f>
        <v>-56239101.200000003</v>
      </c>
      <c r="AH26" s="102"/>
      <c r="AI26" s="102">
        <f t="shared" ref="AI26:AI35" si="21">$Y$19</f>
        <v>89906134.728466228</v>
      </c>
      <c r="AJ26" s="102"/>
      <c r="AK26" s="103">
        <f t="shared" si="14"/>
        <v>13521157.778466225</v>
      </c>
      <c r="AL26" s="103"/>
      <c r="AM26" s="102">
        <f>-'Initial variables'!$I$18/20</f>
        <v>-9500000</v>
      </c>
      <c r="AN26" s="102"/>
      <c r="AO26" s="102">
        <f t="shared" si="15"/>
        <v>4021157.7784662247</v>
      </c>
      <c r="AP26" s="102"/>
      <c r="AQ26" s="102">
        <f t="shared" ref="AQ26:AQ35" si="22">-0.21*AO26</f>
        <v>-844443.13347790716</v>
      </c>
      <c r="AR26" s="102"/>
      <c r="AS26" s="102">
        <f t="shared" si="16"/>
        <v>3176714.6449883175</v>
      </c>
      <c r="AT26" s="102"/>
      <c r="AU26" s="102">
        <f>(1+0.01*'Initial variables'!$D$24)^(-AZ26)</f>
        <v>0.93457943925233644</v>
      </c>
      <c r="AV26" s="102"/>
      <c r="AW26" s="102">
        <f t="shared" si="17"/>
        <v>2968892.1915778667</v>
      </c>
      <c r="AX26" s="102"/>
      <c r="AY26" s="102"/>
      <c r="AZ26" s="4">
        <v>1</v>
      </c>
    </row>
    <row r="27" spans="4:55" ht="15" customHeight="1" x14ac:dyDescent="0.3">
      <c r="D27" s="4">
        <v>2</v>
      </c>
      <c r="E27" s="102">
        <v>0</v>
      </c>
      <c r="F27" s="102"/>
      <c r="G27" s="102">
        <f t="shared" si="18"/>
        <v>-16625000</v>
      </c>
      <c r="H27" s="102"/>
      <c r="I27" s="102">
        <f>I26+G26</f>
        <v>83125000</v>
      </c>
      <c r="J27" s="102"/>
      <c r="K27" s="102">
        <f>-I27*('Initial variables'!$D$29/100)</f>
        <v>-2934063.125</v>
      </c>
      <c r="L27" s="102"/>
      <c r="M27" s="102">
        <f t="shared" si="19"/>
        <v>-19559063.125</v>
      </c>
      <c r="N27" s="102"/>
      <c r="O27" s="102" t="s">
        <v>83</v>
      </c>
      <c r="P27" s="102"/>
      <c r="Q27" s="102">
        <f t="shared" ref="Q27:Q35" si="23">Q26+Q26*0.02</f>
        <v>-918721.54800000007</v>
      </c>
      <c r="R27" s="102"/>
      <c r="S27" s="102">
        <f>-'Initial variables'!$I$21</f>
        <v>-464845.8</v>
      </c>
      <c r="T27" s="102"/>
      <c r="U27" s="102"/>
      <c r="V27" s="102">
        <f t="shared" ref="V27:V35" si="24">V26+V26*0.025</f>
        <v>-1946364.3</v>
      </c>
      <c r="W27" s="102"/>
      <c r="X27" s="102"/>
      <c r="Y27" s="102">
        <f>-'Initial variables'!$I$23</f>
        <v>-1675715</v>
      </c>
      <c r="Z27" s="102"/>
      <c r="AA27" s="102">
        <f>-'Initial variables'!$I$24</f>
        <v>-120000</v>
      </c>
      <c r="AB27" s="102"/>
      <c r="AC27" s="99">
        <f t="shared" ref="AC27:AC35" si="25">AC26+AC26*0.025</f>
        <v>-51470482.625</v>
      </c>
      <c r="AD27" s="101"/>
      <c r="AE27" s="99">
        <f>-'Initial variables'!$I$26</f>
        <v>-963836</v>
      </c>
      <c r="AF27" s="101"/>
      <c r="AG27" s="102">
        <f t="shared" si="20"/>
        <v>-57559965.273000002</v>
      </c>
      <c r="AH27" s="102"/>
      <c r="AI27" s="102">
        <f t="shared" si="21"/>
        <v>89906134.728466228</v>
      </c>
      <c r="AJ27" s="102"/>
      <c r="AK27" s="103">
        <f t="shared" si="14"/>
        <v>12787106.330466226</v>
      </c>
      <c r="AL27" s="103"/>
      <c r="AM27" s="102">
        <f>-'Initial variables'!$I$18/20</f>
        <v>-9500000</v>
      </c>
      <c r="AN27" s="102"/>
      <c r="AO27" s="102">
        <f t="shared" si="15"/>
        <v>3287106.3304662257</v>
      </c>
      <c r="AP27" s="102"/>
      <c r="AQ27" s="102">
        <f t="shared" si="22"/>
        <v>-690292.32939790736</v>
      </c>
      <c r="AR27" s="102"/>
      <c r="AS27" s="102">
        <f t="shared" si="16"/>
        <v>2596814.0010683183</v>
      </c>
      <c r="AT27" s="102"/>
      <c r="AU27" s="102">
        <f>(1+0.01*'Initial variables'!$D$24)^(-AZ27)</f>
        <v>0.87343872827321156</v>
      </c>
      <c r="AV27" s="102"/>
      <c r="AW27" s="102">
        <f t="shared" si="17"/>
        <v>2268157.9186551822</v>
      </c>
      <c r="AX27" s="102"/>
      <c r="AY27" s="102"/>
      <c r="AZ27" s="4">
        <v>2</v>
      </c>
    </row>
    <row r="28" spans="4:55" ht="15" customHeight="1" x14ac:dyDescent="0.3">
      <c r="D28" s="4">
        <v>3</v>
      </c>
      <c r="E28" s="102">
        <v>0</v>
      </c>
      <c r="F28" s="102"/>
      <c r="G28" s="102">
        <f t="shared" si="18"/>
        <v>-16625000</v>
      </c>
      <c r="H28" s="102"/>
      <c r="I28" s="102">
        <f>I27+G27</f>
        <v>66500000</v>
      </c>
      <c r="J28" s="102"/>
      <c r="K28" s="102">
        <f>-I28*('Initial variables'!$D$29/100)</f>
        <v>-2347250.5</v>
      </c>
      <c r="L28" s="102"/>
      <c r="M28" s="102">
        <f t="shared" si="19"/>
        <v>-18972250.5</v>
      </c>
      <c r="N28" s="102"/>
      <c r="O28" s="102" t="s">
        <v>83</v>
      </c>
      <c r="P28" s="102"/>
      <c r="Q28" s="102">
        <f t="shared" si="23"/>
        <v>-937095.97896000009</v>
      </c>
      <c r="R28" s="102"/>
      <c r="S28" s="102">
        <f>-'Initial variables'!$I$21</f>
        <v>-464845.8</v>
      </c>
      <c r="T28" s="102"/>
      <c r="U28" s="102"/>
      <c r="V28" s="102">
        <f t="shared" si="24"/>
        <v>-1995023.4075</v>
      </c>
      <c r="W28" s="102"/>
      <c r="X28" s="102"/>
      <c r="Y28" s="102">
        <f>-'Initial variables'!$I$23</f>
        <v>-1675715</v>
      </c>
      <c r="Z28" s="102"/>
      <c r="AA28" s="102">
        <f>-'Initial variables'!$I$24</f>
        <v>-120000</v>
      </c>
      <c r="AB28" s="102"/>
      <c r="AC28" s="99">
        <f t="shared" si="25"/>
        <v>-52757244.690624997</v>
      </c>
      <c r="AD28" s="101"/>
      <c r="AE28" s="99">
        <f>-'Initial variables'!$I$26</f>
        <v>-963836</v>
      </c>
      <c r="AF28" s="101"/>
      <c r="AG28" s="102">
        <f t="shared" si="20"/>
        <v>-58913760.877085</v>
      </c>
      <c r="AH28" s="102"/>
      <c r="AI28" s="102">
        <f t="shared" si="21"/>
        <v>89906134.728466228</v>
      </c>
      <c r="AJ28" s="102"/>
      <c r="AK28" s="103">
        <f t="shared" si="14"/>
        <v>12020123.351381227</v>
      </c>
      <c r="AL28" s="103"/>
      <c r="AM28" s="102">
        <f>-'Initial variables'!$I$18/20</f>
        <v>-9500000</v>
      </c>
      <c r="AN28" s="102"/>
      <c r="AO28" s="102">
        <f t="shared" si="15"/>
        <v>2520123.3513812274</v>
      </c>
      <c r="AP28" s="102"/>
      <c r="AQ28" s="102">
        <f t="shared" si="22"/>
        <v>-529225.90379005775</v>
      </c>
      <c r="AR28" s="102"/>
      <c r="AS28" s="102">
        <f t="shared" si="16"/>
        <v>1990897.4475911697</v>
      </c>
      <c r="AT28" s="102"/>
      <c r="AU28" s="102">
        <f>(1+0.01*'Initial variables'!$D$24)^(-AZ28)</f>
        <v>0.81629787689085187</v>
      </c>
      <c r="AV28" s="102"/>
      <c r="AW28" s="102">
        <f t="shared" si="17"/>
        <v>1625165.3595760879</v>
      </c>
      <c r="AX28" s="102"/>
      <c r="AY28" s="102"/>
      <c r="AZ28" s="4">
        <v>3</v>
      </c>
    </row>
    <row r="29" spans="4:55" ht="15" customHeight="1" x14ac:dyDescent="0.3">
      <c r="D29" s="4">
        <v>4</v>
      </c>
      <c r="E29" s="102">
        <v>0</v>
      </c>
      <c r="F29" s="102"/>
      <c r="G29" s="102">
        <f t="shared" si="18"/>
        <v>-16625000</v>
      </c>
      <c r="H29" s="102"/>
      <c r="I29" s="102">
        <f>I28+G28</f>
        <v>49875000</v>
      </c>
      <c r="J29" s="102"/>
      <c r="K29" s="102">
        <f>-I29*('Initial variables'!$D$29/100)</f>
        <v>-1760437.875</v>
      </c>
      <c r="L29" s="102"/>
      <c r="M29" s="102">
        <f t="shared" si="19"/>
        <v>-18385437.875</v>
      </c>
      <c r="N29" s="102"/>
      <c r="O29" s="102" t="s">
        <v>83</v>
      </c>
      <c r="P29" s="102"/>
      <c r="Q29" s="102">
        <f t="shared" si="23"/>
        <v>-955837.89853920008</v>
      </c>
      <c r="R29" s="102"/>
      <c r="S29" s="102">
        <f>-'Initial variables'!$I$21</f>
        <v>-464845.8</v>
      </c>
      <c r="T29" s="102"/>
      <c r="U29" s="102"/>
      <c r="V29" s="102">
        <f t="shared" si="24"/>
        <v>-2044898.9926875001</v>
      </c>
      <c r="W29" s="102"/>
      <c r="X29" s="102"/>
      <c r="Y29" s="102">
        <f>-'Initial variables'!$I$23</f>
        <v>-1675715</v>
      </c>
      <c r="Z29" s="102"/>
      <c r="AA29" s="102">
        <f>-'Initial variables'!$I$24</f>
        <v>-120000</v>
      </c>
      <c r="AB29" s="102"/>
      <c r="AC29" s="99">
        <f t="shared" si="25"/>
        <v>-54076175.807890624</v>
      </c>
      <c r="AD29" s="101"/>
      <c r="AE29" s="99">
        <f>-'Initial variables'!$I$26</f>
        <v>-963836</v>
      </c>
      <c r="AF29" s="101"/>
      <c r="AG29" s="102">
        <f t="shared" si="20"/>
        <v>-60301309.499117322</v>
      </c>
      <c r="AH29" s="102"/>
      <c r="AI29" s="102">
        <f t="shared" si="21"/>
        <v>89906134.728466228</v>
      </c>
      <c r="AJ29" s="102"/>
      <c r="AK29" s="103">
        <f t="shared" si="14"/>
        <v>11219387.354348913</v>
      </c>
      <c r="AL29" s="103"/>
      <c r="AM29" s="102">
        <f>-'Initial variables'!$I$18/20</f>
        <v>-9500000</v>
      </c>
      <c r="AN29" s="102"/>
      <c r="AO29" s="102">
        <f t="shared" si="15"/>
        <v>1719387.3543489128</v>
      </c>
      <c r="AP29" s="102"/>
      <c r="AQ29" s="102">
        <f t="shared" si="22"/>
        <v>-361071.3444132717</v>
      </c>
      <c r="AR29" s="102"/>
      <c r="AS29" s="102">
        <f t="shared" si="16"/>
        <v>1358316.0099356412</v>
      </c>
      <c r="AT29" s="102"/>
      <c r="AU29" s="102">
        <f>(1+0.01*'Initial variables'!$D$24)^(-AZ29)</f>
        <v>0.7628952120475252</v>
      </c>
      <c r="AV29" s="102"/>
      <c r="AW29" s="102">
        <f t="shared" si="17"/>
        <v>1036252.7804273993</v>
      </c>
      <c r="AX29" s="102"/>
      <c r="AY29" s="102"/>
      <c r="AZ29" s="4">
        <v>4</v>
      </c>
    </row>
    <row r="30" spans="4:55" ht="15" customHeight="1" x14ac:dyDescent="0.3">
      <c r="D30" s="4">
        <v>5</v>
      </c>
      <c r="E30" s="102">
        <v>0</v>
      </c>
      <c r="F30" s="102"/>
      <c r="G30" s="102">
        <f t="shared" si="18"/>
        <v>-16625000</v>
      </c>
      <c r="H30" s="102"/>
      <c r="I30" s="102">
        <f>I29+G29</f>
        <v>33250000</v>
      </c>
      <c r="J30" s="102"/>
      <c r="K30" s="102">
        <f>-I30*('Initial variables'!$D$29/100)</f>
        <v>-1173625.25</v>
      </c>
      <c r="L30" s="102"/>
      <c r="M30" s="102">
        <f t="shared" si="19"/>
        <v>-17798625.25</v>
      </c>
      <c r="N30" s="102"/>
      <c r="O30" s="102" t="s">
        <v>83</v>
      </c>
      <c r="P30" s="102"/>
      <c r="Q30" s="102">
        <f t="shared" si="23"/>
        <v>-974954.65650998405</v>
      </c>
      <c r="R30" s="102"/>
      <c r="S30" s="102">
        <f>-'Initial variables'!$I$21</f>
        <v>-464845.8</v>
      </c>
      <c r="T30" s="102"/>
      <c r="U30" s="102"/>
      <c r="V30" s="102">
        <f t="shared" si="24"/>
        <v>-2096021.4675046876</v>
      </c>
      <c r="W30" s="102"/>
      <c r="X30" s="102"/>
      <c r="Y30" s="102">
        <f>-'Initial variables'!$I$23</f>
        <v>-1675715</v>
      </c>
      <c r="Z30" s="102"/>
      <c r="AA30" s="102">
        <f>-'Initial variables'!$I$24</f>
        <v>-120000</v>
      </c>
      <c r="AB30" s="102"/>
      <c r="AC30" s="99">
        <f t="shared" si="25"/>
        <v>-55428080.203087889</v>
      </c>
      <c r="AD30" s="101"/>
      <c r="AE30" s="99">
        <f>-'Initial variables'!$I$26</f>
        <v>-963836</v>
      </c>
      <c r="AF30" s="101"/>
      <c r="AG30" s="102">
        <f t="shared" si="20"/>
        <v>-61723453.127102561</v>
      </c>
      <c r="AH30" s="102"/>
      <c r="AI30" s="102">
        <f t="shared" si="21"/>
        <v>89906134.728466228</v>
      </c>
      <c r="AJ30" s="102"/>
      <c r="AK30" s="103">
        <f t="shared" si="14"/>
        <v>10384056.351363674</v>
      </c>
      <c r="AL30" s="103"/>
      <c r="AM30" s="102">
        <f>-'Initial variables'!$I$18/20</f>
        <v>-9500000</v>
      </c>
      <c r="AN30" s="102"/>
      <c r="AO30" s="102">
        <f t="shared" si="15"/>
        <v>884056.35136367381</v>
      </c>
      <c r="AP30" s="102"/>
      <c r="AQ30" s="102">
        <f t="shared" si="22"/>
        <v>-185651.83378637148</v>
      </c>
      <c r="AR30" s="102"/>
      <c r="AS30" s="102">
        <f t="shared" si="16"/>
        <v>698404.51757730229</v>
      </c>
      <c r="AT30" s="102"/>
      <c r="AU30" s="102">
        <f>(1+0.01*'Initial variables'!$D$24)^(-AZ30)</f>
        <v>0.71298617948366838</v>
      </c>
      <c r="AV30" s="102"/>
      <c r="AW30" s="102">
        <f t="shared" si="17"/>
        <v>497952.76872157527</v>
      </c>
      <c r="AX30" s="102"/>
      <c r="AY30" s="102"/>
      <c r="AZ30" s="4">
        <v>5</v>
      </c>
    </row>
    <row r="31" spans="4:55" ht="15" customHeight="1" x14ac:dyDescent="0.3">
      <c r="D31" s="4">
        <v>6</v>
      </c>
      <c r="E31" s="102">
        <v>0</v>
      </c>
      <c r="F31" s="102"/>
      <c r="G31" s="102">
        <f t="shared" si="18"/>
        <v>-16625000</v>
      </c>
      <c r="H31" s="102"/>
      <c r="I31" s="102">
        <f>I30+G30</f>
        <v>16625000</v>
      </c>
      <c r="J31" s="102"/>
      <c r="K31" s="102">
        <f>-I31*('Initial variables'!$D$29/100)</f>
        <v>-586812.625</v>
      </c>
      <c r="L31" s="102"/>
      <c r="M31" s="102">
        <f t="shared" si="19"/>
        <v>-17211812.625</v>
      </c>
      <c r="N31" s="102"/>
      <c r="O31" s="102" t="s">
        <v>83</v>
      </c>
      <c r="P31" s="102"/>
      <c r="Q31" s="102">
        <f t="shared" si="23"/>
        <v>-994453.74964018376</v>
      </c>
      <c r="R31" s="102"/>
      <c r="S31" s="102">
        <f>-'Initial variables'!$I$21</f>
        <v>-464845.8</v>
      </c>
      <c r="T31" s="102"/>
      <c r="U31" s="102"/>
      <c r="V31" s="102">
        <f t="shared" si="24"/>
        <v>-2148422.0041923048</v>
      </c>
      <c r="W31" s="102"/>
      <c r="X31" s="102"/>
      <c r="Y31" s="102">
        <f>-'Initial variables'!$I$23</f>
        <v>-1675715</v>
      </c>
      <c r="Z31" s="102"/>
      <c r="AA31" s="102">
        <f>-'Initial variables'!$I$24</f>
        <v>-120000</v>
      </c>
      <c r="AB31" s="102"/>
      <c r="AC31" s="99">
        <f t="shared" si="25"/>
        <v>-56813782.208165087</v>
      </c>
      <c r="AD31" s="101"/>
      <c r="AE31" s="99">
        <f>-'Initial variables'!$I$26</f>
        <v>-963836</v>
      </c>
      <c r="AF31" s="101"/>
      <c r="AG31" s="102">
        <f t="shared" si="20"/>
        <v>-63181054.761997573</v>
      </c>
      <c r="AH31" s="102"/>
      <c r="AI31" s="102">
        <f t="shared" si="21"/>
        <v>89906134.728466228</v>
      </c>
      <c r="AJ31" s="102"/>
      <c r="AK31" s="103">
        <f t="shared" si="14"/>
        <v>9513267.3414686471</v>
      </c>
      <c r="AL31" s="103"/>
      <c r="AM31" s="102">
        <f>-'Initial variables'!$I$18/20</f>
        <v>-9500000</v>
      </c>
      <c r="AN31" s="102"/>
      <c r="AO31" s="102">
        <f t="shared" si="15"/>
        <v>13267.341468647122</v>
      </c>
      <c r="AP31" s="102"/>
      <c r="AQ31" s="102">
        <f t="shared" si="22"/>
        <v>-2786.1417084158957</v>
      </c>
      <c r="AR31" s="102"/>
      <c r="AS31" s="102">
        <f t="shared" si="16"/>
        <v>10481.199760231226</v>
      </c>
      <c r="AT31" s="102"/>
      <c r="AU31" s="102">
        <f>(1+0.01*'Initial variables'!$D$24)^(-AZ31)</f>
        <v>0.66634222381651254</v>
      </c>
      <c r="AV31" s="102"/>
      <c r="AW31" s="102">
        <f t="shared" si="17"/>
        <v>6984.0659564975731</v>
      </c>
      <c r="AX31" s="102"/>
      <c r="AY31" s="102"/>
      <c r="AZ31" s="4">
        <v>6</v>
      </c>
    </row>
    <row r="32" spans="4:55" ht="15" customHeight="1" x14ac:dyDescent="0.3">
      <c r="D32" s="4">
        <v>7</v>
      </c>
      <c r="E32" s="102">
        <v>0</v>
      </c>
      <c r="F32" s="102"/>
      <c r="G32" s="102">
        <v>0</v>
      </c>
      <c r="H32" s="102"/>
      <c r="I32" s="102">
        <v>0</v>
      </c>
      <c r="J32" s="102"/>
      <c r="K32" s="102">
        <v>0</v>
      </c>
      <c r="L32" s="102"/>
      <c r="M32" s="102">
        <v>0</v>
      </c>
      <c r="N32" s="102"/>
      <c r="O32" s="102" t="s">
        <v>83</v>
      </c>
      <c r="P32" s="102"/>
      <c r="Q32" s="102">
        <f t="shared" si="23"/>
        <v>-1014342.8246329874</v>
      </c>
      <c r="R32" s="102"/>
      <c r="S32" s="102">
        <f>-'Initial variables'!$I$21</f>
        <v>-464845.8</v>
      </c>
      <c r="T32" s="102"/>
      <c r="U32" s="102"/>
      <c r="V32" s="102">
        <f t="shared" si="24"/>
        <v>-2202132.5542971124</v>
      </c>
      <c r="W32" s="102"/>
      <c r="X32" s="102"/>
      <c r="Y32" s="102">
        <f>-'Initial variables'!$I$23</f>
        <v>-1675715</v>
      </c>
      <c r="Z32" s="102"/>
      <c r="AA32" s="102">
        <f>-'Initial variables'!$I$24</f>
        <v>-120000</v>
      </c>
      <c r="AB32" s="102"/>
      <c r="AC32" s="99">
        <f t="shared" si="25"/>
        <v>-58234126.763369218</v>
      </c>
      <c r="AD32" s="101"/>
      <c r="AE32" s="99">
        <f>-'Initial variables'!$I$26</f>
        <v>-963836</v>
      </c>
      <c r="AF32" s="101"/>
      <c r="AG32" s="102">
        <f t="shared" si="20"/>
        <v>-64674998.942299321</v>
      </c>
      <c r="AH32" s="102"/>
      <c r="AI32" s="102">
        <f t="shared" si="21"/>
        <v>89906134.728466228</v>
      </c>
      <c r="AJ32" s="102"/>
      <c r="AK32" s="103">
        <f t="shared" si="14"/>
        <v>25231135.786166906</v>
      </c>
      <c r="AL32" s="103"/>
      <c r="AM32" s="102">
        <f>-'Initial variables'!$I$18/20</f>
        <v>-9500000</v>
      </c>
      <c r="AN32" s="102"/>
      <c r="AO32" s="102">
        <f t="shared" si="15"/>
        <v>15731135.786166906</v>
      </c>
      <c r="AP32" s="102"/>
      <c r="AQ32" s="102">
        <f t="shared" si="22"/>
        <v>-3303538.51509505</v>
      </c>
      <c r="AR32" s="102"/>
      <c r="AS32" s="102">
        <f t="shared" si="16"/>
        <v>12427597.271071857</v>
      </c>
      <c r="AT32" s="102"/>
      <c r="AU32" s="102">
        <f>(1+0.01*'Initial variables'!$D$24)^(-AZ32)</f>
        <v>0.62274974188459109</v>
      </c>
      <c r="AV32" s="102"/>
      <c r="AW32" s="102">
        <f t="shared" si="17"/>
        <v>7739282.9928056477</v>
      </c>
      <c r="AX32" s="102"/>
      <c r="AY32" s="102"/>
      <c r="AZ32" s="4">
        <v>7</v>
      </c>
    </row>
    <row r="33" spans="4:52" ht="15" customHeight="1" x14ac:dyDescent="0.3">
      <c r="D33" s="4">
        <v>8</v>
      </c>
      <c r="E33" s="102">
        <v>0</v>
      </c>
      <c r="F33" s="102"/>
      <c r="G33" s="102">
        <v>0</v>
      </c>
      <c r="H33" s="102"/>
      <c r="I33" s="102">
        <v>0</v>
      </c>
      <c r="J33" s="102"/>
      <c r="K33" s="102">
        <v>0</v>
      </c>
      <c r="L33" s="102"/>
      <c r="M33" s="102">
        <v>0</v>
      </c>
      <c r="N33" s="102"/>
      <c r="O33" s="102" t="s">
        <v>83</v>
      </c>
      <c r="P33" s="102"/>
      <c r="Q33" s="102">
        <f t="shared" si="23"/>
        <v>-1034629.6811256472</v>
      </c>
      <c r="R33" s="102"/>
      <c r="S33" s="102">
        <f>-'Initial variables'!$I$21</f>
        <v>-464845.8</v>
      </c>
      <c r="T33" s="102"/>
      <c r="U33" s="102"/>
      <c r="V33" s="102">
        <f t="shared" si="24"/>
        <v>-2257185.8681545402</v>
      </c>
      <c r="W33" s="102"/>
      <c r="X33" s="102"/>
      <c r="Y33" s="102">
        <f>-'Initial variables'!$I$23</f>
        <v>-1675715</v>
      </c>
      <c r="Z33" s="102"/>
      <c r="AA33" s="102">
        <f>-'Initial variables'!$I$24</f>
        <v>-120000</v>
      </c>
      <c r="AB33" s="102"/>
      <c r="AC33" s="99">
        <f t="shared" si="25"/>
        <v>-59689979.932453446</v>
      </c>
      <c r="AD33" s="101"/>
      <c r="AE33" s="99">
        <f>-'Initial variables'!$I$26</f>
        <v>-963836</v>
      </c>
      <c r="AF33" s="101"/>
      <c r="AG33" s="102">
        <f t="shared" si="20"/>
        <v>-66206192.281733632</v>
      </c>
      <c r="AH33" s="102"/>
      <c r="AI33" s="102">
        <f t="shared" si="21"/>
        <v>89906134.728466228</v>
      </c>
      <c r="AJ33" s="102"/>
      <c r="AK33" s="103">
        <f t="shared" si="14"/>
        <v>23699942.446732596</v>
      </c>
      <c r="AL33" s="103"/>
      <c r="AM33" s="102">
        <f>-'Initial variables'!$I$18/20</f>
        <v>-9500000</v>
      </c>
      <c r="AN33" s="102"/>
      <c r="AO33" s="102">
        <f t="shared" si="15"/>
        <v>14199942.446732596</v>
      </c>
      <c r="AP33" s="102"/>
      <c r="AQ33" s="102">
        <f t="shared" si="22"/>
        <v>-2981987.9138138448</v>
      </c>
      <c r="AR33" s="102"/>
      <c r="AS33" s="102">
        <f t="shared" si="16"/>
        <v>11217954.532918751</v>
      </c>
      <c r="AT33" s="102"/>
      <c r="AU33" s="102">
        <f>(1+0.01*'Initial variables'!$D$24)^(-AZ33)</f>
        <v>0.5820091045650384</v>
      </c>
      <c r="AV33" s="102"/>
      <c r="AW33" s="102">
        <f t="shared" si="17"/>
        <v>6528951.6727553559</v>
      </c>
      <c r="AX33" s="102"/>
      <c r="AY33" s="102"/>
      <c r="AZ33" s="4">
        <v>8</v>
      </c>
    </row>
    <row r="34" spans="4:52" ht="15" customHeight="1" x14ac:dyDescent="0.3">
      <c r="D34" s="4">
        <v>9</v>
      </c>
      <c r="E34" s="102">
        <v>0</v>
      </c>
      <c r="F34" s="102"/>
      <c r="G34" s="102">
        <v>0</v>
      </c>
      <c r="H34" s="102"/>
      <c r="I34" s="102">
        <v>0</v>
      </c>
      <c r="J34" s="102"/>
      <c r="K34" s="102">
        <v>0</v>
      </c>
      <c r="L34" s="102"/>
      <c r="M34" s="102">
        <v>0</v>
      </c>
      <c r="N34" s="102"/>
      <c r="O34" s="102" t="s">
        <v>83</v>
      </c>
      <c r="P34" s="102"/>
      <c r="Q34" s="102">
        <f t="shared" si="23"/>
        <v>-1055322.27474816</v>
      </c>
      <c r="R34" s="102"/>
      <c r="S34" s="102">
        <f>-'Initial variables'!$I$21</f>
        <v>-464845.8</v>
      </c>
      <c r="T34" s="102"/>
      <c r="U34" s="102"/>
      <c r="V34" s="102">
        <f t="shared" si="24"/>
        <v>-2313615.5148584037</v>
      </c>
      <c r="W34" s="102"/>
      <c r="X34" s="102"/>
      <c r="Y34" s="102">
        <f>-'Initial variables'!$I$23</f>
        <v>-1675715</v>
      </c>
      <c r="Z34" s="102"/>
      <c r="AA34" s="102">
        <f>-'Initial variables'!$I$24</f>
        <v>-120000</v>
      </c>
      <c r="AB34" s="102"/>
      <c r="AC34" s="99">
        <f t="shared" si="25"/>
        <v>-61182229.430764779</v>
      </c>
      <c r="AD34" s="101"/>
      <c r="AE34" s="99">
        <f>-'Initial variables'!$I$26</f>
        <v>-963836</v>
      </c>
      <c r="AF34" s="101"/>
      <c r="AG34" s="102">
        <f t="shared" si="20"/>
        <v>-67775564.020371348</v>
      </c>
      <c r="AH34" s="102"/>
      <c r="AI34" s="102">
        <f t="shared" si="21"/>
        <v>89906134.728466228</v>
      </c>
      <c r="AJ34" s="102"/>
      <c r="AK34" s="103">
        <f t="shared" si="14"/>
        <v>22130570.70809488</v>
      </c>
      <c r="AL34" s="103"/>
      <c r="AM34" s="102">
        <f>-'Initial variables'!$I$18/20</f>
        <v>-9500000</v>
      </c>
      <c r="AN34" s="102"/>
      <c r="AO34" s="102">
        <f t="shared" si="15"/>
        <v>12630570.70809488</v>
      </c>
      <c r="AP34" s="102"/>
      <c r="AQ34" s="102">
        <f t="shared" si="22"/>
        <v>-2652419.8486999245</v>
      </c>
      <c r="AR34" s="102"/>
      <c r="AS34" s="102">
        <f t="shared" si="16"/>
        <v>9978150.8593949564</v>
      </c>
      <c r="AT34" s="102"/>
      <c r="AU34" s="102">
        <f>(1+0.01*'Initial variables'!$D$24)^(-AZ34)</f>
        <v>0.54393374258414806</v>
      </c>
      <c r="AV34" s="102"/>
      <c r="AW34" s="102">
        <f t="shared" si="17"/>
        <v>5427452.9410199318</v>
      </c>
      <c r="AX34" s="102"/>
      <c r="AY34" s="102"/>
      <c r="AZ34" s="4">
        <v>9</v>
      </c>
    </row>
    <row r="35" spans="4:52" ht="15" customHeight="1" x14ac:dyDescent="0.3">
      <c r="D35" s="4">
        <v>10</v>
      </c>
      <c r="E35" s="102">
        <v>0</v>
      </c>
      <c r="F35" s="102"/>
      <c r="G35" s="102">
        <v>0</v>
      </c>
      <c r="H35" s="102"/>
      <c r="I35" s="102">
        <v>0</v>
      </c>
      <c r="J35" s="102"/>
      <c r="K35" s="102">
        <v>0</v>
      </c>
      <c r="L35" s="102"/>
      <c r="M35" s="102">
        <v>0</v>
      </c>
      <c r="N35" s="102"/>
      <c r="O35" s="102">
        <f>'Initial variables'!I33</f>
        <v>125396343.99999999</v>
      </c>
      <c r="P35" s="102"/>
      <c r="Q35" s="102">
        <f t="shared" si="23"/>
        <v>-1076428.7202431231</v>
      </c>
      <c r="R35" s="102"/>
      <c r="S35" s="102">
        <f>-'Initial variables'!$I$21</f>
        <v>-464845.8</v>
      </c>
      <c r="T35" s="102"/>
      <c r="U35" s="102"/>
      <c r="V35" s="102">
        <f t="shared" si="24"/>
        <v>-2371455.9027298638</v>
      </c>
      <c r="W35" s="102"/>
      <c r="X35" s="102"/>
      <c r="Y35" s="102">
        <f>-'Initial variables'!$I$23</f>
        <v>-1675715</v>
      </c>
      <c r="Z35" s="102"/>
      <c r="AA35" s="102">
        <f>-'Initial variables'!$I$24</f>
        <v>-120000</v>
      </c>
      <c r="AB35" s="102"/>
      <c r="AC35" s="99">
        <f t="shared" si="25"/>
        <v>-62711785.166533902</v>
      </c>
      <c r="AD35" s="101"/>
      <c r="AE35" s="99">
        <f>-'Initial variables'!$I$26</f>
        <v>-963836</v>
      </c>
      <c r="AF35" s="101"/>
      <c r="AG35" s="102">
        <f t="shared" si="20"/>
        <v>-69384066.589506894</v>
      </c>
      <c r="AH35" s="102"/>
      <c r="AI35" s="102">
        <f t="shared" si="21"/>
        <v>89906134.728466228</v>
      </c>
      <c r="AJ35" s="102"/>
      <c r="AK35" s="103">
        <f>O35+AG35+AI35</f>
        <v>145918412.13895932</v>
      </c>
      <c r="AL35" s="103"/>
      <c r="AM35" s="102">
        <f>-'Initial variables'!$I$18/20</f>
        <v>-9500000</v>
      </c>
      <c r="AN35" s="102"/>
      <c r="AO35" s="102">
        <f t="shared" si="15"/>
        <v>136418412.13895932</v>
      </c>
      <c r="AP35" s="102"/>
      <c r="AQ35" s="102">
        <f t="shared" si="22"/>
        <v>-28647866.549181458</v>
      </c>
      <c r="AR35" s="102"/>
      <c r="AS35" s="102">
        <f t="shared" si="16"/>
        <v>107770545.58977786</v>
      </c>
      <c r="AT35" s="102"/>
      <c r="AU35" s="102">
        <f>(1+0.01*'Initial variables'!$D$24)^(-AZ35)</f>
        <v>0.5083492921347178</v>
      </c>
      <c r="AV35" s="102"/>
      <c r="AW35" s="102">
        <f t="shared" si="17"/>
        <v>54785080.563535906</v>
      </c>
      <c r="AX35" s="102"/>
      <c r="AY35" s="102"/>
      <c r="AZ35" s="4">
        <v>10</v>
      </c>
    </row>
  </sheetData>
  <mergeCells count="529">
    <mergeCell ref="AS12:AT12"/>
    <mergeCell ref="AS13:AT13"/>
    <mergeCell ref="AW14:AY14"/>
    <mergeCell ref="AU14:AV14"/>
    <mergeCell ref="AW4:AY4"/>
    <mergeCell ref="AW5:AY5"/>
    <mergeCell ref="AW6:AY6"/>
    <mergeCell ref="AW7:AY7"/>
    <mergeCell ref="AW8:AY8"/>
    <mergeCell ref="AW9:AY9"/>
    <mergeCell ref="AW10:AY10"/>
    <mergeCell ref="AW11:AY11"/>
    <mergeCell ref="AW12:AY12"/>
    <mergeCell ref="AO13:AP13"/>
    <mergeCell ref="AO14:AP14"/>
    <mergeCell ref="AU3:AV3"/>
    <mergeCell ref="AW3:AY3"/>
    <mergeCell ref="AU13:AV13"/>
    <mergeCell ref="AW13:AY13"/>
    <mergeCell ref="AS4:AT4"/>
    <mergeCell ref="AS5:AT5"/>
    <mergeCell ref="AS6:AT6"/>
    <mergeCell ref="AS7:AT7"/>
    <mergeCell ref="AS8:AT8"/>
    <mergeCell ref="AS9:AT9"/>
    <mergeCell ref="AS14:AT14"/>
    <mergeCell ref="AU4:AV4"/>
    <mergeCell ref="AU5:AV5"/>
    <mergeCell ref="AU6:AV6"/>
    <mergeCell ref="AU7:AV7"/>
    <mergeCell ref="AU8:AV8"/>
    <mergeCell ref="AU9:AV9"/>
    <mergeCell ref="AU10:AV10"/>
    <mergeCell ref="AU11:AV11"/>
    <mergeCell ref="AU12:AV12"/>
    <mergeCell ref="AS10:AT10"/>
    <mergeCell ref="AS11:AT11"/>
    <mergeCell ref="AQ4:AR4"/>
    <mergeCell ref="AQ5:AR5"/>
    <mergeCell ref="AQ6:AR6"/>
    <mergeCell ref="AQ7:AR7"/>
    <mergeCell ref="AQ8:AR8"/>
    <mergeCell ref="AM12:AN12"/>
    <mergeCell ref="AM13:AN13"/>
    <mergeCell ref="AM14:AN14"/>
    <mergeCell ref="AO3:AP3"/>
    <mergeCell ref="AO4:AP4"/>
    <mergeCell ref="AO5:AP5"/>
    <mergeCell ref="AO6:AP6"/>
    <mergeCell ref="AO7:AP7"/>
    <mergeCell ref="AO8:AP8"/>
    <mergeCell ref="AO9:AP9"/>
    <mergeCell ref="AQ9:AR9"/>
    <mergeCell ref="AQ10:AR10"/>
    <mergeCell ref="AQ11:AR11"/>
    <mergeCell ref="AQ12:AR12"/>
    <mergeCell ref="AQ13:AR13"/>
    <mergeCell ref="AQ14:AR14"/>
    <mergeCell ref="AO10:AP10"/>
    <mergeCell ref="AO11:AP11"/>
    <mergeCell ref="AO12:AP12"/>
    <mergeCell ref="AK4:AL4"/>
    <mergeCell ref="AK5:AL5"/>
    <mergeCell ref="AK6:AL6"/>
    <mergeCell ref="AK7:AL7"/>
    <mergeCell ref="AC5:AD5"/>
    <mergeCell ref="AC6:AD6"/>
    <mergeCell ref="AC7:AD7"/>
    <mergeCell ref="AK14:AL14"/>
    <mergeCell ref="AM3:AN3"/>
    <mergeCell ref="AM4:AN4"/>
    <mergeCell ref="AM5:AN5"/>
    <mergeCell ref="AM6:AN6"/>
    <mergeCell ref="AM7:AN7"/>
    <mergeCell ref="AM8:AN8"/>
    <mergeCell ref="AM9:AN9"/>
    <mergeCell ref="AM10:AN10"/>
    <mergeCell ref="AM11:AN11"/>
    <mergeCell ref="AK8:AL8"/>
    <mergeCell ref="AK9:AL9"/>
    <mergeCell ref="AK10:AL10"/>
    <mergeCell ref="AK11:AL11"/>
    <mergeCell ref="AK12:AL12"/>
    <mergeCell ref="AK13:AL13"/>
    <mergeCell ref="AI10:AJ10"/>
    <mergeCell ref="AI11:AJ11"/>
    <mergeCell ref="AI12:AJ12"/>
    <mergeCell ref="AI13:AJ13"/>
    <mergeCell ref="AI14:AJ14"/>
    <mergeCell ref="AC3:AD3"/>
    <mergeCell ref="AE3:AF3"/>
    <mergeCell ref="AG3:AH3"/>
    <mergeCell ref="AC4:AD4"/>
    <mergeCell ref="AG11:AH11"/>
    <mergeCell ref="AG12:AH12"/>
    <mergeCell ref="AG13:AH13"/>
    <mergeCell ref="AG14:AH14"/>
    <mergeCell ref="AI4:AJ4"/>
    <mergeCell ref="AI5:AJ5"/>
    <mergeCell ref="AI6:AJ6"/>
    <mergeCell ref="AI7:AJ7"/>
    <mergeCell ref="AI8:AJ8"/>
    <mergeCell ref="AI9:AJ9"/>
    <mergeCell ref="AE11:AF11"/>
    <mergeCell ref="AE12:AF12"/>
    <mergeCell ref="AE4:AF4"/>
    <mergeCell ref="AG4:AH4"/>
    <mergeCell ref="AE13:AF13"/>
    <mergeCell ref="AE14:AF14"/>
    <mergeCell ref="AG5:AH5"/>
    <mergeCell ref="AG6:AH6"/>
    <mergeCell ref="AG7:AH7"/>
    <mergeCell ref="AG8:AH8"/>
    <mergeCell ref="AG9:AH9"/>
    <mergeCell ref="AG10:AH10"/>
    <mergeCell ref="AC11:AD11"/>
    <mergeCell ref="AC12:AD12"/>
    <mergeCell ref="AC13:AD13"/>
    <mergeCell ref="AC14:AD14"/>
    <mergeCell ref="AE5:AF5"/>
    <mergeCell ref="AE6:AF6"/>
    <mergeCell ref="AE7:AF7"/>
    <mergeCell ref="AE8:AF8"/>
    <mergeCell ref="AE9:AF9"/>
    <mergeCell ref="AE10:AF10"/>
    <mergeCell ref="AC8:AD8"/>
    <mergeCell ref="AC9:AD9"/>
    <mergeCell ref="AC10:AD10"/>
    <mergeCell ref="AA11:AB11"/>
    <mergeCell ref="AA12:AB12"/>
    <mergeCell ref="AA13:AB13"/>
    <mergeCell ref="AA14:AB14"/>
    <mergeCell ref="Y11:Z11"/>
    <mergeCell ref="Y12:Z12"/>
    <mergeCell ref="Y13:Z13"/>
    <mergeCell ref="Y14:Z14"/>
    <mergeCell ref="AA5:AB5"/>
    <mergeCell ref="AA6:AB6"/>
    <mergeCell ref="AA7:AB7"/>
    <mergeCell ref="AA8:AB8"/>
    <mergeCell ref="AA9:AB9"/>
    <mergeCell ref="AA10:AB10"/>
    <mergeCell ref="S10:U10"/>
    <mergeCell ref="V11:X11"/>
    <mergeCell ref="V12:X12"/>
    <mergeCell ref="V13:X13"/>
    <mergeCell ref="V14:X14"/>
    <mergeCell ref="Y5:Z5"/>
    <mergeCell ref="Y6:Z6"/>
    <mergeCell ref="Y7:Z7"/>
    <mergeCell ref="Y8:Z8"/>
    <mergeCell ref="Y9:Z9"/>
    <mergeCell ref="Y10:Z10"/>
    <mergeCell ref="Q9:R9"/>
    <mergeCell ref="Q10:R10"/>
    <mergeCell ref="Q11:R11"/>
    <mergeCell ref="Q12:R12"/>
    <mergeCell ref="Q13:R13"/>
    <mergeCell ref="Q14:R14"/>
    <mergeCell ref="V4:X4"/>
    <mergeCell ref="Y4:Z4"/>
    <mergeCell ref="AA4:AB4"/>
    <mergeCell ref="S11:U11"/>
    <mergeCell ref="S12:U12"/>
    <mergeCell ref="S13:U13"/>
    <mergeCell ref="S14:U14"/>
    <mergeCell ref="V5:X5"/>
    <mergeCell ref="V6:X6"/>
    <mergeCell ref="V7:X7"/>
    <mergeCell ref="V8:X8"/>
    <mergeCell ref="V9:X9"/>
    <mergeCell ref="V10:X10"/>
    <mergeCell ref="S5:U5"/>
    <mergeCell ref="S6:U6"/>
    <mergeCell ref="S7:U7"/>
    <mergeCell ref="S8:U8"/>
    <mergeCell ref="S9:U9"/>
    <mergeCell ref="Q4:R4"/>
    <mergeCell ref="S4:U4"/>
    <mergeCell ref="Q5:R5"/>
    <mergeCell ref="Q6:R6"/>
    <mergeCell ref="Q7:R7"/>
    <mergeCell ref="Q8:R8"/>
    <mergeCell ref="O5:P5"/>
    <mergeCell ref="O6:P6"/>
    <mergeCell ref="O7:P7"/>
    <mergeCell ref="O8:P8"/>
    <mergeCell ref="I10:J10"/>
    <mergeCell ref="M9:N9"/>
    <mergeCell ref="M10:N10"/>
    <mergeCell ref="M11:N11"/>
    <mergeCell ref="M12:N12"/>
    <mergeCell ref="M13:N13"/>
    <mergeCell ref="K14:L14"/>
    <mergeCell ref="M14:N14"/>
    <mergeCell ref="O4:P4"/>
    <mergeCell ref="K5:L5"/>
    <mergeCell ref="K6:L6"/>
    <mergeCell ref="K7:L7"/>
    <mergeCell ref="K8:L8"/>
    <mergeCell ref="K9:L9"/>
    <mergeCell ref="M5:N5"/>
    <mergeCell ref="M6:N6"/>
    <mergeCell ref="M7:N7"/>
    <mergeCell ref="M8:N8"/>
    <mergeCell ref="O11:P11"/>
    <mergeCell ref="O12:P12"/>
    <mergeCell ref="O13:P13"/>
    <mergeCell ref="O14:P14"/>
    <mergeCell ref="O9:P9"/>
    <mergeCell ref="O10:P10"/>
    <mergeCell ref="G10:H10"/>
    <mergeCell ref="G11:H11"/>
    <mergeCell ref="G12:H12"/>
    <mergeCell ref="G13:H13"/>
    <mergeCell ref="G14:H14"/>
    <mergeCell ref="E14:F14"/>
    <mergeCell ref="K3:L3"/>
    <mergeCell ref="M3:N3"/>
    <mergeCell ref="E10:F10"/>
    <mergeCell ref="E11:F11"/>
    <mergeCell ref="E12:F12"/>
    <mergeCell ref="E13:F13"/>
    <mergeCell ref="I11:J11"/>
    <mergeCell ref="I12:J12"/>
    <mergeCell ref="I13:J13"/>
    <mergeCell ref="I14:J14"/>
    <mergeCell ref="K4:L4"/>
    <mergeCell ref="M4:N4"/>
    <mergeCell ref="K10:L10"/>
    <mergeCell ref="K11:L11"/>
    <mergeCell ref="K12:L12"/>
    <mergeCell ref="K13:L13"/>
    <mergeCell ref="I5:J5"/>
    <mergeCell ref="I6:J6"/>
    <mergeCell ref="G4:H4"/>
    <mergeCell ref="I4:J4"/>
    <mergeCell ref="G5:H5"/>
    <mergeCell ref="G6:H6"/>
    <mergeCell ref="G7:H7"/>
    <mergeCell ref="G8:H8"/>
    <mergeCell ref="E8:F8"/>
    <mergeCell ref="E9:F9"/>
    <mergeCell ref="E4:F4"/>
    <mergeCell ref="E5:F5"/>
    <mergeCell ref="E6:F6"/>
    <mergeCell ref="E7:F7"/>
    <mergeCell ref="G9:H9"/>
    <mergeCell ref="I7:J7"/>
    <mergeCell ref="I8:J8"/>
    <mergeCell ref="I9:J9"/>
    <mergeCell ref="AK3:AL3"/>
    <mergeCell ref="AQ3:AR3"/>
    <mergeCell ref="AS3:AT3"/>
    <mergeCell ref="V3:X3"/>
    <mergeCell ref="Y3:Z3"/>
    <mergeCell ref="AA3:AB3"/>
    <mergeCell ref="E3:F3"/>
    <mergeCell ref="G3:H3"/>
    <mergeCell ref="I3:J3"/>
    <mergeCell ref="Q3:R3"/>
    <mergeCell ref="S3:U3"/>
    <mergeCell ref="O3:P3"/>
    <mergeCell ref="Q2:AF2"/>
    <mergeCell ref="AI3:AJ3"/>
    <mergeCell ref="E24:F24"/>
    <mergeCell ref="G24:H24"/>
    <mergeCell ref="I24:J24"/>
    <mergeCell ref="K24:L24"/>
    <mergeCell ref="M24:N24"/>
    <mergeCell ref="O24:P24"/>
    <mergeCell ref="Q24:R24"/>
    <mergeCell ref="S24:U24"/>
    <mergeCell ref="V24:X24"/>
    <mergeCell ref="Y24:Z24"/>
    <mergeCell ref="AA24:AB24"/>
    <mergeCell ref="AC24:AD24"/>
    <mergeCell ref="AE24:AF24"/>
    <mergeCell ref="AG24:AH24"/>
    <mergeCell ref="AI24:AJ24"/>
    <mergeCell ref="AK24:AL24"/>
    <mergeCell ref="AM24:AN24"/>
    <mergeCell ref="AO24:AP24"/>
    <mergeCell ref="AQ24:AR24"/>
    <mergeCell ref="AS24:AT24"/>
    <mergeCell ref="AU24:AV24"/>
    <mergeCell ref="AW24:AY24"/>
    <mergeCell ref="E25:F25"/>
    <mergeCell ref="G25:H25"/>
    <mergeCell ref="I25:J25"/>
    <mergeCell ref="K25:L25"/>
    <mergeCell ref="M25:N25"/>
    <mergeCell ref="O25:P25"/>
    <mergeCell ref="Q25:R25"/>
    <mergeCell ref="S25:U25"/>
    <mergeCell ref="V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Q25:AR25"/>
    <mergeCell ref="AS25:AT25"/>
    <mergeCell ref="AU25:AV25"/>
    <mergeCell ref="AW25:AY25"/>
    <mergeCell ref="E26:F26"/>
    <mergeCell ref="G26:H26"/>
    <mergeCell ref="I26:J26"/>
    <mergeCell ref="K26:L26"/>
    <mergeCell ref="M26:N26"/>
    <mergeCell ref="O26:P26"/>
    <mergeCell ref="Q26:R26"/>
    <mergeCell ref="S26:U26"/>
    <mergeCell ref="V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R26"/>
    <mergeCell ref="AS26:AT26"/>
    <mergeCell ref="AU26:AV26"/>
    <mergeCell ref="AW26:AY26"/>
    <mergeCell ref="E27:F27"/>
    <mergeCell ref="G27:H27"/>
    <mergeCell ref="I27:J27"/>
    <mergeCell ref="K27:L27"/>
    <mergeCell ref="M27:N27"/>
    <mergeCell ref="O27:P27"/>
    <mergeCell ref="Q27:R27"/>
    <mergeCell ref="S27:U27"/>
    <mergeCell ref="V27:X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AO27:AP27"/>
    <mergeCell ref="AQ27:AR27"/>
    <mergeCell ref="AS27:AT27"/>
    <mergeCell ref="AU27:AV27"/>
    <mergeCell ref="AW27:AY27"/>
    <mergeCell ref="E28:F28"/>
    <mergeCell ref="G28:H28"/>
    <mergeCell ref="I28:J28"/>
    <mergeCell ref="K28:L28"/>
    <mergeCell ref="M28:N28"/>
    <mergeCell ref="O28:P28"/>
    <mergeCell ref="Q28:R28"/>
    <mergeCell ref="S28:U28"/>
    <mergeCell ref="V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Q28:AR28"/>
    <mergeCell ref="AS28:AT28"/>
    <mergeCell ref="AU28:AV28"/>
    <mergeCell ref="AW28:AY28"/>
    <mergeCell ref="E29:F29"/>
    <mergeCell ref="G29:H29"/>
    <mergeCell ref="I29:J29"/>
    <mergeCell ref="K29:L29"/>
    <mergeCell ref="M29:N29"/>
    <mergeCell ref="O29:P29"/>
    <mergeCell ref="Q29:R29"/>
    <mergeCell ref="S29:U29"/>
    <mergeCell ref="V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R29"/>
    <mergeCell ref="AS29:AT29"/>
    <mergeCell ref="AU29:AV29"/>
    <mergeCell ref="AW29:AY29"/>
    <mergeCell ref="E30:F30"/>
    <mergeCell ref="G30:H30"/>
    <mergeCell ref="I30:J30"/>
    <mergeCell ref="K30:L30"/>
    <mergeCell ref="M30:N30"/>
    <mergeCell ref="O30:P30"/>
    <mergeCell ref="Q30:R30"/>
    <mergeCell ref="S30:U30"/>
    <mergeCell ref="V30:X30"/>
    <mergeCell ref="Y30:Z30"/>
    <mergeCell ref="AA30:AB30"/>
    <mergeCell ref="AC30:AD30"/>
    <mergeCell ref="AE30:AF30"/>
    <mergeCell ref="AG30:AH30"/>
    <mergeCell ref="AI30:AJ30"/>
    <mergeCell ref="AK30:AL30"/>
    <mergeCell ref="AM30:AN30"/>
    <mergeCell ref="AO30:AP30"/>
    <mergeCell ref="AQ30:AR30"/>
    <mergeCell ref="AS30:AT30"/>
    <mergeCell ref="AU30:AV30"/>
    <mergeCell ref="AW30:AY30"/>
    <mergeCell ref="E31:F31"/>
    <mergeCell ref="G31:H31"/>
    <mergeCell ref="I31:J31"/>
    <mergeCell ref="K31:L31"/>
    <mergeCell ref="M31:N31"/>
    <mergeCell ref="O31:P31"/>
    <mergeCell ref="Q31:R31"/>
    <mergeCell ref="S31:U31"/>
    <mergeCell ref="V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AT31"/>
    <mergeCell ref="AU31:AV31"/>
    <mergeCell ref="AW31:AY31"/>
    <mergeCell ref="E32:F32"/>
    <mergeCell ref="G32:H32"/>
    <mergeCell ref="I32:J32"/>
    <mergeCell ref="K32:L32"/>
    <mergeCell ref="M32:N32"/>
    <mergeCell ref="O32:P32"/>
    <mergeCell ref="Q32:R32"/>
    <mergeCell ref="S32:U32"/>
    <mergeCell ref="V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S32:AT32"/>
    <mergeCell ref="AU32:AV32"/>
    <mergeCell ref="AW32:AY32"/>
    <mergeCell ref="E33:F33"/>
    <mergeCell ref="G33:H33"/>
    <mergeCell ref="I33:J33"/>
    <mergeCell ref="K33:L33"/>
    <mergeCell ref="M33:N33"/>
    <mergeCell ref="O33:P33"/>
    <mergeCell ref="Q33:R33"/>
    <mergeCell ref="S33:U33"/>
    <mergeCell ref="V33:X33"/>
    <mergeCell ref="AS34:AT34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O33:AP33"/>
    <mergeCell ref="AW35:AY35"/>
    <mergeCell ref="AQ33:AR33"/>
    <mergeCell ref="AS33:AT33"/>
    <mergeCell ref="AU33:AV33"/>
    <mergeCell ref="AW33:AY33"/>
    <mergeCell ref="E34:F34"/>
    <mergeCell ref="G34:H34"/>
    <mergeCell ref="I34:J34"/>
    <mergeCell ref="K34:L34"/>
    <mergeCell ref="M34:N34"/>
    <mergeCell ref="O34:P34"/>
    <mergeCell ref="Q34:R34"/>
    <mergeCell ref="S34:U34"/>
    <mergeCell ref="V34:X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AO34:AP34"/>
    <mergeCell ref="AQ34:AR34"/>
    <mergeCell ref="AU34:AV34"/>
    <mergeCell ref="AW34:AY34"/>
    <mergeCell ref="E35:F35"/>
    <mergeCell ref="G35:H35"/>
    <mergeCell ref="I35:J35"/>
    <mergeCell ref="K35:L35"/>
    <mergeCell ref="M35:N35"/>
    <mergeCell ref="O35:P35"/>
    <mergeCell ref="Q35:R35"/>
    <mergeCell ref="S35:U35"/>
    <mergeCell ref="V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AO35:AP35"/>
    <mergeCell ref="AQ35:AR35"/>
    <mergeCell ref="AS35:AT35"/>
    <mergeCell ref="AU35:AV3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2F3E-2CCF-4993-93D4-CF7A2C84AB18}">
  <dimension ref="B2:E12"/>
  <sheetViews>
    <sheetView workbookViewId="0">
      <selection activeCell="D3" sqref="D3"/>
    </sheetView>
  </sheetViews>
  <sheetFormatPr defaultRowHeight="14.4" x14ac:dyDescent="0.3"/>
  <cols>
    <col min="3" max="3" width="18.109375" customWidth="1"/>
    <col min="4" max="4" width="18.6640625" customWidth="1"/>
    <col min="5" max="5" width="15.109375" customWidth="1"/>
  </cols>
  <sheetData>
    <row r="2" spans="2:5" x14ac:dyDescent="0.3">
      <c r="B2" s="53" t="s">
        <v>65</v>
      </c>
      <c r="C2" s="53" t="s">
        <v>85</v>
      </c>
      <c r="D2" s="53" t="s">
        <v>84</v>
      </c>
      <c r="E2" s="53" t="s">
        <v>86</v>
      </c>
    </row>
    <row r="3" spans="2:5" x14ac:dyDescent="0.3">
      <c r="B3" s="53">
        <v>1</v>
      </c>
      <c r="C3" s="53"/>
      <c r="D3" s="53"/>
      <c r="E3" s="53"/>
    </row>
    <row r="4" spans="2:5" x14ac:dyDescent="0.3">
      <c r="B4" s="53">
        <v>2</v>
      </c>
      <c r="C4" s="53"/>
      <c r="D4" s="53"/>
      <c r="E4" s="53"/>
    </row>
    <row r="5" spans="2:5" x14ac:dyDescent="0.3">
      <c r="B5" s="53">
        <v>3</v>
      </c>
      <c r="C5" s="53"/>
      <c r="D5" s="53"/>
      <c r="E5" s="53"/>
    </row>
    <row r="6" spans="2:5" x14ac:dyDescent="0.3">
      <c r="B6" s="53">
        <v>4</v>
      </c>
      <c r="C6" s="53"/>
      <c r="D6" s="53"/>
      <c r="E6" s="53"/>
    </row>
    <row r="7" spans="2:5" x14ac:dyDescent="0.3">
      <c r="B7" s="53">
        <v>5</v>
      </c>
      <c r="C7" s="53"/>
      <c r="D7" s="53"/>
      <c r="E7" s="53"/>
    </row>
    <row r="8" spans="2:5" x14ac:dyDescent="0.3">
      <c r="B8" s="53">
        <v>6</v>
      </c>
      <c r="C8" s="53"/>
      <c r="D8" s="53"/>
      <c r="E8" s="53"/>
    </row>
    <row r="9" spans="2:5" x14ac:dyDescent="0.3">
      <c r="B9" s="53">
        <v>7</v>
      </c>
      <c r="C9" s="53"/>
      <c r="D9" s="53"/>
      <c r="E9" s="53"/>
    </row>
    <row r="10" spans="2:5" x14ac:dyDescent="0.3">
      <c r="B10" s="53">
        <v>8</v>
      </c>
      <c r="C10" s="53"/>
      <c r="D10" s="53"/>
      <c r="E10" s="53"/>
    </row>
    <row r="11" spans="2:5" x14ac:dyDescent="0.3">
      <c r="B11" s="53">
        <v>9</v>
      </c>
      <c r="C11" s="53"/>
      <c r="D11" s="53"/>
      <c r="E11" s="53"/>
    </row>
    <row r="12" spans="2:5" x14ac:dyDescent="0.3">
      <c r="B12" s="53">
        <v>10</v>
      </c>
      <c r="C12" s="53"/>
      <c r="D12" s="53"/>
      <c r="E12" s="5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CBC91A84A2F845AE428095A500E47C" ma:contentTypeVersion="4" ma:contentTypeDescription="Criar um novo documento." ma:contentTypeScope="" ma:versionID="ae8f937d7531947593e03b3f179dd6a2">
  <xsd:schema xmlns:xsd="http://www.w3.org/2001/XMLSchema" xmlns:xs="http://www.w3.org/2001/XMLSchema" xmlns:p="http://schemas.microsoft.com/office/2006/metadata/properties" xmlns:ns3="0c9e14bd-dae5-45c4-a4e8-724c15f45205" targetNamespace="http://schemas.microsoft.com/office/2006/metadata/properties" ma:root="true" ma:fieldsID="ae9f9dd79148dfc3a9ff8fffe412d11a" ns3:_="">
    <xsd:import namespace="0c9e14bd-dae5-45c4-a4e8-724c15f452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e14bd-dae5-45c4-a4e8-724c15f452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F9FB44-83DB-44F7-BA0C-C930C150E845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0c9e14bd-dae5-45c4-a4e8-724c15f45205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D6C12DE-EFF2-467B-BEA8-EDCC56D3CB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9e14bd-dae5-45c4-a4e8-724c15f452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D6E4E8-3770-412E-B3CB-B0E77F78C5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variables</vt:lpstr>
      <vt:lpstr>Analysis</vt:lpstr>
      <vt:lpstr>Comparisons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Bentivogli</dc:creator>
  <cp:keywords/>
  <dc:description/>
  <cp:lastModifiedBy>Fabio Bentivogli</cp:lastModifiedBy>
  <cp:revision/>
  <dcterms:created xsi:type="dcterms:W3CDTF">2022-02-03T12:03:06Z</dcterms:created>
  <dcterms:modified xsi:type="dcterms:W3CDTF">2022-02-04T22:27:30Z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0x010100F4CBC91A84A2F845AE428095A500E47C</vt:lpwstr>
  </property>
</Properties>
</file>