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102376_tecnico_ulisboa_pt/Documents/"/>
    </mc:Choice>
  </mc:AlternateContent>
  <xr:revisionPtr revIDLastSave="0" documentId="8_{E7097B0E-3100-412B-BEEF-4D0769EB5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  <sheet name="Overall infos" sheetId="3" r:id="rId2"/>
  </sheets>
  <definedNames>
    <definedName name="solver_adj" localSheetId="0" hidden="1">Calculations!$X$66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Calculations!$Y$69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Calculations!$Y$69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6" i="1" l="1"/>
  <c r="R74" i="1"/>
  <c r="R79" i="1"/>
  <c r="S90" i="1"/>
  <c r="AB110" i="1"/>
  <c r="Z116" i="1"/>
  <c r="Z115" i="1"/>
  <c r="S43" i="1"/>
  <c r="Z113" i="1"/>
  <c r="Z112" i="1"/>
  <c r="Z111" i="1"/>
  <c r="Z110" i="1"/>
  <c r="Z108" i="1"/>
  <c r="Z105" i="1"/>
  <c r="Z104" i="1"/>
  <c r="S50" i="1"/>
  <c r="S39" i="1"/>
  <c r="E106" i="1"/>
  <c r="F106" i="1" s="1"/>
  <c r="E107" i="1"/>
  <c r="G107" i="1" s="1"/>
  <c r="E108" i="1"/>
  <c r="P25" i="1" s="1"/>
  <c r="R25" i="1" s="1"/>
  <c r="E109" i="1"/>
  <c r="G109" i="1" s="1"/>
  <c r="E110" i="1"/>
  <c r="F110" i="1" s="1"/>
  <c r="E111" i="1"/>
  <c r="G111" i="1" s="1"/>
  <c r="E112" i="1"/>
  <c r="P20" i="1" s="1"/>
  <c r="E113" i="1"/>
  <c r="P27" i="1" s="1"/>
  <c r="R27" i="1" s="1"/>
  <c r="E105" i="1"/>
  <c r="P23" i="1" s="1"/>
  <c r="R57" i="1"/>
  <c r="R58" i="1"/>
  <c r="R59" i="1"/>
  <c r="Q23" i="3"/>
  <c r="S23" i="3" s="1"/>
  <c r="T23" i="3" s="1"/>
  <c r="V3" i="3"/>
  <c r="U13" i="3"/>
  <c r="T13" i="3"/>
  <c r="T5" i="3"/>
  <c r="T6" i="3"/>
  <c r="T7" i="3"/>
  <c r="T9" i="3"/>
  <c r="T11" i="3"/>
  <c r="U5" i="3"/>
  <c r="U6" i="3"/>
  <c r="U7" i="3"/>
  <c r="U9" i="3"/>
  <c r="U11" i="3"/>
  <c r="U3" i="3"/>
  <c r="T3" i="3"/>
  <c r="R54" i="1"/>
  <c r="R55" i="1"/>
  <c r="R53" i="1"/>
  <c r="G21" i="1"/>
  <c r="U5" i="1" s="1"/>
  <c r="G20" i="1"/>
  <c r="G22" i="1"/>
  <c r="S49" i="1"/>
  <c r="S47" i="1"/>
  <c r="R21" i="1"/>
  <c r="Y66" i="1"/>
  <c r="P28" i="1"/>
  <c r="R28" i="1" s="1"/>
  <c r="G108" i="1"/>
  <c r="R82" i="1"/>
  <c r="P118" i="1"/>
  <c r="R118" i="1" s="1"/>
  <c r="P115" i="1"/>
  <c r="R115" i="1" s="1"/>
  <c r="P113" i="1"/>
  <c r="R113" i="1" s="1"/>
  <c r="P112" i="1"/>
  <c r="R112" i="1" s="1"/>
  <c r="S81" i="1"/>
  <c r="R76" i="1"/>
  <c r="R71" i="1"/>
  <c r="R63" i="1"/>
  <c r="R69" i="1" s="1"/>
  <c r="C28" i="1"/>
  <c r="S22" i="3"/>
  <c r="T22" i="3" s="1"/>
  <c r="R16" i="3"/>
  <c r="S21" i="3" s="1"/>
  <c r="T21" i="3" s="1"/>
  <c r="S20" i="3"/>
  <c r="T20" i="3" s="1"/>
  <c r="S7" i="3"/>
  <c r="S13" i="3" s="1"/>
  <c r="S4" i="3"/>
  <c r="S5" i="3"/>
  <c r="S6" i="3"/>
  <c r="S8" i="3"/>
  <c r="S9" i="3"/>
  <c r="S10" i="3"/>
  <c r="S11" i="3"/>
  <c r="S3" i="3"/>
  <c r="V91" i="1"/>
  <c r="R80" i="1"/>
  <c r="R2" i="1"/>
  <c r="P2" i="1"/>
  <c r="C101" i="1"/>
  <c r="G11" i="1" s="1"/>
  <c r="G105" i="1" l="1"/>
  <c r="P18" i="1"/>
  <c r="R18" i="1" s="1"/>
  <c r="P19" i="1"/>
  <c r="R19" i="1" s="1"/>
  <c r="P24" i="1"/>
  <c r="R24" i="1" s="1"/>
  <c r="F112" i="1"/>
  <c r="F115" i="1" s="1"/>
  <c r="P26" i="1"/>
  <c r="R26" i="1" s="1"/>
  <c r="G113" i="1"/>
  <c r="E115" i="1"/>
  <c r="T24" i="3"/>
  <c r="N97" i="1"/>
  <c r="P97" i="1" s="1"/>
  <c r="R97" i="1" s="1"/>
  <c r="Q100" i="1" s="1"/>
  <c r="S112" i="1"/>
  <c r="G5" i="1"/>
  <c r="G115" i="1" l="1"/>
  <c r="R98" i="1"/>
  <c r="R3" i="1"/>
  <c r="V93" i="1" l="1"/>
  <c r="R75" i="1"/>
  <c r="R70" i="1"/>
  <c r="S63" i="1"/>
  <c r="S31" i="1"/>
  <c r="S6" i="1"/>
  <c r="G6" i="1"/>
  <c r="K8" i="1"/>
  <c r="T6" i="1"/>
  <c r="T5" i="1"/>
  <c r="V10" i="1" s="1"/>
  <c r="S8" i="1"/>
  <c r="G7" i="1" l="1"/>
  <c r="G9" i="1" s="1"/>
  <c r="G10" i="1" s="1"/>
  <c r="S76" i="1"/>
  <c r="Z107" i="1" s="1"/>
  <c r="S66" i="1"/>
  <c r="T8" i="1"/>
  <c r="V8" i="1" s="1"/>
  <c r="P3" i="1"/>
  <c r="S9" i="1" s="1"/>
  <c r="T9" i="1" s="1"/>
  <c r="U9" i="1" s="1"/>
  <c r="T64" i="1"/>
  <c r="V5" i="1"/>
  <c r="G8" i="1"/>
  <c r="S5" i="1"/>
  <c r="U10" i="1" s="1"/>
  <c r="V90" i="1"/>
  <c r="V94" i="1" s="1"/>
  <c r="S72" i="1"/>
  <c r="Z106" i="1" s="1"/>
  <c r="R83" i="1"/>
  <c r="S82" i="1" s="1"/>
  <c r="Z109" i="1" s="1"/>
  <c r="AB104" i="1" l="1"/>
  <c r="V95" i="1"/>
  <c r="U8" i="1"/>
  <c r="U13" i="1" s="1"/>
  <c r="V9" i="1"/>
  <c r="S84" i="1"/>
  <c r="P100" i="1" s="1"/>
  <c r="G14" i="1"/>
  <c r="P4" i="1" s="1"/>
  <c r="R23" i="1"/>
  <c r="S93" i="1" l="1"/>
  <c r="V96" i="1"/>
  <c r="S85" i="1"/>
  <c r="S86" i="1" s="1"/>
  <c r="AB64" i="1"/>
  <c r="S23" i="1"/>
  <c r="R20" i="1"/>
  <c r="S18" i="1" s="1"/>
  <c r="G15" i="1"/>
  <c r="S29" i="1" l="1"/>
  <c r="AB67" i="1"/>
  <c r="S94" i="1"/>
  <c r="Z103" i="1" s="1"/>
  <c r="P11" i="1"/>
  <c r="P60" i="1"/>
  <c r="R60" i="1" s="1"/>
  <c r="S54" i="1" s="1"/>
  <c r="AB103" i="1" l="1"/>
  <c r="AB117" i="1" s="1"/>
  <c r="Z117" i="1"/>
  <c r="R56" i="1"/>
  <c r="S53" i="1" s="1"/>
  <c r="S55" i="1" s="1"/>
  <c r="R11" i="1"/>
  <c r="T11" i="1" s="1"/>
  <c r="AA116" i="1" l="1"/>
  <c r="AA115" i="1"/>
  <c r="AA114" i="1"/>
  <c r="AA113" i="1"/>
  <c r="AA112" i="1"/>
  <c r="AA111" i="1"/>
  <c r="AA110" i="1"/>
  <c r="AA109" i="1"/>
  <c r="AA108" i="1"/>
  <c r="AA107" i="1"/>
  <c r="AA106" i="1"/>
  <c r="AA104" i="1"/>
  <c r="AA105" i="1"/>
  <c r="AA103" i="1"/>
  <c r="V11" i="1"/>
  <c r="V13" i="1" s="1"/>
  <c r="T13" i="1"/>
  <c r="AB66" i="1" l="1"/>
  <c r="AB65" i="1"/>
  <c r="W69" i="1" s="1"/>
  <c r="Y69" i="1" s="1"/>
  <c r="R100" i="1"/>
  <c r="S100" i="1" s="1"/>
  <c r="AB68" i="1" l="1"/>
  <c r="AB69" i="1" s="1"/>
  <c r="S115" i="1"/>
  <c r="S119" i="1" s="1"/>
</calcChain>
</file>

<file path=xl/sharedStrings.xml><?xml version="1.0" encoding="utf-8"?>
<sst xmlns="http://schemas.openxmlformats.org/spreadsheetml/2006/main" count="451" uniqueCount="335">
  <si>
    <t xml:space="preserve">Ship charatheristics </t>
  </si>
  <si>
    <t>Navigation Details</t>
  </si>
  <si>
    <t>Vessel: Munich Maersk</t>
  </si>
  <si>
    <t>Speed L</t>
  </si>
  <si>
    <t>Miles L</t>
  </si>
  <si>
    <t>Daily Bunker Consumption [t/day]</t>
  </si>
  <si>
    <t>Vessel name</t>
  </si>
  <si>
    <t>Munich Maersk</t>
  </si>
  <si>
    <t>Route</t>
  </si>
  <si>
    <t>Yangshan Guadong Terminal (Shanghai) - Yantian International Container Terminals (Shenzhen) - Container Terminal XXI (Sines) - APM Terminal Maasvlakte II (Rotterdam)</t>
  </si>
  <si>
    <t>Speed B</t>
  </si>
  <si>
    <t>Miles B</t>
  </si>
  <si>
    <t>At Sea</t>
  </si>
  <si>
    <t>At Port</t>
  </si>
  <si>
    <t>Year</t>
  </si>
  <si>
    <t>Distance Leg</t>
  </si>
  <si>
    <t>[nautical miles]</t>
  </si>
  <si>
    <t>CDW</t>
  </si>
  <si>
    <t>t</t>
  </si>
  <si>
    <t>Fuel Oil</t>
  </si>
  <si>
    <t>Diesel</t>
  </si>
  <si>
    <t>Idle</t>
  </si>
  <si>
    <t>Working</t>
  </si>
  <si>
    <t>Flag</t>
  </si>
  <si>
    <t>Denmark</t>
  </si>
  <si>
    <t>Voyage time (Full)</t>
  </si>
  <si>
    <t>[days]</t>
  </si>
  <si>
    <t>TEU</t>
  </si>
  <si>
    <t>Type of ship</t>
  </si>
  <si>
    <t>Container ship</t>
  </si>
  <si>
    <t>Voyage time (Ball)</t>
  </si>
  <si>
    <t>DA CONTROLLARE P5</t>
  </si>
  <si>
    <t>Dimensions</t>
  </si>
  <si>
    <t>Qfuel (Full)</t>
  </si>
  <si>
    <t>[t]</t>
  </si>
  <si>
    <t>Voyage Legs</t>
  </si>
  <si>
    <t>Miles</t>
  </si>
  <si>
    <t>Days</t>
  </si>
  <si>
    <t>F.O</t>
  </si>
  <si>
    <t>Diesel Oil</t>
  </si>
  <si>
    <t>t sand</t>
  </si>
  <si>
    <t>LOA</t>
  </si>
  <si>
    <t>[m]</t>
  </si>
  <si>
    <t>Qfuel (Ballast)</t>
  </si>
  <si>
    <t>m^3</t>
  </si>
  <si>
    <t>Laden</t>
  </si>
  <si>
    <t>t/hr</t>
  </si>
  <si>
    <t>LPP</t>
  </si>
  <si>
    <t>Q LO</t>
  </si>
  <si>
    <t>Ballast</t>
  </si>
  <si>
    <t>t;hr</t>
  </si>
  <si>
    <t>B</t>
  </si>
  <si>
    <t>Q FW</t>
  </si>
  <si>
    <t>Weather delay and Bunkering</t>
  </si>
  <si>
    <t>Depth</t>
  </si>
  <si>
    <t>Weight of the crew</t>
  </si>
  <si>
    <t>Port Time</t>
  </si>
  <si>
    <t>Load</t>
  </si>
  <si>
    <t>Disload</t>
  </si>
  <si>
    <t xml:space="preserve">Height </t>
  </si>
  <si>
    <t>75.70 (above baseline), 59.70 (above waterline)</t>
  </si>
  <si>
    <t>Summer Draft</t>
  </si>
  <si>
    <t>Weight of spares</t>
  </si>
  <si>
    <t>Totals</t>
  </si>
  <si>
    <t>Deadweight</t>
  </si>
  <si>
    <t>Gross / Net Tonnage</t>
  </si>
  <si>
    <t>214286/78834</t>
  </si>
  <si>
    <t>CDW / DW</t>
  </si>
  <si>
    <t>Voyage Expenses</t>
  </si>
  <si>
    <t xml:space="preserve">Speed endurance and fuel oil consumption </t>
  </si>
  <si>
    <t>Bunkers</t>
  </si>
  <si>
    <t>Speed Load</t>
  </si>
  <si>
    <t>[knots]</t>
  </si>
  <si>
    <t>Generators</t>
  </si>
  <si>
    <t>Type</t>
  </si>
  <si>
    <t>Location</t>
  </si>
  <si>
    <t>Quantity [t]</t>
  </si>
  <si>
    <t>Price [US$/t]</t>
  </si>
  <si>
    <t>Cost [US$]</t>
  </si>
  <si>
    <t>Total [US$]</t>
  </si>
  <si>
    <t>Heavy Fuel Oil</t>
  </si>
  <si>
    <t>Shanghai - Shenzen</t>
  </si>
  <si>
    <t>Shenzhen - Sines</t>
  </si>
  <si>
    <t>Speed Ballast</t>
  </si>
  <si>
    <t>Q day (working)</t>
  </si>
  <si>
    <t>t/day</t>
  </si>
  <si>
    <t xml:space="preserve">2 generators </t>
  </si>
  <si>
    <t>Sines - Rotterdam</t>
  </si>
  <si>
    <t>Qday (idle)</t>
  </si>
  <si>
    <t>Rotterdam (refuel)</t>
  </si>
  <si>
    <t>Fuel capacity</t>
  </si>
  <si>
    <t>[m^3]</t>
  </si>
  <si>
    <t xml:space="preserve">Q Port/Handling </t>
  </si>
  <si>
    <t>Endurance</t>
  </si>
  <si>
    <t>[miles]</t>
  </si>
  <si>
    <t>Marine Diesel</t>
  </si>
  <si>
    <t>Shanghai (Port)</t>
  </si>
  <si>
    <t>Shenzhen (Port)</t>
  </si>
  <si>
    <t>Malacca Strait</t>
  </si>
  <si>
    <t>Suez Canal</t>
  </si>
  <si>
    <t>Sines (Port)</t>
  </si>
  <si>
    <t>Fuel Consumption at NCR Calculated</t>
  </si>
  <si>
    <t>[t/day]</t>
  </si>
  <si>
    <t>Rotterdam (Port)</t>
  </si>
  <si>
    <t xml:space="preserve">Main engine and auxiliary machines </t>
  </si>
  <si>
    <t>Main Engine</t>
  </si>
  <si>
    <t>2x MAN B&amp;W-7G80ME-C9 2 Strokes HFO/MDO</t>
  </si>
  <si>
    <t xml:space="preserve">Other Expenses </t>
  </si>
  <si>
    <t>Loading Port Disbursements</t>
  </si>
  <si>
    <t>Shanghai</t>
  </si>
  <si>
    <t>Shenzhen</t>
  </si>
  <si>
    <t>Sines</t>
  </si>
  <si>
    <t>Engine Brake Power</t>
  </si>
  <si>
    <t>MCR 29640 KW / 72 RPM</t>
  </si>
  <si>
    <t>Rotterdam</t>
  </si>
  <si>
    <t>Dischargin Port Disbursements [US$]</t>
  </si>
  <si>
    <t>NCR 26324 KW / 71 RPM</t>
  </si>
  <si>
    <t>Bunkering Port Disbursements</t>
  </si>
  <si>
    <t>Propeller</t>
  </si>
  <si>
    <t>2x Nakashima Propeller Co. Ltd</t>
  </si>
  <si>
    <t>4 blades solid type</t>
  </si>
  <si>
    <t>Material: Ni.Al.Bronze</t>
  </si>
  <si>
    <t>Canal dues (all fees included)</t>
  </si>
  <si>
    <t>Suez</t>
  </si>
  <si>
    <t>Diameter: 9800 mm</t>
  </si>
  <si>
    <t>Pilotage</t>
  </si>
  <si>
    <t>$ 597.83</t>
  </si>
  <si>
    <t>Pitch: 7000 mm</t>
  </si>
  <si>
    <t>Suez Canal Dues</t>
  </si>
  <si>
    <t>$ 767,368.26</t>
  </si>
  <si>
    <t>Insurance Premium</t>
  </si>
  <si>
    <t>All voyage</t>
  </si>
  <si>
    <t>Auxiliary Boiler</t>
  </si>
  <si>
    <t>AALBORG (2) sets</t>
  </si>
  <si>
    <t>Total Light Dues</t>
  </si>
  <si>
    <t>$21,788.60</t>
  </si>
  <si>
    <t>MISSION OL MODEL</t>
  </si>
  <si>
    <t>Port Dues</t>
  </si>
  <si>
    <t>$6,428.58</t>
  </si>
  <si>
    <t>Tug and Pilotage costs</t>
  </si>
  <si>
    <t>Average for all ports</t>
  </si>
  <si>
    <t>Evaporation : 45.000 Kg/hr x 2</t>
  </si>
  <si>
    <t>Port Authority Fees</t>
  </si>
  <si>
    <t>$700.00</t>
  </si>
  <si>
    <t>Exhaust Gas Economizer</t>
  </si>
  <si>
    <t>ALFA LAVAL AB</t>
  </si>
  <si>
    <t>Ministry Fees</t>
  </si>
  <si>
    <t>$6,325.00</t>
  </si>
  <si>
    <t>Other expenses (port agency, taxes, mooring/unmooring)</t>
  </si>
  <si>
    <t>Model : Aalborg AV-6N</t>
  </si>
  <si>
    <t>Mooring/Unmooring</t>
  </si>
  <si>
    <t>$2,309.00</t>
  </si>
  <si>
    <t>Total Voyage Expenses ($)</t>
  </si>
  <si>
    <t>Steam production 4.200 Kg/h</t>
  </si>
  <si>
    <t>Extra Pilotage</t>
  </si>
  <si>
    <t>$1,800.00</t>
  </si>
  <si>
    <t>Cargo Handling Costs</t>
  </si>
  <si>
    <t>Steam pressure : 10.2 Kg/cm2</t>
  </si>
  <si>
    <t>Escort Tugs</t>
  </si>
  <si>
    <t>$27,907.58</t>
  </si>
  <si>
    <t>Port</t>
  </si>
  <si>
    <t>Quantity [TEUs]</t>
  </si>
  <si>
    <t>Price [USD/container]</t>
  </si>
  <si>
    <t>Loading</t>
  </si>
  <si>
    <t>Diesel Generator-Alternator Engine</t>
  </si>
  <si>
    <t>MAN Diesel/STX/HHI</t>
  </si>
  <si>
    <t>Grand Total USD</t>
  </si>
  <si>
    <t>835,224.84</t>
  </si>
  <si>
    <t>Unloading</t>
  </si>
  <si>
    <t xml:space="preserve"> 2x Electro Electric System 2,000kW GE Energy- EMG HHI 1825 kVA</t>
  </si>
  <si>
    <t xml:space="preserve">Exhaust Scrabber </t>
  </si>
  <si>
    <t>Alfa Laval AB</t>
  </si>
  <si>
    <t>Operating Costs</t>
  </si>
  <si>
    <t>4x PureSOx</t>
  </si>
  <si>
    <t>Constant</t>
  </si>
  <si>
    <t>Value</t>
  </si>
  <si>
    <t>Manning Cost</t>
  </si>
  <si>
    <t>N [people]</t>
  </si>
  <si>
    <t>Cost</t>
  </si>
  <si>
    <t>European B</t>
  </si>
  <si>
    <t>Revenue</t>
  </si>
  <si>
    <t>OPEX</t>
  </si>
  <si>
    <t>USD/day</t>
  </si>
  <si>
    <t>Emergency Generator</t>
  </si>
  <si>
    <t>MAN Diesel/STX/HHI (1x 4,600kW/2x 3,840kW &amp; 2x 2,880kW)</t>
  </si>
  <si>
    <t>K</t>
  </si>
  <si>
    <t>Cargo [TEU]</t>
  </si>
  <si>
    <t>Rate [USD/TEU]</t>
  </si>
  <si>
    <t>Freight [USD]</t>
  </si>
  <si>
    <t>VOYAGE</t>
  </si>
  <si>
    <t>Stores and consumables</t>
  </si>
  <si>
    <t>K1</t>
  </si>
  <si>
    <t>CARGO HAND</t>
  </si>
  <si>
    <t xml:space="preserve">Bow Thruster </t>
  </si>
  <si>
    <t>2x 2,500 kW Kawasaki Units</t>
  </si>
  <si>
    <t>K2</t>
  </si>
  <si>
    <t>CAPITAL</t>
  </si>
  <si>
    <t xml:space="preserve"> Ballast system</t>
  </si>
  <si>
    <t>K3</t>
  </si>
  <si>
    <t>Time Charter</t>
  </si>
  <si>
    <t>Surplus</t>
  </si>
  <si>
    <t>TOTAL</t>
  </si>
  <si>
    <t>Nº1 Ballast Pump</t>
  </si>
  <si>
    <t>Azcue LN Single Stage Vertical Inline Centrifugal Pump</t>
  </si>
  <si>
    <t>N [crew]</t>
  </si>
  <si>
    <t>Cost V</t>
  </si>
  <si>
    <t>USD/voyage</t>
  </si>
  <si>
    <t>Flow rate: 700 m^3/h</t>
  </si>
  <si>
    <t>CN</t>
  </si>
  <si>
    <t>Max Head pressure: 100 m</t>
  </si>
  <si>
    <t>HP [KW]</t>
  </si>
  <si>
    <t>Nº2 Ballast Pump</t>
  </si>
  <si>
    <t>Azcue MN Single Stage Close Coupled Centrifugal Pump</t>
  </si>
  <si>
    <t>Maintenance and Repairs</t>
  </si>
  <si>
    <t>Flow rate: 500 m^3/h</t>
  </si>
  <si>
    <t>P [US$]</t>
  </si>
  <si>
    <t>Relevant information</t>
  </si>
  <si>
    <t>Call sign</t>
  </si>
  <si>
    <t>OWCH2</t>
  </si>
  <si>
    <t>Insurance and P&amp;I</t>
  </si>
  <si>
    <t>IMO Number</t>
  </si>
  <si>
    <t xml:space="preserve">	9778806</t>
  </si>
  <si>
    <t>Port of registry</t>
  </si>
  <si>
    <t xml:space="preserve">	København</t>
  </si>
  <si>
    <t>Class</t>
  </si>
  <si>
    <t>EEE (Mark II)</t>
  </si>
  <si>
    <t>V [US$]</t>
  </si>
  <si>
    <t>Built</t>
  </si>
  <si>
    <t>GT [m3]</t>
  </si>
  <si>
    <t>Delivery date</t>
  </si>
  <si>
    <t>Administration Costs</t>
  </si>
  <si>
    <t>-</t>
  </si>
  <si>
    <t>Freeboard</t>
  </si>
  <si>
    <t>6830 mm</t>
  </si>
  <si>
    <t>Periodic maintenance</t>
  </si>
  <si>
    <t>Builder</t>
  </si>
  <si>
    <t>Daewoo Shipbuilding &amp; Marine Engineering Co. Ltd.</t>
  </si>
  <si>
    <t>Yard number</t>
  </si>
  <si>
    <t>Total Operating Costs/year</t>
  </si>
  <si>
    <t>Place of Build</t>
  </si>
  <si>
    <t>Okpo Bay, Geoje Island, South Korea.</t>
  </si>
  <si>
    <t>TOTAL OPERATING COSTS/DAY</t>
  </si>
  <si>
    <t>Hull material</t>
  </si>
  <si>
    <t>Naval steel</t>
  </si>
  <si>
    <t>TOTAL OPERATING COSTS/VOYAGE</t>
  </si>
  <si>
    <t>Number of holds</t>
  </si>
  <si>
    <t>Maximum number or 20 feet containers</t>
  </si>
  <si>
    <t>Available crew</t>
  </si>
  <si>
    <t>Capital Costs</t>
  </si>
  <si>
    <t>Annuity of The voyage</t>
  </si>
  <si>
    <t>Master (Captain)</t>
  </si>
  <si>
    <t>[people]</t>
  </si>
  <si>
    <t>Newbuilding price [US$]</t>
  </si>
  <si>
    <t>Ship Cost</t>
  </si>
  <si>
    <t>USD</t>
  </si>
  <si>
    <t>OOW (Officers of the watch):</t>
  </si>
  <si>
    <t>Interest Margin [%]</t>
  </si>
  <si>
    <t>Rate</t>
  </si>
  <si>
    <t>Chief officer</t>
  </si>
  <si>
    <t>Life Time [years]</t>
  </si>
  <si>
    <t>Service Time</t>
  </si>
  <si>
    <t>years</t>
  </si>
  <si>
    <t>Second officer</t>
  </si>
  <si>
    <t>Capital Costs [US$/day]</t>
  </si>
  <si>
    <t>CR</t>
  </si>
  <si>
    <t>Third officer</t>
  </si>
  <si>
    <t>Total Capital Costs</t>
  </si>
  <si>
    <t>A year 2021</t>
  </si>
  <si>
    <t>Engineering department:</t>
  </si>
  <si>
    <t>Voyage Comparisons</t>
  </si>
  <si>
    <t>A day</t>
  </si>
  <si>
    <t>Chief engineer</t>
  </si>
  <si>
    <t>Rate [US$/TEU]</t>
  </si>
  <si>
    <t>Gross Freigth [US$]</t>
  </si>
  <si>
    <t>Comission [%]</t>
  </si>
  <si>
    <t>Freight [US$]</t>
  </si>
  <si>
    <t>A voyage</t>
  </si>
  <si>
    <t>Second engineer</t>
  </si>
  <si>
    <t>Third engineer</t>
  </si>
  <si>
    <t>Voyage Surplus</t>
  </si>
  <si>
    <t>Unlicensed crew</t>
  </si>
  <si>
    <t>Gross voy surplus</t>
  </si>
  <si>
    <t>Gross Daily</t>
  </si>
  <si>
    <t>Running Costs [US$]</t>
  </si>
  <si>
    <t>Net Flux [US$]</t>
  </si>
  <si>
    <t>Net Flux Daily [US$]</t>
  </si>
  <si>
    <t>Ratings crew</t>
  </si>
  <si>
    <t>SFOC (kg/kWh)</t>
  </si>
  <si>
    <t>Total:</t>
  </si>
  <si>
    <t>[US$]</t>
  </si>
  <si>
    <t>[%]</t>
  </si>
  <si>
    <t>[US%]</t>
  </si>
  <si>
    <t>Capital costs</t>
  </si>
  <si>
    <t xml:space="preserve">Locations </t>
  </si>
  <si>
    <t>Distance</t>
  </si>
  <si>
    <t>Speed</t>
  </si>
  <si>
    <t>Time</t>
  </si>
  <si>
    <t>Qfuel (Heavy Fuel Oil)</t>
  </si>
  <si>
    <t>Qfuel (Marine Diesel)</t>
  </si>
  <si>
    <t>Operating costs</t>
  </si>
  <si>
    <t>Crewing/manning</t>
  </si>
  <si>
    <t>Shanghai (Port approach)</t>
  </si>
  <si>
    <t>/</t>
  </si>
  <si>
    <t>Regular maintenance and repairs</t>
  </si>
  <si>
    <t>Shenzhen (Port arrival and departure)</t>
  </si>
  <si>
    <t>Insurance</t>
  </si>
  <si>
    <t>Administration</t>
  </si>
  <si>
    <t>Periodic maintenance and repairs</t>
  </si>
  <si>
    <t xml:space="preserve">Shanghai </t>
  </si>
  <si>
    <t>Voyage costs</t>
  </si>
  <si>
    <t>Fuel costs main propulsion</t>
  </si>
  <si>
    <t>Sines (Port arrival and departure)</t>
  </si>
  <si>
    <t>Fuel costs auxiliary propulsion</t>
  </si>
  <si>
    <t>Port charges</t>
  </si>
  <si>
    <t>Rotterdam (Port arrival and departure)</t>
  </si>
  <si>
    <t>Tuggage fees</t>
  </si>
  <si>
    <t>Pilotage fees</t>
  </si>
  <si>
    <t>Total</t>
  </si>
  <si>
    <t>Canal dues</t>
  </si>
  <si>
    <t>Cargo handling</t>
  </si>
  <si>
    <t>Total costs</t>
  </si>
  <si>
    <t>Crew Class</t>
  </si>
  <si>
    <t>Distance [miles]</t>
  </si>
  <si>
    <t>Speed [kn]</t>
  </si>
  <si>
    <t>Time [days]</t>
  </si>
  <si>
    <t>Waiting time [days]</t>
  </si>
  <si>
    <t>Queuing time [days]</t>
  </si>
  <si>
    <t>Total navigation time [days]</t>
  </si>
  <si>
    <t>SFOC [kg/kWh]</t>
  </si>
  <si>
    <t>CDW (75%)</t>
  </si>
  <si>
    <t>Locations</t>
  </si>
  <si>
    <t>Unload/load rate [container/h]</t>
  </si>
  <si>
    <t>Fraction of CDW</t>
  </si>
  <si>
    <t>Time [hours]</t>
  </si>
  <si>
    <t xml:space="preserve">Rotterdam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</si>
</sst>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.0"/>
    <numFmt numFmtId="166" formatCode="0.0"/>
    <numFmt numFmtId="167" formatCode="0.000"/>
    <numFmt numFmtId="168" formatCode="d/m/yyyy"/>
  </numFmts>
  <fonts count="13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A4C2F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97">
    <xf numFmtId="0" fontId="0" fillId="0" borderId="0" xfId="0"/>
    <xf numFmtId="0" fontId="1" fillId="0" borderId="0" xfId="0" applyFont="1"/>
    <xf numFmtId="0" fontId="0" fillId="3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4" fillId="3" borderId="0" xfId="0" applyFont="1" applyFill="1"/>
    <xf numFmtId="166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6" fontId="1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6" fontId="1" fillId="6" borderId="1" xfId="0" applyNumberFormat="1" applyFont="1" applyFill="1" applyBorder="1" applyAlignment="1">
      <alignment horizontal="center" vertical="center"/>
    </xf>
    <xf numFmtId="166" fontId="1" fillId="6" borderId="1" xfId="0" applyNumberFormat="1" applyFont="1" applyFill="1" applyBorder="1" applyAlignment="1">
      <alignment horizontal="center"/>
    </xf>
    <xf numFmtId="0" fontId="3" fillId="0" borderId="0" xfId="0" applyFont="1"/>
    <xf numFmtId="165" fontId="0" fillId="0" borderId="0" xfId="0" applyNumberFormat="1"/>
    <xf numFmtId="4" fontId="0" fillId="0" borderId="0" xfId="0" applyNumberFormat="1"/>
    <xf numFmtId="164" fontId="0" fillId="0" borderId="0" xfId="1" applyFont="1" applyAlignment="1"/>
    <xf numFmtId="166" fontId="0" fillId="0" borderId="0" xfId="0" applyNumberFormat="1"/>
    <xf numFmtId="0" fontId="2" fillId="0" borderId="8" xfId="0" applyFont="1" applyBorder="1"/>
    <xf numFmtId="0" fontId="2" fillId="0" borderId="11" xfId="0" applyFont="1" applyBorder="1"/>
    <xf numFmtId="0" fontId="6" fillId="0" borderId="10" xfId="0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2" fontId="1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2" borderId="29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2" fillId="9" borderId="16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vertical="center"/>
    </xf>
    <xf numFmtId="0" fontId="9" fillId="18" borderId="5" xfId="0" applyFont="1" applyFill="1" applyBorder="1" applyAlignment="1">
      <alignment vertical="center"/>
    </xf>
    <xf numFmtId="0" fontId="11" fillId="22" borderId="16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166" fontId="6" fillId="6" borderId="15" xfId="0" applyNumberFormat="1" applyFont="1" applyFill="1" applyBorder="1" applyAlignment="1">
      <alignment horizontal="center" vertical="center"/>
    </xf>
    <xf numFmtId="166" fontId="6" fillId="6" borderId="16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0" fillId="16" borderId="16" xfId="0" applyFill="1" applyBorder="1" applyAlignment="1">
      <alignment horizontal="center"/>
    </xf>
    <xf numFmtId="0" fontId="0" fillId="25" borderId="16" xfId="0" applyFill="1" applyBorder="1" applyAlignment="1">
      <alignment horizontal="center" vertical="center"/>
    </xf>
    <xf numFmtId="0" fontId="3" fillId="19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166" fontId="6" fillId="27" borderId="16" xfId="0" applyNumberFormat="1" applyFont="1" applyFill="1" applyBorder="1" applyAlignment="1">
      <alignment horizontal="center" vertical="center"/>
    </xf>
    <xf numFmtId="166" fontId="6" fillId="27" borderId="33" xfId="0" applyNumberFormat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" fillId="25" borderId="16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4" fillId="3" borderId="16" xfId="0" applyFont="1" applyFill="1" applyBorder="1"/>
    <xf numFmtId="165" fontId="1" fillId="27" borderId="1" xfId="0" applyNumberFormat="1" applyFont="1" applyFill="1" applyBorder="1" applyAlignment="1">
      <alignment horizontal="center" vertical="center"/>
    </xf>
    <xf numFmtId="168" fontId="1" fillId="0" borderId="5" xfId="0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25" borderId="7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167" fontId="0" fillId="0" borderId="16" xfId="0" applyNumberFormat="1" applyBorder="1" applyAlignment="1">
      <alignment horizontal="center"/>
    </xf>
    <xf numFmtId="167" fontId="0" fillId="16" borderId="16" xfId="0" applyNumberFormat="1" applyFill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166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/>
    </xf>
    <xf numFmtId="0" fontId="3" fillId="30" borderId="16" xfId="0" applyFont="1" applyFill="1" applyBorder="1" applyAlignment="1">
      <alignment horizontal="center" vertical="center"/>
    </xf>
    <xf numFmtId="0" fontId="0" fillId="30" borderId="16" xfId="0" applyFill="1" applyBorder="1" applyAlignment="1">
      <alignment horizontal="center" vertical="center"/>
    </xf>
    <xf numFmtId="166" fontId="0" fillId="30" borderId="16" xfId="0" applyNumberFormat="1" applyFill="1" applyBorder="1" applyAlignment="1">
      <alignment horizontal="center" vertical="center"/>
    </xf>
    <xf numFmtId="0" fontId="3" fillId="31" borderId="16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16" borderId="1" xfId="0" applyNumberFormat="1" applyFont="1" applyFill="1" applyBorder="1" applyAlignment="1">
      <alignment horizontal="center" vertical="center"/>
    </xf>
    <xf numFmtId="1" fontId="0" fillId="16" borderId="16" xfId="0" applyNumberFormat="1" applyFill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1" fillId="27" borderId="13" xfId="0" applyNumberFormat="1" applyFont="1" applyFill="1" applyBorder="1" applyAlignment="1">
      <alignment horizontal="center" vertical="center"/>
    </xf>
    <xf numFmtId="1" fontId="1" fillId="27" borderId="15" xfId="0" applyNumberFormat="1" applyFont="1" applyFill="1" applyBorder="1" applyAlignment="1">
      <alignment horizontal="center" vertical="center"/>
    </xf>
    <xf numFmtId="1" fontId="1" fillId="27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6" fontId="1" fillId="0" borderId="15" xfId="0" applyNumberFormat="1" applyFont="1" applyBorder="1" applyAlignment="1">
      <alignment horizontal="center" vertical="center"/>
    </xf>
    <xf numFmtId="0" fontId="1" fillId="28" borderId="34" xfId="0" applyFont="1" applyFill="1" applyBorder="1" applyAlignment="1">
      <alignment horizontal="center" vertical="center"/>
    </xf>
    <xf numFmtId="0" fontId="1" fillId="28" borderId="35" xfId="0" applyFont="1" applyFill="1" applyBorder="1" applyAlignment="1">
      <alignment horizontal="center" vertical="center"/>
    </xf>
    <xf numFmtId="0" fontId="1" fillId="28" borderId="37" xfId="0" applyFont="1" applyFill="1" applyBorder="1" applyAlignment="1">
      <alignment horizontal="center" vertical="center"/>
    </xf>
    <xf numFmtId="1" fontId="1" fillId="28" borderId="16" xfId="0" applyNumberFormat="1" applyFont="1" applyFill="1" applyBorder="1" applyAlignment="1">
      <alignment horizontal="center" vertical="center"/>
    </xf>
    <xf numFmtId="0" fontId="1" fillId="27" borderId="7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 vertical="center"/>
    </xf>
    <xf numFmtId="0" fontId="1" fillId="27" borderId="10" xfId="0" applyFont="1" applyFill="1" applyBorder="1" applyAlignment="1">
      <alignment horizontal="center" vertical="center"/>
    </xf>
    <xf numFmtId="0" fontId="1" fillId="25" borderId="7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 vertical="center"/>
    </xf>
    <xf numFmtId="0" fontId="1" fillId="25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166" fontId="6" fillId="6" borderId="7" xfId="0" applyNumberFormat="1" applyFont="1" applyFill="1" applyBorder="1" applyAlignment="1">
      <alignment horizontal="center" vertical="center"/>
    </xf>
    <xf numFmtId="166" fontId="6" fillId="6" borderId="8" xfId="0" applyNumberFormat="1" applyFont="1" applyFill="1" applyBorder="1" applyAlignment="1">
      <alignment horizontal="center" vertical="center"/>
    </xf>
    <xf numFmtId="166" fontId="6" fillId="6" borderId="9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1" fillId="13" borderId="16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14" fontId="1" fillId="13" borderId="16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13" borderId="28" xfId="0" applyFont="1" applyFill="1" applyBorder="1" applyAlignment="1">
      <alignment horizontal="center" vertical="center"/>
    </xf>
    <xf numFmtId="0" fontId="8" fillId="13" borderId="31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vertical="center"/>
    </xf>
    <xf numFmtId="0" fontId="2" fillId="19" borderId="12" xfId="0" applyFont="1" applyFill="1" applyBorder="1" applyAlignment="1">
      <alignment vertical="center"/>
    </xf>
    <xf numFmtId="0" fontId="1" fillId="19" borderId="3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0" fillId="14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29" borderId="7" xfId="0" applyFont="1" applyFill="1" applyBorder="1" applyAlignment="1">
      <alignment horizontal="center" vertical="center"/>
    </xf>
    <xf numFmtId="0" fontId="1" fillId="29" borderId="8" xfId="0" applyFont="1" applyFill="1" applyBorder="1" applyAlignment="1">
      <alignment horizontal="center" vertical="center"/>
    </xf>
    <xf numFmtId="0" fontId="2" fillId="29" borderId="9" xfId="0" applyFont="1" applyFill="1" applyBorder="1" applyAlignment="1">
      <alignment vertical="center"/>
    </xf>
    <xf numFmtId="0" fontId="6" fillId="18" borderId="3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vertical="center"/>
    </xf>
    <xf numFmtId="0" fontId="9" fillId="18" borderId="5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1" fillId="2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" fontId="1" fillId="29" borderId="7" xfId="0" applyNumberFormat="1" applyFont="1" applyFill="1" applyBorder="1" applyAlignment="1">
      <alignment horizontal="center" vertical="center"/>
    </xf>
    <xf numFmtId="1" fontId="1" fillId="29" borderId="8" xfId="0" applyNumberFormat="1" applyFont="1" applyFill="1" applyBorder="1" applyAlignment="1">
      <alignment horizontal="center" vertical="center"/>
    </xf>
    <xf numFmtId="1" fontId="2" fillId="29" borderId="9" xfId="0" applyNumberFormat="1" applyFont="1" applyFill="1" applyBorder="1" applyAlignment="1">
      <alignment vertical="center"/>
    </xf>
    <xf numFmtId="1" fontId="0" fillId="30" borderId="36" xfId="0" applyNumberFormat="1" applyFill="1" applyBorder="1" applyAlignment="1">
      <alignment horizontal="center" vertical="center"/>
    </xf>
    <xf numFmtId="1" fontId="0" fillId="30" borderId="38" xfId="0" applyNumberFormat="1" applyFill="1" applyBorder="1" applyAlignment="1">
      <alignment horizontal="center" vertical="center"/>
    </xf>
    <xf numFmtId="1" fontId="0" fillId="30" borderId="30" xfId="0" applyNumberFormat="1" applyFill="1" applyBorder="1" applyAlignment="1">
      <alignment horizontal="center" vertical="center"/>
    </xf>
    <xf numFmtId="0" fontId="9" fillId="0" borderId="16" xfId="0" applyFont="1" applyBorder="1" applyAlignment="1"/>
    <xf numFmtId="0" fontId="2" fillId="21" borderId="4" xfId="0" applyFont="1" applyFill="1" applyBorder="1" applyAlignment="1"/>
    <xf numFmtId="0" fontId="2" fillId="21" borderId="5" xfId="0" applyFont="1" applyFill="1" applyBorder="1" applyAlignment="1"/>
    <xf numFmtId="0" fontId="2" fillId="19" borderId="5" xfId="0" applyFont="1" applyFill="1" applyBorder="1" applyAlignment="1"/>
    <xf numFmtId="0" fontId="2" fillId="17" borderId="5" xfId="0" applyFont="1" applyFill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10" borderId="4" xfId="0" applyFont="1" applyFill="1" applyBorder="1" applyAlignment="1"/>
    <xf numFmtId="0" fontId="2" fillId="10" borderId="5" xfId="0" applyFont="1" applyFill="1" applyBorder="1" applyAlignment="1"/>
    <xf numFmtId="0" fontId="2" fillId="26" borderId="4" xfId="0" applyFont="1" applyFill="1" applyBorder="1" applyAlignment="1"/>
    <xf numFmtId="0" fontId="2" fillId="26" borderId="5" xfId="0" applyFont="1" applyFill="1" applyBorder="1" applyAlignment="1"/>
    <xf numFmtId="0" fontId="2" fillId="33" borderId="4" xfId="0" applyFont="1" applyFill="1" applyBorder="1" applyAlignment="1"/>
    <xf numFmtId="0" fontId="2" fillId="33" borderId="6" xfId="0" applyFont="1" applyFill="1" applyBorder="1" applyAlignment="1"/>
    <xf numFmtId="0" fontId="2" fillId="33" borderId="5" xfId="0" applyFont="1" applyFill="1" applyBorder="1" applyAlignment="1"/>
    <xf numFmtId="0" fontId="2" fillId="0" borderId="6" xfId="0" applyFont="1" applyBorder="1" applyAlignment="1"/>
    <xf numFmtId="0" fontId="2" fillId="0" borderId="13" xfId="0" applyFont="1" applyBorder="1" applyAlignment="1"/>
    <xf numFmtId="0" fontId="2" fillId="0" borderId="10" xfId="0" applyFont="1" applyBorder="1" applyAlignment="1"/>
    <xf numFmtId="0" fontId="2" fillId="0" borderId="14" xfId="0" applyFont="1" applyBorder="1" applyAlignment="1"/>
    <xf numFmtId="0" fontId="0" fillId="0" borderId="0" xfId="0" applyAlignment="1"/>
    <xf numFmtId="0" fontId="2" fillId="0" borderId="15" xfId="0" applyFont="1" applyBorder="1" applyAlignment="1"/>
    <xf numFmtId="0" fontId="1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42-4498-8CB0-3544638873B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C42-4498-8CB0-3544638873B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C42-4498-8CB0-3544638873B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C42-4498-8CB0-3544638873BF}"/>
              </c:ext>
            </c:extLst>
          </c:dPt>
          <c:cat>
            <c:strRef>
              <c:f>Calculations!$AA$64:$AA$67</c:f>
              <c:strCache>
                <c:ptCount val="4"/>
                <c:pt idx="0">
                  <c:v>OPEX</c:v>
                </c:pt>
                <c:pt idx="1">
                  <c:v>VOYAGE</c:v>
                </c:pt>
                <c:pt idx="2">
                  <c:v>CARGO HAND</c:v>
                </c:pt>
                <c:pt idx="3">
                  <c:v>CAPITAL</c:v>
                </c:pt>
              </c:strCache>
            </c:strRef>
          </c:cat>
          <c:val>
            <c:numRef>
              <c:f>Calculations!$AB$64:$AB$67</c:f>
              <c:numCache>
                <c:formatCode>#,##0.0</c:formatCode>
                <c:ptCount val="4"/>
                <c:pt idx="0">
                  <c:v>14056.000693177381</c:v>
                </c:pt>
                <c:pt idx="1">
                  <c:v>336646.70920733083</c:v>
                </c:pt>
                <c:pt idx="2">
                  <c:v>185878.37837837837</c:v>
                </c:pt>
                <c:pt idx="3">
                  <c:v>162908.46054807931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4-4895-8D44-163822D11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771525</xdr:colOff>
      <xdr:row>10</xdr:row>
      <xdr:rowOff>0</xdr:rowOff>
    </xdr:from>
    <xdr:ext cx="5505450" cy="2943225"/>
    <xdr:pic>
      <xdr:nvPicPr>
        <xdr:cNvPr id="4" name="image4.png" title="Image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47300" y="2000250"/>
          <a:ext cx="5505450" cy="2943225"/>
        </a:xfrm>
        <a:prstGeom prst="rect">
          <a:avLst/>
        </a:prstGeom>
        <a:noFill/>
      </xdr:spPr>
    </xdr:pic>
    <xdr:clientData fLocksWithSheet="0"/>
  </xdr:oneCellAnchor>
  <xdr:twoCellAnchor>
    <xdr:from>
      <xdr:col>25</xdr:col>
      <xdr:colOff>910478</xdr:colOff>
      <xdr:row>42</xdr:row>
      <xdr:rowOff>7844</xdr:rowOff>
    </xdr:from>
    <xdr:to>
      <xdr:col>30</xdr:col>
      <xdr:colOff>672353</xdr:colOff>
      <xdr:row>61</xdr:row>
      <xdr:rowOff>150719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86BD24-8DC4-4098-9B5C-8B30498AF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C119"/>
  <sheetViews>
    <sheetView tabSelected="1" topLeftCell="R50" zoomScale="78" zoomScaleNormal="78" workbookViewId="0">
      <selection activeCell="X67" sqref="X67"/>
    </sheetView>
  </sheetViews>
  <sheetFormatPr defaultColWidth="14.42578125" defaultRowHeight="15.75" customHeight="1"/>
  <cols>
    <col min="2" max="2" width="42.7109375" customWidth="1"/>
    <col min="3" max="3" width="48.5703125" customWidth="1"/>
    <col min="4" max="4" width="12.42578125" customWidth="1"/>
    <col min="5" max="5" width="6.140625" customWidth="1"/>
    <col min="6" max="6" width="36.7109375" customWidth="1"/>
    <col min="7" max="7" width="28.85546875" customWidth="1"/>
    <col min="12" max="12" width="70.5703125" customWidth="1"/>
    <col min="14" max="14" width="26.7109375" customWidth="1"/>
    <col min="15" max="15" width="19.5703125" customWidth="1"/>
    <col min="16" max="16" width="18.42578125" customWidth="1"/>
    <col min="17" max="17" width="18.7109375" customWidth="1"/>
    <col min="18" max="18" width="17.140625" customWidth="1"/>
    <col min="19" max="19" width="28.7109375" customWidth="1"/>
    <col min="23" max="23" width="18.28515625" customWidth="1"/>
    <col min="24" max="24" width="20.140625" customWidth="1"/>
    <col min="25" max="25" width="31.42578125" customWidth="1"/>
  </cols>
  <sheetData>
    <row r="1" spans="2:26" ht="15.75" customHeight="1">
      <c r="F1" s="2"/>
      <c r="G1" s="2"/>
      <c r="H1" s="2"/>
    </row>
    <row r="2" spans="2:26" ht="15.75" customHeight="1">
      <c r="B2" s="246" t="s">
        <v>0</v>
      </c>
      <c r="C2" s="272"/>
      <c r="D2" s="272"/>
      <c r="E2" s="44"/>
      <c r="F2" s="245" t="s">
        <v>1</v>
      </c>
      <c r="G2" s="245"/>
      <c r="H2" s="245"/>
      <c r="I2" s="245"/>
      <c r="J2" s="245"/>
      <c r="K2" s="245"/>
      <c r="L2" s="245"/>
      <c r="N2" s="249" t="s">
        <v>2</v>
      </c>
      <c r="O2" s="76" t="s">
        <v>3</v>
      </c>
      <c r="P2" s="5">
        <f>C17</f>
        <v>18.399999999999999</v>
      </c>
      <c r="Q2" s="55" t="s">
        <v>4</v>
      </c>
      <c r="R2" s="5">
        <f>G4</f>
        <v>17049.669999999998</v>
      </c>
      <c r="S2" s="242" t="s">
        <v>5</v>
      </c>
      <c r="T2" s="273"/>
      <c r="U2" s="273"/>
      <c r="V2" s="274"/>
      <c r="X2" s="1"/>
      <c r="Y2" s="1"/>
    </row>
    <row r="3" spans="2:26" ht="15.75" customHeight="1">
      <c r="B3" s="48" t="s">
        <v>6</v>
      </c>
      <c r="C3" s="205" t="s">
        <v>7</v>
      </c>
      <c r="D3" s="206"/>
      <c r="F3" s="49" t="s">
        <v>8</v>
      </c>
      <c r="G3" s="238" t="s">
        <v>9</v>
      </c>
      <c r="H3" s="239"/>
      <c r="I3" s="239"/>
      <c r="J3" s="239"/>
      <c r="K3" s="239"/>
      <c r="L3" s="240"/>
      <c r="N3" s="250"/>
      <c r="O3" s="76" t="s">
        <v>10</v>
      </c>
      <c r="P3" s="5">
        <f t="shared" ref="P3" si="0">C20</f>
        <v>20.239999999999998</v>
      </c>
      <c r="Q3" s="55" t="s">
        <v>11</v>
      </c>
      <c r="R3" s="5">
        <f>R2</f>
        <v>17049.669999999998</v>
      </c>
      <c r="S3" s="241" t="s">
        <v>12</v>
      </c>
      <c r="T3" s="275"/>
      <c r="U3" s="243" t="s">
        <v>13</v>
      </c>
      <c r="V3" s="276"/>
      <c r="X3" s="1"/>
      <c r="Y3" s="1"/>
    </row>
    <row r="4" spans="2:26" ht="15.75" customHeight="1">
      <c r="B4" s="3" t="s">
        <v>14</v>
      </c>
      <c r="C4" s="196">
        <v>2017</v>
      </c>
      <c r="D4" s="244"/>
      <c r="F4" s="50" t="s">
        <v>15</v>
      </c>
      <c r="G4" s="73">
        <v>17049.669999999998</v>
      </c>
      <c r="H4" s="51" t="s">
        <v>16</v>
      </c>
      <c r="I4" s="51"/>
      <c r="J4" s="51"/>
      <c r="K4" s="51"/>
      <c r="L4" s="51"/>
      <c r="N4" s="250"/>
      <c r="O4" s="252" t="s">
        <v>17</v>
      </c>
      <c r="P4" s="26">
        <f>G14*0.75</f>
        <v>151284.81412390445</v>
      </c>
      <c r="Q4" s="5" t="s">
        <v>18</v>
      </c>
      <c r="R4" s="5"/>
      <c r="S4" s="85" t="s">
        <v>19</v>
      </c>
      <c r="T4" s="55" t="s">
        <v>20</v>
      </c>
      <c r="U4" s="86" t="s">
        <v>21</v>
      </c>
      <c r="V4" s="76" t="s">
        <v>22</v>
      </c>
      <c r="X4" s="1"/>
      <c r="Y4" s="1"/>
    </row>
    <row r="5" spans="2:26" ht="15.75" customHeight="1">
      <c r="B5" s="3" t="s">
        <v>23</v>
      </c>
      <c r="C5" s="196" t="s">
        <v>24</v>
      </c>
      <c r="D5" s="244"/>
      <c r="F5" s="75" t="s">
        <v>25</v>
      </c>
      <c r="G5" s="72">
        <f>G4/(24*C17)</f>
        <v>38.608854166666667</v>
      </c>
      <c r="H5" s="51" t="s">
        <v>26</v>
      </c>
      <c r="I5" s="51"/>
      <c r="J5" s="51"/>
      <c r="K5" s="51"/>
      <c r="L5" s="51"/>
      <c r="N5" s="251"/>
      <c r="O5" s="253"/>
      <c r="P5" s="26">
        <v>15000</v>
      </c>
      <c r="Q5" s="5" t="s">
        <v>27</v>
      </c>
      <c r="R5" s="5"/>
      <c r="S5" s="14">
        <f>C28</f>
        <v>106.770144</v>
      </c>
      <c r="T5" s="14">
        <f>G20</f>
        <v>16.224</v>
      </c>
      <c r="U5" s="14">
        <f>G21</f>
        <v>8.1120000000000001</v>
      </c>
      <c r="V5" s="14">
        <f>T5</f>
        <v>16.224</v>
      </c>
    </row>
    <row r="6" spans="2:26" ht="15.75" customHeight="1">
      <c r="B6" s="3" t="s">
        <v>28</v>
      </c>
      <c r="C6" s="196" t="s">
        <v>29</v>
      </c>
      <c r="D6" s="244"/>
      <c r="F6" s="52" t="s">
        <v>30</v>
      </c>
      <c r="G6" s="53">
        <f>G4/(C20*24)</f>
        <v>35.098958333333329</v>
      </c>
      <c r="H6" s="51" t="s">
        <v>26</v>
      </c>
      <c r="I6" s="51"/>
      <c r="J6" s="51"/>
      <c r="K6" s="51"/>
      <c r="L6" s="51"/>
      <c r="N6" s="150" t="s">
        <v>31</v>
      </c>
      <c r="O6" s="277"/>
      <c r="P6" s="277"/>
      <c r="Q6" s="278"/>
      <c r="R6" s="5"/>
      <c r="S6" s="14">
        <f>C28</f>
        <v>106.770144</v>
      </c>
      <c r="T6" s="14">
        <f>G20</f>
        <v>16.224</v>
      </c>
      <c r="U6" s="65"/>
      <c r="V6" s="65"/>
    </row>
    <row r="7" spans="2:26" ht="15.75" customHeight="1">
      <c r="B7" s="247" t="s">
        <v>32</v>
      </c>
      <c r="C7" s="222"/>
      <c r="D7" s="248"/>
      <c r="F7" s="52" t="s">
        <v>33</v>
      </c>
      <c r="G7" s="53">
        <f>C28*(G5)</f>
        <v>4122.2729190500004</v>
      </c>
      <c r="H7" s="51" t="s">
        <v>34</v>
      </c>
      <c r="I7" s="54"/>
      <c r="J7" s="54"/>
      <c r="K7" s="54"/>
      <c r="L7" s="54"/>
      <c r="N7" s="167" t="s">
        <v>35</v>
      </c>
      <c r="O7" s="279"/>
      <c r="P7" s="279"/>
      <c r="Q7" s="280"/>
      <c r="R7" s="5"/>
      <c r="S7" s="5" t="s">
        <v>36</v>
      </c>
      <c r="T7" s="5" t="s">
        <v>37</v>
      </c>
      <c r="U7" s="5" t="s">
        <v>38</v>
      </c>
      <c r="V7" s="5" t="s">
        <v>39</v>
      </c>
      <c r="Z7" s="1" t="s">
        <v>40</v>
      </c>
    </row>
    <row r="8" spans="2:26" ht="15.75" customHeight="1">
      <c r="B8" s="3" t="s">
        <v>41</v>
      </c>
      <c r="C8" s="4">
        <v>399</v>
      </c>
      <c r="D8" s="4" t="s">
        <v>42</v>
      </c>
      <c r="F8" s="52" t="s">
        <v>43</v>
      </c>
      <c r="G8" s="53">
        <f>C28*(G6)</f>
        <v>3747.5208354999995</v>
      </c>
      <c r="H8" s="51" t="s">
        <v>34</v>
      </c>
      <c r="I8" s="54"/>
      <c r="J8" s="54"/>
      <c r="K8" s="54">
        <f>300000</f>
        <v>300000</v>
      </c>
      <c r="L8" s="54" t="s">
        <v>44</v>
      </c>
      <c r="N8" s="5"/>
      <c r="O8" s="5"/>
      <c r="P8" s="5"/>
      <c r="Q8" s="8"/>
      <c r="R8" s="8" t="s">
        <v>45</v>
      </c>
      <c r="S8" s="8">
        <f t="shared" ref="S8:S9" si="1">R2</f>
        <v>17049.669999999998</v>
      </c>
      <c r="T8" s="14">
        <f>S8/(P2*24)</f>
        <v>38.608854166666667</v>
      </c>
      <c r="U8" s="14">
        <f t="shared" ref="U8:U9" si="2">S5*T8</f>
        <v>4122.2729190500004</v>
      </c>
      <c r="V8" s="14">
        <f t="shared" ref="V8:V9" si="3">T8*T5</f>
        <v>626.39004999999997</v>
      </c>
      <c r="Z8" s="1" t="s">
        <v>46</v>
      </c>
    </row>
    <row r="9" spans="2:26" ht="15.75" customHeight="1">
      <c r="B9" s="3" t="s">
        <v>47</v>
      </c>
      <c r="C9" s="4">
        <v>378.5</v>
      </c>
      <c r="D9" s="4" t="s">
        <v>42</v>
      </c>
      <c r="F9" s="52" t="s">
        <v>48</v>
      </c>
      <c r="G9" s="53">
        <f>G7*0.04</f>
        <v>164.89091676200002</v>
      </c>
      <c r="H9" s="51" t="s">
        <v>34</v>
      </c>
      <c r="I9" s="54"/>
      <c r="J9" s="54"/>
      <c r="K9" s="54"/>
      <c r="L9" s="54"/>
      <c r="N9" s="5"/>
      <c r="O9" s="14"/>
      <c r="P9" s="5"/>
      <c r="Q9" s="5"/>
      <c r="R9" s="5" t="s">
        <v>49</v>
      </c>
      <c r="S9" s="5">
        <f t="shared" si="1"/>
        <v>17049.669999999998</v>
      </c>
      <c r="T9" s="14">
        <f>S9/(P3*24)</f>
        <v>35.098958333333329</v>
      </c>
      <c r="U9" s="14">
        <f t="shared" si="2"/>
        <v>3747.5208354999995</v>
      </c>
      <c r="V9" s="14">
        <f t="shared" si="3"/>
        <v>569.44549999999992</v>
      </c>
      <c r="Z9" s="1" t="s">
        <v>50</v>
      </c>
    </row>
    <row r="10" spans="2:26" ht="15.75" customHeight="1">
      <c r="B10" s="3" t="s">
        <v>51</v>
      </c>
      <c r="C10" s="4">
        <v>58.6</v>
      </c>
      <c r="D10" s="4" t="s">
        <v>42</v>
      </c>
      <c r="F10" s="55" t="s">
        <v>52</v>
      </c>
      <c r="G10" s="19">
        <f>0.06*(G7+G9)</f>
        <v>257.22983014872005</v>
      </c>
      <c r="H10" s="51" t="s">
        <v>34</v>
      </c>
      <c r="I10" s="6"/>
      <c r="J10" s="6"/>
      <c r="K10" s="6"/>
      <c r="L10" s="6"/>
      <c r="N10" s="263" t="s">
        <v>53</v>
      </c>
      <c r="O10" s="281"/>
      <c r="P10" s="281"/>
      <c r="Q10" s="282"/>
      <c r="R10" s="5"/>
      <c r="S10" s="5"/>
      <c r="T10" s="5">
        <v>0</v>
      </c>
      <c r="U10" s="14">
        <f>S5*T10</f>
        <v>0</v>
      </c>
      <c r="V10" s="14">
        <f>T5*T10</f>
        <v>0</v>
      </c>
    </row>
    <row r="11" spans="2:26" ht="15.75" customHeight="1">
      <c r="B11" s="3" t="s">
        <v>54</v>
      </c>
      <c r="C11" s="4">
        <v>33.200000000000003</v>
      </c>
      <c r="D11" s="4" t="s">
        <v>42</v>
      </c>
      <c r="F11" s="55" t="s">
        <v>55</v>
      </c>
      <c r="G11" s="19">
        <f>C101*0.5</f>
        <v>14</v>
      </c>
      <c r="H11" s="51" t="s">
        <v>34</v>
      </c>
      <c r="I11" s="56"/>
      <c r="J11" s="56"/>
      <c r="K11" s="56"/>
      <c r="L11" s="56"/>
      <c r="N11" s="5" t="s">
        <v>56</v>
      </c>
      <c r="O11" s="5" t="s">
        <v>57</v>
      </c>
      <c r="P11" s="14">
        <f>P5*0.159/(15000*24)</f>
        <v>6.6249999999999998E-3</v>
      </c>
      <c r="Q11" s="5" t="s">
        <v>58</v>
      </c>
      <c r="R11" s="14">
        <f>P11</f>
        <v>6.6249999999999998E-3</v>
      </c>
      <c r="S11" s="5"/>
      <c r="T11" s="14">
        <f>SUM(P11,R11)</f>
        <v>1.325E-2</v>
      </c>
      <c r="U11" s="5"/>
      <c r="V11" s="14">
        <f>T5*T11</f>
        <v>0.21496799999999999</v>
      </c>
    </row>
    <row r="12" spans="2:26" ht="15.75" customHeight="1">
      <c r="B12" s="3" t="s">
        <v>59</v>
      </c>
      <c r="C12" s="36" t="s">
        <v>60</v>
      </c>
      <c r="D12" s="4" t="s">
        <v>42</v>
      </c>
      <c r="F12" s="55"/>
      <c r="G12" s="19"/>
      <c r="H12" s="51"/>
      <c r="I12" s="56"/>
      <c r="J12" s="56"/>
      <c r="K12" s="56"/>
      <c r="L12" s="56"/>
      <c r="N12" s="41"/>
      <c r="O12" s="66"/>
      <c r="P12" s="67"/>
      <c r="Q12" s="66"/>
      <c r="R12" s="68"/>
      <c r="S12" s="5"/>
      <c r="T12" s="14"/>
      <c r="U12" s="5"/>
      <c r="V12" s="14"/>
    </row>
    <row r="13" spans="2:26" ht="15.75" customHeight="1">
      <c r="B13" s="3" t="s">
        <v>61</v>
      </c>
      <c r="C13" s="4">
        <v>15.5</v>
      </c>
      <c r="D13" s="4" t="s">
        <v>42</v>
      </c>
      <c r="F13" s="55" t="s">
        <v>62</v>
      </c>
      <c r="G13" s="19">
        <v>0</v>
      </c>
      <c r="H13" s="51" t="s">
        <v>34</v>
      </c>
      <c r="I13" s="56"/>
      <c r="J13" s="56"/>
      <c r="K13" s="56"/>
      <c r="L13" s="56"/>
      <c r="N13" s="167" t="s">
        <v>63</v>
      </c>
      <c r="O13" s="279"/>
      <c r="P13" s="279"/>
      <c r="Q13" s="279"/>
      <c r="R13" s="280"/>
      <c r="S13" s="5"/>
      <c r="T13" s="69">
        <f>SUM(T8:T11)</f>
        <v>73.721062499999988</v>
      </c>
      <c r="U13" s="69">
        <f>SUM(U8:U10)</f>
        <v>7869.7937545499999</v>
      </c>
      <c r="V13" s="69">
        <f>SUM(V8:V11)</f>
        <v>1196.0505179999998</v>
      </c>
    </row>
    <row r="14" spans="2:26" ht="15.75" customHeight="1">
      <c r="B14" s="40" t="s">
        <v>64</v>
      </c>
      <c r="C14" s="70">
        <v>210019</v>
      </c>
      <c r="D14" s="4" t="s">
        <v>34</v>
      </c>
      <c r="F14" s="55" t="s">
        <v>17</v>
      </c>
      <c r="G14" s="19">
        <f>C14-SUM(G7:G13)</f>
        <v>201713.08549853927</v>
      </c>
      <c r="H14" s="51" t="s">
        <v>34</v>
      </c>
      <c r="I14" s="56"/>
      <c r="J14" s="56"/>
      <c r="K14" s="56"/>
      <c r="L14" s="56"/>
      <c r="N14" s="5"/>
      <c r="O14" s="5"/>
      <c r="P14" s="5"/>
      <c r="Q14" s="5"/>
      <c r="R14" s="5"/>
      <c r="S14" s="5"/>
      <c r="T14" s="5"/>
      <c r="U14" s="5"/>
      <c r="V14" s="5"/>
    </row>
    <row r="15" spans="2:26" ht="15.75" customHeight="1">
      <c r="B15" s="42" t="s">
        <v>65</v>
      </c>
      <c r="C15" s="43" t="s">
        <v>66</v>
      </c>
      <c r="D15" s="4" t="s">
        <v>34</v>
      </c>
      <c r="F15" s="55" t="s">
        <v>67</v>
      </c>
      <c r="G15" s="20">
        <f>G14/C14</f>
        <v>0.96045160437169619</v>
      </c>
      <c r="H15" s="5"/>
      <c r="I15" s="56"/>
      <c r="J15" s="56"/>
      <c r="K15" s="56"/>
      <c r="L15" s="56"/>
      <c r="N15" s="167" t="s">
        <v>68</v>
      </c>
      <c r="O15" s="279"/>
      <c r="P15" s="279"/>
      <c r="Q15" s="279"/>
      <c r="R15" s="279"/>
      <c r="S15" s="280"/>
      <c r="T15" s="5"/>
      <c r="U15" s="5"/>
      <c r="V15" s="5"/>
    </row>
    <row r="16" spans="2:26" ht="15.75" customHeight="1">
      <c r="B16" s="260" t="s">
        <v>69</v>
      </c>
      <c r="C16" s="261"/>
      <c r="D16" s="248"/>
      <c r="N16" s="262" t="s">
        <v>70</v>
      </c>
      <c r="O16" s="283"/>
      <c r="P16" s="283"/>
      <c r="Q16" s="283"/>
      <c r="R16" s="283"/>
      <c r="S16" s="284"/>
      <c r="T16" s="5"/>
      <c r="U16" s="5"/>
      <c r="V16" s="5"/>
    </row>
    <row r="17" spans="2:23" ht="15.75" customHeight="1">
      <c r="B17" s="3" t="s">
        <v>71</v>
      </c>
      <c r="C17" s="4">
        <v>18.399999999999999</v>
      </c>
      <c r="D17" s="4" t="s">
        <v>72</v>
      </c>
      <c r="F17" s="257" t="s">
        <v>73</v>
      </c>
      <c r="G17" s="258"/>
      <c r="H17" s="259"/>
      <c r="N17" s="115" t="s">
        <v>74</v>
      </c>
      <c r="O17" s="115" t="s">
        <v>75</v>
      </c>
      <c r="P17" s="115" t="s">
        <v>76</v>
      </c>
      <c r="Q17" s="117" t="s">
        <v>77</v>
      </c>
      <c r="R17" s="115" t="s">
        <v>78</v>
      </c>
      <c r="S17" s="117" t="s">
        <v>79</v>
      </c>
      <c r="T17" s="5"/>
      <c r="U17" s="5"/>
      <c r="V17" s="5"/>
    </row>
    <row r="18" spans="2:23" ht="15.75" customHeight="1">
      <c r="B18" s="3"/>
      <c r="C18" s="4"/>
      <c r="D18" s="4"/>
      <c r="F18" s="81"/>
      <c r="G18" s="82"/>
      <c r="H18" s="83"/>
      <c r="N18" s="174" t="s">
        <v>80</v>
      </c>
      <c r="O18" s="90" t="s">
        <v>81</v>
      </c>
      <c r="P18" s="127">
        <f>29640*F101*E106/1000</f>
        <v>312.7942133333334</v>
      </c>
      <c r="Q18" s="107">
        <v>433</v>
      </c>
      <c r="R18" s="137">
        <f t="shared" ref="R18:R28" si="4">P18*Q18</f>
        <v>135439.89437333337</v>
      </c>
      <c r="S18" s="177">
        <f>SUM(R20:R21)</f>
        <v>9789568.0416466668</v>
      </c>
      <c r="T18" s="22"/>
      <c r="U18" s="5"/>
      <c r="V18" s="5"/>
    </row>
    <row r="19" spans="2:23" ht="15.75" customHeight="1">
      <c r="B19" s="3"/>
      <c r="C19" s="4"/>
      <c r="D19" s="4"/>
      <c r="F19" s="81"/>
      <c r="G19" s="82"/>
      <c r="H19" s="83"/>
      <c r="N19" s="175"/>
      <c r="O19" s="90" t="s">
        <v>82</v>
      </c>
      <c r="P19" s="127">
        <f>29640*F101*E110/1000</f>
        <v>3843.9737266666675</v>
      </c>
      <c r="Q19" s="107">
        <v>433</v>
      </c>
      <c r="R19" s="137">
        <f t="shared" si="4"/>
        <v>1664440.623646667</v>
      </c>
      <c r="S19" s="177"/>
      <c r="T19" s="22"/>
      <c r="U19" s="5"/>
      <c r="V19" s="5"/>
    </row>
    <row r="20" spans="2:23" ht="15.75" customHeight="1">
      <c r="B20" s="3" t="s">
        <v>83</v>
      </c>
      <c r="C20" s="4">
        <v>20.239999999999998</v>
      </c>
      <c r="D20" s="4" t="s">
        <v>72</v>
      </c>
      <c r="F20" s="55" t="s">
        <v>84</v>
      </c>
      <c r="G20" s="14">
        <f>2000*2*24*0.169/1000</f>
        <v>16.224</v>
      </c>
      <c r="H20" s="5" t="s">
        <v>85</v>
      </c>
      <c r="I20" s="74" t="s">
        <v>86</v>
      </c>
      <c r="N20" s="175"/>
      <c r="O20" s="90" t="s">
        <v>87</v>
      </c>
      <c r="P20" s="136">
        <f>29640*F101*E112/1000</f>
        <v>588.01972666666666</v>
      </c>
      <c r="Q20" s="109">
        <v>433</v>
      </c>
      <c r="R20" s="138">
        <f t="shared" si="4"/>
        <v>254612.54164666665</v>
      </c>
      <c r="S20" s="177"/>
      <c r="T20" s="114">
        <v>44560</v>
      </c>
      <c r="U20" s="5"/>
      <c r="V20" s="5"/>
      <c r="W20" s="12"/>
    </row>
    <row r="21" spans="2:23" ht="15.75" customHeight="1">
      <c r="B21" s="3"/>
      <c r="C21" s="4"/>
      <c r="D21" s="4"/>
      <c r="F21" s="55" t="s">
        <v>88</v>
      </c>
      <c r="G21" s="14">
        <f>2000*24*0.169/1000</f>
        <v>8.1120000000000001</v>
      </c>
      <c r="H21" s="5"/>
      <c r="I21" s="54"/>
      <c r="N21" s="176"/>
      <c r="O21" s="90" t="s">
        <v>89</v>
      </c>
      <c r="P21" s="127">
        <v>18161.82</v>
      </c>
      <c r="Q21" s="107">
        <v>525</v>
      </c>
      <c r="R21" s="139">
        <f t="shared" si="4"/>
        <v>9534955.5</v>
      </c>
      <c r="S21" s="177"/>
      <c r="T21" s="114">
        <v>44560</v>
      </c>
      <c r="U21" s="5"/>
      <c r="V21" s="5"/>
      <c r="W21" s="12"/>
    </row>
    <row r="22" spans="2:23" ht="15.75" customHeight="1">
      <c r="B22" s="3" t="s">
        <v>90</v>
      </c>
      <c r="C22" s="4">
        <v>18000</v>
      </c>
      <c r="D22" s="4" t="s">
        <v>91</v>
      </c>
      <c r="F22" s="55" t="s">
        <v>92</v>
      </c>
      <c r="G22" s="14">
        <f>3*2000*0.9*24*0.169/1000</f>
        <v>21.9024</v>
      </c>
      <c r="H22" s="5"/>
      <c r="I22" s="7"/>
      <c r="N22" s="148"/>
      <c r="O22" s="149"/>
      <c r="P22" s="149"/>
      <c r="Q22" s="149"/>
      <c r="R22" s="149"/>
      <c r="S22" s="156"/>
      <c r="T22" s="71"/>
      <c r="U22" s="5"/>
      <c r="V22" s="5"/>
      <c r="W22" s="12"/>
    </row>
    <row r="23" spans="2:23" ht="15.75" customHeight="1">
      <c r="B23" s="3" t="s">
        <v>93</v>
      </c>
      <c r="C23" s="4">
        <v>25660</v>
      </c>
      <c r="D23" s="4" t="s">
        <v>94</v>
      </c>
      <c r="F23" s="55"/>
      <c r="G23" s="14"/>
      <c r="H23" s="5"/>
      <c r="N23" s="254" t="s">
        <v>95</v>
      </c>
      <c r="O23" s="93" t="s">
        <v>96</v>
      </c>
      <c r="P23" s="118">
        <f>29640*F101*E105/1000</f>
        <v>2.5045800000000003</v>
      </c>
      <c r="Q23" s="5">
        <v>801</v>
      </c>
      <c r="R23" s="118">
        <f t="shared" si="4"/>
        <v>2006.1685800000002</v>
      </c>
      <c r="S23" s="266">
        <f>SUM(R23:R28)</f>
        <v>253452.64282000001</v>
      </c>
      <c r="T23" s="71">
        <v>44560</v>
      </c>
      <c r="U23" s="5"/>
      <c r="V23" s="5"/>
      <c r="W23" s="12"/>
    </row>
    <row r="24" spans="2:23" ht="15.75" customHeight="1">
      <c r="B24" s="3"/>
      <c r="C24" s="4"/>
      <c r="D24" s="4"/>
      <c r="F24" s="6"/>
      <c r="G24" s="103"/>
      <c r="H24" s="6"/>
      <c r="N24" s="255"/>
      <c r="O24" s="93" t="s">
        <v>97</v>
      </c>
      <c r="P24" s="118">
        <f>29640*F101*E107/1000</f>
        <v>5.0091600000000005</v>
      </c>
      <c r="Q24" s="5">
        <v>801</v>
      </c>
      <c r="R24" s="118">
        <f t="shared" si="4"/>
        <v>4012.3371600000005</v>
      </c>
      <c r="S24" s="267"/>
      <c r="T24" s="71"/>
      <c r="U24" s="5"/>
      <c r="V24" s="5"/>
      <c r="W24" s="12"/>
    </row>
    <row r="25" spans="2:23" ht="15.75" customHeight="1">
      <c r="B25" s="3"/>
      <c r="C25" s="4"/>
      <c r="D25" s="4"/>
      <c r="F25" s="6"/>
      <c r="G25" s="103"/>
      <c r="H25" s="6"/>
      <c r="N25" s="255"/>
      <c r="O25" s="90" t="s">
        <v>98</v>
      </c>
      <c r="P25" s="118">
        <f>29640*F101*E108/1000</f>
        <v>242.10940000000005</v>
      </c>
      <c r="Q25" s="5">
        <v>682</v>
      </c>
      <c r="R25" s="118">
        <f t="shared" si="4"/>
        <v>165118.61080000002</v>
      </c>
      <c r="S25" s="267"/>
      <c r="T25" s="71">
        <v>44560</v>
      </c>
      <c r="U25" s="5"/>
      <c r="V25" s="5"/>
      <c r="W25" s="12"/>
    </row>
    <row r="26" spans="2:23" ht="15.75" customHeight="1">
      <c r="B26" s="3"/>
      <c r="C26" s="4"/>
      <c r="D26" s="4"/>
      <c r="F26" s="6"/>
      <c r="G26" s="103"/>
      <c r="H26" s="6"/>
      <c r="N26" s="255"/>
      <c r="O26" s="90" t="s">
        <v>99</v>
      </c>
      <c r="P26" s="118">
        <f>29640*F101*E109/1000</f>
        <v>50.091600000000007</v>
      </c>
      <c r="Q26" s="5">
        <v>771</v>
      </c>
      <c r="R26" s="118">
        <f t="shared" si="4"/>
        <v>38620.623600000006</v>
      </c>
      <c r="S26" s="267"/>
      <c r="T26" s="71">
        <v>44560</v>
      </c>
      <c r="U26" s="5"/>
      <c r="V26" s="5"/>
      <c r="W26" s="12"/>
    </row>
    <row r="27" spans="2:23" ht="15.75" customHeight="1">
      <c r="B27" s="3"/>
      <c r="C27" s="4"/>
      <c r="D27" s="4"/>
      <c r="F27" s="6"/>
      <c r="G27" s="103"/>
      <c r="H27" s="6"/>
      <c r="N27" s="255"/>
      <c r="O27" s="93" t="s">
        <v>100</v>
      </c>
      <c r="P27" s="118">
        <f>29640*F101*E113/1000</f>
        <v>5.0091600000000005</v>
      </c>
      <c r="Q27" s="5">
        <v>719</v>
      </c>
      <c r="R27" s="118">
        <f t="shared" si="4"/>
        <v>3601.5860400000001</v>
      </c>
      <c r="S27" s="267"/>
      <c r="T27" s="71">
        <v>44560</v>
      </c>
      <c r="U27" s="5"/>
      <c r="V27" s="5"/>
      <c r="W27" s="12"/>
    </row>
    <row r="28" spans="2:23" ht="15.75" customHeight="1">
      <c r="B28" s="47" t="s">
        <v>101</v>
      </c>
      <c r="C28" s="45">
        <f>26324*169*24/(10^6)</f>
        <v>106.770144</v>
      </c>
      <c r="D28" s="46" t="s">
        <v>102</v>
      </c>
      <c r="N28" s="256"/>
      <c r="O28" s="93" t="s">
        <v>103</v>
      </c>
      <c r="P28" s="118">
        <f>29640*F101*C113/1000</f>
        <v>60.10992000000001</v>
      </c>
      <c r="Q28" s="5">
        <v>667</v>
      </c>
      <c r="R28" s="118">
        <f t="shared" si="4"/>
        <v>40093.316640000005</v>
      </c>
      <c r="S28" s="268"/>
      <c r="T28" s="71">
        <v>44560</v>
      </c>
      <c r="U28" s="5"/>
      <c r="V28" s="5"/>
      <c r="W28" s="12"/>
    </row>
    <row r="29" spans="2:23" ht="15.75" customHeight="1">
      <c r="B29" s="247" t="s">
        <v>104</v>
      </c>
      <c r="C29" s="222"/>
      <c r="D29" s="248"/>
      <c r="N29" s="168"/>
      <c r="O29" s="265"/>
      <c r="P29" s="265"/>
      <c r="Q29" s="265"/>
      <c r="R29" s="197"/>
      <c r="S29" s="140">
        <f>S18+S23</f>
        <v>10043020.684466667</v>
      </c>
      <c r="T29" s="5"/>
      <c r="U29" s="5"/>
      <c r="V29" s="5"/>
    </row>
    <row r="30" spans="2:23" ht="15.75" customHeight="1">
      <c r="B30" s="3" t="s">
        <v>105</v>
      </c>
      <c r="C30" s="196" t="s">
        <v>106</v>
      </c>
      <c r="D30" s="197"/>
      <c r="N30" s="264" t="s">
        <v>107</v>
      </c>
      <c r="O30" s="285"/>
      <c r="P30" s="285"/>
      <c r="Q30" s="285"/>
      <c r="R30" s="286"/>
      <c r="S30" s="287"/>
      <c r="T30" s="5"/>
      <c r="U30" s="5"/>
      <c r="V30" s="5"/>
    </row>
    <row r="31" spans="2:23" ht="15.75" customHeight="1">
      <c r="B31" s="40"/>
      <c r="C31" s="78"/>
      <c r="D31" s="79"/>
      <c r="N31" s="146" t="s">
        <v>108</v>
      </c>
      <c r="O31" s="147"/>
      <c r="P31" s="147"/>
      <c r="Q31" s="147"/>
      <c r="R31" s="91" t="s">
        <v>109</v>
      </c>
      <c r="S31" s="152">
        <f>68.57*C8</f>
        <v>27359.429999999997</v>
      </c>
      <c r="T31" s="5"/>
      <c r="U31" s="5"/>
      <c r="V31" s="5"/>
    </row>
    <row r="32" spans="2:23" ht="15.75" customHeight="1">
      <c r="B32" s="40"/>
      <c r="C32" s="78"/>
      <c r="D32" s="79"/>
      <c r="N32" s="148"/>
      <c r="O32" s="149"/>
      <c r="P32" s="149"/>
      <c r="Q32" s="149"/>
      <c r="R32" s="91" t="s">
        <v>110</v>
      </c>
      <c r="S32" s="153"/>
      <c r="T32" s="5"/>
      <c r="U32" s="5"/>
      <c r="V32" s="5"/>
    </row>
    <row r="33" spans="2:22" ht="15.75" customHeight="1">
      <c r="B33" s="40"/>
      <c r="C33" s="78"/>
      <c r="D33" s="79"/>
      <c r="N33" s="148"/>
      <c r="O33" s="149"/>
      <c r="P33" s="149"/>
      <c r="Q33" s="149"/>
      <c r="R33" s="91" t="s">
        <v>111</v>
      </c>
      <c r="S33" s="153"/>
      <c r="T33" s="5"/>
      <c r="U33" s="5"/>
      <c r="V33" s="5"/>
    </row>
    <row r="34" spans="2:22" ht="15.75" customHeight="1">
      <c r="B34" s="192" t="s">
        <v>112</v>
      </c>
      <c r="C34" s="196" t="s">
        <v>113</v>
      </c>
      <c r="D34" s="197"/>
      <c r="N34" s="150"/>
      <c r="O34" s="151"/>
      <c r="P34" s="151"/>
      <c r="Q34" s="151"/>
      <c r="R34" s="98" t="s">
        <v>114</v>
      </c>
      <c r="S34" s="154"/>
      <c r="T34" s="5"/>
      <c r="U34" s="5"/>
      <c r="V34" s="5"/>
    </row>
    <row r="35" spans="2:22" ht="15.75" customHeight="1">
      <c r="B35" s="195"/>
      <c r="C35" s="78"/>
      <c r="D35" s="79"/>
      <c r="N35" s="146" t="s">
        <v>115</v>
      </c>
      <c r="O35" s="147"/>
      <c r="P35" s="147"/>
      <c r="Q35" s="155"/>
      <c r="R35" s="91" t="s">
        <v>109</v>
      </c>
      <c r="S35" s="158">
        <v>39164</v>
      </c>
      <c r="T35" s="5"/>
      <c r="U35" s="5"/>
      <c r="V35" s="5"/>
    </row>
    <row r="36" spans="2:22" ht="15.75" customHeight="1">
      <c r="B36" s="195"/>
      <c r="C36" s="78"/>
      <c r="D36" s="79"/>
      <c r="N36" s="148"/>
      <c r="O36" s="149"/>
      <c r="P36" s="149"/>
      <c r="Q36" s="156"/>
      <c r="R36" s="91" t="s">
        <v>110</v>
      </c>
      <c r="S36" s="159"/>
      <c r="T36" s="5"/>
      <c r="U36" s="5"/>
      <c r="V36" s="5"/>
    </row>
    <row r="37" spans="2:22" ht="15.75" customHeight="1">
      <c r="B37" s="195"/>
      <c r="C37" s="78"/>
      <c r="D37" s="79"/>
      <c r="N37" s="148"/>
      <c r="O37" s="149"/>
      <c r="P37" s="149"/>
      <c r="Q37" s="156"/>
      <c r="R37" s="91" t="s">
        <v>111</v>
      </c>
      <c r="S37" s="159"/>
      <c r="T37" s="5"/>
      <c r="U37" s="5"/>
      <c r="V37" s="5"/>
    </row>
    <row r="38" spans="2:22" ht="15.75" customHeight="1">
      <c r="B38" s="194"/>
      <c r="C38" s="196" t="s">
        <v>116</v>
      </c>
      <c r="D38" s="197"/>
      <c r="N38" s="150"/>
      <c r="O38" s="151"/>
      <c r="P38" s="151"/>
      <c r="Q38" s="157"/>
      <c r="R38" s="98" t="s">
        <v>114</v>
      </c>
      <c r="S38" s="160"/>
      <c r="T38" s="15"/>
      <c r="U38" s="15"/>
      <c r="V38" s="15"/>
    </row>
    <row r="39" spans="2:22" ht="15.75" customHeight="1">
      <c r="B39" s="77"/>
      <c r="C39" s="78"/>
      <c r="D39" s="79"/>
      <c r="N39" s="146" t="s">
        <v>117</v>
      </c>
      <c r="O39" s="147"/>
      <c r="P39" s="147"/>
      <c r="Q39" s="155"/>
      <c r="R39" s="91" t="s">
        <v>109</v>
      </c>
      <c r="S39" s="161">
        <f>(SUM(P18,P21)/0.85)*1000*25/30000</f>
        <v>18112.366875816992</v>
      </c>
      <c r="T39" s="15"/>
      <c r="U39" s="15"/>
      <c r="V39" s="15"/>
    </row>
    <row r="40" spans="2:22" ht="15.75" customHeight="1">
      <c r="B40" s="77"/>
      <c r="C40" s="78"/>
      <c r="D40" s="79"/>
      <c r="N40" s="148"/>
      <c r="O40" s="149"/>
      <c r="P40" s="149"/>
      <c r="Q40" s="156"/>
      <c r="R40" s="91" t="s">
        <v>110</v>
      </c>
      <c r="S40" s="162"/>
      <c r="T40" s="15"/>
      <c r="U40" s="15"/>
      <c r="V40" s="15"/>
    </row>
    <row r="41" spans="2:22" ht="15.75" customHeight="1">
      <c r="B41" s="192" t="s">
        <v>118</v>
      </c>
      <c r="C41" s="196" t="s">
        <v>119</v>
      </c>
      <c r="D41" s="197"/>
      <c r="N41" s="148"/>
      <c r="O41" s="149"/>
      <c r="P41" s="149"/>
      <c r="Q41" s="156"/>
      <c r="R41" s="91" t="s">
        <v>111</v>
      </c>
      <c r="S41" s="162"/>
      <c r="T41" s="15"/>
      <c r="U41" s="15"/>
      <c r="V41" s="15"/>
    </row>
    <row r="42" spans="2:22" ht="15.75" customHeight="1">
      <c r="B42" s="193"/>
      <c r="C42" s="196" t="s">
        <v>120</v>
      </c>
      <c r="D42" s="197"/>
      <c r="N42" s="150"/>
      <c r="O42" s="151"/>
      <c r="P42" s="151"/>
      <c r="Q42" s="157"/>
      <c r="R42" s="98" t="s">
        <v>114</v>
      </c>
      <c r="S42" s="163"/>
      <c r="T42" s="16"/>
      <c r="U42" s="15"/>
      <c r="V42" s="15"/>
    </row>
    <row r="43" spans="2:22" ht="15.75" customHeight="1">
      <c r="B43" s="193"/>
      <c r="C43" s="196" t="s">
        <v>121</v>
      </c>
      <c r="D43" s="197"/>
      <c r="N43" s="146" t="s">
        <v>122</v>
      </c>
      <c r="O43" s="288"/>
      <c r="P43" s="288"/>
      <c r="Q43" s="289"/>
      <c r="R43" s="169" t="s">
        <v>123</v>
      </c>
      <c r="S43" s="169" t="str">
        <f>G56</f>
        <v>835,224.84</v>
      </c>
      <c r="T43" s="15"/>
      <c r="V43" s="15"/>
    </row>
    <row r="44" spans="2:22" ht="15.75" customHeight="1">
      <c r="B44" s="193"/>
      <c r="C44" s="196" t="s">
        <v>124</v>
      </c>
      <c r="D44" s="197"/>
      <c r="F44" s="84" t="s">
        <v>125</v>
      </c>
      <c r="G44" s="84" t="s">
        <v>126</v>
      </c>
      <c r="N44" s="290"/>
      <c r="O44" s="277"/>
      <c r="P44" s="277"/>
      <c r="Q44" s="278"/>
      <c r="R44" s="170"/>
      <c r="S44" s="170"/>
      <c r="T44" s="16"/>
      <c r="U44" s="15"/>
      <c r="V44" s="15"/>
    </row>
    <row r="45" spans="2:22" ht="15.75" customHeight="1">
      <c r="B45" s="194"/>
      <c r="C45" s="196" t="s">
        <v>127</v>
      </c>
      <c r="D45" s="197"/>
      <c r="F45" s="84" t="s">
        <v>128</v>
      </c>
      <c r="G45" s="84" t="s">
        <v>129</v>
      </c>
      <c r="N45" s="210" t="s">
        <v>130</v>
      </c>
      <c r="O45" s="288"/>
      <c r="P45" s="288"/>
      <c r="Q45" s="289"/>
      <c r="R45" s="178" t="s">
        <v>131</v>
      </c>
      <c r="S45" s="169">
        <v>150000</v>
      </c>
      <c r="T45" s="15"/>
      <c r="U45" s="15"/>
      <c r="V45" s="15"/>
    </row>
    <row r="46" spans="2:22" ht="15.75" customHeight="1">
      <c r="B46" s="192" t="s">
        <v>132</v>
      </c>
      <c r="C46" s="196" t="s">
        <v>133</v>
      </c>
      <c r="D46" s="197"/>
      <c r="F46" s="84" t="s">
        <v>134</v>
      </c>
      <c r="G46" s="84" t="s">
        <v>135</v>
      </c>
      <c r="N46" s="290"/>
      <c r="O46" s="277"/>
      <c r="P46" s="277"/>
      <c r="Q46" s="278"/>
      <c r="R46" s="179"/>
      <c r="S46" s="170"/>
      <c r="T46" s="16"/>
      <c r="U46" s="15"/>
      <c r="V46" s="15"/>
    </row>
    <row r="47" spans="2:22" ht="15.75" customHeight="1">
      <c r="B47" s="193"/>
      <c r="C47" s="196" t="s">
        <v>136</v>
      </c>
      <c r="D47" s="197"/>
      <c r="F47" s="84" t="s">
        <v>137</v>
      </c>
      <c r="G47" s="84" t="s">
        <v>138</v>
      </c>
      <c r="N47" s="146" t="s">
        <v>139</v>
      </c>
      <c r="O47" s="288"/>
      <c r="P47" s="288"/>
      <c r="Q47" s="289"/>
      <c r="R47" s="169" t="s">
        <v>140</v>
      </c>
      <c r="S47" s="178">
        <f>60000*4</f>
        <v>240000</v>
      </c>
      <c r="T47" s="111"/>
      <c r="U47" s="15"/>
      <c r="V47" s="15"/>
    </row>
    <row r="48" spans="2:22" ht="15.75" customHeight="1">
      <c r="B48" s="194"/>
      <c r="C48" s="196" t="s">
        <v>141</v>
      </c>
      <c r="D48" s="197"/>
      <c r="F48" s="84" t="s">
        <v>142</v>
      </c>
      <c r="G48" s="84" t="s">
        <v>143</v>
      </c>
      <c r="N48" s="290"/>
      <c r="O48" s="277"/>
      <c r="P48" s="277"/>
      <c r="Q48" s="278"/>
      <c r="R48" s="170"/>
      <c r="S48" s="180"/>
      <c r="T48" s="112"/>
      <c r="U48" s="110"/>
      <c r="V48" s="15"/>
    </row>
    <row r="49" spans="2:29" ht="15.75" customHeight="1">
      <c r="B49" s="192" t="s">
        <v>144</v>
      </c>
      <c r="C49" s="196" t="s">
        <v>145</v>
      </c>
      <c r="D49" s="197"/>
      <c r="F49" s="84" t="s">
        <v>146</v>
      </c>
      <c r="G49" s="84" t="s">
        <v>147</v>
      </c>
      <c r="N49" s="168" t="s">
        <v>148</v>
      </c>
      <c r="O49" s="279"/>
      <c r="P49" s="279"/>
      <c r="Q49" s="280"/>
      <c r="R49" s="5" t="s">
        <v>140</v>
      </c>
      <c r="S49" s="14">
        <f>(4200+150000+5600)*4</f>
        <v>639200</v>
      </c>
    </row>
    <row r="50" spans="2:29" ht="15.75" customHeight="1">
      <c r="B50" s="193"/>
      <c r="C50" s="196" t="s">
        <v>149</v>
      </c>
      <c r="D50" s="197"/>
      <c r="F50" s="84" t="s">
        <v>150</v>
      </c>
      <c r="G50" s="84" t="s">
        <v>151</v>
      </c>
      <c r="N50" s="191" t="s">
        <v>152</v>
      </c>
      <c r="O50" s="279"/>
      <c r="P50" s="279"/>
      <c r="Q50" s="279"/>
      <c r="R50" s="280"/>
      <c r="S50" s="17">
        <f>SUM(S29,S31:S49,S55)</f>
        <v>24911856.481342483</v>
      </c>
    </row>
    <row r="51" spans="2:29" ht="15.75" customHeight="1">
      <c r="B51" s="193"/>
      <c r="C51" s="196" t="s">
        <v>153</v>
      </c>
      <c r="D51" s="197"/>
      <c r="F51" s="84" t="s">
        <v>154</v>
      </c>
      <c r="G51" s="84" t="s">
        <v>155</v>
      </c>
      <c r="N51" s="190" t="s">
        <v>156</v>
      </c>
      <c r="O51" s="279"/>
      <c r="P51" s="279"/>
      <c r="Q51" s="279"/>
      <c r="R51" s="279"/>
      <c r="S51" s="280"/>
    </row>
    <row r="52" spans="2:29" ht="15.75" customHeight="1">
      <c r="B52" s="194"/>
      <c r="C52" s="196" t="s">
        <v>157</v>
      </c>
      <c r="D52" s="197"/>
      <c r="F52" s="84" t="s">
        <v>158</v>
      </c>
      <c r="G52" s="84" t="s">
        <v>159</v>
      </c>
      <c r="N52" s="5" t="s">
        <v>74</v>
      </c>
      <c r="O52" s="5" t="s">
        <v>160</v>
      </c>
      <c r="P52" s="5" t="s">
        <v>161</v>
      </c>
      <c r="Q52" s="5" t="s">
        <v>162</v>
      </c>
      <c r="R52" s="5" t="s">
        <v>78</v>
      </c>
      <c r="S52" s="18" t="s">
        <v>79</v>
      </c>
    </row>
    <row r="53" spans="2:29" ht="15.75" customHeight="1">
      <c r="B53" s="207"/>
      <c r="C53" s="200"/>
      <c r="D53" s="202"/>
      <c r="F53" s="84"/>
      <c r="G53" s="84"/>
      <c r="N53" s="181" t="s">
        <v>163</v>
      </c>
      <c r="O53" s="5" t="s">
        <v>109</v>
      </c>
      <c r="P53" s="5">
        <v>15000</v>
      </c>
      <c r="Q53" s="5">
        <v>350</v>
      </c>
      <c r="R53" s="5">
        <f>P53*Q53</f>
        <v>5250000</v>
      </c>
      <c r="S53" s="119">
        <f>SUM(R53:R56)</f>
        <v>7815000</v>
      </c>
    </row>
    <row r="54" spans="2:29" ht="15.75" customHeight="1">
      <c r="B54" s="208"/>
      <c r="C54" s="203"/>
      <c r="D54" s="204"/>
      <c r="F54" s="84"/>
      <c r="G54" s="84"/>
      <c r="N54" s="182"/>
      <c r="O54" s="5" t="s">
        <v>110</v>
      </c>
      <c r="P54" s="5">
        <v>4500</v>
      </c>
      <c r="Q54" s="5">
        <v>350</v>
      </c>
      <c r="R54" s="5">
        <f t="shared" ref="R54:R60" si="5">P54*Q54</f>
        <v>1575000</v>
      </c>
      <c r="S54" s="120">
        <f>SUM(R57:R60)</f>
        <v>5940000</v>
      </c>
    </row>
    <row r="55" spans="2:29" ht="15.75" customHeight="1">
      <c r="B55" s="209"/>
      <c r="C55" s="205"/>
      <c r="D55" s="206"/>
      <c r="F55" s="84"/>
      <c r="G55" s="84"/>
      <c r="N55" s="182"/>
      <c r="O55" s="5" t="s">
        <v>111</v>
      </c>
      <c r="P55" s="5">
        <v>4500</v>
      </c>
      <c r="Q55" s="5">
        <v>220</v>
      </c>
      <c r="R55" s="5">
        <f t="shared" si="5"/>
        <v>990000</v>
      </c>
      <c r="S55" s="187">
        <f>S53+S54</f>
        <v>13755000</v>
      </c>
    </row>
    <row r="56" spans="2:29" ht="15.75" customHeight="1">
      <c r="B56" s="192" t="s">
        <v>164</v>
      </c>
      <c r="C56" s="196" t="s">
        <v>165</v>
      </c>
      <c r="D56" s="197"/>
      <c r="F56" s="84" t="s">
        <v>166</v>
      </c>
      <c r="G56" s="84" t="s">
        <v>167</v>
      </c>
      <c r="N56" s="183"/>
      <c r="O56" s="5" t="s">
        <v>114</v>
      </c>
      <c r="P56" s="118">
        <v>0</v>
      </c>
      <c r="Q56" s="5">
        <v>225</v>
      </c>
      <c r="R56" s="5">
        <f t="shared" si="5"/>
        <v>0</v>
      </c>
      <c r="S56" s="188"/>
    </row>
    <row r="57" spans="2:29" ht="15.75" customHeight="1">
      <c r="B57" s="195"/>
      <c r="C57" s="78"/>
      <c r="D57" s="79"/>
      <c r="F57" s="116"/>
      <c r="G57" s="116"/>
      <c r="N57" s="184" t="s">
        <v>168</v>
      </c>
      <c r="O57" s="5" t="s">
        <v>109</v>
      </c>
      <c r="P57" s="118">
        <v>0</v>
      </c>
      <c r="Q57" s="5">
        <v>350</v>
      </c>
      <c r="R57" s="5">
        <f t="shared" si="5"/>
        <v>0</v>
      </c>
      <c r="S57" s="188"/>
    </row>
    <row r="58" spans="2:29" ht="15.75" customHeight="1">
      <c r="B58" s="195"/>
      <c r="C58" s="78"/>
      <c r="D58" s="79"/>
      <c r="F58" s="116"/>
      <c r="G58" s="116"/>
      <c r="N58" s="185"/>
      <c r="O58" s="5" t="s">
        <v>110</v>
      </c>
      <c r="P58" s="118">
        <v>4500</v>
      </c>
      <c r="Q58" s="5">
        <v>350</v>
      </c>
      <c r="R58" s="5">
        <f t="shared" si="5"/>
        <v>1575000</v>
      </c>
      <c r="S58" s="188"/>
    </row>
    <row r="59" spans="2:29" ht="15.75" customHeight="1">
      <c r="B59" s="195"/>
      <c r="C59" s="78"/>
      <c r="D59" s="79"/>
      <c r="F59" s="116"/>
      <c r="G59" s="116"/>
      <c r="N59" s="185"/>
      <c r="O59" s="5" t="s">
        <v>111</v>
      </c>
      <c r="P59" s="118">
        <v>4500</v>
      </c>
      <c r="Q59" s="5">
        <v>220</v>
      </c>
      <c r="R59" s="5">
        <f t="shared" si="5"/>
        <v>990000</v>
      </c>
      <c r="S59" s="188"/>
    </row>
    <row r="60" spans="2:29" ht="15.75" customHeight="1">
      <c r="B60" s="194"/>
      <c r="C60" s="196" t="s">
        <v>169</v>
      </c>
      <c r="D60" s="197"/>
      <c r="N60" s="186"/>
      <c r="O60" s="5" t="s">
        <v>114</v>
      </c>
      <c r="P60" s="118">
        <f>P5</f>
        <v>15000</v>
      </c>
      <c r="Q60" s="118">
        <v>225</v>
      </c>
      <c r="R60" s="5">
        <f t="shared" si="5"/>
        <v>3375000</v>
      </c>
      <c r="S60" s="189"/>
      <c r="T60" s="12"/>
    </row>
    <row r="61" spans="2:29" ht="15.75" customHeight="1">
      <c r="B61" s="192" t="s">
        <v>170</v>
      </c>
      <c r="C61" s="200" t="s">
        <v>171</v>
      </c>
      <c r="D61" s="201"/>
      <c r="N61" s="190" t="s">
        <v>172</v>
      </c>
      <c r="O61" s="279"/>
      <c r="P61" s="279"/>
      <c r="Q61" s="279"/>
      <c r="R61" s="279"/>
      <c r="S61" s="280"/>
    </row>
    <row r="62" spans="2:29" ht="15.75" customHeight="1">
      <c r="B62" s="198"/>
      <c r="C62" s="213" t="s">
        <v>173</v>
      </c>
      <c r="D62" s="213"/>
      <c r="N62" s="146" t="s">
        <v>74</v>
      </c>
      <c r="O62" s="288"/>
      <c r="P62" s="289"/>
      <c r="Q62" s="5" t="s">
        <v>174</v>
      </c>
      <c r="R62" s="5" t="s">
        <v>175</v>
      </c>
      <c r="S62" s="21" t="s">
        <v>78</v>
      </c>
    </row>
    <row r="63" spans="2:29" ht="15.75" customHeight="1">
      <c r="B63" s="198"/>
      <c r="C63" s="213"/>
      <c r="D63" s="213"/>
      <c r="F63" s="100"/>
      <c r="N63" s="146" t="s">
        <v>176</v>
      </c>
      <c r="O63" s="288"/>
      <c r="P63" s="289"/>
      <c r="Q63" s="22" t="s">
        <v>177</v>
      </c>
      <c r="R63" s="22">
        <f>SUM(C90:C100)</f>
        <v>28</v>
      </c>
      <c r="S63" s="216">
        <f>R65*(R63^0.95)</f>
        <v>900707.39081706398</v>
      </c>
      <c r="AA63" s="28" t="s">
        <v>178</v>
      </c>
    </row>
    <row r="64" spans="2:29" ht="15.75" customHeight="1">
      <c r="B64" s="199"/>
      <c r="C64" s="213"/>
      <c r="D64" s="213"/>
      <c r="F64" s="101"/>
      <c r="N64" s="291"/>
      <c r="O64" s="292"/>
      <c r="P64" s="293"/>
      <c r="Q64" s="23" t="s">
        <v>74</v>
      </c>
      <c r="R64" s="23" t="s">
        <v>179</v>
      </c>
      <c r="S64" s="293"/>
      <c r="T64" s="32">
        <f>S63</f>
        <v>900707.39081706398</v>
      </c>
      <c r="W64" s="93" t="s">
        <v>180</v>
      </c>
      <c r="X64" s="90"/>
      <c r="Y64" s="90"/>
      <c r="Z64" s="90"/>
      <c r="AA64" s="28" t="s">
        <v>181</v>
      </c>
      <c r="AB64" s="29">
        <f>S84/360</f>
        <v>14056.000693177381</v>
      </c>
      <c r="AC64" s="28" t="s">
        <v>182</v>
      </c>
    </row>
    <row r="65" spans="2:29" ht="15.75" customHeight="1">
      <c r="B65" s="192" t="s">
        <v>183</v>
      </c>
      <c r="C65" s="203" t="s">
        <v>184</v>
      </c>
      <c r="D65" s="204"/>
      <c r="N65" s="290"/>
      <c r="O65" s="277"/>
      <c r="P65" s="278"/>
      <c r="Q65" s="23" t="s">
        <v>185</v>
      </c>
      <c r="R65" s="23">
        <v>38000</v>
      </c>
      <c r="S65" s="278"/>
      <c r="W65" s="93" t="s">
        <v>186</v>
      </c>
      <c r="X65" s="93" t="s">
        <v>187</v>
      </c>
      <c r="Y65" s="93" t="s">
        <v>188</v>
      </c>
      <c r="Z65" s="90"/>
      <c r="AA65" s="28" t="s">
        <v>189</v>
      </c>
      <c r="AB65" s="29">
        <f>S50/ROUNDUP(T13,0)</f>
        <v>336646.70920733083</v>
      </c>
      <c r="AC65" s="28" t="s">
        <v>182</v>
      </c>
    </row>
    <row r="66" spans="2:29" ht="15.75" customHeight="1">
      <c r="B66" s="193"/>
      <c r="C66" s="205"/>
      <c r="D66" s="206"/>
      <c r="F66" s="6"/>
      <c r="G66" s="6"/>
      <c r="H66" s="6"/>
      <c r="N66" s="148" t="s">
        <v>190</v>
      </c>
      <c r="O66" s="292"/>
      <c r="P66" s="293"/>
      <c r="Q66" s="23" t="s">
        <v>191</v>
      </c>
      <c r="R66" s="23">
        <v>3500</v>
      </c>
      <c r="S66" s="173">
        <f>(R66*R69+R67*(R70^0.25)+R68*(R71^0.7))</f>
        <v>464845.78943265328</v>
      </c>
      <c r="W66" s="134">
        <f>P5</f>
        <v>15000</v>
      </c>
      <c r="X66" s="134">
        <v>1200</v>
      </c>
      <c r="Y66" s="134">
        <f>W66*X66*(1-Q97/100)</f>
        <v>16739999.999999998</v>
      </c>
      <c r="Z66" s="90"/>
      <c r="AA66" s="28" t="s">
        <v>192</v>
      </c>
      <c r="AB66" s="29">
        <f>S55/ROUNDUP(T13,0)</f>
        <v>185878.37837837837</v>
      </c>
      <c r="AC66" s="28" t="s">
        <v>182</v>
      </c>
    </row>
    <row r="67" spans="2:29" ht="15.75" customHeight="1">
      <c r="B67" s="37" t="s">
        <v>193</v>
      </c>
      <c r="C67" s="214" t="s">
        <v>194</v>
      </c>
      <c r="D67" s="215"/>
      <c r="F67" s="101"/>
      <c r="G67" s="101"/>
      <c r="N67" s="291"/>
      <c r="O67" s="292"/>
      <c r="P67" s="293"/>
      <c r="Q67" s="23" t="s">
        <v>195</v>
      </c>
      <c r="R67" s="23">
        <v>4000</v>
      </c>
      <c r="S67" s="293"/>
      <c r="W67" s="90"/>
      <c r="X67" s="90"/>
      <c r="Y67" s="90"/>
      <c r="Z67" s="90"/>
      <c r="AA67" s="28" t="s">
        <v>196</v>
      </c>
      <c r="AB67" s="29">
        <f>S93</f>
        <v>162908.46054807931</v>
      </c>
      <c r="AC67" s="28" t="s">
        <v>182</v>
      </c>
    </row>
    <row r="68" spans="2:29" ht="15.75" customHeight="1">
      <c r="B68" s="221" t="s">
        <v>197</v>
      </c>
      <c r="C68" s="222"/>
      <c r="D68" s="223"/>
      <c r="F68" s="101"/>
      <c r="G68" s="101"/>
      <c r="N68" s="291"/>
      <c r="O68" s="292"/>
      <c r="P68" s="293"/>
      <c r="Q68" s="23" t="s">
        <v>198</v>
      </c>
      <c r="R68" s="23">
        <v>200</v>
      </c>
      <c r="S68" s="293"/>
      <c r="W68" s="93" t="s">
        <v>199</v>
      </c>
      <c r="X68" s="90"/>
      <c r="Y68" s="93" t="s">
        <v>200</v>
      </c>
      <c r="Z68" s="90"/>
      <c r="AA68" s="28" t="s">
        <v>201</v>
      </c>
      <c r="AB68" s="29">
        <f>SUM(AB64:AB67)</f>
        <v>699489.54882696597</v>
      </c>
      <c r="AC68" s="28" t="s">
        <v>182</v>
      </c>
    </row>
    <row r="69" spans="2:29" ht="15.75" customHeight="1">
      <c r="B69" s="225" t="s">
        <v>202</v>
      </c>
      <c r="C69" s="196" t="s">
        <v>203</v>
      </c>
      <c r="D69" s="211"/>
      <c r="F69" s="101"/>
      <c r="G69" s="101"/>
      <c r="N69" s="291"/>
      <c r="O69" s="292"/>
      <c r="P69" s="293"/>
      <c r="Q69" s="23" t="s">
        <v>204</v>
      </c>
      <c r="R69" s="23">
        <f>R63</f>
        <v>28</v>
      </c>
      <c r="S69" s="293"/>
      <c r="W69" s="134">
        <f>(Y66/ROUNDUP(T13,0))-AB65</f>
        <v>-110430.49299111465</v>
      </c>
      <c r="X69" s="93" t="s">
        <v>182</v>
      </c>
      <c r="Y69" s="135">
        <f>W69-AB67-AB64</f>
        <v>-287394.95423237135</v>
      </c>
      <c r="Z69" s="93" t="s">
        <v>182</v>
      </c>
      <c r="AA69" s="28" t="s">
        <v>205</v>
      </c>
      <c r="AB69" s="31">
        <f>AB68*ROUNDUP(T13,0)</f>
        <v>51762226.613195479</v>
      </c>
      <c r="AC69" s="28" t="s">
        <v>206</v>
      </c>
    </row>
    <row r="70" spans="2:29" ht="15.75" customHeight="1">
      <c r="B70" s="226"/>
      <c r="C70" s="196" t="s">
        <v>207</v>
      </c>
      <c r="D70" s="211"/>
      <c r="F70" s="101"/>
      <c r="G70" s="101"/>
      <c r="N70" s="291"/>
      <c r="O70" s="292"/>
      <c r="P70" s="293"/>
      <c r="Q70" s="23" t="s">
        <v>208</v>
      </c>
      <c r="R70" s="23">
        <f>C9*C13*C10</f>
        <v>343791.55</v>
      </c>
      <c r="S70" s="293"/>
      <c r="AA70" s="28"/>
    </row>
    <row r="71" spans="2:29" ht="15.75" customHeight="1">
      <c r="B71" s="228"/>
      <c r="C71" s="196" t="s">
        <v>209</v>
      </c>
      <c r="D71" s="211"/>
      <c r="F71" s="101"/>
      <c r="G71" s="101"/>
      <c r="N71" s="290"/>
      <c r="O71" s="277"/>
      <c r="P71" s="278"/>
      <c r="Q71" s="23" t="s">
        <v>210</v>
      </c>
      <c r="R71" s="23">
        <f>29640</f>
        <v>29640</v>
      </c>
      <c r="S71" s="278"/>
      <c r="AA71" s="28"/>
      <c r="AB71" s="30"/>
    </row>
    <row r="72" spans="2:29" ht="15.75" customHeight="1">
      <c r="B72" s="225" t="s">
        <v>211</v>
      </c>
      <c r="C72" s="196" t="s">
        <v>212</v>
      </c>
      <c r="D72" s="211"/>
      <c r="F72" s="101"/>
      <c r="G72" s="101"/>
      <c r="N72" s="148" t="s">
        <v>213</v>
      </c>
      <c r="O72" s="292"/>
      <c r="P72" s="293"/>
      <c r="Q72" s="23" t="s">
        <v>191</v>
      </c>
      <c r="R72" s="23">
        <v>3.5000000000000001E-3</v>
      </c>
      <c r="S72" s="173">
        <f>(R72*R74+R73*(R75^0.66))</f>
        <v>758892.06929413939</v>
      </c>
      <c r="AA72" s="28"/>
      <c r="AB72" s="30"/>
    </row>
    <row r="73" spans="2:29" ht="15.75" customHeight="1">
      <c r="B73" s="226"/>
      <c r="C73" s="196" t="s">
        <v>214</v>
      </c>
      <c r="D73" s="211"/>
      <c r="F73" s="101"/>
      <c r="G73" s="101"/>
      <c r="N73" s="291"/>
      <c r="O73" s="292"/>
      <c r="P73" s="293"/>
      <c r="Q73" s="23" t="s">
        <v>195</v>
      </c>
      <c r="R73" s="23">
        <v>105</v>
      </c>
      <c r="S73" s="293"/>
      <c r="AA73" s="28"/>
      <c r="AB73" s="30"/>
    </row>
    <row r="74" spans="2:29" ht="15.75" customHeight="1">
      <c r="B74" s="226"/>
      <c r="C74" s="200" t="s">
        <v>209</v>
      </c>
      <c r="D74" s="212"/>
      <c r="F74" s="101"/>
      <c r="G74" s="101"/>
      <c r="N74" s="291"/>
      <c r="O74" s="292"/>
      <c r="P74" s="293"/>
      <c r="Q74" s="23" t="s">
        <v>215</v>
      </c>
      <c r="R74" s="23">
        <f>190000000</f>
        <v>190000000</v>
      </c>
      <c r="S74" s="293"/>
      <c r="AA74" s="28"/>
      <c r="AB74" s="30"/>
    </row>
    <row r="75" spans="2:29" ht="15.75" customHeight="1">
      <c r="B75" s="229" t="s">
        <v>216</v>
      </c>
      <c r="C75" s="230"/>
      <c r="D75" s="231"/>
      <c r="F75" s="101"/>
      <c r="G75" s="101"/>
      <c r="N75" s="290"/>
      <c r="O75" s="277"/>
      <c r="P75" s="278"/>
      <c r="Q75" s="23" t="s">
        <v>210</v>
      </c>
      <c r="R75" s="23">
        <f>R71</f>
        <v>29640</v>
      </c>
      <c r="S75" s="278"/>
      <c r="AA75" s="28"/>
      <c r="AB75" s="30"/>
    </row>
    <row r="76" spans="2:29" ht="15.75" customHeight="1">
      <c r="B76" s="57" t="s">
        <v>217</v>
      </c>
      <c r="C76" s="232" t="s">
        <v>218</v>
      </c>
      <c r="D76" s="233"/>
      <c r="K76" s="1"/>
      <c r="N76" s="148" t="s">
        <v>219</v>
      </c>
      <c r="O76" s="292"/>
      <c r="P76" s="293"/>
      <c r="Q76" s="23" t="s">
        <v>191</v>
      </c>
      <c r="R76" s="23">
        <f>0.006</f>
        <v>6.0000000000000001E-3</v>
      </c>
      <c r="S76" s="173">
        <f>(R76*R79+R78*R80)</f>
        <v>1675715</v>
      </c>
    </row>
    <row r="77" spans="2:29" ht="15.75" customHeight="1">
      <c r="B77" s="58" t="s">
        <v>220</v>
      </c>
      <c r="C77" s="237" t="s">
        <v>221</v>
      </c>
      <c r="D77" s="237"/>
      <c r="K77" s="1"/>
      <c r="N77" s="148"/>
      <c r="O77" s="292"/>
      <c r="P77" s="293"/>
      <c r="Q77" s="23"/>
      <c r="R77" s="23"/>
      <c r="S77" s="173"/>
    </row>
    <row r="78" spans="2:29" ht="15.75" customHeight="1">
      <c r="B78" s="59" t="s">
        <v>222</v>
      </c>
      <c r="C78" s="224" t="s">
        <v>223</v>
      </c>
      <c r="D78" s="224"/>
      <c r="N78" s="291"/>
      <c r="O78" s="292"/>
      <c r="P78" s="293"/>
      <c r="Q78" s="23" t="s">
        <v>195</v>
      </c>
      <c r="R78" s="23">
        <v>2.5</v>
      </c>
      <c r="S78" s="293"/>
    </row>
    <row r="79" spans="2:29" ht="15.75" customHeight="1">
      <c r="B79" s="60" t="s">
        <v>224</v>
      </c>
      <c r="C79" s="224" t="s">
        <v>225</v>
      </c>
      <c r="D79" s="224"/>
      <c r="N79" s="291"/>
      <c r="O79" s="292"/>
      <c r="P79" s="293"/>
      <c r="Q79" s="23" t="s">
        <v>226</v>
      </c>
      <c r="R79" s="23">
        <f>R74</f>
        <v>190000000</v>
      </c>
      <c r="S79" s="293"/>
    </row>
    <row r="80" spans="2:29" ht="15.75" customHeight="1">
      <c r="B80" s="60" t="s">
        <v>227</v>
      </c>
      <c r="C80" s="224">
        <v>2017</v>
      </c>
      <c r="D80" s="224"/>
      <c r="N80" s="290"/>
      <c r="O80" s="277"/>
      <c r="P80" s="278"/>
      <c r="Q80" s="23" t="s">
        <v>228</v>
      </c>
      <c r="R80" s="23">
        <f>214286</f>
        <v>214286</v>
      </c>
      <c r="S80" s="278"/>
    </row>
    <row r="81" spans="2:23" ht="15.75" customHeight="1">
      <c r="B81" s="60" t="s">
        <v>229</v>
      </c>
      <c r="C81" s="227">
        <v>42901</v>
      </c>
      <c r="D81" s="224"/>
      <c r="N81" s="150" t="s">
        <v>230</v>
      </c>
      <c r="O81" s="277"/>
      <c r="P81" s="278"/>
      <c r="Q81" s="23" t="s">
        <v>231</v>
      </c>
      <c r="R81" s="23" t="s">
        <v>231</v>
      </c>
      <c r="S81" s="24">
        <f>120000</f>
        <v>120000</v>
      </c>
    </row>
    <row r="82" spans="2:23" ht="15.75" customHeight="1">
      <c r="B82" s="60" t="s">
        <v>232</v>
      </c>
      <c r="C82" s="224" t="s">
        <v>233</v>
      </c>
      <c r="D82" s="224"/>
      <c r="N82" s="148" t="s">
        <v>234</v>
      </c>
      <c r="O82" s="292"/>
      <c r="P82" s="293"/>
      <c r="Q82" s="23" t="s">
        <v>191</v>
      </c>
      <c r="R82" s="23">
        <f>0.006</f>
        <v>6.0000000000000001E-3</v>
      </c>
      <c r="S82" s="173">
        <f>R82*R83</f>
        <v>1140000</v>
      </c>
    </row>
    <row r="83" spans="2:23" ht="15.75" customHeight="1">
      <c r="B83" s="61" t="s">
        <v>235</v>
      </c>
      <c r="C83" s="224" t="s">
        <v>236</v>
      </c>
      <c r="D83" s="224"/>
      <c r="F83" s="28"/>
      <c r="N83" s="290"/>
      <c r="O83" s="277"/>
      <c r="P83" s="278"/>
      <c r="Q83" s="23" t="s">
        <v>215</v>
      </c>
      <c r="R83" s="23">
        <f>R74</f>
        <v>190000000</v>
      </c>
      <c r="S83" s="278"/>
    </row>
    <row r="84" spans="2:23" ht="15.75" customHeight="1">
      <c r="B84" s="42" t="s">
        <v>237</v>
      </c>
      <c r="C84" s="224">
        <v>4302</v>
      </c>
      <c r="D84" s="224"/>
      <c r="F84" s="28"/>
      <c r="N84" s="220" t="s">
        <v>238</v>
      </c>
      <c r="O84" s="277"/>
      <c r="P84" s="277"/>
      <c r="Q84" s="277"/>
      <c r="R84" s="278"/>
      <c r="S84" s="87">
        <f>SUM(S63:S83)</f>
        <v>5060160.2495438568</v>
      </c>
    </row>
    <row r="85" spans="2:23" ht="15.75" customHeight="1">
      <c r="B85" s="42" t="s">
        <v>239</v>
      </c>
      <c r="C85" s="234" t="s">
        <v>240</v>
      </c>
      <c r="D85" s="234"/>
      <c r="F85" s="28"/>
      <c r="N85" s="35"/>
      <c r="O85" s="34" t="s">
        <v>241</v>
      </c>
      <c r="P85" s="34"/>
      <c r="Q85" s="34"/>
      <c r="R85" s="34"/>
      <c r="S85" s="88">
        <f>S84/360</f>
        <v>14056.000693177381</v>
      </c>
    </row>
    <row r="86" spans="2:23" ht="15.75" customHeight="1">
      <c r="B86" s="42" t="s">
        <v>242</v>
      </c>
      <c r="C86" s="235" t="s">
        <v>243</v>
      </c>
      <c r="D86" s="236"/>
      <c r="F86" s="28"/>
      <c r="N86" s="35"/>
      <c r="O86" s="34" t="s">
        <v>244</v>
      </c>
      <c r="P86" s="34"/>
      <c r="Q86" s="34"/>
      <c r="R86" s="34"/>
      <c r="S86" s="88">
        <f>S85*E115</f>
        <v>14183285.588343376</v>
      </c>
    </row>
    <row r="87" spans="2:23" ht="15.75" customHeight="1">
      <c r="B87" s="42" t="s">
        <v>245</v>
      </c>
      <c r="C87" s="235">
        <v>10</v>
      </c>
      <c r="D87" s="236"/>
      <c r="F87" s="28"/>
      <c r="N87" s="35"/>
      <c r="O87" s="34"/>
      <c r="P87" s="34"/>
      <c r="Q87" s="34"/>
      <c r="R87" s="34"/>
      <c r="S87" s="106"/>
    </row>
    <row r="88" spans="2:23" ht="15.75" customHeight="1">
      <c r="B88" s="42" t="s">
        <v>246</v>
      </c>
      <c r="C88" s="235">
        <v>20568</v>
      </c>
      <c r="D88" s="236"/>
      <c r="F88" s="28"/>
      <c r="N88" s="35"/>
      <c r="O88" s="34"/>
      <c r="P88" s="34"/>
      <c r="Q88" s="34"/>
      <c r="R88" s="34"/>
      <c r="S88" s="105"/>
    </row>
    <row r="89" spans="2:23" ht="15.75" customHeight="1">
      <c r="B89" s="217" t="s">
        <v>247</v>
      </c>
      <c r="C89" s="218"/>
      <c r="D89" s="219"/>
      <c r="N89" s="190" t="s">
        <v>248</v>
      </c>
      <c r="O89" s="279"/>
      <c r="P89" s="279"/>
      <c r="Q89" s="279"/>
      <c r="R89" s="279"/>
      <c r="S89" s="278"/>
      <c r="U89" s="172" t="s">
        <v>249</v>
      </c>
      <c r="V89" s="279"/>
      <c r="W89" s="280"/>
    </row>
    <row r="90" spans="2:23" ht="15.75" customHeight="1">
      <c r="B90" s="38" t="s">
        <v>250</v>
      </c>
      <c r="C90" s="39">
        <v>1</v>
      </c>
      <c r="D90" s="39" t="s">
        <v>251</v>
      </c>
      <c r="N90" s="168" t="s">
        <v>252</v>
      </c>
      <c r="O90" s="279"/>
      <c r="P90" s="279"/>
      <c r="Q90" s="279"/>
      <c r="R90" s="280"/>
      <c r="S90" s="104">
        <f>R74</f>
        <v>190000000</v>
      </c>
      <c r="U90" s="9" t="s">
        <v>253</v>
      </c>
      <c r="V90" s="9">
        <f>S90</f>
        <v>190000000</v>
      </c>
      <c r="W90" s="9" t="s">
        <v>254</v>
      </c>
    </row>
    <row r="91" spans="2:23" ht="15.75" customHeight="1">
      <c r="B91" s="38" t="s">
        <v>255</v>
      </c>
      <c r="C91" s="39"/>
      <c r="D91" s="39"/>
      <c r="N91" s="168" t="s">
        <v>256</v>
      </c>
      <c r="O91" s="279"/>
      <c r="P91" s="279"/>
      <c r="Q91" s="279"/>
      <c r="R91" s="280"/>
      <c r="S91" s="104">
        <v>9</v>
      </c>
      <c r="U91" s="9" t="s">
        <v>257</v>
      </c>
      <c r="V91" s="9">
        <f>9/100</f>
        <v>0.09</v>
      </c>
      <c r="W91" s="9"/>
    </row>
    <row r="92" spans="2:23" ht="13.15">
      <c r="B92" s="38" t="s">
        <v>258</v>
      </c>
      <c r="C92" s="39">
        <v>1</v>
      </c>
      <c r="D92" s="39" t="s">
        <v>251</v>
      </c>
      <c r="N92" s="168" t="s">
        <v>259</v>
      </c>
      <c r="O92" s="279"/>
      <c r="P92" s="279"/>
      <c r="Q92" s="279"/>
      <c r="R92" s="280"/>
      <c r="S92" s="5">
        <v>4</v>
      </c>
      <c r="U92" s="9" t="s">
        <v>260</v>
      </c>
      <c r="V92" s="25">
        <v>4</v>
      </c>
      <c r="W92" s="9" t="s">
        <v>261</v>
      </c>
    </row>
    <row r="93" spans="2:23" ht="13.15">
      <c r="B93" s="38" t="s">
        <v>262</v>
      </c>
      <c r="C93" s="39">
        <v>2</v>
      </c>
      <c r="D93" s="39" t="s">
        <v>251</v>
      </c>
      <c r="N93" s="168" t="s">
        <v>263</v>
      </c>
      <c r="O93" s="279"/>
      <c r="P93" s="279"/>
      <c r="Q93" s="279"/>
      <c r="R93" s="280"/>
      <c r="S93" s="19">
        <f>V95</f>
        <v>162908.46054807931</v>
      </c>
      <c r="U93" s="9" t="s">
        <v>264</v>
      </c>
      <c r="V93" s="11">
        <f>(V91*((1+V91)^V92))/(((1+V91)^V92)-1)</f>
        <v>0.30866866209109767</v>
      </c>
      <c r="W93" s="9"/>
    </row>
    <row r="94" spans="2:23" ht="13.15">
      <c r="B94" s="38" t="s">
        <v>265</v>
      </c>
      <c r="C94" s="39">
        <v>3</v>
      </c>
      <c r="D94" s="39" t="s">
        <v>251</v>
      </c>
      <c r="N94" s="191" t="s">
        <v>266</v>
      </c>
      <c r="O94" s="279"/>
      <c r="P94" s="279"/>
      <c r="Q94" s="279"/>
      <c r="R94" s="280"/>
      <c r="S94" s="17">
        <f>ROUNDUP(E115,0)*S93</f>
        <v>164537545.1535601</v>
      </c>
      <c r="U94" s="9" t="s">
        <v>267</v>
      </c>
      <c r="V94" s="10">
        <f>V93*V90</f>
        <v>58647045.797308557</v>
      </c>
      <c r="W94" s="9" t="s">
        <v>254</v>
      </c>
    </row>
    <row r="95" spans="2:23" ht="13.15">
      <c r="B95" s="38" t="s">
        <v>268</v>
      </c>
      <c r="C95" s="62"/>
      <c r="D95" s="39"/>
      <c r="N95" s="190" t="s">
        <v>269</v>
      </c>
      <c r="O95" s="279"/>
      <c r="P95" s="279"/>
      <c r="Q95" s="279"/>
      <c r="R95" s="279"/>
      <c r="S95" s="280"/>
      <c r="U95" s="9" t="s">
        <v>270</v>
      </c>
      <c r="V95" s="10">
        <f>V94/360</f>
        <v>162908.46054807931</v>
      </c>
      <c r="W95" s="9" t="s">
        <v>254</v>
      </c>
    </row>
    <row r="96" spans="2:23" ht="13.15">
      <c r="B96" s="63" t="s">
        <v>271</v>
      </c>
      <c r="C96" s="39">
        <v>1</v>
      </c>
      <c r="D96" s="39" t="s">
        <v>251</v>
      </c>
      <c r="N96" s="5" t="s">
        <v>186</v>
      </c>
      <c r="O96" s="5" t="s">
        <v>272</v>
      </c>
      <c r="P96" s="5" t="s">
        <v>273</v>
      </c>
      <c r="Q96" s="5" t="s">
        <v>274</v>
      </c>
      <c r="R96" s="5" t="s">
        <v>275</v>
      </c>
      <c r="S96" s="294"/>
      <c r="U96" s="9" t="s">
        <v>276</v>
      </c>
      <c r="V96" s="10">
        <f>V95*(E115)</f>
        <v>164383687.16304249</v>
      </c>
      <c r="W96" s="9" t="s">
        <v>254</v>
      </c>
    </row>
    <row r="97" spans="2:28" ht="13.15">
      <c r="B97" s="38" t="s">
        <v>277</v>
      </c>
      <c r="C97" s="39">
        <v>2</v>
      </c>
      <c r="D97" s="39" t="s">
        <v>251</v>
      </c>
      <c r="N97" s="19">
        <f>W66</f>
        <v>15000</v>
      </c>
      <c r="O97" s="113">
        <v>1200</v>
      </c>
      <c r="P97" s="19">
        <f>N97*O97</f>
        <v>18000000</v>
      </c>
      <c r="Q97" s="104">
        <v>7</v>
      </c>
      <c r="R97" s="19">
        <f>P97*(1-(Q97/100))</f>
        <v>16739999.999999998</v>
      </c>
      <c r="S97" s="295"/>
    </row>
    <row r="98" spans="2:28" ht="13.15">
      <c r="B98" s="38" t="s">
        <v>278</v>
      </c>
      <c r="C98" s="39">
        <v>2</v>
      </c>
      <c r="D98" s="39" t="s">
        <v>251</v>
      </c>
      <c r="N98" s="5"/>
      <c r="O98" s="5"/>
      <c r="P98" s="5"/>
      <c r="Q98" s="5" t="s">
        <v>279</v>
      </c>
      <c r="R98" s="19">
        <f>P97-R97</f>
        <v>1260000.0000000019</v>
      </c>
      <c r="S98" s="296"/>
    </row>
    <row r="99" spans="2:28" ht="13.15">
      <c r="B99" s="38" t="s">
        <v>280</v>
      </c>
      <c r="C99" s="39">
        <v>3</v>
      </c>
      <c r="D99" s="39" t="s">
        <v>251</v>
      </c>
      <c r="N99" s="5" t="s">
        <v>281</v>
      </c>
      <c r="O99" s="5" t="s">
        <v>282</v>
      </c>
      <c r="P99" s="5" t="s">
        <v>283</v>
      </c>
      <c r="Q99" s="5" t="s">
        <v>275</v>
      </c>
      <c r="R99" s="5" t="s">
        <v>284</v>
      </c>
      <c r="S99" s="9" t="s">
        <v>285</v>
      </c>
    </row>
    <row r="100" spans="2:28" ht="13.15">
      <c r="B100" s="38" t="s">
        <v>286</v>
      </c>
      <c r="C100" s="39">
        <v>13</v>
      </c>
      <c r="D100" s="39" t="s">
        <v>251</v>
      </c>
      <c r="F100" s="92" t="s">
        <v>287</v>
      </c>
      <c r="N100" s="5"/>
      <c r="O100" s="5"/>
      <c r="P100" s="19">
        <f>S84</f>
        <v>5060160.2495438568</v>
      </c>
      <c r="Q100" s="19">
        <f>R97</f>
        <v>16739999.999999998</v>
      </c>
      <c r="R100" s="26">
        <f>Q100-P100</f>
        <v>11679839.750456141</v>
      </c>
      <c r="S100" s="27">
        <f>R100/T26</f>
        <v>262.11489565655614</v>
      </c>
    </row>
    <row r="101" spans="2:28" ht="15.75" customHeight="1">
      <c r="B101" s="60" t="s">
        <v>288</v>
      </c>
      <c r="C101" s="64">
        <f>SUM(C90:C100)</f>
        <v>28</v>
      </c>
      <c r="D101" s="39" t="s">
        <v>251</v>
      </c>
      <c r="F101" s="90">
        <v>0.16900000000000001</v>
      </c>
    </row>
    <row r="102" spans="2:28" ht="15.75" customHeight="1">
      <c r="B102" s="1"/>
      <c r="C102" s="1"/>
      <c r="Z102" s="90" t="s">
        <v>289</v>
      </c>
      <c r="AA102" s="90" t="s">
        <v>290</v>
      </c>
      <c r="AB102" s="90" t="s">
        <v>291</v>
      </c>
    </row>
    <row r="103" spans="2:28" ht="15.75" customHeight="1">
      <c r="X103" s="90" t="s">
        <v>292</v>
      </c>
      <c r="Y103" s="90" t="s">
        <v>292</v>
      </c>
      <c r="Z103" s="142">
        <f>S94</f>
        <v>164537545.1535601</v>
      </c>
      <c r="AA103" s="142">
        <f>(Z103/Z117)*100</f>
        <v>84.69314515625851</v>
      </c>
      <c r="AB103" s="127">
        <f>Z103</f>
        <v>164537545.1535601</v>
      </c>
    </row>
    <row r="104" spans="2:28" ht="15.75" customHeight="1">
      <c r="B104" s="39" t="s">
        <v>293</v>
      </c>
      <c r="C104" s="39" t="s">
        <v>294</v>
      </c>
      <c r="D104" s="39" t="s">
        <v>295</v>
      </c>
      <c r="E104" s="39" t="s">
        <v>296</v>
      </c>
      <c r="F104" s="39" t="s">
        <v>297</v>
      </c>
      <c r="G104" s="39" t="s">
        <v>298</v>
      </c>
      <c r="H104" s="6"/>
      <c r="X104" s="164" t="s">
        <v>299</v>
      </c>
      <c r="Y104" s="90" t="s">
        <v>300</v>
      </c>
      <c r="Z104" s="127">
        <f>S63</f>
        <v>900707.39081706398</v>
      </c>
      <c r="AA104" s="127">
        <f>(Z104/Z117)*100</f>
        <v>0.46362513627263696</v>
      </c>
      <c r="AB104" s="144">
        <f>SUM(Z104:Z109)</f>
        <v>5060160.2495438568</v>
      </c>
    </row>
    <row r="105" spans="2:28" ht="15.75" customHeight="1">
      <c r="B105" s="96" t="s">
        <v>301</v>
      </c>
      <c r="C105" s="90">
        <v>6</v>
      </c>
      <c r="D105" s="90">
        <v>12</v>
      </c>
      <c r="E105" s="90">
        <f>C105/(D105)</f>
        <v>0.5</v>
      </c>
      <c r="F105" s="90" t="s">
        <v>302</v>
      </c>
      <c r="G105" s="127">
        <f>29640*F101*E105/1000</f>
        <v>2.5045800000000003</v>
      </c>
      <c r="H105" s="101"/>
      <c r="X105" s="165"/>
      <c r="Y105" s="90" t="s">
        <v>190</v>
      </c>
      <c r="Z105" s="127">
        <f>S66</f>
        <v>464845.78943265328</v>
      </c>
      <c r="AA105" s="127">
        <f>(Z105/Z117)*100</f>
        <v>0.23927214838991689</v>
      </c>
      <c r="AB105" s="145"/>
    </row>
    <row r="106" spans="2:28" ht="15.75" customHeight="1">
      <c r="B106" s="96" t="s">
        <v>81</v>
      </c>
      <c r="C106" s="90">
        <v>1124</v>
      </c>
      <c r="D106" s="90">
        <v>18</v>
      </c>
      <c r="E106" s="90">
        <f t="shared" ref="E106:E113" si="6">C106/(D106)</f>
        <v>62.444444444444443</v>
      </c>
      <c r="F106" s="127">
        <f>29640*F101*E106/1000</f>
        <v>312.7942133333334</v>
      </c>
      <c r="G106" s="90" t="s">
        <v>302</v>
      </c>
      <c r="H106" s="101"/>
      <c r="X106" s="165"/>
      <c r="Y106" s="90" t="s">
        <v>303</v>
      </c>
      <c r="Z106" s="127">
        <f>S72</f>
        <v>758892.06929413939</v>
      </c>
      <c r="AA106" s="127">
        <f>(Z106/Z117)*100</f>
        <v>0.39062790272382564</v>
      </c>
      <c r="AB106" s="145"/>
    </row>
    <row r="107" spans="2:28" ht="15.75" customHeight="1">
      <c r="B107" s="96" t="s">
        <v>304</v>
      </c>
      <c r="C107" s="90">
        <v>12</v>
      </c>
      <c r="D107" s="90">
        <v>12</v>
      </c>
      <c r="E107" s="90">
        <f t="shared" si="6"/>
        <v>1</v>
      </c>
      <c r="F107" s="90" t="s">
        <v>302</v>
      </c>
      <c r="G107" s="127">
        <f>29640*F101*E107/1000</f>
        <v>5.0091600000000005</v>
      </c>
      <c r="H107" s="101"/>
      <c r="N107" s="167" t="s">
        <v>68</v>
      </c>
      <c r="O107" s="279"/>
      <c r="P107" s="279"/>
      <c r="Q107" s="279"/>
      <c r="R107" s="279"/>
      <c r="S107" s="280"/>
      <c r="X107" s="165"/>
      <c r="Y107" s="90" t="s">
        <v>305</v>
      </c>
      <c r="Z107" s="127">
        <f>S76</f>
        <v>1675715</v>
      </c>
      <c r="AA107" s="127">
        <f>(Z107/Z117)*100</f>
        <v>0.86254826278747943</v>
      </c>
      <c r="AB107" s="145"/>
    </row>
    <row r="108" spans="2:28" ht="15.75" customHeight="1">
      <c r="B108" s="96" t="s">
        <v>98</v>
      </c>
      <c r="C108" s="90">
        <v>580</v>
      </c>
      <c r="D108" s="90">
        <v>12</v>
      </c>
      <c r="E108" s="90">
        <f t="shared" si="6"/>
        <v>48.333333333333336</v>
      </c>
      <c r="F108" s="90" t="s">
        <v>302</v>
      </c>
      <c r="G108" s="127">
        <f>29640*F101*C108/1000</f>
        <v>2905.3128000000002</v>
      </c>
      <c r="H108" s="101"/>
      <c r="N108" s="168" t="s">
        <v>70</v>
      </c>
      <c r="O108" s="279"/>
      <c r="P108" s="279"/>
      <c r="Q108" s="279"/>
      <c r="R108" s="279"/>
      <c r="S108" s="280"/>
      <c r="X108" s="165"/>
      <c r="Y108" s="90" t="s">
        <v>306</v>
      </c>
      <c r="Z108" s="127">
        <f>S81</f>
        <v>120000</v>
      </c>
      <c r="AA108" s="127">
        <f>(Z108/Z117)*100</f>
        <v>6.1768135711918519E-2</v>
      </c>
      <c r="AB108" s="145"/>
    </row>
    <row r="109" spans="2:28" ht="15.75" customHeight="1">
      <c r="B109" s="96" t="s">
        <v>99</v>
      </c>
      <c r="C109" s="90">
        <v>120</v>
      </c>
      <c r="D109" s="90">
        <v>12</v>
      </c>
      <c r="E109" s="90">
        <f t="shared" si="6"/>
        <v>10</v>
      </c>
      <c r="F109" s="90" t="s">
        <v>302</v>
      </c>
      <c r="G109" s="127">
        <f>29640*F101*E109/1000</f>
        <v>50.091600000000007</v>
      </c>
      <c r="H109" s="101"/>
      <c r="N109" s="5" t="s">
        <v>74</v>
      </c>
      <c r="O109" s="5" t="s">
        <v>160</v>
      </c>
      <c r="P109" s="5" t="s">
        <v>76</v>
      </c>
      <c r="Q109" s="5" t="s">
        <v>77</v>
      </c>
      <c r="R109" s="5" t="s">
        <v>78</v>
      </c>
      <c r="S109" s="5" t="s">
        <v>79</v>
      </c>
      <c r="X109" s="166"/>
      <c r="Y109" s="90" t="s">
        <v>307</v>
      </c>
      <c r="Z109" s="127">
        <f>S82</f>
        <v>1140000</v>
      </c>
      <c r="AA109" s="127">
        <f>(Z109/Z117)*100</f>
        <v>0.58679728926322583</v>
      </c>
      <c r="AB109" s="145"/>
    </row>
    <row r="110" spans="2:28" ht="15.75" customHeight="1">
      <c r="B110" s="96" t="s">
        <v>82</v>
      </c>
      <c r="C110" s="90">
        <v>13813</v>
      </c>
      <c r="D110" s="90">
        <v>18</v>
      </c>
      <c r="E110" s="90">
        <f t="shared" si="6"/>
        <v>767.38888888888891</v>
      </c>
      <c r="F110" s="127">
        <f>29640*F101*E110/1000</f>
        <v>3843.9737266666675</v>
      </c>
      <c r="G110" s="90" t="s">
        <v>302</v>
      </c>
      <c r="H110" s="101"/>
      <c r="N110" s="169" t="s">
        <v>80</v>
      </c>
      <c r="O110" s="5" t="s">
        <v>308</v>
      </c>
      <c r="P110" s="5"/>
      <c r="Q110" s="5"/>
      <c r="R110" s="5"/>
      <c r="S110" s="80"/>
      <c r="X110" s="164" t="s">
        <v>309</v>
      </c>
      <c r="Y110" s="90" t="s">
        <v>310</v>
      </c>
      <c r="Z110" s="127">
        <f>S18</f>
        <v>9789568.0416466668</v>
      </c>
      <c r="AA110" s="127">
        <f>(Z110/Z117)*100</f>
        <v>5.0390280613124308</v>
      </c>
      <c r="AB110" s="144">
        <f>SUM(Z110:Z116)</f>
        <v>24677220.684466667</v>
      </c>
    </row>
    <row r="111" spans="2:28" ht="15.75" customHeight="1">
      <c r="B111" s="96" t="s">
        <v>311</v>
      </c>
      <c r="C111" s="90">
        <v>12</v>
      </c>
      <c r="D111" s="90">
        <v>12</v>
      </c>
      <c r="E111" s="90">
        <f t="shared" si="6"/>
        <v>1</v>
      </c>
      <c r="F111" s="90" t="s">
        <v>302</v>
      </c>
      <c r="G111" s="127">
        <f>29640*F101*E111/1000</f>
        <v>5.0091600000000005</v>
      </c>
      <c r="H111" s="101"/>
      <c r="N111" s="171"/>
      <c r="O111" s="5" t="s">
        <v>110</v>
      </c>
      <c r="P111" s="5"/>
      <c r="Q111" s="5"/>
      <c r="R111" s="5"/>
      <c r="S111" s="80"/>
      <c r="X111" s="165"/>
      <c r="Y111" s="90" t="s">
        <v>312</v>
      </c>
      <c r="Z111" s="127">
        <f>S23</f>
        <v>253452.64282000001</v>
      </c>
      <c r="AA111" s="127">
        <f>(Z111/Z117)*100</f>
        <v>0.13046081031875142</v>
      </c>
      <c r="AB111" s="144"/>
    </row>
    <row r="112" spans="2:28" ht="15.75" customHeight="1">
      <c r="B112" s="96" t="s">
        <v>87</v>
      </c>
      <c r="C112" s="90">
        <v>2113</v>
      </c>
      <c r="D112" s="90">
        <v>18</v>
      </c>
      <c r="E112" s="90">
        <f t="shared" si="6"/>
        <v>117.38888888888889</v>
      </c>
      <c r="F112" s="127">
        <f>29640*F101*E112/1000</f>
        <v>588.01972666666666</v>
      </c>
      <c r="G112" s="90" t="s">
        <v>302</v>
      </c>
      <c r="H112" s="101"/>
      <c r="N112" s="171"/>
      <c r="O112" s="5" t="s">
        <v>111</v>
      </c>
      <c r="P112" s="14">
        <f>U100</f>
        <v>0</v>
      </c>
      <c r="Q112" s="5">
        <v>395</v>
      </c>
      <c r="R112" s="5">
        <f t="shared" ref="R112:R113" si="7">P112*Q112</f>
        <v>0</v>
      </c>
      <c r="S112" s="169">
        <f>SUM(R112:R113)</f>
        <v>0</v>
      </c>
      <c r="X112" s="165"/>
      <c r="Y112" s="90" t="s">
        <v>313</v>
      </c>
      <c r="Z112" s="127">
        <f>S49</f>
        <v>639200</v>
      </c>
      <c r="AA112" s="127">
        <f>(Z112/Z117)*100</f>
        <v>0.3290182695588193</v>
      </c>
      <c r="AB112" s="144"/>
    </row>
    <row r="113" spans="2:28" ht="15.75" customHeight="1">
      <c r="B113" s="96" t="s">
        <v>314</v>
      </c>
      <c r="C113" s="90">
        <v>12</v>
      </c>
      <c r="D113" s="90">
        <v>12</v>
      </c>
      <c r="E113" s="90">
        <f t="shared" si="6"/>
        <v>1</v>
      </c>
      <c r="F113" s="90" t="s">
        <v>302</v>
      </c>
      <c r="G113" s="127">
        <f>29640*F101*E113/1000</f>
        <v>5.0091600000000005</v>
      </c>
      <c r="H113" s="101"/>
      <c r="N113" s="170"/>
      <c r="O113" s="13" t="s">
        <v>114</v>
      </c>
      <c r="P113" s="14">
        <f>U101</f>
        <v>0</v>
      </c>
      <c r="Q113" s="5">
        <v>355</v>
      </c>
      <c r="R113" s="5">
        <f t="shared" si="7"/>
        <v>0</v>
      </c>
      <c r="S113" s="170"/>
      <c r="X113" s="165"/>
      <c r="Y113" s="90" t="s">
        <v>315</v>
      </c>
      <c r="Z113" s="144">
        <f>S47</f>
        <v>240000</v>
      </c>
      <c r="AA113" s="127">
        <f>(Z113/Z117)*100</f>
        <v>0.12353627142383704</v>
      </c>
      <c r="AB113" s="144"/>
    </row>
    <row r="114" spans="2:28" ht="15.75" customHeight="1">
      <c r="B114" s="90"/>
      <c r="C114" s="90"/>
      <c r="D114" s="90"/>
      <c r="E114" s="90"/>
      <c r="F114" s="90"/>
      <c r="G114" s="90"/>
      <c r="H114" s="101"/>
      <c r="N114" s="33"/>
      <c r="O114" s="13"/>
      <c r="P114" s="14"/>
      <c r="Q114" s="5"/>
      <c r="R114" s="5"/>
      <c r="S114" s="33"/>
      <c r="X114" s="165"/>
      <c r="Y114" s="90" t="s">
        <v>316</v>
      </c>
      <c r="Z114" s="144"/>
      <c r="AA114" s="127">
        <f>(Z114/Z117)*100</f>
        <v>0</v>
      </c>
      <c r="AB114" s="144"/>
    </row>
    <row r="115" spans="2:28" ht="15.75" customHeight="1">
      <c r="B115" s="94" t="s">
        <v>317</v>
      </c>
      <c r="C115" s="102"/>
      <c r="D115" s="102"/>
      <c r="E115" s="102">
        <f>SUM(E105:E113)</f>
        <v>1009.0555555555557</v>
      </c>
      <c r="F115" s="141">
        <f>SUM(F105:F113)</f>
        <v>4744.7876666666671</v>
      </c>
      <c r="G115" s="141">
        <f>SUM(G105:G113)</f>
        <v>2972.9364600000004</v>
      </c>
      <c r="N115" s="169" t="s">
        <v>95</v>
      </c>
      <c r="O115" s="5" t="s">
        <v>109</v>
      </c>
      <c r="P115" s="14">
        <f t="shared" ref="P115" si="8">V100</f>
        <v>0</v>
      </c>
      <c r="Q115" s="5">
        <v>680</v>
      </c>
      <c r="R115" s="5">
        <f t="shared" ref="R115:R118" si="9">P115*Q115</f>
        <v>0</v>
      </c>
      <c r="S115" s="169">
        <f>SUM(R115:R118)</f>
        <v>0</v>
      </c>
      <c r="X115" s="165"/>
      <c r="Y115" s="90" t="s">
        <v>318</v>
      </c>
      <c r="Z115" s="127" t="str">
        <f>S43</f>
        <v>835,224.84</v>
      </c>
      <c r="AA115" s="127" t="e">
        <f>(Z115/Z117)*100</f>
        <v>#VALUE!</v>
      </c>
      <c r="AB115" s="144"/>
    </row>
    <row r="116" spans="2:28" ht="15.75" customHeight="1">
      <c r="B116" s="54"/>
      <c r="C116" s="99"/>
      <c r="D116" s="99"/>
      <c r="E116" s="99"/>
      <c r="F116" s="99"/>
      <c r="G116" s="99"/>
      <c r="N116" s="171"/>
      <c r="O116" s="5" t="s">
        <v>110</v>
      </c>
      <c r="P116" s="14"/>
      <c r="Q116" s="5"/>
      <c r="R116" s="5"/>
      <c r="S116" s="171"/>
      <c r="X116" s="166"/>
      <c r="Y116" s="90" t="s">
        <v>319</v>
      </c>
      <c r="Z116" s="127">
        <f>S55</f>
        <v>13755000</v>
      </c>
      <c r="AA116" s="127">
        <f>(Z116/Z117)*100</f>
        <v>7.0801725559786606</v>
      </c>
      <c r="AB116" s="144"/>
    </row>
    <row r="117" spans="2:28" ht="15.75" customHeight="1">
      <c r="B117" s="54"/>
      <c r="C117" s="99"/>
      <c r="D117" s="99"/>
      <c r="E117" s="99"/>
      <c r="F117" s="99"/>
      <c r="G117" s="99"/>
      <c r="N117" s="171"/>
      <c r="O117" s="5" t="s">
        <v>111</v>
      </c>
      <c r="P117" s="14"/>
      <c r="Q117" s="5"/>
      <c r="R117" s="5"/>
      <c r="S117" s="171"/>
      <c r="X117" s="90" t="s">
        <v>320</v>
      </c>
      <c r="Y117" s="90"/>
      <c r="Z117" s="127">
        <f>SUM(Z103:Z116)</f>
        <v>194274926.08757061</v>
      </c>
      <c r="AA117" s="90">
        <v>100</v>
      </c>
      <c r="AB117" s="128">
        <f>SUM(AB103:AB116)</f>
        <v>194274926.08757061</v>
      </c>
    </row>
    <row r="118" spans="2:28" ht="15.75" customHeight="1">
      <c r="N118" s="170"/>
      <c r="O118" s="13" t="s">
        <v>114</v>
      </c>
      <c r="P118" s="14">
        <f>V101</f>
        <v>0</v>
      </c>
      <c r="Q118" s="5">
        <v>595</v>
      </c>
      <c r="R118" s="5">
        <f t="shared" si="9"/>
        <v>0</v>
      </c>
      <c r="S118" s="170"/>
    </row>
    <row r="119" spans="2:28" ht="15.75" customHeight="1">
      <c r="N119" s="168"/>
      <c r="O119" s="279"/>
      <c r="P119" s="279"/>
      <c r="Q119" s="279"/>
      <c r="R119" s="280"/>
      <c r="S119" s="5">
        <f>SUM(S112:S118)</f>
        <v>0</v>
      </c>
    </row>
  </sheetData>
  <mergeCells count="139">
    <mergeCell ref="N23:N28"/>
    <mergeCell ref="F17:H17"/>
    <mergeCell ref="C34:D34"/>
    <mergeCell ref="B29:D29"/>
    <mergeCell ref="B16:D16"/>
    <mergeCell ref="C30:D30"/>
    <mergeCell ref="N16:S16"/>
    <mergeCell ref="N15:S15"/>
    <mergeCell ref="N10:Q10"/>
    <mergeCell ref="N13:R13"/>
    <mergeCell ref="N30:S30"/>
    <mergeCell ref="N29:R29"/>
    <mergeCell ref="S23:S28"/>
    <mergeCell ref="B34:B38"/>
    <mergeCell ref="C38:D38"/>
    <mergeCell ref="C3:D3"/>
    <mergeCell ref="G3:L3"/>
    <mergeCell ref="S3:T3"/>
    <mergeCell ref="S2:V2"/>
    <mergeCell ref="U3:V3"/>
    <mergeCell ref="N7:Q7"/>
    <mergeCell ref="N6:Q6"/>
    <mergeCell ref="C4:D4"/>
    <mergeCell ref="C5:D5"/>
    <mergeCell ref="C6:D6"/>
    <mergeCell ref="F2:L2"/>
    <mergeCell ref="B2:D2"/>
    <mergeCell ref="B7:D7"/>
    <mergeCell ref="N2:N5"/>
    <mergeCell ref="O4:O5"/>
    <mergeCell ref="B89:D89"/>
    <mergeCell ref="N89:S89"/>
    <mergeCell ref="N84:R84"/>
    <mergeCell ref="N81:P81"/>
    <mergeCell ref="B68:D68"/>
    <mergeCell ref="C83:D83"/>
    <mergeCell ref="B72:B74"/>
    <mergeCell ref="C81:D81"/>
    <mergeCell ref="C82:D82"/>
    <mergeCell ref="C80:D80"/>
    <mergeCell ref="C78:D78"/>
    <mergeCell ref="B69:B71"/>
    <mergeCell ref="C79:D79"/>
    <mergeCell ref="B75:D75"/>
    <mergeCell ref="C76:D76"/>
    <mergeCell ref="C84:D84"/>
    <mergeCell ref="C85:D85"/>
    <mergeCell ref="C87:D87"/>
    <mergeCell ref="C86:D86"/>
    <mergeCell ref="C88:D88"/>
    <mergeCell ref="C77:D77"/>
    <mergeCell ref="C71:D71"/>
    <mergeCell ref="C72:D72"/>
    <mergeCell ref="C73:D73"/>
    <mergeCell ref="C74:D74"/>
    <mergeCell ref="C69:D69"/>
    <mergeCell ref="N63:P65"/>
    <mergeCell ref="N66:P71"/>
    <mergeCell ref="N62:P62"/>
    <mergeCell ref="N50:R50"/>
    <mergeCell ref="N61:S61"/>
    <mergeCell ref="N51:S51"/>
    <mergeCell ref="C70:D70"/>
    <mergeCell ref="N72:P75"/>
    <mergeCell ref="S72:S75"/>
    <mergeCell ref="C65:D66"/>
    <mergeCell ref="C62:D64"/>
    <mergeCell ref="C67:D67"/>
    <mergeCell ref="S63:S65"/>
    <mergeCell ref="B41:B45"/>
    <mergeCell ref="B56:B60"/>
    <mergeCell ref="C50:D50"/>
    <mergeCell ref="C49:D49"/>
    <mergeCell ref="B61:B64"/>
    <mergeCell ref="B65:B66"/>
    <mergeCell ref="C60:D60"/>
    <mergeCell ref="C51:D51"/>
    <mergeCell ref="C52:D52"/>
    <mergeCell ref="C44:D44"/>
    <mergeCell ref="B49:B52"/>
    <mergeCell ref="B46:B48"/>
    <mergeCell ref="C47:D47"/>
    <mergeCell ref="C48:D48"/>
    <mergeCell ref="C42:D42"/>
    <mergeCell ref="C43:D43"/>
    <mergeCell ref="C45:D45"/>
    <mergeCell ref="C46:D46"/>
    <mergeCell ref="C61:D61"/>
    <mergeCell ref="C56:D56"/>
    <mergeCell ref="C41:D41"/>
    <mergeCell ref="C53:D55"/>
    <mergeCell ref="B53:B55"/>
    <mergeCell ref="N119:R119"/>
    <mergeCell ref="N110:N113"/>
    <mergeCell ref="N18:N21"/>
    <mergeCell ref="S18:S21"/>
    <mergeCell ref="R43:R44"/>
    <mergeCell ref="S43:S44"/>
    <mergeCell ref="R47:R48"/>
    <mergeCell ref="R45:R46"/>
    <mergeCell ref="S45:S46"/>
    <mergeCell ref="S47:S48"/>
    <mergeCell ref="N53:N56"/>
    <mergeCell ref="N22:S22"/>
    <mergeCell ref="N57:N60"/>
    <mergeCell ref="S55:S60"/>
    <mergeCell ref="S96:S98"/>
    <mergeCell ref="N95:S95"/>
    <mergeCell ref="N94:R94"/>
    <mergeCell ref="N93:R93"/>
    <mergeCell ref="N90:R90"/>
    <mergeCell ref="N92:R92"/>
    <mergeCell ref="N91:R91"/>
    <mergeCell ref="N76:P80"/>
    <mergeCell ref="S76:S80"/>
    <mergeCell ref="N43:Q44"/>
    <mergeCell ref="Z113:Z114"/>
    <mergeCell ref="AB104:AB109"/>
    <mergeCell ref="AB110:AB116"/>
    <mergeCell ref="N31:Q34"/>
    <mergeCell ref="S31:S34"/>
    <mergeCell ref="N35:Q38"/>
    <mergeCell ref="S35:S38"/>
    <mergeCell ref="N39:Q42"/>
    <mergeCell ref="S39:S42"/>
    <mergeCell ref="X110:X116"/>
    <mergeCell ref="X104:X109"/>
    <mergeCell ref="N107:S107"/>
    <mergeCell ref="N108:S108"/>
    <mergeCell ref="S112:S113"/>
    <mergeCell ref="N115:N118"/>
    <mergeCell ref="S115:S118"/>
    <mergeCell ref="U89:W89"/>
    <mergeCell ref="S66:S71"/>
    <mergeCell ref="N82:P83"/>
    <mergeCell ref="S82:S83"/>
    <mergeCell ref="N45:Q46"/>
    <mergeCell ref="N47:Q48"/>
    <mergeCell ref="N49:Q4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70"/>
  <sheetViews>
    <sheetView workbookViewId="0">
      <selection activeCell="L20" sqref="L20"/>
    </sheetView>
  </sheetViews>
  <sheetFormatPr defaultColWidth="14.42578125" defaultRowHeight="15.75" customHeight="1"/>
  <cols>
    <col min="2" max="2" width="47.42578125" customWidth="1"/>
    <col min="3" max="3" width="38.7109375" customWidth="1"/>
    <col min="4" max="4" width="6.7109375" customWidth="1"/>
    <col min="6" max="6" width="6.7109375" customWidth="1"/>
    <col min="7" max="8" width="20.28515625" customWidth="1"/>
    <col min="11" max="11" width="32.140625" customWidth="1"/>
    <col min="12" max="12" width="12" customWidth="1"/>
    <col min="13" max="13" width="12.42578125" customWidth="1"/>
    <col min="16" max="16" width="35.85546875" customWidth="1"/>
    <col min="18" max="18" width="15.5703125" customWidth="1"/>
    <col min="20" max="20" width="18.5703125" customWidth="1"/>
    <col min="21" max="21" width="18.7109375" customWidth="1"/>
    <col min="22" max="22" width="23.7109375" customWidth="1"/>
  </cols>
  <sheetData>
    <row r="1" spans="1:22" ht="15.75" customHeight="1">
      <c r="A1" s="143" t="s">
        <v>321</v>
      </c>
      <c r="B1" s="143"/>
      <c r="C1" s="143"/>
      <c r="D1" s="143"/>
      <c r="E1" s="143"/>
      <c r="F1" s="143"/>
      <c r="G1" s="143"/>
      <c r="H1" s="143"/>
      <c r="I1" s="143"/>
    </row>
    <row r="2" spans="1:22" ht="15.75" customHeight="1">
      <c r="A2" s="143"/>
      <c r="B2" s="143"/>
      <c r="C2" s="143"/>
      <c r="D2" s="143"/>
      <c r="E2" s="143"/>
      <c r="F2" s="143"/>
      <c r="G2" s="143"/>
      <c r="H2" s="143"/>
      <c r="I2" s="143"/>
      <c r="P2" s="133" t="s">
        <v>293</v>
      </c>
      <c r="Q2" s="133" t="s">
        <v>322</v>
      </c>
      <c r="R2" s="133" t="s">
        <v>323</v>
      </c>
      <c r="S2" s="133" t="s">
        <v>324</v>
      </c>
      <c r="T2" s="133" t="s">
        <v>325</v>
      </c>
      <c r="U2" s="133" t="s">
        <v>326</v>
      </c>
      <c r="V2" s="133" t="s">
        <v>327</v>
      </c>
    </row>
    <row r="3" spans="1:22" ht="15.75" customHeight="1">
      <c r="A3" s="143"/>
      <c r="B3" s="143"/>
      <c r="C3" s="143"/>
      <c r="D3" s="143"/>
      <c r="E3" s="143"/>
      <c r="F3" s="143"/>
      <c r="G3" s="143"/>
      <c r="H3" s="143"/>
      <c r="I3" s="143"/>
      <c r="P3" s="96" t="s">
        <v>301</v>
      </c>
      <c r="Q3" s="90">
        <v>6</v>
      </c>
      <c r="R3" s="90">
        <v>12</v>
      </c>
      <c r="S3" s="123">
        <f>Q3/(R3*24)</f>
        <v>2.0833333333333332E-2</v>
      </c>
      <c r="T3" s="121">
        <f>1/24</f>
        <v>4.1666666666666664E-2</v>
      </c>
      <c r="U3" s="89">
        <f>6/24</f>
        <v>0.25</v>
      </c>
      <c r="V3" s="269">
        <f>SUM(S13:U13)</f>
        <v>44.00231481481481</v>
      </c>
    </row>
    <row r="4" spans="1:22" ht="15.75" customHeight="1">
      <c r="A4" s="143"/>
      <c r="B4" s="143"/>
      <c r="C4" s="143"/>
      <c r="D4" s="143"/>
      <c r="E4" s="143"/>
      <c r="F4" s="143"/>
      <c r="G4" s="143"/>
      <c r="H4" s="143"/>
      <c r="I4" s="143"/>
      <c r="P4" s="96" t="s">
        <v>81</v>
      </c>
      <c r="Q4" s="90">
        <v>1124</v>
      </c>
      <c r="R4" s="90">
        <v>18</v>
      </c>
      <c r="S4" s="123">
        <f t="shared" ref="S4:S11" si="0">Q4/(R4*24)</f>
        <v>2.6018518518518516</v>
      </c>
      <c r="T4" s="121"/>
      <c r="U4" s="89"/>
      <c r="V4" s="270"/>
    </row>
    <row r="5" spans="1:22" ht="15.75" customHeight="1">
      <c r="A5" s="143"/>
      <c r="B5" s="143"/>
      <c r="C5" s="143"/>
      <c r="D5" s="143"/>
      <c r="E5" s="143"/>
      <c r="F5" s="143"/>
      <c r="G5" s="143"/>
      <c r="H5" s="143"/>
      <c r="I5" s="143"/>
      <c r="P5" s="96" t="s">
        <v>304</v>
      </c>
      <c r="Q5" s="90">
        <v>12</v>
      </c>
      <c r="R5" s="90">
        <v>12</v>
      </c>
      <c r="S5" s="123">
        <f t="shared" si="0"/>
        <v>4.1666666666666664E-2</v>
      </c>
      <c r="T5" s="121">
        <f t="shared" ref="T4:T11" si="1">1/24</f>
        <v>4.1666666666666664E-2</v>
      </c>
      <c r="U5" s="89">
        <f t="shared" ref="U4:U11" si="2">6/24</f>
        <v>0.25</v>
      </c>
      <c r="V5" s="270"/>
    </row>
    <row r="6" spans="1:22" ht="15.75" customHeight="1">
      <c r="A6" s="143"/>
      <c r="B6" s="143"/>
      <c r="C6" s="143"/>
      <c r="D6" s="143"/>
      <c r="E6" s="143"/>
      <c r="F6" s="143"/>
      <c r="G6" s="143"/>
      <c r="H6" s="143"/>
      <c r="I6" s="143"/>
      <c r="P6" s="96" t="s">
        <v>98</v>
      </c>
      <c r="Q6" s="90">
        <v>580</v>
      </c>
      <c r="R6" s="90">
        <v>12</v>
      </c>
      <c r="S6" s="123">
        <f t="shared" si="0"/>
        <v>2.0138888888888888</v>
      </c>
      <c r="T6" s="121">
        <f t="shared" si="1"/>
        <v>4.1666666666666664E-2</v>
      </c>
      <c r="U6" s="89">
        <f t="shared" si="2"/>
        <v>0.25</v>
      </c>
      <c r="V6" s="270"/>
    </row>
    <row r="7" spans="1:22" ht="15.75" customHeight="1">
      <c r="A7" s="143"/>
      <c r="B7" s="143"/>
      <c r="C7" s="143"/>
      <c r="D7" s="143"/>
      <c r="E7" s="143"/>
      <c r="F7" s="143"/>
      <c r="G7" s="143"/>
      <c r="H7" s="143"/>
      <c r="I7" s="143"/>
      <c r="P7" s="96" t="s">
        <v>99</v>
      </c>
      <c r="Q7" s="90">
        <v>120</v>
      </c>
      <c r="R7" s="90">
        <v>12</v>
      </c>
      <c r="S7" s="123">
        <f>15/24</f>
        <v>0.625</v>
      </c>
      <c r="T7" s="121">
        <f t="shared" si="1"/>
        <v>4.1666666666666664E-2</v>
      </c>
      <c r="U7" s="89">
        <f t="shared" si="2"/>
        <v>0.25</v>
      </c>
      <c r="V7" s="270"/>
    </row>
    <row r="8" spans="1:22" ht="15.75" customHeight="1">
      <c r="A8" s="143"/>
      <c r="B8" s="143"/>
      <c r="C8" s="143"/>
      <c r="D8" s="143"/>
      <c r="E8" s="143"/>
      <c r="F8" s="143"/>
      <c r="G8" s="143"/>
      <c r="H8" s="143"/>
      <c r="I8" s="143"/>
      <c r="P8" s="96" t="s">
        <v>82</v>
      </c>
      <c r="Q8" s="90">
        <v>13813</v>
      </c>
      <c r="R8" s="90">
        <v>18</v>
      </c>
      <c r="S8" s="123">
        <f t="shared" si="0"/>
        <v>31.974537037037038</v>
      </c>
      <c r="T8" s="121"/>
      <c r="U8" s="89"/>
      <c r="V8" s="270"/>
    </row>
    <row r="9" spans="1:22" ht="15.75" customHeight="1">
      <c r="A9" s="143"/>
      <c r="B9" s="143"/>
      <c r="C9" s="143"/>
      <c r="D9" s="143"/>
      <c r="E9" s="143"/>
      <c r="F9" s="143"/>
      <c r="G9" s="143"/>
      <c r="H9" s="143"/>
      <c r="I9" s="143"/>
      <c r="P9" s="96" t="s">
        <v>311</v>
      </c>
      <c r="Q9" s="90">
        <v>12</v>
      </c>
      <c r="R9" s="90">
        <v>12</v>
      </c>
      <c r="S9" s="123">
        <f t="shared" si="0"/>
        <v>4.1666666666666664E-2</v>
      </c>
      <c r="T9" s="121">
        <f t="shared" si="1"/>
        <v>4.1666666666666664E-2</v>
      </c>
      <c r="U9" s="89">
        <f t="shared" si="2"/>
        <v>0.25</v>
      </c>
      <c r="V9" s="270"/>
    </row>
    <row r="10" spans="1:22" ht="15.75" customHeight="1">
      <c r="A10" s="143"/>
      <c r="B10" s="143"/>
      <c r="C10" s="143"/>
      <c r="D10" s="143"/>
      <c r="E10" s="143"/>
      <c r="F10" s="143"/>
      <c r="G10" s="143"/>
      <c r="H10" s="143"/>
      <c r="I10" s="143"/>
      <c r="P10" s="96" t="s">
        <v>87</v>
      </c>
      <c r="Q10" s="90">
        <v>2113</v>
      </c>
      <c r="R10" s="90">
        <v>18</v>
      </c>
      <c r="S10" s="123">
        <f t="shared" si="0"/>
        <v>4.8912037037037033</v>
      </c>
      <c r="T10" s="121"/>
      <c r="U10" s="89"/>
      <c r="V10" s="270"/>
    </row>
    <row r="11" spans="1:22" ht="15.75" customHeight="1">
      <c r="A11" s="143"/>
      <c r="B11" s="143"/>
      <c r="C11" s="143"/>
      <c r="D11" s="143"/>
      <c r="E11" s="143"/>
      <c r="F11" s="143"/>
      <c r="G11" s="143"/>
      <c r="H11" s="143"/>
      <c r="I11" s="143"/>
      <c r="P11" s="96" t="s">
        <v>314</v>
      </c>
      <c r="Q11" s="90">
        <v>12</v>
      </c>
      <c r="R11" s="90">
        <v>12</v>
      </c>
      <c r="S11" s="123">
        <f t="shared" si="0"/>
        <v>4.1666666666666664E-2</v>
      </c>
      <c r="T11" s="121">
        <f t="shared" si="1"/>
        <v>4.1666666666666664E-2</v>
      </c>
      <c r="U11" s="89">
        <f t="shared" si="2"/>
        <v>0.25</v>
      </c>
      <c r="V11" s="270"/>
    </row>
    <row r="12" spans="1:22" ht="15.75" customHeight="1">
      <c r="A12" s="143"/>
      <c r="B12" s="143"/>
      <c r="C12" s="143"/>
      <c r="D12" s="143"/>
      <c r="E12" s="143"/>
      <c r="F12" s="143"/>
      <c r="G12" s="143"/>
      <c r="H12" s="143"/>
      <c r="I12" s="143"/>
      <c r="P12" s="90"/>
      <c r="Q12" s="89"/>
      <c r="R12" s="89"/>
      <c r="S12" s="124"/>
      <c r="T12" s="121"/>
      <c r="U12" s="89"/>
      <c r="V12" s="270"/>
    </row>
    <row r="13" spans="1:22" ht="15.75" customHeight="1">
      <c r="A13" s="143"/>
      <c r="B13" s="143"/>
      <c r="C13" s="143"/>
      <c r="D13" s="143"/>
      <c r="E13" s="143"/>
      <c r="F13" s="143"/>
      <c r="G13" s="143"/>
      <c r="H13" s="143"/>
      <c r="I13" s="143"/>
      <c r="P13" s="94" t="s">
        <v>317</v>
      </c>
      <c r="Q13" s="95"/>
      <c r="R13" s="95"/>
      <c r="S13" s="125">
        <f>SUM(S3:S11)</f>
        <v>42.25231481481481</v>
      </c>
      <c r="T13" s="122">
        <f>SUM(T3:T11)</f>
        <v>0.24999999999999997</v>
      </c>
      <c r="U13" s="95">
        <f>SUM(U3:U11)</f>
        <v>1.5</v>
      </c>
      <c r="V13" s="271"/>
    </row>
    <row r="14" spans="1:22" ht="15.75" customHeight="1">
      <c r="A14" s="143"/>
      <c r="B14" s="143"/>
      <c r="C14" s="143"/>
      <c r="D14" s="143"/>
      <c r="E14" s="143"/>
      <c r="F14" s="143"/>
      <c r="G14" s="143"/>
      <c r="H14" s="143"/>
      <c r="I14" s="143"/>
      <c r="V14" s="56"/>
    </row>
    <row r="15" spans="1:22" ht="15.75" customHeight="1">
      <c r="A15" s="143"/>
      <c r="B15" s="143"/>
      <c r="C15" s="143"/>
      <c r="D15" s="143"/>
      <c r="E15" s="143"/>
      <c r="F15" s="143"/>
      <c r="G15" s="143"/>
      <c r="H15" s="143"/>
      <c r="I15" s="143"/>
      <c r="P15" s="92" t="s">
        <v>328</v>
      </c>
      <c r="R15" s="97" t="s">
        <v>329</v>
      </c>
    </row>
    <row r="16" spans="1:22" ht="15.75" customHeight="1">
      <c r="A16" s="143"/>
      <c r="B16" s="143"/>
      <c r="C16" s="143"/>
      <c r="D16" s="143"/>
      <c r="E16" s="143"/>
      <c r="F16" s="143"/>
      <c r="G16" s="143"/>
      <c r="H16" s="143"/>
      <c r="I16" s="143"/>
      <c r="P16" s="90">
        <v>169</v>
      </c>
      <c r="R16" s="89">
        <f>20768*0.75</f>
        <v>15576</v>
      </c>
    </row>
    <row r="17" spans="1:20" ht="15.75" customHeight="1">
      <c r="A17" s="143"/>
      <c r="B17" s="143"/>
      <c r="C17" s="143"/>
      <c r="D17" s="143"/>
      <c r="E17" s="143"/>
      <c r="F17" s="143"/>
      <c r="G17" s="143"/>
      <c r="H17" s="143"/>
      <c r="I17" s="143"/>
    </row>
    <row r="18" spans="1:20" ht="15.75" customHeight="1">
      <c r="A18" s="143"/>
      <c r="B18" s="143"/>
      <c r="C18" s="143"/>
      <c r="D18" s="143"/>
      <c r="E18" s="143"/>
      <c r="F18" s="143"/>
      <c r="G18" s="143"/>
      <c r="H18" s="143"/>
      <c r="I18" s="143"/>
    </row>
    <row r="19" spans="1:20" ht="15.75" customHeight="1">
      <c r="A19" s="143"/>
      <c r="B19" s="143"/>
      <c r="C19" s="143"/>
      <c r="D19" s="143"/>
      <c r="E19" s="143"/>
      <c r="F19" s="143"/>
      <c r="G19" s="143"/>
      <c r="H19" s="143"/>
      <c r="I19" s="143"/>
      <c r="P19" s="132" t="s">
        <v>330</v>
      </c>
      <c r="Q19" s="132" t="s">
        <v>331</v>
      </c>
      <c r="R19" s="132" t="s">
        <v>332</v>
      </c>
      <c r="S19" s="132" t="s">
        <v>333</v>
      </c>
      <c r="T19" s="132" t="s">
        <v>324</v>
      </c>
    </row>
    <row r="20" spans="1:20" ht="15.75" customHeight="1">
      <c r="A20" s="143"/>
      <c r="B20" s="143"/>
      <c r="C20" s="143"/>
      <c r="D20" s="143"/>
      <c r="E20" s="143"/>
      <c r="F20" s="143"/>
      <c r="G20" s="143"/>
      <c r="H20" s="143"/>
      <c r="I20" s="143"/>
      <c r="P20" s="108" t="s">
        <v>109</v>
      </c>
      <c r="Q20" s="90">
        <v>240</v>
      </c>
      <c r="R20" s="90">
        <v>0.75</v>
      </c>
      <c r="S20" s="126">
        <f>(R16/Q20)*R20</f>
        <v>48.675000000000004</v>
      </c>
      <c r="T20" s="126">
        <f>S20/24</f>
        <v>2.0281250000000002</v>
      </c>
    </row>
    <row r="21" spans="1:20" ht="15.75" customHeight="1">
      <c r="A21" s="143"/>
      <c r="B21" s="143"/>
      <c r="C21" s="143"/>
      <c r="D21" s="143"/>
      <c r="E21" s="143"/>
      <c r="F21" s="143"/>
      <c r="G21" s="143"/>
      <c r="H21" s="143"/>
      <c r="I21" s="143"/>
      <c r="P21" s="108" t="s">
        <v>110</v>
      </c>
      <c r="Q21" s="90">
        <v>240</v>
      </c>
      <c r="R21" s="90">
        <v>0.3</v>
      </c>
      <c r="S21" s="126">
        <f>2*(R16/Q21)*R21</f>
        <v>38.940000000000005</v>
      </c>
      <c r="T21" s="126">
        <f>S21/24</f>
        <v>1.6225000000000003</v>
      </c>
    </row>
    <row r="22" spans="1:20" ht="15.75" customHeight="1">
      <c r="A22" s="143"/>
      <c r="B22" s="143"/>
      <c r="C22" s="143"/>
      <c r="D22" s="143"/>
      <c r="E22" s="143"/>
      <c r="F22" s="143"/>
      <c r="G22" s="143"/>
      <c r="H22" s="143"/>
      <c r="I22" s="143"/>
      <c r="P22" s="108" t="s">
        <v>111</v>
      </c>
      <c r="Q22" s="90">
        <v>120</v>
      </c>
      <c r="R22" s="90">
        <v>0.3</v>
      </c>
      <c r="S22" s="126">
        <f>2*(R16/Q22)*R22</f>
        <v>77.88000000000001</v>
      </c>
      <c r="T22" s="126">
        <f>S22/24</f>
        <v>3.2450000000000006</v>
      </c>
    </row>
    <row r="23" spans="1:20" ht="15.75" customHeight="1">
      <c r="A23" s="143"/>
      <c r="B23" s="143"/>
      <c r="C23" s="143"/>
      <c r="D23" s="143"/>
      <c r="E23" s="143"/>
      <c r="F23" s="143"/>
      <c r="G23" s="143"/>
      <c r="H23" s="143"/>
      <c r="I23" s="143"/>
      <c r="P23" s="108" t="s">
        <v>334</v>
      </c>
      <c r="Q23" s="90">
        <f>35*6</f>
        <v>210</v>
      </c>
      <c r="R23" s="90">
        <v>0.75</v>
      </c>
      <c r="S23" s="126">
        <f>(R16/Q23)*R23</f>
        <v>55.628571428571433</v>
      </c>
      <c r="T23" s="126">
        <f>S23/24</f>
        <v>2.3178571428571431</v>
      </c>
    </row>
    <row r="24" spans="1:20" ht="15.75" customHeight="1">
      <c r="A24" s="143"/>
      <c r="B24" s="143"/>
      <c r="C24" s="143"/>
      <c r="D24" s="143"/>
      <c r="E24" s="143"/>
      <c r="F24" s="143"/>
      <c r="G24" s="143"/>
      <c r="H24" s="143"/>
      <c r="I24" s="143"/>
      <c r="P24" s="129" t="s">
        <v>317</v>
      </c>
      <c r="Q24" s="130"/>
      <c r="R24" s="130"/>
      <c r="S24" s="130"/>
      <c r="T24" s="131">
        <f>SUM(T20:T23)</f>
        <v>9.2134821428571438</v>
      </c>
    </row>
    <row r="25" spans="1:20" ht="15.75" customHeight="1">
      <c r="A25" s="143"/>
      <c r="B25" s="143"/>
      <c r="C25" s="143"/>
      <c r="D25" s="143"/>
      <c r="E25" s="143"/>
      <c r="F25" s="143"/>
      <c r="G25" s="143"/>
      <c r="H25" s="143"/>
      <c r="I25" s="143"/>
    </row>
    <row r="26" spans="1:20" ht="15.75" customHeight="1">
      <c r="A26" s="143"/>
      <c r="B26" s="143"/>
      <c r="C26" s="143"/>
      <c r="D26" s="143"/>
      <c r="E26" s="143"/>
      <c r="F26" s="143"/>
      <c r="G26" s="143"/>
      <c r="H26" s="143"/>
      <c r="I26" s="143"/>
    </row>
    <row r="27" spans="1:20" ht="15.75" customHeight="1">
      <c r="A27" s="143"/>
      <c r="B27" s="143"/>
      <c r="C27" s="143"/>
      <c r="D27" s="143"/>
      <c r="E27" s="143"/>
      <c r="F27" s="143"/>
      <c r="G27" s="143"/>
      <c r="H27" s="143"/>
      <c r="I27" s="143"/>
    </row>
    <row r="28" spans="1:20" ht="15.75" customHeight="1">
      <c r="A28" s="143"/>
      <c r="B28" s="143"/>
      <c r="C28" s="143"/>
      <c r="D28" s="143"/>
      <c r="E28" s="143"/>
      <c r="F28" s="143"/>
      <c r="G28" s="143"/>
      <c r="H28" s="143"/>
      <c r="I28" s="143"/>
    </row>
    <row r="29" spans="1:20" ht="15.75" customHeight="1">
      <c r="A29" s="143"/>
      <c r="B29" s="143"/>
      <c r="C29" s="143"/>
      <c r="D29" s="143"/>
      <c r="E29" s="143"/>
      <c r="F29" s="143"/>
      <c r="G29" s="143"/>
      <c r="H29" s="143"/>
      <c r="I29" s="143"/>
    </row>
    <row r="30" spans="1:20" ht="13.15">
      <c r="A30" s="143"/>
      <c r="B30" s="143"/>
      <c r="C30" s="143"/>
      <c r="D30" s="143"/>
      <c r="E30" s="143"/>
      <c r="F30" s="143"/>
      <c r="G30" s="143"/>
      <c r="H30" s="143"/>
      <c r="I30" s="143"/>
    </row>
    <row r="31" spans="1:20" ht="13.15">
      <c r="A31" s="143"/>
      <c r="B31" s="143"/>
      <c r="C31" s="143"/>
      <c r="D31" s="143"/>
      <c r="E31" s="143"/>
      <c r="F31" s="143"/>
      <c r="G31" s="143"/>
      <c r="H31" s="143"/>
      <c r="I31" s="143"/>
    </row>
    <row r="32" spans="1:20" ht="13.15">
      <c r="A32" s="143"/>
      <c r="B32" s="143"/>
      <c r="C32" s="143"/>
      <c r="D32" s="143"/>
      <c r="E32" s="143"/>
      <c r="F32" s="143"/>
      <c r="G32" s="143"/>
      <c r="H32" s="143"/>
      <c r="I32" s="143"/>
    </row>
    <row r="33" spans="1:9" ht="13.15">
      <c r="A33" s="143"/>
      <c r="B33" s="143"/>
      <c r="C33" s="143"/>
      <c r="D33" s="143"/>
      <c r="E33" s="143"/>
      <c r="F33" s="143"/>
      <c r="G33" s="143"/>
      <c r="H33" s="143"/>
      <c r="I33" s="143"/>
    </row>
    <row r="34" spans="1:9" ht="13.15">
      <c r="A34" s="143"/>
      <c r="B34" s="143"/>
      <c r="C34" s="143"/>
      <c r="D34" s="143"/>
      <c r="E34" s="143"/>
      <c r="F34" s="143"/>
      <c r="G34" s="143"/>
      <c r="H34" s="143"/>
      <c r="I34" s="143"/>
    </row>
    <row r="35" spans="1:9" ht="13.15">
      <c r="A35" s="143"/>
      <c r="B35" s="143"/>
      <c r="C35" s="143"/>
      <c r="D35" s="143"/>
      <c r="E35" s="143"/>
      <c r="F35" s="143"/>
      <c r="G35" s="143"/>
      <c r="H35" s="143"/>
      <c r="I35" s="143"/>
    </row>
    <row r="36" spans="1:9" ht="13.15">
      <c r="A36" s="143"/>
      <c r="B36" s="143"/>
      <c r="C36" s="143"/>
      <c r="D36" s="143"/>
      <c r="E36" s="143"/>
      <c r="F36" s="143"/>
      <c r="G36" s="143"/>
      <c r="H36" s="143"/>
      <c r="I36" s="143"/>
    </row>
    <row r="37" spans="1:9" ht="13.15">
      <c r="A37" s="143"/>
      <c r="B37" s="143"/>
      <c r="C37" s="143"/>
      <c r="D37" s="143"/>
      <c r="E37" s="143"/>
      <c r="F37" s="143"/>
      <c r="G37" s="143"/>
      <c r="H37" s="143"/>
      <c r="I37" s="143"/>
    </row>
    <row r="38" spans="1:9" ht="13.15">
      <c r="A38" s="143"/>
      <c r="B38" s="143"/>
      <c r="C38" s="143"/>
      <c r="D38" s="143"/>
      <c r="E38" s="143"/>
      <c r="F38" s="143"/>
      <c r="G38" s="143"/>
      <c r="H38" s="143"/>
      <c r="I38" s="143"/>
    </row>
    <row r="39" spans="1:9" ht="13.15">
      <c r="A39" s="143"/>
      <c r="B39" s="143"/>
      <c r="C39" s="143"/>
      <c r="D39" s="143"/>
      <c r="E39" s="143"/>
      <c r="F39" s="143"/>
      <c r="G39" s="143"/>
      <c r="H39" s="143"/>
      <c r="I39" s="143"/>
    </row>
    <row r="40" spans="1:9" ht="13.15">
      <c r="A40" s="143"/>
      <c r="B40" s="143"/>
      <c r="C40" s="143"/>
      <c r="D40" s="143"/>
      <c r="E40" s="143"/>
      <c r="F40" s="143"/>
      <c r="G40" s="143"/>
      <c r="H40" s="143"/>
      <c r="I40" s="143"/>
    </row>
    <row r="41" spans="1:9" ht="13.15">
      <c r="A41" s="143"/>
      <c r="B41" s="143"/>
      <c r="C41" s="143"/>
      <c r="D41" s="143"/>
      <c r="E41" s="143"/>
      <c r="F41" s="143"/>
      <c r="G41" s="143"/>
      <c r="H41" s="143"/>
      <c r="I41" s="143"/>
    </row>
    <row r="42" spans="1:9" ht="13.15">
      <c r="A42" s="143"/>
      <c r="B42" s="143"/>
      <c r="C42" s="143"/>
      <c r="D42" s="143"/>
      <c r="E42" s="143"/>
      <c r="F42" s="143"/>
      <c r="G42" s="143"/>
      <c r="H42" s="143"/>
      <c r="I42" s="143"/>
    </row>
    <row r="43" spans="1:9" ht="13.15">
      <c r="A43" s="143"/>
      <c r="B43" s="143"/>
      <c r="C43" s="143"/>
      <c r="D43" s="143"/>
      <c r="E43" s="143"/>
      <c r="F43" s="143"/>
      <c r="G43" s="143"/>
      <c r="H43" s="143"/>
      <c r="I43" s="143"/>
    </row>
    <row r="44" spans="1:9" ht="13.15">
      <c r="A44" s="143"/>
      <c r="B44" s="143"/>
      <c r="C44" s="143"/>
      <c r="D44" s="143"/>
      <c r="E44" s="143"/>
      <c r="F44" s="143"/>
      <c r="G44" s="143"/>
      <c r="H44" s="143"/>
      <c r="I44" s="143"/>
    </row>
    <row r="45" spans="1:9" ht="13.15">
      <c r="A45" s="143"/>
      <c r="B45" s="143"/>
      <c r="C45" s="143"/>
      <c r="D45" s="143"/>
      <c r="E45" s="143"/>
      <c r="F45" s="143"/>
      <c r="G45" s="143"/>
      <c r="H45" s="143"/>
      <c r="I45" s="143"/>
    </row>
    <row r="46" spans="1:9" ht="13.15">
      <c r="A46" s="143"/>
      <c r="B46" s="143"/>
      <c r="C46" s="143"/>
      <c r="D46" s="143"/>
      <c r="E46" s="143"/>
      <c r="F46" s="143"/>
      <c r="G46" s="143"/>
      <c r="H46" s="143"/>
      <c r="I46" s="143"/>
    </row>
    <row r="47" spans="1:9" ht="13.15">
      <c r="A47" s="143"/>
      <c r="B47" s="143"/>
      <c r="C47" s="143"/>
      <c r="D47" s="143"/>
      <c r="E47" s="143"/>
      <c r="F47" s="143"/>
      <c r="G47" s="143"/>
      <c r="H47" s="143"/>
      <c r="I47" s="143"/>
    </row>
    <row r="48" spans="1:9" ht="13.15">
      <c r="A48" s="143"/>
      <c r="B48" s="143"/>
      <c r="C48" s="143"/>
      <c r="D48" s="143"/>
      <c r="E48" s="143"/>
      <c r="F48" s="143"/>
      <c r="G48" s="143"/>
      <c r="H48" s="143"/>
      <c r="I48" s="143"/>
    </row>
    <row r="49" spans="1:9" ht="13.15">
      <c r="A49" s="143"/>
      <c r="B49" s="143"/>
      <c r="C49" s="143"/>
      <c r="D49" s="143"/>
      <c r="E49" s="143"/>
      <c r="F49" s="143"/>
      <c r="G49" s="143"/>
      <c r="H49" s="143"/>
      <c r="I49" s="143"/>
    </row>
    <row r="50" spans="1:9" ht="13.15">
      <c r="A50" s="143"/>
      <c r="B50" s="143"/>
      <c r="C50" s="143"/>
      <c r="D50" s="143"/>
      <c r="E50" s="143"/>
      <c r="F50" s="143"/>
      <c r="G50" s="143"/>
      <c r="H50" s="143"/>
      <c r="I50" s="143"/>
    </row>
    <row r="51" spans="1:9" ht="13.15">
      <c r="A51" s="143"/>
      <c r="B51" s="143"/>
      <c r="C51" s="143"/>
      <c r="D51" s="143"/>
      <c r="E51" s="143"/>
      <c r="F51" s="143"/>
      <c r="G51" s="143"/>
      <c r="H51" s="143"/>
      <c r="I51" s="143"/>
    </row>
    <row r="52" spans="1:9" ht="15.75" customHeight="1">
      <c r="A52" s="143"/>
      <c r="B52" s="143"/>
      <c r="C52" s="143"/>
      <c r="D52" s="143"/>
      <c r="E52" s="143"/>
      <c r="F52" s="143"/>
      <c r="G52" s="143"/>
      <c r="H52" s="143"/>
      <c r="I52" s="143"/>
    </row>
    <row r="53" spans="1:9" ht="15.75" customHeight="1">
      <c r="A53" s="143"/>
      <c r="B53" s="143"/>
      <c r="C53" s="143"/>
      <c r="D53" s="143"/>
      <c r="E53" s="143"/>
      <c r="F53" s="143"/>
      <c r="G53" s="143"/>
      <c r="H53" s="143"/>
      <c r="I53" s="143"/>
    </row>
    <row r="54" spans="1:9" ht="15.75" customHeight="1">
      <c r="A54" s="143"/>
      <c r="B54" s="143"/>
      <c r="C54" s="143"/>
      <c r="D54" s="143"/>
      <c r="E54" s="143"/>
      <c r="F54" s="143"/>
      <c r="G54" s="143"/>
      <c r="H54" s="143"/>
      <c r="I54" s="143"/>
    </row>
    <row r="55" spans="1:9" ht="15.75" customHeight="1">
      <c r="A55" s="143"/>
      <c r="B55" s="143"/>
      <c r="C55" s="143"/>
      <c r="D55" s="143"/>
      <c r="E55" s="143"/>
      <c r="F55" s="143"/>
      <c r="G55" s="143"/>
      <c r="H55" s="143"/>
      <c r="I55" s="143"/>
    </row>
    <row r="56" spans="1:9" ht="15.75" customHeight="1">
      <c r="A56" s="143"/>
      <c r="B56" s="143"/>
      <c r="C56" s="143"/>
      <c r="D56" s="143"/>
      <c r="E56" s="143"/>
      <c r="F56" s="143"/>
      <c r="G56" s="143"/>
      <c r="H56" s="143"/>
      <c r="I56" s="143"/>
    </row>
    <row r="57" spans="1:9" ht="15.75" customHeight="1">
      <c r="A57" s="143"/>
      <c r="B57" s="143"/>
      <c r="C57" s="143"/>
      <c r="D57" s="143"/>
      <c r="E57" s="143"/>
      <c r="F57" s="143"/>
      <c r="G57" s="143"/>
      <c r="H57" s="143"/>
      <c r="I57" s="143"/>
    </row>
    <row r="58" spans="1:9" ht="15.75" customHeight="1">
      <c r="A58" s="143"/>
      <c r="B58" s="143"/>
      <c r="C58" s="143"/>
      <c r="D58" s="143"/>
      <c r="E58" s="143"/>
      <c r="F58" s="143"/>
      <c r="G58" s="143"/>
      <c r="H58" s="143"/>
      <c r="I58" s="143"/>
    </row>
    <row r="59" spans="1:9" ht="15.75" customHeight="1">
      <c r="A59" s="143"/>
      <c r="B59" s="143"/>
      <c r="C59" s="143"/>
      <c r="D59" s="143"/>
      <c r="E59" s="143"/>
      <c r="F59" s="143"/>
      <c r="G59" s="143"/>
      <c r="H59" s="143"/>
      <c r="I59" s="143"/>
    </row>
    <row r="60" spans="1:9" ht="15.75" customHeight="1">
      <c r="A60" s="143"/>
      <c r="B60" s="143"/>
      <c r="C60" s="143"/>
      <c r="D60" s="143"/>
      <c r="E60" s="143"/>
      <c r="F60" s="143"/>
      <c r="G60" s="143"/>
      <c r="H60" s="143"/>
      <c r="I60" s="143"/>
    </row>
    <row r="61" spans="1:9" ht="15.75" customHeight="1">
      <c r="A61" s="143"/>
      <c r="B61" s="143"/>
      <c r="C61" s="143"/>
      <c r="D61" s="143"/>
      <c r="E61" s="143"/>
      <c r="F61" s="143"/>
      <c r="G61" s="143"/>
      <c r="H61" s="143"/>
      <c r="I61" s="143"/>
    </row>
    <row r="62" spans="1:9" ht="15.75" customHeight="1">
      <c r="A62" s="143"/>
      <c r="B62" s="143"/>
      <c r="C62" s="143"/>
      <c r="D62" s="143"/>
      <c r="E62" s="143"/>
      <c r="F62" s="143"/>
      <c r="G62" s="143"/>
      <c r="H62" s="143"/>
      <c r="I62" s="143"/>
    </row>
    <row r="63" spans="1:9" ht="15.75" customHeight="1">
      <c r="A63" s="143"/>
      <c r="B63" s="143"/>
      <c r="C63" s="143"/>
      <c r="D63" s="143"/>
      <c r="E63" s="143"/>
      <c r="F63" s="143"/>
      <c r="G63" s="143"/>
      <c r="H63" s="143"/>
      <c r="I63" s="143"/>
    </row>
    <row r="64" spans="1:9" ht="15.75" customHeight="1">
      <c r="A64" s="143"/>
      <c r="B64" s="143"/>
      <c r="C64" s="143"/>
      <c r="D64" s="143"/>
      <c r="E64" s="143"/>
      <c r="F64" s="143"/>
      <c r="G64" s="143"/>
      <c r="H64" s="143"/>
      <c r="I64" s="143"/>
    </row>
    <row r="65" spans="1:9" ht="15.75" customHeight="1">
      <c r="A65" s="143"/>
      <c r="B65" s="143"/>
      <c r="C65" s="143"/>
      <c r="D65" s="143"/>
      <c r="E65" s="143"/>
      <c r="F65" s="143"/>
      <c r="G65" s="143"/>
      <c r="H65" s="143"/>
      <c r="I65" s="143"/>
    </row>
    <row r="66" spans="1:9" ht="15.75" customHeight="1">
      <c r="A66" s="143"/>
      <c r="B66" s="143"/>
      <c r="C66" s="143"/>
      <c r="D66" s="143"/>
      <c r="E66" s="143"/>
      <c r="F66" s="143"/>
      <c r="G66" s="143"/>
      <c r="H66" s="143"/>
      <c r="I66" s="143"/>
    </row>
    <row r="67" spans="1:9" ht="15.75" customHeight="1">
      <c r="A67" s="143"/>
      <c r="B67" s="143"/>
      <c r="C67" s="143"/>
      <c r="D67" s="143"/>
      <c r="E67" s="143"/>
      <c r="F67" s="143"/>
      <c r="G67" s="143"/>
      <c r="H67" s="143"/>
      <c r="I67" s="143"/>
    </row>
    <row r="68" spans="1:9" ht="15.75" customHeight="1">
      <c r="A68" s="143"/>
      <c r="B68" s="143"/>
      <c r="C68" s="143"/>
      <c r="D68" s="143"/>
      <c r="E68" s="143"/>
      <c r="F68" s="143"/>
      <c r="G68" s="143"/>
      <c r="H68" s="143"/>
      <c r="I68" s="143"/>
    </row>
    <row r="69" spans="1:9" ht="15.75" customHeight="1">
      <c r="A69" s="143"/>
      <c r="B69" s="143"/>
      <c r="C69" s="143"/>
      <c r="D69" s="143"/>
      <c r="E69" s="143"/>
      <c r="F69" s="143"/>
      <c r="G69" s="143"/>
      <c r="H69" s="143"/>
      <c r="I69" s="143"/>
    </row>
    <row r="70" spans="1:9" ht="15.75" customHeight="1">
      <c r="A70" s="143"/>
      <c r="B70" s="143"/>
      <c r="C70" s="143"/>
      <c r="D70" s="143"/>
      <c r="E70" s="143"/>
      <c r="F70" s="143"/>
      <c r="G70" s="143"/>
      <c r="H70" s="143"/>
      <c r="I70" s="143"/>
    </row>
  </sheetData>
  <mergeCells count="1">
    <mergeCell ref="V3:V1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S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BC91A84A2F845AE428095A500E47C" ma:contentTypeVersion="4" ma:contentTypeDescription="Criar um novo documento." ma:contentTypeScope="" ma:versionID="ae8f937d7531947593e03b3f179dd6a2">
  <xsd:schema xmlns:xsd="http://www.w3.org/2001/XMLSchema" xmlns:xs="http://www.w3.org/2001/XMLSchema" xmlns:p="http://schemas.microsoft.com/office/2006/metadata/properties" xmlns:ns3="0c9e14bd-dae5-45c4-a4e8-724c15f45205" targetNamespace="http://schemas.microsoft.com/office/2006/metadata/properties" ma:root="true" ma:fieldsID="ae9f9dd79148dfc3a9ff8fffe412d11a" ns3:_="">
    <xsd:import namespace="0c9e14bd-dae5-45c4-a4e8-724c15f452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e14bd-dae5-45c4-a4e8-724c15f4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F940A0-D3DC-4B09-B6CD-FAA966283025}"/>
</file>

<file path=customXml/itemProps2.xml><?xml version="1.0" encoding="utf-8"?>
<ds:datastoreItem xmlns:ds="http://schemas.openxmlformats.org/officeDocument/2006/customXml" ds:itemID="{ADF44426-93AB-4229-9D77-95A59D5C050E}"/>
</file>

<file path=customXml/itemProps3.xml><?xml version="1.0" encoding="utf-8"?>
<ds:datastoreItem xmlns:ds="http://schemas.openxmlformats.org/officeDocument/2006/customXml" ds:itemID="{F98B381A-D90C-4148-B28C-13D7B1EA3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2021-12-13T20:13:26Z</dcterms:created>
  <dcterms:modified xsi:type="dcterms:W3CDTF">2022-08-08T16:03:05Z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0x010100F4CBC91A84A2F845AE428095A500E47C</vt:lpwstr>
  </property>
</Properties>
</file>