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spinoza/Library/CloudStorage/OneDrive-Geosyntec/Documents/Papers/DNPV/J-DNPVPy/"/>
    </mc:Choice>
  </mc:AlternateContent>
  <xr:revisionPtr revIDLastSave="0" documentId="13_ncr:1_{13E34C1F-4FF8-D440-AAF1-304BD08398A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inancial model" sheetId="3" r:id="rId1"/>
    <sheet name="Debt Repayment profiles" sheetId="7" state="hidden" r:id="rId2"/>
    <sheet name="Financial model 2" sheetId="14" state="hidden" r:id="rId3"/>
    <sheet name="Risk Analysis" sheetId="10" r:id="rId4"/>
    <sheet name="Risk Drivers" sheetId="18" r:id="rId5"/>
    <sheet name="DNPV Input" sheetId="17" r:id="rId6"/>
    <sheet name="Risk Valuation" sheetId="8" r:id="rId7"/>
    <sheet name="DNPV Graph" sheetId="15" r:id="rId8"/>
    <sheet name="Bond Yield" sheetId="9" r:id="rId9"/>
    <sheet name="CG of Radiation Loss" sheetId="12" r:id="rId10"/>
    <sheet name="Sheet1" sheetId="16" r:id="rId11"/>
  </sheets>
  <externalReferences>
    <externalReference r:id="rId12"/>
  </externalReferences>
  <definedNames>
    <definedName name="a" localSheetId="9">'CG of Radiation Loss'!$C$15</definedName>
    <definedName name="a" localSheetId="4">'Risk Drivers'!#REF!</definedName>
    <definedName name="a" localSheetId="6">'Risk Valuation'!#REF!</definedName>
    <definedName name="d" localSheetId="9">'CG of Radiation Loss'!$C$13</definedName>
    <definedName name="d" localSheetId="4">'Risk Drivers'!#REF!</definedName>
    <definedName name="d" localSheetId="6">'Risk Valuation'!$C$14</definedName>
    <definedName name="d1." localSheetId="9">'CG of Radiation Loss'!$E$6</definedName>
    <definedName name="d1." localSheetId="4">'Risk Drivers'!#REF!</definedName>
    <definedName name="d1." localSheetId="6">'Risk Valuation'!$F$7</definedName>
    <definedName name="d2.">[1]Put!$F$9</definedName>
    <definedName name="DELt" localSheetId="9">'CG of Radiation Loss'!$C$5</definedName>
    <definedName name="DELt" localSheetId="4">'Risk Drivers'!$C$7</definedName>
    <definedName name="DELt" localSheetId="6">'Risk Valuation'!$C$6</definedName>
    <definedName name="duration" localSheetId="9">'CG of Radiation Loss'!$C$111</definedName>
    <definedName name="duration" localSheetId="4">'Risk Drivers'!#REF!</definedName>
    <definedName name="duration">'Risk Valuation'!#REF!</definedName>
    <definedName name="library_file_name">"Solar Project Renewable Energy Journal.xls"</definedName>
    <definedName name="local_library">TRUE</definedName>
    <definedName name="numperiods" localSheetId="9">'CG of Radiation Loss'!$C$3</definedName>
    <definedName name="numperiods" localSheetId="4">'Risk Drivers'!$B$5</definedName>
    <definedName name="numperiods" localSheetId="6">'Risk Valuation'!$C$4</definedName>
    <definedName name="p" localSheetId="9">'CG of Radiation Loss'!$C$14</definedName>
    <definedName name="p" localSheetId="4">'Risk Drivers'!#REF!</definedName>
    <definedName name="p" localSheetId="6">'Risk Valuation'!#REF!</definedName>
    <definedName name="PM_Index">#REF!</definedName>
    <definedName name="PM_Trials">Sheet1!$B$9</definedName>
    <definedName name="_xlnm.Print_Area" localSheetId="1">'Debt Repayment profiles'!$A$1:$V$20</definedName>
    <definedName name="_xlnm.Print_Area" localSheetId="0">'Financial model'!$A$1:$X$47</definedName>
    <definedName name="_xlnm.Print_Area" localSheetId="2">'Financial model 2'!$A$1:$X$44</definedName>
    <definedName name="rf" localSheetId="9">'CG of Radiation Loss'!$C$9</definedName>
    <definedName name="rf" localSheetId="4">'Risk Drivers'!#REF!</definedName>
    <definedName name="rf" localSheetId="6">'Risk Valuation'!$C$10</definedName>
    <definedName name="S" localSheetId="9">'CG of Radiation Loss'!$C$6</definedName>
    <definedName name="S" localSheetId="4">'Risk Drivers'!#REF!</definedName>
    <definedName name="S" localSheetId="6">'Risk Valuation'!$C$7</definedName>
    <definedName name="T" localSheetId="9">'CG of Radiation Loss'!$C$4</definedName>
    <definedName name="T" localSheetId="4">'Risk Drivers'!$B$6</definedName>
    <definedName name="T" localSheetId="6">'Risk Valuation'!$C$5</definedName>
    <definedName name="u" localSheetId="9">'CG of Radiation Loss'!$C$12</definedName>
    <definedName name="u" localSheetId="4">'Risk Drivers'!#REF!</definedName>
    <definedName name="u" localSheetId="6">'Risk Valuation'!$C$13</definedName>
    <definedName name="VALUE" localSheetId="9">'CG of Radiation Loss'!$B$36</definedName>
    <definedName name="VALUE" localSheetId="4">'Risk Drivers'!#REF!</definedName>
    <definedName name="VALUE" localSheetId="6">'Risk Valuation'!#REF!</definedName>
    <definedName name="VOL" localSheetId="9">'CG of Radiation Loss'!#REF!</definedName>
    <definedName name="VOL" localSheetId="4">'Risk Drivers'!#REF!</definedName>
    <definedName name="VOL" localSheetId="6">'Risk Valuation'!#REF!</definedName>
    <definedName name="X" localSheetId="9">'CG of Radiation Loss'!#REF!</definedName>
    <definedName name="X" localSheetId="4">'Risk Drivers'!#REF!</definedName>
    <definedName name="X" localSheetId="6">'Risk Valuation'!$C$8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3" l="1"/>
  <c r="D48" i="3"/>
  <c r="D47" i="3"/>
  <c r="E35" i="3"/>
  <c r="E36" i="3"/>
  <c r="D36" i="3"/>
  <c r="A14" i="17"/>
  <c r="E13" i="15"/>
  <c r="D6" i="8" l="1"/>
  <c r="D5" i="8"/>
  <c r="R12" i="16" l="1"/>
  <c r="N20" i="12"/>
  <c r="E18" i="8"/>
  <c r="K24" i="8" s="1"/>
  <c r="M26" i="8"/>
  <c r="M25" i="8"/>
  <c r="F7" i="17" l="1"/>
  <c r="B1" i="17" a="1"/>
  <c r="B1" i="17" s="1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A11" i="17"/>
  <c r="E32" i="3"/>
  <c r="D44" i="3"/>
  <c r="E8" i="3"/>
  <c r="E7" i="3"/>
  <c r="E36" i="8"/>
  <c r="D10" i="8" l="1"/>
  <c r="A13" i="17" l="1"/>
  <c r="E10" i="12" l="1"/>
  <c r="K6" i="12"/>
  <c r="D7" i="8"/>
  <c r="A12" i="17"/>
  <c r="E22" i="3"/>
  <c r="B12" i="17" s="1"/>
  <c r="I5" i="12"/>
  <c r="B11" i="16" l="1"/>
  <c r="B5" i="16"/>
  <c r="F15" i="15" l="1"/>
  <c r="F14" i="15"/>
  <c r="F13" i="15"/>
  <c r="E15" i="15"/>
  <c r="E14" i="15"/>
  <c r="F18" i="14"/>
  <c r="F19" i="3"/>
  <c r="G19" i="3" s="1"/>
  <c r="H19" i="3" s="1"/>
  <c r="I19" i="3" s="1"/>
  <c r="J19" i="3" s="1"/>
  <c r="K19" i="3" s="1"/>
  <c r="L19" i="3" s="1"/>
  <c r="E3" i="7"/>
  <c r="B17" i="7" s="1"/>
  <c r="C14" i="7" s="1"/>
  <c r="E23" i="14"/>
  <c r="E24" i="14"/>
  <c r="F24" i="14"/>
  <c r="G24" i="14" s="1"/>
  <c r="H24" i="14" s="1"/>
  <c r="I24" i="14" s="1"/>
  <c r="J24" i="14" s="1"/>
  <c r="K24" i="14" s="1"/>
  <c r="L24" i="14" s="1"/>
  <c r="M24" i="14" s="1"/>
  <c r="N24" i="14" s="1"/>
  <c r="O24" i="14" s="1"/>
  <c r="P24" i="14" s="1"/>
  <c r="Q24" i="14" s="1"/>
  <c r="R24" i="14" s="1"/>
  <c r="S24" i="14" s="1"/>
  <c r="T24" i="14" s="1"/>
  <c r="U24" i="14" s="1"/>
  <c r="V24" i="14" s="1"/>
  <c r="W24" i="14" s="1"/>
  <c r="X24" i="14" s="1"/>
  <c r="E25" i="14"/>
  <c r="F25" i="14" s="1"/>
  <c r="G25" i="14" s="1"/>
  <c r="H25" i="14" s="1"/>
  <c r="I25" i="14" s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V25" i="14" s="1"/>
  <c r="W25" i="14" s="1"/>
  <c r="X25" i="14" s="1"/>
  <c r="E27" i="14"/>
  <c r="F27" i="14" s="1"/>
  <c r="G27" i="14" s="1"/>
  <c r="H27" i="14" s="1"/>
  <c r="I27" i="14" s="1"/>
  <c r="J27" i="14" s="1"/>
  <c r="K27" i="14" s="1"/>
  <c r="L27" i="14" s="1"/>
  <c r="M27" i="14" s="1"/>
  <c r="N27" i="14" s="1"/>
  <c r="O27" i="14" s="1"/>
  <c r="P27" i="14" s="1"/>
  <c r="Q27" i="14" s="1"/>
  <c r="R27" i="14" s="1"/>
  <c r="S27" i="14" s="1"/>
  <c r="T27" i="14" s="1"/>
  <c r="U27" i="14" s="1"/>
  <c r="V27" i="14" s="1"/>
  <c r="W27" i="14" s="1"/>
  <c r="X27" i="14" s="1"/>
  <c r="F26" i="14"/>
  <c r="G26" i="14" s="1"/>
  <c r="H26" i="14" s="1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S26" i="14" s="1"/>
  <c r="T26" i="14" s="1"/>
  <c r="U26" i="14" s="1"/>
  <c r="V26" i="14" s="1"/>
  <c r="W26" i="14" s="1"/>
  <c r="X26" i="14" s="1"/>
  <c r="F23" i="14"/>
  <c r="G23" i="14" s="1"/>
  <c r="H23" i="14" s="1"/>
  <c r="I23" i="14" s="1"/>
  <c r="J23" i="14" s="1"/>
  <c r="K23" i="14" s="1"/>
  <c r="L23" i="14" s="1"/>
  <c r="L25" i="8"/>
  <c r="L26" i="8"/>
  <c r="E28" i="3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E26" i="3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E25" i="3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E24" i="3"/>
  <c r="B13" i="17" s="1"/>
  <c r="C34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C31" i="14"/>
  <c r="E21" i="14"/>
  <c r="F20" i="14"/>
  <c r="E7" i="14"/>
  <c r="E6" i="14"/>
  <c r="F21" i="3"/>
  <c r="G21" i="3" s="1"/>
  <c r="H21" i="3" s="1"/>
  <c r="L38" i="8"/>
  <c r="L37" i="8" s="1"/>
  <c r="P37" i="8" s="1"/>
  <c r="K38" i="8"/>
  <c r="M38" i="8" s="1"/>
  <c r="K26" i="8"/>
  <c r="K25" i="8"/>
  <c r="D46" i="8"/>
  <c r="H6" i="12"/>
  <c r="I6" i="12" s="1"/>
  <c r="B4" i="7"/>
  <c r="S16" i="7" s="1"/>
  <c r="B5" i="7"/>
  <c r="B6" i="7"/>
  <c r="O26" i="8"/>
  <c r="P26" i="8" s="1"/>
  <c r="D48" i="8"/>
  <c r="D49" i="8" s="1"/>
  <c r="E45" i="8" s="1"/>
  <c r="D8" i="8"/>
  <c r="F27" i="3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X27" i="3" s="1"/>
  <c r="C35" i="3"/>
  <c r="C32" i="3"/>
  <c r="R32" i="3"/>
  <c r="S32" i="3"/>
  <c r="I32" i="3"/>
  <c r="W32" i="3"/>
  <c r="V32" i="3"/>
  <c r="T32" i="3"/>
  <c r="U32" i="3"/>
  <c r="J32" i="3"/>
  <c r="X32" i="3"/>
  <c r="H32" i="3"/>
  <c r="P32" i="3"/>
  <c r="O32" i="3"/>
  <c r="G32" i="3"/>
  <c r="N32" i="3"/>
  <c r="F32" i="3"/>
  <c r="L32" i="3"/>
  <c r="K32" i="3"/>
  <c r="M32" i="3"/>
  <c r="Q32" i="3"/>
  <c r="H7" i="12"/>
  <c r="G20" i="14"/>
  <c r="H8" i="12"/>
  <c r="I8" i="12" s="1"/>
  <c r="C12" i="7" l="1"/>
  <c r="E32" i="14" s="1"/>
  <c r="E28" i="14" s="1"/>
  <c r="F28" i="14" s="1"/>
  <c r="G28" i="14" s="1"/>
  <c r="H28" i="14" s="1"/>
  <c r="I28" i="14" s="1"/>
  <c r="J28" i="14" s="1"/>
  <c r="K28" i="14" s="1"/>
  <c r="L28" i="14" s="1"/>
  <c r="M28" i="14" s="1"/>
  <c r="N28" i="14" s="1"/>
  <c r="O28" i="14" s="1"/>
  <c r="P28" i="14" s="1"/>
  <c r="Q28" i="14" s="1"/>
  <c r="R28" i="14" s="1"/>
  <c r="S28" i="14" s="1"/>
  <c r="T28" i="14" s="1"/>
  <c r="U28" i="14" s="1"/>
  <c r="V28" i="14" s="1"/>
  <c r="W28" i="14" s="1"/>
  <c r="X28" i="14" s="1"/>
  <c r="E4" i="7"/>
  <c r="D11" i="8"/>
  <c r="D12" i="8" s="1"/>
  <c r="D13" i="8" s="1"/>
  <c r="E42" i="3"/>
  <c r="F24" i="3"/>
  <c r="G22" i="3"/>
  <c r="D12" i="17" s="1"/>
  <c r="H22" i="3"/>
  <c r="E12" i="17" s="1"/>
  <c r="L24" i="8"/>
  <c r="M24" i="8" s="1"/>
  <c r="M27" i="8" s="1"/>
  <c r="M37" i="8"/>
  <c r="M39" i="8" s="1"/>
  <c r="N37" i="8" s="1"/>
  <c r="E46" i="8"/>
  <c r="G39" i="14"/>
  <c r="E39" i="14"/>
  <c r="O38" i="8"/>
  <c r="K16" i="7"/>
  <c r="E30" i="14"/>
  <c r="E34" i="14" s="1"/>
  <c r="O24" i="8"/>
  <c r="P24" i="8" s="1"/>
  <c r="E33" i="3"/>
  <c r="E29" i="3" s="1"/>
  <c r="H39" i="14"/>
  <c r="F22" i="3"/>
  <c r="C12" i="17" s="1"/>
  <c r="T16" i="7"/>
  <c r="R16" i="7"/>
  <c r="V16" i="7"/>
  <c r="E16" i="7"/>
  <c r="O16" i="7"/>
  <c r="F16" i="7"/>
  <c r="I21" i="3"/>
  <c r="Q16" i="7"/>
  <c r="M16" i="7"/>
  <c r="N16" i="7"/>
  <c r="P16" i="7"/>
  <c r="G16" i="7"/>
  <c r="D16" i="7"/>
  <c r="I7" i="12"/>
  <c r="J7" i="12" s="1"/>
  <c r="U16" i="7"/>
  <c r="L16" i="7"/>
  <c r="F39" i="14"/>
  <c r="J16" i="7"/>
  <c r="I16" i="7"/>
  <c r="C16" i="7"/>
  <c r="H16" i="7"/>
  <c r="F21" i="14"/>
  <c r="F30" i="14" s="1"/>
  <c r="G18" i="14"/>
  <c r="H18" i="14" s="1"/>
  <c r="I18" i="14" s="1"/>
  <c r="J18" i="14" s="1"/>
  <c r="K18" i="14" s="1"/>
  <c r="L18" i="14" s="1"/>
  <c r="M18" i="14" s="1"/>
  <c r="N18" i="14" s="1"/>
  <c r="O18" i="14"/>
  <c r="H20" i="14"/>
  <c r="G21" i="14"/>
  <c r="G30" i="14" s="1"/>
  <c r="L39" i="14"/>
  <c r="M23" i="14"/>
  <c r="M19" i="3"/>
  <c r="H9" i="12"/>
  <c r="I9" i="12" s="1"/>
  <c r="K8" i="12"/>
  <c r="I39" i="14"/>
  <c r="E38" i="8"/>
  <c r="K10" i="10" s="1"/>
  <c r="F42" i="3"/>
  <c r="J39" i="14"/>
  <c r="K39" i="14"/>
  <c r="E6" i="7"/>
  <c r="J8" i="12"/>
  <c r="O25" i="8"/>
  <c r="P25" i="8" s="1"/>
  <c r="N5" i="12"/>
  <c r="J6" i="12"/>
  <c r="P27" i="8" l="1"/>
  <c r="N24" i="8"/>
  <c r="E35" i="14"/>
  <c r="G24" i="3"/>
  <c r="C13" i="17"/>
  <c r="N38" i="8"/>
  <c r="P38" i="8"/>
  <c r="P39" i="8" s="1"/>
  <c r="Q37" i="8" s="1"/>
  <c r="Q38" i="8"/>
  <c r="E31" i="3"/>
  <c r="F29" i="3"/>
  <c r="G29" i="3" s="1"/>
  <c r="I22" i="3"/>
  <c r="F12" i="17" s="1"/>
  <c r="J21" i="3"/>
  <c r="B7" i="16"/>
  <c r="B9" i="16" s="1"/>
  <c r="C15" i="16" s="1"/>
  <c r="D9" i="8"/>
  <c r="K7" i="12"/>
  <c r="E11" i="7"/>
  <c r="M11" i="7"/>
  <c r="J11" i="7"/>
  <c r="N11" i="7"/>
  <c r="D11" i="7"/>
  <c r="S11" i="7"/>
  <c r="V11" i="7"/>
  <c r="P11" i="7"/>
  <c r="F11" i="7"/>
  <c r="O11" i="7"/>
  <c r="G11" i="7"/>
  <c r="U11" i="7"/>
  <c r="K11" i="7"/>
  <c r="I11" i="7"/>
  <c r="C11" i="7"/>
  <c r="C15" i="7" s="1"/>
  <c r="T11" i="7"/>
  <c r="H11" i="7"/>
  <c r="R11" i="7"/>
  <c r="Q11" i="7"/>
  <c r="L11" i="7"/>
  <c r="N39" i="8"/>
  <c r="M40" i="8" s="1"/>
  <c r="M41" i="8" s="1"/>
  <c r="N26" i="8"/>
  <c r="N25" i="8"/>
  <c r="N19" i="3"/>
  <c r="Q25" i="8"/>
  <c r="H10" i="12"/>
  <c r="I10" i="12" s="1"/>
  <c r="N23" i="14"/>
  <c r="M39" i="14"/>
  <c r="H21" i="14"/>
  <c r="H30" i="14" s="1"/>
  <c r="I20" i="14"/>
  <c r="P18" i="14"/>
  <c r="G31" i="3" l="1"/>
  <c r="H24" i="3"/>
  <c r="D13" i="17"/>
  <c r="G42" i="3"/>
  <c r="H29" i="3"/>
  <c r="F31" i="3"/>
  <c r="Q39" i="8"/>
  <c r="P40" i="8" s="1"/>
  <c r="P41" i="8" s="1"/>
  <c r="N27" i="8"/>
  <c r="M28" i="8" s="1"/>
  <c r="M29" i="8" s="1"/>
  <c r="K21" i="3"/>
  <c r="J22" i="3"/>
  <c r="E34" i="3"/>
  <c r="E33" i="14"/>
  <c r="C19" i="7"/>
  <c r="C17" i="7"/>
  <c r="D14" i="7" s="1"/>
  <c r="I21" i="14"/>
  <c r="I30" i="14" s="1"/>
  <c r="J20" i="14"/>
  <c r="O23" i="14"/>
  <c r="N39" i="14"/>
  <c r="J9" i="12"/>
  <c r="E24" i="8"/>
  <c r="E26" i="8" s="1"/>
  <c r="Q24" i="8"/>
  <c r="Q26" i="8"/>
  <c r="Q18" i="14"/>
  <c r="H11" i="12"/>
  <c r="K9" i="12"/>
  <c r="E40" i="3"/>
  <c r="I40" i="3"/>
  <c r="H37" i="14"/>
  <c r="H40" i="3"/>
  <c r="G37" i="14"/>
  <c r="G40" i="3"/>
  <c r="E37" i="14"/>
  <c r="F37" i="14"/>
  <c r="F40" i="3"/>
  <c r="K6" i="10"/>
  <c r="O19" i="3"/>
  <c r="H31" i="3" l="1"/>
  <c r="U11" i="16"/>
  <c r="B14" i="17"/>
  <c r="I29" i="3"/>
  <c r="J29" i="3" s="1"/>
  <c r="J40" i="3"/>
  <c r="G12" i="17"/>
  <c r="I24" i="3"/>
  <c r="E13" i="17"/>
  <c r="H42" i="3"/>
  <c r="I37" i="14"/>
  <c r="I11" i="12"/>
  <c r="J11" i="12" s="1"/>
  <c r="L21" i="3"/>
  <c r="K22" i="3"/>
  <c r="K10" i="12"/>
  <c r="K20" i="14"/>
  <c r="J21" i="14"/>
  <c r="R18" i="14"/>
  <c r="Q27" i="8"/>
  <c r="P28" i="8" s="1"/>
  <c r="P23" i="14"/>
  <c r="O39" i="14"/>
  <c r="D12" i="7"/>
  <c r="P19" i="3"/>
  <c r="J10" i="12"/>
  <c r="E29" i="8"/>
  <c r="K7" i="10" s="1"/>
  <c r="H12" i="12"/>
  <c r="I12" i="12" s="1"/>
  <c r="I31" i="3" l="1"/>
  <c r="U25" i="16"/>
  <c r="U12" i="16"/>
  <c r="U26" i="16"/>
  <c r="U23" i="16"/>
  <c r="U22" i="16"/>
  <c r="U31" i="16"/>
  <c r="U21" i="16"/>
  <c r="U13" i="16"/>
  <c r="U20" i="16"/>
  <c r="U29" i="16"/>
  <c r="U19" i="16"/>
  <c r="U28" i="16"/>
  <c r="U18" i="16"/>
  <c r="U27" i="16"/>
  <c r="U17" i="16"/>
  <c r="U16" i="16"/>
  <c r="U15" i="16"/>
  <c r="U14" i="16"/>
  <c r="U30" i="16"/>
  <c r="U24" i="16"/>
  <c r="J24" i="3"/>
  <c r="J31" i="3" s="1"/>
  <c r="F13" i="17"/>
  <c r="I42" i="3"/>
  <c r="K40" i="3"/>
  <c r="H12" i="17"/>
  <c r="M21" i="3"/>
  <c r="L22" i="3"/>
  <c r="K11" i="12"/>
  <c r="P29" i="8"/>
  <c r="E25" i="8"/>
  <c r="E27" i="8" s="1"/>
  <c r="E28" i="8" s="1"/>
  <c r="K29" i="3"/>
  <c r="L20" i="14"/>
  <c r="K21" i="14"/>
  <c r="Q19" i="3"/>
  <c r="S18" i="14"/>
  <c r="F32" i="14"/>
  <c r="F34" i="14" s="1"/>
  <c r="F35" i="14" s="1"/>
  <c r="F33" i="3"/>
  <c r="F35" i="3" s="1"/>
  <c r="F36" i="3" s="1"/>
  <c r="D15" i="7"/>
  <c r="K12" i="12"/>
  <c r="H13" i="12"/>
  <c r="I13" i="12" s="1"/>
  <c r="J12" i="12"/>
  <c r="Q23" i="14"/>
  <c r="P39" i="14"/>
  <c r="J30" i="14"/>
  <c r="J37" i="14"/>
  <c r="U10" i="16" l="1"/>
  <c r="C14" i="17"/>
  <c r="L40" i="3"/>
  <c r="I12" i="17"/>
  <c r="G13" i="17"/>
  <c r="J42" i="3"/>
  <c r="K24" i="3"/>
  <c r="N21" i="3"/>
  <c r="M22" i="3"/>
  <c r="R23" i="14"/>
  <c r="Q39" i="14"/>
  <c r="K30" i="14"/>
  <c r="K37" i="14"/>
  <c r="F34" i="3"/>
  <c r="D19" i="7"/>
  <c r="F33" i="14"/>
  <c r="D17" i="7"/>
  <c r="E14" i="7" s="1"/>
  <c r="T18" i="14"/>
  <c r="M20" i="14"/>
  <c r="L21" i="14"/>
  <c r="H14" i="12"/>
  <c r="I14" i="12" s="1"/>
  <c r="K13" i="12"/>
  <c r="R19" i="3"/>
  <c r="L29" i="3"/>
  <c r="M40" i="3" l="1"/>
  <c r="J12" i="17"/>
  <c r="K42" i="3"/>
  <c r="H13" i="17"/>
  <c r="L24" i="3"/>
  <c r="K31" i="3"/>
  <c r="O21" i="3"/>
  <c r="N22" i="3"/>
  <c r="M29" i="3"/>
  <c r="J13" i="12"/>
  <c r="S23" i="14"/>
  <c r="R39" i="14"/>
  <c r="S19" i="3"/>
  <c r="K14" i="12"/>
  <c r="J14" i="12"/>
  <c r="H15" i="12"/>
  <c r="I15" i="12" s="1"/>
  <c r="U18" i="14"/>
  <c r="L30" i="14"/>
  <c r="L37" i="14"/>
  <c r="E12" i="7"/>
  <c r="N20" i="14"/>
  <c r="M21" i="14"/>
  <c r="N40" i="3" l="1"/>
  <c r="K12" i="17"/>
  <c r="I13" i="17"/>
  <c r="M24" i="3"/>
  <c r="L42" i="3"/>
  <c r="L31" i="3"/>
  <c r="P21" i="3"/>
  <c r="O22" i="3"/>
  <c r="V18" i="14"/>
  <c r="H16" i="12"/>
  <c r="I16" i="12" s="1"/>
  <c r="K15" i="12"/>
  <c r="S39" i="14"/>
  <c r="T23" i="14"/>
  <c r="N29" i="3"/>
  <c r="M30" i="14"/>
  <c r="M37" i="14"/>
  <c r="G32" i="14"/>
  <c r="G34" i="14" s="1"/>
  <c r="G35" i="14" s="1"/>
  <c r="G33" i="3"/>
  <c r="G35" i="3" s="1"/>
  <c r="G36" i="3" s="1"/>
  <c r="E15" i="7"/>
  <c r="T19" i="3"/>
  <c r="O20" i="14"/>
  <c r="N21" i="14"/>
  <c r="D14" i="17" l="1"/>
  <c r="O40" i="3"/>
  <c r="L12" i="17"/>
  <c r="J13" i="17"/>
  <c r="M42" i="3"/>
  <c r="N24" i="3"/>
  <c r="N31" i="3" s="1"/>
  <c r="M31" i="3"/>
  <c r="Q21" i="3"/>
  <c r="P22" i="3"/>
  <c r="P20" i="14"/>
  <c r="O21" i="14"/>
  <c r="U19" i="3"/>
  <c r="O29" i="3"/>
  <c r="H17" i="12"/>
  <c r="I17" i="12" s="1"/>
  <c r="K16" i="12"/>
  <c r="J16" i="12"/>
  <c r="E19" i="7"/>
  <c r="G33" i="14"/>
  <c r="G34" i="3"/>
  <c r="E17" i="7"/>
  <c r="F14" i="7" s="1"/>
  <c r="J15" i="12"/>
  <c r="N30" i="14"/>
  <c r="N37" i="14"/>
  <c r="U23" i="14"/>
  <c r="T39" i="14"/>
  <c r="W18" i="14"/>
  <c r="P40" i="3" l="1"/>
  <c r="M12" i="17"/>
  <c r="K13" i="17"/>
  <c r="O24" i="3"/>
  <c r="O31" i="3" s="1"/>
  <c r="N42" i="3"/>
  <c r="R21" i="3"/>
  <c r="Q22" i="3"/>
  <c r="H18" i="12"/>
  <c r="I18" i="12" s="1"/>
  <c r="J17" i="12"/>
  <c r="K17" i="12"/>
  <c r="U39" i="14"/>
  <c r="V23" i="14"/>
  <c r="V19" i="3"/>
  <c r="X18" i="14"/>
  <c r="F12" i="7"/>
  <c r="Q20" i="14"/>
  <c r="P21" i="14"/>
  <c r="P29" i="3"/>
  <c r="O30" i="14"/>
  <c r="O37" i="14"/>
  <c r="L13" i="17" l="1"/>
  <c r="O42" i="3"/>
  <c r="P24" i="3"/>
  <c r="P31" i="3" s="1"/>
  <c r="Q40" i="3"/>
  <c r="N12" i="17"/>
  <c r="S21" i="3"/>
  <c r="R22" i="3"/>
  <c r="H19" i="12"/>
  <c r="I19" i="12" s="1"/>
  <c r="K18" i="12"/>
  <c r="J18" i="12"/>
  <c r="V39" i="14"/>
  <c r="W23" i="14"/>
  <c r="Q29" i="3"/>
  <c r="R20" i="14"/>
  <c r="Q21" i="14"/>
  <c r="P30" i="14"/>
  <c r="P37" i="14"/>
  <c r="H32" i="14"/>
  <c r="H34" i="14" s="1"/>
  <c r="H35" i="14" s="1"/>
  <c r="H33" i="3"/>
  <c r="H35" i="3" s="1"/>
  <c r="H36" i="3" s="1"/>
  <c r="F15" i="7"/>
  <c r="W19" i="3"/>
  <c r="E14" i="17" l="1"/>
  <c r="R40" i="3"/>
  <c r="O12" i="17"/>
  <c r="M13" i="17"/>
  <c r="Q24" i="3"/>
  <c r="Q31" i="3" s="1"/>
  <c r="P42" i="3"/>
  <c r="T21" i="3"/>
  <c r="S22" i="3"/>
  <c r="Q30" i="14"/>
  <c r="Q37" i="14"/>
  <c r="H33" i="14"/>
  <c r="F19" i="7"/>
  <c r="H34" i="3"/>
  <c r="F17" i="7"/>
  <c r="G14" i="7" s="1"/>
  <c r="H20" i="12"/>
  <c r="I20" i="12" s="1"/>
  <c r="J19" i="12"/>
  <c r="K19" i="12"/>
  <c r="S20" i="14"/>
  <c r="R21" i="14"/>
  <c r="R29" i="3"/>
  <c r="X19" i="3"/>
  <c r="X23" i="14"/>
  <c r="X39" i="14" s="1"/>
  <c r="W39" i="14"/>
  <c r="S40" i="3" l="1"/>
  <c r="P12" i="17"/>
  <c r="N13" i="17"/>
  <c r="R24" i="3"/>
  <c r="Q42" i="3"/>
  <c r="U21" i="3"/>
  <c r="T22" i="3"/>
  <c r="S29" i="3"/>
  <c r="R30" i="14"/>
  <c r="R37" i="14"/>
  <c r="H21" i="12"/>
  <c r="I21" i="12" s="1"/>
  <c r="J20" i="12"/>
  <c r="K20" i="12"/>
  <c r="T20" i="14"/>
  <c r="S21" i="14"/>
  <c r="G12" i="7"/>
  <c r="T40" i="3" l="1"/>
  <c r="Q12" i="17"/>
  <c r="O13" i="17"/>
  <c r="R42" i="3"/>
  <c r="S24" i="3"/>
  <c r="R31" i="3"/>
  <c r="V21" i="3"/>
  <c r="U22" i="3"/>
  <c r="U20" i="14"/>
  <c r="T21" i="14"/>
  <c r="S30" i="14"/>
  <c r="S37" i="14"/>
  <c r="H22" i="12"/>
  <c r="I22" i="12" s="1"/>
  <c r="J21" i="12"/>
  <c r="K21" i="12"/>
  <c r="T29" i="3"/>
  <c r="I32" i="14"/>
  <c r="I34" i="14" s="1"/>
  <c r="I35" i="14" s="1"/>
  <c r="I33" i="3"/>
  <c r="I35" i="3" s="1"/>
  <c r="G15" i="7"/>
  <c r="P13" i="17" l="1"/>
  <c r="T24" i="3"/>
  <c r="T31" i="3" s="1"/>
  <c r="S42" i="3"/>
  <c r="U40" i="3"/>
  <c r="R12" i="17"/>
  <c r="S31" i="3"/>
  <c r="W21" i="3"/>
  <c r="V22" i="3"/>
  <c r="V20" i="14"/>
  <c r="U21" i="14"/>
  <c r="U29" i="3"/>
  <c r="I36" i="3"/>
  <c r="K22" i="12"/>
  <c r="H23" i="12"/>
  <c r="I23" i="12" s="1"/>
  <c r="G19" i="7"/>
  <c r="I33" i="14"/>
  <c r="I34" i="3"/>
  <c r="G17" i="7"/>
  <c r="H14" i="7" s="1"/>
  <c r="T30" i="14"/>
  <c r="T37" i="14"/>
  <c r="F14" i="17" l="1"/>
  <c r="V40" i="3"/>
  <c r="S12" i="17"/>
  <c r="Q13" i="17"/>
  <c r="U24" i="3"/>
  <c r="T42" i="3"/>
  <c r="X21" i="3"/>
  <c r="X22" i="3" s="1"/>
  <c r="W22" i="3"/>
  <c r="U30" i="14"/>
  <c r="U37" i="14"/>
  <c r="W20" i="14"/>
  <c r="V21" i="14"/>
  <c r="H12" i="7"/>
  <c r="J22" i="12"/>
  <c r="K23" i="12"/>
  <c r="H24" i="12"/>
  <c r="I24" i="12" s="1"/>
  <c r="V29" i="3"/>
  <c r="W41" i="3" l="1"/>
  <c r="U41" i="3"/>
  <c r="R41" i="3"/>
  <c r="U12" i="17"/>
  <c r="X41" i="3"/>
  <c r="M41" i="3"/>
  <c r="F41" i="3"/>
  <c r="F44" i="3" s="1"/>
  <c r="J41" i="3"/>
  <c r="L41" i="3"/>
  <c r="I41" i="3"/>
  <c r="I44" i="3" s="1"/>
  <c r="H41" i="3"/>
  <c r="H44" i="3" s="1"/>
  <c r="E41" i="3"/>
  <c r="E44" i="3" s="1"/>
  <c r="O41" i="3"/>
  <c r="N41" i="3"/>
  <c r="G41" i="3"/>
  <c r="G44" i="3" s="1"/>
  <c r="K41" i="3"/>
  <c r="Q41" i="3"/>
  <c r="P41" i="3"/>
  <c r="T41" i="3"/>
  <c r="S41" i="3"/>
  <c r="V41" i="3"/>
  <c r="W40" i="3"/>
  <c r="T12" i="17"/>
  <c r="R13" i="17"/>
  <c r="V24" i="3"/>
  <c r="U42" i="3"/>
  <c r="U31" i="3"/>
  <c r="X40" i="3"/>
  <c r="V30" i="14"/>
  <c r="V37" i="14"/>
  <c r="J23" i="12"/>
  <c r="X20" i="14"/>
  <c r="X21" i="14" s="1"/>
  <c r="W21" i="14"/>
  <c r="K24" i="12"/>
  <c r="J24" i="12"/>
  <c r="H25" i="12"/>
  <c r="I25" i="12" s="1"/>
  <c r="W29" i="3"/>
  <c r="J33" i="3"/>
  <c r="J35" i="3" s="1"/>
  <c r="J32" i="14"/>
  <c r="J34" i="14" s="1"/>
  <c r="J35" i="14" s="1"/>
  <c r="H15" i="7"/>
  <c r="S13" i="17" l="1"/>
  <c r="V42" i="3"/>
  <c r="W24" i="3"/>
  <c r="V31" i="3"/>
  <c r="H19" i="7"/>
  <c r="J33" i="14"/>
  <c r="J34" i="3"/>
  <c r="H17" i="7"/>
  <c r="I14" i="7" s="1"/>
  <c r="X29" i="3"/>
  <c r="W30" i="14"/>
  <c r="W37" i="14"/>
  <c r="J36" i="3"/>
  <c r="H26" i="12"/>
  <c r="I26" i="12" s="1"/>
  <c r="J25" i="12"/>
  <c r="X30" i="14"/>
  <c r="X37" i="14"/>
  <c r="W31" i="3" l="1"/>
  <c r="T13" i="17"/>
  <c r="G14" i="17"/>
  <c r="J44" i="3"/>
  <c r="W42" i="3"/>
  <c r="X24" i="3"/>
  <c r="X31" i="3" s="1"/>
  <c r="I12" i="7"/>
  <c r="K26" i="12"/>
  <c r="J26" i="12"/>
  <c r="H27" i="12"/>
  <c r="I27" i="12" s="1"/>
  <c r="K25" i="12"/>
  <c r="X42" i="3" l="1"/>
  <c r="U13" i="17"/>
  <c r="K27" i="12"/>
  <c r="H28" i="12"/>
  <c r="I28" i="12" s="1"/>
  <c r="J27" i="12"/>
  <c r="K33" i="3"/>
  <c r="K35" i="3" s="1"/>
  <c r="K32" i="14"/>
  <c r="K34" i="14" s="1"/>
  <c r="I15" i="7"/>
  <c r="K34" i="3" l="1"/>
  <c r="K33" i="14"/>
  <c r="I19" i="7"/>
  <c r="I17" i="7"/>
  <c r="J14" i="7" s="1"/>
  <c r="K28" i="12"/>
  <c r="H29" i="12"/>
  <c r="I29" i="12" s="1"/>
  <c r="J28" i="12"/>
  <c r="K35" i="14"/>
  <c r="K36" i="3"/>
  <c r="H14" i="17" l="1"/>
  <c r="K44" i="3"/>
  <c r="H30" i="12"/>
  <c r="I30" i="12" s="1"/>
  <c r="J29" i="12"/>
  <c r="K29" i="12"/>
  <c r="J12" i="7"/>
  <c r="L33" i="3" l="1"/>
  <c r="L35" i="3" s="1"/>
  <c r="L32" i="14"/>
  <c r="L34" i="14" s="1"/>
  <c r="J15" i="7"/>
  <c r="K30" i="12"/>
  <c r="H31" i="12"/>
  <c r="I31" i="12" s="1"/>
  <c r="J19" i="7" l="1"/>
  <c r="L33" i="14"/>
  <c r="L34" i="3"/>
  <c r="J17" i="7"/>
  <c r="K14" i="7" s="1"/>
  <c r="H32" i="12"/>
  <c r="I32" i="12" s="1"/>
  <c r="K31" i="12"/>
  <c r="J31" i="12"/>
  <c r="L35" i="14"/>
  <c r="J30" i="12"/>
  <c r="L36" i="3"/>
  <c r="I14" i="17" l="1"/>
  <c r="L44" i="3"/>
  <c r="K12" i="7"/>
  <c r="K32" i="12"/>
  <c r="H33" i="12"/>
  <c r="I33" i="12" s="1"/>
  <c r="H34" i="12" l="1"/>
  <c r="I34" i="12" s="1"/>
  <c r="J33" i="12"/>
  <c r="J32" i="12"/>
  <c r="M32" i="14"/>
  <c r="M34" i="14" s="1"/>
  <c r="M33" i="3"/>
  <c r="M35" i="3" s="1"/>
  <c r="K15" i="7"/>
  <c r="K19" i="7" l="1"/>
  <c r="M33" i="14"/>
  <c r="M34" i="3"/>
  <c r="K17" i="7"/>
  <c r="L14" i="7" s="1"/>
  <c r="K33" i="12"/>
  <c r="M35" i="14"/>
  <c r="K34" i="12"/>
  <c r="J34" i="12"/>
  <c r="H35" i="12"/>
  <c r="I35" i="12" s="1"/>
  <c r="M36" i="3"/>
  <c r="J14" i="17" l="1"/>
  <c r="M44" i="3"/>
  <c r="L12" i="7"/>
  <c r="J35" i="12"/>
  <c r="K35" i="12"/>
  <c r="H36" i="12"/>
  <c r="I36" i="12" s="1"/>
  <c r="H37" i="12" l="1"/>
  <c r="I37" i="12" s="1"/>
  <c r="K36" i="12"/>
  <c r="J36" i="12"/>
  <c r="N32" i="14"/>
  <c r="N34" i="14" s="1"/>
  <c r="N33" i="3"/>
  <c r="N35" i="3" s="1"/>
  <c r="L15" i="7"/>
  <c r="N34" i="3" l="1"/>
  <c r="N33" i="14"/>
  <c r="L19" i="7"/>
  <c r="L17" i="7"/>
  <c r="M14" i="7" s="1"/>
  <c r="N36" i="3"/>
  <c r="N35" i="14"/>
  <c r="J37" i="12"/>
  <c r="H38" i="12"/>
  <c r="I38" i="12" s="1"/>
  <c r="K37" i="12"/>
  <c r="K14" i="17" l="1"/>
  <c r="N44" i="3"/>
  <c r="D50" i="8"/>
  <c r="D51" i="8" s="1"/>
  <c r="D47" i="8" s="1"/>
  <c r="E47" i="8" s="1"/>
  <c r="M12" i="7"/>
  <c r="H39" i="12"/>
  <c r="I39" i="12" s="1"/>
  <c r="J38" i="12"/>
  <c r="K38" i="12"/>
  <c r="D52" i="8" l="1"/>
  <c r="F40" i="14" s="1"/>
  <c r="O33" i="3"/>
  <c r="O35" i="3" s="1"/>
  <c r="O32" i="14"/>
  <c r="O34" i="14" s="1"/>
  <c r="M15" i="7"/>
  <c r="J39" i="12"/>
  <c r="K39" i="12"/>
  <c r="H40" i="12"/>
  <c r="I40" i="12" s="1"/>
  <c r="H40" i="14" l="1"/>
  <c r="R40" i="14"/>
  <c r="W40" i="14"/>
  <c r="O40" i="14"/>
  <c r="G40" i="14"/>
  <c r="P40" i="14"/>
  <c r="K12" i="10"/>
  <c r="K21" i="10" s="1"/>
  <c r="V40" i="14"/>
  <c r="S40" i="14"/>
  <c r="I40" i="14"/>
  <c r="T40" i="14"/>
  <c r="U40" i="14"/>
  <c r="Q40" i="14"/>
  <c r="J40" i="14"/>
  <c r="D53" i="8"/>
  <c r="X40" i="14"/>
  <c r="E40" i="14"/>
  <c r="L40" i="14"/>
  <c r="M40" i="14"/>
  <c r="N40" i="14"/>
  <c r="K40" i="14"/>
  <c r="O35" i="14"/>
  <c r="O33" i="14"/>
  <c r="O34" i="3"/>
  <c r="M19" i="7"/>
  <c r="M17" i="7"/>
  <c r="N14" i="7" s="1"/>
  <c r="H41" i="12"/>
  <c r="I41" i="12" s="1"/>
  <c r="J40" i="12"/>
  <c r="K40" i="12"/>
  <c r="O36" i="3"/>
  <c r="L14" i="17" l="1"/>
  <c r="O44" i="3"/>
  <c r="K41" i="12"/>
  <c r="H42" i="12"/>
  <c r="I42" i="12" s="1"/>
  <c r="J41" i="12"/>
  <c r="N12" i="7"/>
  <c r="H43" i="12" l="1"/>
  <c r="I43" i="12" s="1"/>
  <c r="J42" i="12"/>
  <c r="P33" i="3"/>
  <c r="P35" i="3" s="1"/>
  <c r="P32" i="14"/>
  <c r="P34" i="14" s="1"/>
  <c r="N15" i="7"/>
  <c r="P33" i="14" l="1"/>
  <c r="P34" i="3"/>
  <c r="N19" i="7"/>
  <c r="N17" i="7"/>
  <c r="O14" i="7" s="1"/>
  <c r="P35" i="14"/>
  <c r="K42" i="12"/>
  <c r="P36" i="3"/>
  <c r="K43" i="12"/>
  <c r="H44" i="12"/>
  <c r="I44" i="12" s="1"/>
  <c r="M14" i="17" l="1"/>
  <c r="P44" i="3"/>
  <c r="J43" i="12"/>
  <c r="O12" i="7"/>
  <c r="J44" i="12"/>
  <c r="H45" i="12"/>
  <c r="I45" i="12" s="1"/>
  <c r="Q33" i="3" l="1"/>
  <c r="Q35" i="3" s="1"/>
  <c r="Q32" i="14"/>
  <c r="Q34" i="14" s="1"/>
  <c r="O15" i="7"/>
  <c r="K45" i="12"/>
  <c r="H46" i="12"/>
  <c r="I46" i="12" s="1"/>
  <c r="K44" i="12"/>
  <c r="J45" i="12" l="1"/>
  <c r="O19" i="7"/>
  <c r="Q34" i="3"/>
  <c r="Q33" i="14"/>
  <c r="O17" i="7"/>
  <c r="P14" i="7" s="1"/>
  <c r="Q35" i="14"/>
  <c r="H47" i="12"/>
  <c r="I47" i="12" s="1"/>
  <c r="K46" i="12"/>
  <c r="Q36" i="3"/>
  <c r="N14" i="17" l="1"/>
  <c r="Q44" i="3"/>
  <c r="J46" i="12"/>
  <c r="H48" i="12"/>
  <c r="I48" i="12" s="1"/>
  <c r="K47" i="12"/>
  <c r="P12" i="7"/>
  <c r="J47" i="12" l="1"/>
  <c r="J48" i="12"/>
  <c r="K48" i="12"/>
  <c r="H49" i="12"/>
  <c r="I49" i="12" s="1"/>
  <c r="R32" i="14"/>
  <c r="R34" i="14" s="1"/>
  <c r="R33" i="3"/>
  <c r="R35" i="3" s="1"/>
  <c r="P15" i="7"/>
  <c r="R35" i="14" l="1"/>
  <c r="P19" i="7"/>
  <c r="R34" i="3"/>
  <c r="R33" i="14"/>
  <c r="P17" i="7"/>
  <c r="Q14" i="7" s="1"/>
  <c r="R36" i="3"/>
  <c r="J49" i="12"/>
  <c r="H50" i="12"/>
  <c r="I50" i="12" s="1"/>
  <c r="O14" i="17" l="1"/>
  <c r="R44" i="3"/>
  <c r="Q12" i="7"/>
  <c r="K50" i="12"/>
  <c r="H51" i="12"/>
  <c r="I51" i="12" s="1"/>
  <c r="K49" i="12"/>
  <c r="J50" i="12" l="1"/>
  <c r="K51" i="12"/>
  <c r="J51" i="12"/>
  <c r="H52" i="12"/>
  <c r="I52" i="12" s="1"/>
  <c r="S33" i="3"/>
  <c r="S35" i="3" s="1"/>
  <c r="S32" i="14"/>
  <c r="S34" i="14" s="1"/>
  <c r="Q15" i="7"/>
  <c r="S33" i="14" l="1"/>
  <c r="S34" i="3"/>
  <c r="Q19" i="7"/>
  <c r="Q17" i="7"/>
  <c r="R14" i="7" s="1"/>
  <c r="S35" i="14"/>
  <c r="S36" i="3"/>
  <c r="K52" i="12"/>
  <c r="H53" i="12"/>
  <c r="I53" i="12" s="1"/>
  <c r="P14" i="17" l="1"/>
  <c r="S44" i="3"/>
  <c r="R12" i="7"/>
  <c r="H54" i="12"/>
  <c r="I54" i="12" s="1"/>
  <c r="J53" i="12"/>
  <c r="K53" i="12"/>
  <c r="J52" i="12"/>
  <c r="H55" i="12" l="1"/>
  <c r="I55" i="12" s="1"/>
  <c r="K54" i="12"/>
  <c r="J54" i="12"/>
  <c r="T33" i="3"/>
  <c r="T35" i="3" s="1"/>
  <c r="T32" i="14"/>
  <c r="T34" i="14" s="1"/>
  <c r="R15" i="7"/>
  <c r="R19" i="7" l="1"/>
  <c r="T34" i="3"/>
  <c r="T33" i="14"/>
  <c r="R17" i="7"/>
  <c r="S14" i="7" s="1"/>
  <c r="T35" i="14"/>
  <c r="K55" i="12"/>
  <c r="H56" i="12"/>
  <c r="I56" i="12" s="1"/>
  <c r="J55" i="12"/>
  <c r="T36" i="3"/>
  <c r="Q14" i="17" l="1"/>
  <c r="T44" i="3"/>
  <c r="S12" i="7"/>
  <c r="K56" i="12"/>
  <c r="H57" i="12"/>
  <c r="I57" i="12" s="1"/>
  <c r="J57" i="12" l="1"/>
  <c r="H58" i="12"/>
  <c r="I58" i="12" s="1"/>
  <c r="K57" i="12"/>
  <c r="U33" i="3"/>
  <c r="U35" i="3" s="1"/>
  <c r="U32" i="14"/>
  <c r="U34" i="14" s="1"/>
  <c r="S15" i="7"/>
  <c r="J56" i="12"/>
  <c r="K58" i="12" l="1"/>
  <c r="J58" i="12"/>
  <c r="H59" i="12"/>
  <c r="I59" i="12" s="1"/>
  <c r="U34" i="3"/>
  <c r="U33" i="14"/>
  <c r="S19" i="7"/>
  <c r="S17" i="7"/>
  <c r="T14" i="7" s="1"/>
  <c r="U35" i="14"/>
  <c r="U36" i="3"/>
  <c r="R14" i="17" l="1"/>
  <c r="U44" i="3"/>
  <c r="T12" i="7"/>
  <c r="H60" i="12"/>
  <c r="I60" i="12" s="1"/>
  <c r="J59" i="12"/>
  <c r="K59" i="12"/>
  <c r="H61" i="12" l="1"/>
  <c r="I61" i="12" s="1"/>
  <c r="J60" i="12"/>
  <c r="V32" i="14"/>
  <c r="V34" i="14" s="1"/>
  <c r="V33" i="3"/>
  <c r="V35" i="3" s="1"/>
  <c r="T15" i="7"/>
  <c r="T19" i="7" l="1"/>
  <c r="V33" i="14"/>
  <c r="V34" i="3"/>
  <c r="T17" i="7"/>
  <c r="U14" i="7" s="1"/>
  <c r="V36" i="3"/>
  <c r="K60" i="12"/>
  <c r="H62" i="12"/>
  <c r="I62" i="12" s="1"/>
  <c r="K61" i="12"/>
  <c r="V35" i="14"/>
  <c r="S14" i="17" l="1"/>
  <c r="V44" i="3"/>
  <c r="U12" i="7"/>
  <c r="J61" i="12"/>
  <c r="H63" i="12"/>
  <c r="I63" i="12" s="1"/>
  <c r="K62" i="12"/>
  <c r="J62" i="12"/>
  <c r="H64" i="12" l="1"/>
  <c r="I64" i="12" s="1"/>
  <c r="J63" i="12"/>
  <c r="W33" i="3"/>
  <c r="W35" i="3" s="1"/>
  <c r="W32" i="14"/>
  <c r="W34" i="14" s="1"/>
  <c r="U15" i="7"/>
  <c r="K63" i="12" l="1"/>
  <c r="W35" i="14"/>
  <c r="K64" i="12"/>
  <c r="J64" i="12"/>
  <c r="H65" i="12"/>
  <c r="I65" i="12" s="1"/>
  <c r="W34" i="3"/>
  <c r="U19" i="7"/>
  <c r="W33" i="14"/>
  <c r="U17" i="7"/>
  <c r="V14" i="7" s="1"/>
  <c r="W36" i="3"/>
  <c r="T14" i="17" l="1"/>
  <c r="W44" i="3"/>
  <c r="V12" i="7"/>
  <c r="H66" i="12"/>
  <c r="I66" i="12" s="1"/>
  <c r="J65" i="12"/>
  <c r="J66" i="12" l="1"/>
  <c r="K66" i="12"/>
  <c r="H67" i="12"/>
  <c r="I67" i="12" s="1"/>
  <c r="K65" i="12"/>
  <c r="X33" i="3"/>
  <c r="X35" i="3" s="1"/>
  <c r="X32" i="14"/>
  <c r="X34" i="14" s="1"/>
  <c r="V15" i="7"/>
  <c r="X33" i="14" l="1"/>
  <c r="V19" i="7"/>
  <c r="X34" i="3"/>
  <c r="V17" i="7"/>
  <c r="H68" i="12"/>
  <c r="I68" i="12" s="1"/>
  <c r="K67" i="12"/>
  <c r="X36" i="3"/>
  <c r="Q38" i="14"/>
  <c r="X38" i="14"/>
  <c r="X47" i="14" s="1"/>
  <c r="X35" i="14"/>
  <c r="I38" i="14"/>
  <c r="G38" i="14"/>
  <c r="H38" i="14"/>
  <c r="K38" i="14"/>
  <c r="J38" i="14"/>
  <c r="E38" i="14"/>
  <c r="F38" i="14"/>
  <c r="L38" i="14"/>
  <c r="M38" i="14"/>
  <c r="N38" i="14"/>
  <c r="O38" i="14"/>
  <c r="S38" i="14"/>
  <c r="P38" i="14"/>
  <c r="T38" i="14"/>
  <c r="R38" i="14"/>
  <c r="U38" i="14"/>
  <c r="V38" i="14"/>
  <c r="W38" i="14"/>
  <c r="U14" i="17" l="1"/>
  <c r="X44" i="3"/>
  <c r="K47" i="14"/>
  <c r="K41" i="14"/>
  <c r="X41" i="14"/>
  <c r="E45" i="14"/>
  <c r="F47" i="14"/>
  <c r="F41" i="14"/>
  <c r="H47" i="14"/>
  <c r="H41" i="14"/>
  <c r="K68" i="12"/>
  <c r="J68" i="12"/>
  <c r="H69" i="12"/>
  <c r="I69" i="12" s="1"/>
  <c r="U47" i="14"/>
  <c r="U41" i="14"/>
  <c r="S47" i="14"/>
  <c r="S41" i="14"/>
  <c r="O47" i="14"/>
  <c r="O41" i="14"/>
  <c r="W47" i="14"/>
  <c r="W41" i="14"/>
  <c r="T47" i="14"/>
  <c r="T41" i="14"/>
  <c r="N47" i="14"/>
  <c r="N41" i="14"/>
  <c r="E41" i="14"/>
  <c r="E47" i="14"/>
  <c r="G47" i="14"/>
  <c r="G41" i="14"/>
  <c r="Q47" i="14"/>
  <c r="Q41" i="14"/>
  <c r="J67" i="12"/>
  <c r="L47" i="14"/>
  <c r="L41" i="14"/>
  <c r="R47" i="14"/>
  <c r="R41" i="14"/>
  <c r="V47" i="14"/>
  <c r="V41" i="14"/>
  <c r="P47" i="14"/>
  <c r="P41" i="14"/>
  <c r="M47" i="14"/>
  <c r="M41" i="14"/>
  <c r="J47" i="14"/>
  <c r="J41" i="14"/>
  <c r="I47" i="14"/>
  <c r="I41" i="14"/>
  <c r="E44" i="14" l="1"/>
  <c r="E42" i="14"/>
  <c r="H70" i="12"/>
  <c r="I70" i="12" s="1"/>
  <c r="J69" i="12"/>
  <c r="K69" i="12" l="1"/>
  <c r="H71" i="12"/>
  <c r="I71" i="12" s="1"/>
  <c r="K70" i="12"/>
  <c r="J70" i="12" l="1"/>
  <c r="J71" i="12"/>
  <c r="H72" i="12"/>
  <c r="I72" i="12" s="1"/>
  <c r="K71" i="12" l="1"/>
  <c r="K72" i="12"/>
  <c r="J72" i="12"/>
  <c r="H73" i="12"/>
  <c r="I73" i="12" s="1"/>
  <c r="H74" i="12" l="1"/>
  <c r="I74" i="12" s="1"/>
  <c r="J73" i="12"/>
  <c r="H75" i="12" l="1"/>
  <c r="I75" i="12" s="1"/>
  <c r="K74" i="12"/>
  <c r="K73" i="12"/>
  <c r="J74" i="12" l="1"/>
  <c r="K75" i="12"/>
  <c r="H76" i="12"/>
  <c r="I76" i="12" s="1"/>
  <c r="J75" i="12"/>
  <c r="J76" i="12" l="1"/>
  <c r="H77" i="12"/>
  <c r="I77" i="12" s="1"/>
  <c r="H78" i="12" l="1"/>
  <c r="I78" i="12" s="1"/>
  <c r="K77" i="12"/>
  <c r="K76" i="12"/>
  <c r="H79" i="12" l="1"/>
  <c r="I79" i="12" s="1"/>
  <c r="J78" i="12"/>
  <c r="J77" i="12"/>
  <c r="K78" i="12" l="1"/>
  <c r="H80" i="12"/>
  <c r="I80" i="12" s="1"/>
  <c r="J79" i="12"/>
  <c r="K79" i="12"/>
  <c r="H81" i="12" l="1"/>
  <c r="I81" i="12" s="1"/>
  <c r="J80" i="12"/>
  <c r="K80" i="12" l="1"/>
  <c r="J81" i="12"/>
  <c r="H82" i="12"/>
  <c r="I82" i="12" s="1"/>
  <c r="K81" i="12"/>
  <c r="H83" i="12" l="1"/>
  <c r="I83" i="12" s="1"/>
  <c r="J82" i="12"/>
  <c r="H84" i="12" l="1"/>
  <c r="I84" i="12" s="1"/>
  <c r="K83" i="12"/>
  <c r="K82" i="12"/>
  <c r="J83" i="12" l="1"/>
  <c r="J84" i="12"/>
  <c r="H85" i="12"/>
  <c r="I85" i="12" s="1"/>
  <c r="K84" i="12" l="1"/>
  <c r="J85" i="12"/>
  <c r="K85" i="12"/>
  <c r="H86" i="12"/>
  <c r="I86" i="12" s="1"/>
  <c r="H87" i="12" l="1"/>
  <c r="I87" i="12" s="1"/>
  <c r="K86" i="12"/>
  <c r="J86" i="12"/>
  <c r="K87" i="12" l="1"/>
  <c r="H88" i="12"/>
  <c r="I88" i="12" s="1"/>
  <c r="J87" i="12"/>
  <c r="J88" i="12" l="1"/>
  <c r="H89" i="12"/>
  <c r="I89" i="12" s="1"/>
  <c r="K88" i="12"/>
  <c r="H90" i="12" l="1"/>
  <c r="I90" i="12" s="1"/>
  <c r="J89" i="12"/>
  <c r="K89" i="12"/>
  <c r="H91" i="12" l="1"/>
  <c r="I91" i="12" s="1"/>
  <c r="J90" i="12"/>
  <c r="K90" i="12"/>
  <c r="H92" i="12" l="1"/>
  <c r="I92" i="12" s="1"/>
  <c r="K91" i="12"/>
  <c r="J91" i="12" l="1"/>
  <c r="H93" i="12"/>
  <c r="I93" i="12" s="1"/>
  <c r="J92" i="12"/>
  <c r="H94" i="12" l="1"/>
  <c r="I94" i="12" s="1"/>
  <c r="J93" i="12"/>
  <c r="K92" i="12"/>
  <c r="H95" i="12" l="1"/>
  <c r="I95" i="12" s="1"/>
  <c r="J94" i="12"/>
  <c r="K93" i="12"/>
  <c r="H96" i="12" l="1"/>
  <c r="I96" i="12" s="1"/>
  <c r="J95" i="12"/>
  <c r="K94" i="12"/>
  <c r="H97" i="12" l="1"/>
  <c r="I97" i="12" s="1"/>
  <c r="J96" i="12"/>
  <c r="K96" i="12"/>
  <c r="K95" i="12"/>
  <c r="H98" i="12" l="1"/>
  <c r="I98" i="12" s="1"/>
  <c r="K97" i="12"/>
  <c r="J97" i="12"/>
  <c r="K98" i="12" l="1"/>
  <c r="H99" i="12"/>
  <c r="I99" i="12" s="1"/>
  <c r="H100" i="12" l="1"/>
  <c r="I100" i="12" s="1"/>
  <c r="K99" i="12"/>
  <c r="J98" i="12"/>
  <c r="J100" i="12" l="1"/>
  <c r="H101" i="12"/>
  <c r="I101" i="12" s="1"/>
  <c r="J99" i="12"/>
  <c r="J101" i="12" l="1"/>
  <c r="K101" i="12"/>
  <c r="H102" i="12"/>
  <c r="I102" i="12" s="1"/>
  <c r="K100" i="12"/>
  <c r="J102" i="12" l="1"/>
  <c r="H103" i="12"/>
  <c r="I103" i="12" s="1"/>
  <c r="K102" i="12"/>
  <c r="H104" i="12" l="1"/>
  <c r="I104" i="12" s="1"/>
  <c r="K103" i="12"/>
  <c r="J103" i="12" l="1"/>
  <c r="H105" i="12"/>
  <c r="I105" i="12" s="1"/>
  <c r="K104" i="12"/>
  <c r="H106" i="12" l="1"/>
  <c r="I106" i="12" s="1"/>
  <c r="J105" i="12"/>
  <c r="K105" i="12"/>
  <c r="J104" i="12"/>
  <c r="K106" i="12" l="1"/>
  <c r="J106" i="12"/>
  <c r="H107" i="12"/>
  <c r="I107" i="12" s="1"/>
  <c r="J107" i="12" l="1"/>
  <c r="K107" i="12"/>
  <c r="H108" i="12"/>
  <c r="I108" i="12" s="1"/>
  <c r="K108" i="12" l="1"/>
  <c r="J108" i="12"/>
  <c r="H109" i="12"/>
  <c r="I109" i="12" s="1"/>
  <c r="K109" i="12" l="1"/>
  <c r="H110" i="12"/>
  <c r="I110" i="12" s="1"/>
  <c r="H111" i="12" l="1"/>
  <c r="I111" i="12" s="1"/>
  <c r="J110" i="12"/>
  <c r="K110" i="12"/>
  <c r="J109" i="12"/>
  <c r="H112" i="12" l="1"/>
  <c r="I112" i="12" s="1"/>
  <c r="K111" i="12"/>
  <c r="J111" i="12" l="1"/>
  <c r="K112" i="12"/>
  <c r="H113" i="12"/>
  <c r="I113" i="12" s="1"/>
  <c r="J112" i="12" l="1"/>
  <c r="H114" i="12"/>
  <c r="I114" i="12" s="1"/>
  <c r="K113" i="12"/>
  <c r="K114" i="12" l="1"/>
  <c r="J114" i="12"/>
  <c r="H115" i="12"/>
  <c r="I115" i="12" s="1"/>
  <c r="J113" i="12"/>
  <c r="H116" i="12" l="1"/>
  <c r="I116" i="12" s="1"/>
  <c r="J115" i="12"/>
  <c r="K115" i="12"/>
  <c r="H117" i="12" l="1"/>
  <c r="I117" i="12" s="1"/>
  <c r="K116" i="12"/>
  <c r="J116" i="12"/>
  <c r="H118" i="12" l="1"/>
  <c r="I118" i="12" s="1"/>
  <c r="J117" i="12"/>
  <c r="K117" i="12" l="1"/>
  <c r="H119" i="12"/>
  <c r="I119" i="12" s="1"/>
  <c r="K118" i="12"/>
  <c r="H120" i="12" l="1"/>
  <c r="I120" i="12" s="1"/>
  <c r="J119" i="12"/>
  <c r="J118" i="12"/>
  <c r="K119" i="12" l="1"/>
  <c r="K120" i="12"/>
  <c r="J120" i="12"/>
  <c r="H121" i="12"/>
  <c r="I121" i="12" s="1"/>
  <c r="H122" i="12" l="1"/>
  <c r="I122" i="12" s="1"/>
  <c r="J121" i="12"/>
  <c r="K121" i="12"/>
  <c r="K122" i="12" l="1"/>
  <c r="H123" i="12"/>
  <c r="I123" i="12" s="1"/>
  <c r="H124" i="12" l="1"/>
  <c r="I124" i="12" s="1"/>
  <c r="J123" i="12"/>
  <c r="J122" i="12"/>
  <c r="K124" i="12" l="1"/>
  <c r="J124" i="12"/>
  <c r="H125" i="12"/>
  <c r="I125" i="12" s="1"/>
  <c r="K123" i="12"/>
  <c r="H126" i="12" l="1"/>
  <c r="I126" i="12" s="1"/>
  <c r="K125" i="12"/>
  <c r="J126" i="12" l="1"/>
  <c r="H127" i="12"/>
  <c r="I127" i="12" s="1"/>
  <c r="K126" i="12"/>
  <c r="J125" i="12"/>
  <c r="H128" i="12" l="1"/>
  <c r="I128" i="12" s="1"/>
  <c r="J127" i="12"/>
  <c r="K127" i="12"/>
  <c r="H129" i="12" l="1"/>
  <c r="I129" i="12" s="1"/>
  <c r="K128" i="12"/>
  <c r="H130" i="12" l="1"/>
  <c r="I130" i="12" s="1"/>
  <c r="J129" i="12"/>
  <c r="K129" i="12"/>
  <c r="J128" i="12"/>
  <c r="K130" i="12" l="1"/>
  <c r="H131" i="12"/>
  <c r="I131" i="12" s="1"/>
  <c r="J130" i="12" l="1"/>
  <c r="H132" i="12"/>
  <c r="I132" i="12" s="1"/>
  <c r="K131" i="12"/>
  <c r="J131" i="12" l="1"/>
  <c r="J132" i="12"/>
  <c r="K132" i="12"/>
  <c r="H133" i="12"/>
  <c r="I133" i="12" s="1"/>
  <c r="H134" i="12" l="1"/>
  <c r="I134" i="12" s="1"/>
  <c r="J133" i="12"/>
  <c r="J134" i="12" l="1"/>
  <c r="K134" i="12"/>
  <c r="H135" i="12"/>
  <c r="I135" i="12" s="1"/>
  <c r="K133" i="12"/>
  <c r="H136" i="12" l="1"/>
  <c r="I136" i="12" s="1"/>
  <c r="J135" i="12"/>
  <c r="K135" i="12" l="1"/>
  <c r="H137" i="12"/>
  <c r="I137" i="12" s="1"/>
  <c r="K136" i="12"/>
  <c r="J136" i="12" l="1"/>
  <c r="K137" i="12"/>
  <c r="H138" i="12"/>
  <c r="I138" i="12" s="1"/>
  <c r="J137" i="12"/>
  <c r="J138" i="12" l="1"/>
  <c r="H139" i="12"/>
  <c r="I139" i="12" s="1"/>
  <c r="H140" i="12" l="1"/>
  <c r="I140" i="12" s="1"/>
  <c r="J139" i="12"/>
  <c r="K138" i="12"/>
  <c r="H141" i="12" l="1"/>
  <c r="I141" i="12" s="1"/>
  <c r="J140" i="12"/>
  <c r="K139" i="12"/>
  <c r="K140" i="12" l="1"/>
  <c r="H142" i="12"/>
  <c r="I142" i="12" s="1"/>
  <c r="J141" i="12"/>
  <c r="K141" i="12" l="1"/>
  <c r="J142" i="12"/>
  <c r="H143" i="12"/>
  <c r="I143" i="12" s="1"/>
  <c r="H144" i="12" l="1"/>
  <c r="I144" i="12" s="1"/>
  <c r="J143" i="12"/>
  <c r="K142" i="12"/>
  <c r="K143" i="12" l="1"/>
  <c r="H145" i="12"/>
  <c r="I145" i="12" s="1"/>
  <c r="J144" i="12"/>
  <c r="J145" i="12" l="1"/>
  <c r="H146" i="12"/>
  <c r="I146" i="12" s="1"/>
  <c r="K144" i="12"/>
  <c r="H147" i="12" l="1"/>
  <c r="I147" i="12" s="1"/>
  <c r="K146" i="12"/>
  <c r="K145" i="12"/>
  <c r="J146" i="12" l="1"/>
  <c r="H148" i="12"/>
  <c r="I148" i="12" s="1"/>
  <c r="J147" i="12"/>
  <c r="K147" i="12"/>
  <c r="H149" i="12" l="1"/>
  <c r="I149" i="12" s="1"/>
  <c r="J148" i="12"/>
  <c r="K148" i="12" l="1"/>
  <c r="H150" i="12"/>
  <c r="I150" i="12" s="1"/>
  <c r="K149" i="12"/>
  <c r="J149" i="12" l="1"/>
  <c r="H151" i="12"/>
  <c r="I151" i="12" s="1"/>
  <c r="J150" i="12"/>
  <c r="K150" i="12" l="1"/>
  <c r="H152" i="12"/>
  <c r="I152" i="12" s="1"/>
  <c r="K151" i="12"/>
  <c r="J151" i="12" l="1"/>
  <c r="J152" i="12"/>
  <c r="H153" i="12"/>
  <c r="I153" i="12" s="1"/>
  <c r="K152" i="12" l="1"/>
  <c r="H154" i="12"/>
  <c r="I154" i="12" s="1"/>
  <c r="J153" i="12"/>
  <c r="K153" i="12" l="1"/>
  <c r="H155" i="12"/>
  <c r="I155" i="12" s="1"/>
  <c r="J154" i="12"/>
  <c r="K154" i="12" l="1"/>
  <c r="J155" i="12"/>
  <c r="K155" i="12"/>
  <c r="H156" i="12"/>
  <c r="I156" i="12" s="1"/>
  <c r="H157" i="12" l="1"/>
  <c r="I157" i="12" s="1"/>
  <c r="K156" i="12"/>
  <c r="J156" i="12"/>
  <c r="H158" i="12" l="1"/>
  <c r="I158" i="12" s="1"/>
  <c r="J157" i="12"/>
  <c r="K157" i="12" l="1"/>
  <c r="H159" i="12"/>
  <c r="I159" i="12" s="1"/>
  <c r="K158" i="12"/>
  <c r="J158" i="12" l="1"/>
  <c r="H160" i="12"/>
  <c r="I160" i="12" s="1"/>
  <c r="K159" i="12"/>
  <c r="J159" i="12" l="1"/>
  <c r="H161" i="12"/>
  <c r="I161" i="12" s="1"/>
  <c r="J160" i="12"/>
  <c r="K160" i="12" l="1"/>
  <c r="H162" i="12"/>
  <c r="I162" i="12" s="1"/>
  <c r="K161" i="12"/>
  <c r="J161" i="12"/>
  <c r="H163" i="12" l="1"/>
  <c r="I163" i="12" s="1"/>
  <c r="K162" i="12"/>
  <c r="J162" i="12" l="1"/>
  <c r="H164" i="12"/>
  <c r="I164" i="12" s="1"/>
  <c r="J163" i="12"/>
  <c r="K163" i="12" l="1"/>
  <c r="H165" i="12"/>
  <c r="I165" i="12" s="1"/>
  <c r="J164" i="12"/>
  <c r="K164" i="12"/>
  <c r="H166" i="12" l="1"/>
  <c r="I166" i="12" s="1"/>
  <c r="J165" i="12"/>
  <c r="K165" i="12" l="1"/>
  <c r="H167" i="12"/>
  <c r="I167" i="12" s="1"/>
  <c r="J166" i="12"/>
  <c r="H168" i="12" l="1"/>
  <c r="I168" i="12" s="1"/>
  <c r="K167" i="12"/>
  <c r="K166" i="12"/>
  <c r="J167" i="12" l="1"/>
  <c r="H169" i="12"/>
  <c r="I169" i="12" s="1"/>
  <c r="K168" i="12"/>
  <c r="J168" i="12" l="1"/>
  <c r="H170" i="12"/>
  <c r="I170" i="12" s="1"/>
  <c r="K169" i="12"/>
  <c r="J169" i="12" l="1"/>
  <c r="H171" i="12"/>
  <c r="I171" i="12" s="1"/>
  <c r="J170" i="12"/>
  <c r="K170" i="12" l="1"/>
  <c r="H172" i="12"/>
  <c r="I172" i="12" s="1"/>
  <c r="K171" i="12"/>
  <c r="H173" i="12" l="1"/>
  <c r="I173" i="12" s="1"/>
  <c r="J172" i="12"/>
  <c r="J171" i="12"/>
  <c r="K172" i="12" l="1"/>
  <c r="J173" i="12"/>
  <c r="H174" i="12"/>
  <c r="I174" i="12" s="1"/>
  <c r="K173" i="12"/>
  <c r="H175" i="12" l="1"/>
  <c r="I175" i="12" s="1"/>
  <c r="J174" i="12"/>
  <c r="K174" i="12" l="1"/>
  <c r="H176" i="12"/>
  <c r="I176" i="12" s="1"/>
  <c r="K175" i="12"/>
  <c r="H177" i="12" l="1"/>
  <c r="I177" i="12" s="1"/>
  <c r="J176" i="12"/>
  <c r="J175" i="12"/>
  <c r="K176" i="12" l="1"/>
  <c r="K177" i="12"/>
  <c r="H178" i="12"/>
  <c r="I178" i="12" s="1"/>
  <c r="J177" i="12"/>
  <c r="H179" i="12" l="1"/>
  <c r="I179" i="12" s="1"/>
  <c r="J178" i="12"/>
  <c r="H180" i="12" l="1"/>
  <c r="I180" i="12" s="1"/>
  <c r="K179" i="12"/>
  <c r="K178" i="12"/>
  <c r="H181" i="12" l="1"/>
  <c r="I181" i="12" s="1"/>
  <c r="K180" i="12"/>
  <c r="J179" i="12"/>
  <c r="J180" i="12" l="1"/>
  <c r="H182" i="12"/>
  <c r="I182" i="12" s="1"/>
  <c r="K181" i="12"/>
  <c r="H183" i="12" l="1"/>
  <c r="I183" i="12" s="1"/>
  <c r="K182" i="12"/>
  <c r="J181" i="12"/>
  <c r="J182" i="12" l="1"/>
  <c r="H184" i="12"/>
  <c r="I184" i="12" s="1"/>
  <c r="J183" i="12"/>
  <c r="K184" i="12" l="1"/>
  <c r="J184" i="12"/>
  <c r="H185" i="12"/>
  <c r="I185" i="12" s="1"/>
  <c r="K183" i="12"/>
  <c r="H186" i="12" l="1"/>
  <c r="I186" i="12" s="1"/>
  <c r="K185" i="12"/>
  <c r="J185" i="12"/>
  <c r="H187" i="12" l="1"/>
  <c r="I187" i="12" s="1"/>
  <c r="J186" i="12"/>
  <c r="H188" i="12" l="1"/>
  <c r="I188" i="12" s="1"/>
  <c r="J187" i="12"/>
  <c r="K186" i="12"/>
  <c r="K187" i="12" l="1"/>
  <c r="K188" i="12"/>
  <c r="H189" i="12"/>
  <c r="I189" i="12" s="1"/>
  <c r="J188" i="12"/>
  <c r="H190" i="12" l="1"/>
  <c r="I190" i="12" s="1"/>
  <c r="J189" i="12"/>
  <c r="K189" i="12"/>
  <c r="H191" i="12" l="1"/>
  <c r="I191" i="12" s="1"/>
  <c r="K190" i="12"/>
  <c r="H192" i="12" l="1"/>
  <c r="I192" i="12" s="1"/>
  <c r="K191" i="12"/>
  <c r="J190" i="12"/>
  <c r="H193" i="12" l="1"/>
  <c r="I193" i="12" s="1"/>
  <c r="K192" i="12"/>
  <c r="J191" i="12"/>
  <c r="J192" i="12" l="1"/>
  <c r="H194" i="12"/>
  <c r="I194" i="12" s="1"/>
  <c r="J193" i="12"/>
  <c r="K193" i="12" l="1"/>
  <c r="K194" i="12"/>
  <c r="H195" i="12"/>
  <c r="I195" i="12" s="1"/>
  <c r="J194" i="12" l="1"/>
  <c r="H196" i="12"/>
  <c r="I196" i="12" s="1"/>
  <c r="K195" i="12"/>
  <c r="K196" i="12" l="1"/>
  <c r="J196" i="12"/>
  <c r="H197" i="12"/>
  <c r="I197" i="12" s="1"/>
  <c r="J195" i="12"/>
  <c r="H198" i="12" l="1"/>
  <c r="I198" i="12" s="1"/>
  <c r="J197" i="12"/>
  <c r="K197" i="12" l="1"/>
  <c r="K198" i="12"/>
  <c r="H199" i="12"/>
  <c r="I199" i="12" s="1"/>
  <c r="J198" i="12"/>
  <c r="H200" i="12" l="1"/>
  <c r="I200" i="12" s="1"/>
  <c r="J199" i="12"/>
  <c r="K199" i="12"/>
  <c r="H201" i="12" l="1"/>
  <c r="I201" i="12" s="1"/>
  <c r="K200" i="12"/>
  <c r="H202" i="12" l="1"/>
  <c r="I202" i="12" s="1"/>
  <c r="J201" i="12"/>
  <c r="J200" i="12"/>
  <c r="H203" i="12" l="1"/>
  <c r="I203" i="12" s="1"/>
  <c r="J202" i="12"/>
  <c r="K201" i="12"/>
  <c r="K202" i="12" l="1"/>
  <c r="J203" i="12"/>
  <c r="H204" i="12"/>
  <c r="I204" i="12" s="1"/>
  <c r="K203" i="12" l="1"/>
  <c r="H205" i="12"/>
  <c r="I205" i="12" s="1"/>
  <c r="J204" i="12"/>
  <c r="K204" i="12" l="1"/>
  <c r="H206" i="12"/>
  <c r="I206" i="12" s="1"/>
  <c r="K205" i="12"/>
  <c r="J205" i="12" l="1"/>
  <c r="J206" i="12"/>
  <c r="K206" i="12"/>
  <c r="H207" i="12"/>
  <c r="I207" i="12" s="1"/>
  <c r="H208" i="12" l="1"/>
  <c r="I208" i="12" s="1"/>
  <c r="K207" i="12"/>
  <c r="J207" i="12" l="1"/>
  <c r="H209" i="12"/>
  <c r="I209" i="12" s="1"/>
  <c r="K208" i="12"/>
  <c r="J208" i="12" l="1"/>
  <c r="K209" i="12"/>
  <c r="H210" i="12"/>
  <c r="I210" i="12" s="1"/>
  <c r="J209" i="12"/>
  <c r="H211" i="12" l="1"/>
  <c r="I211" i="12" s="1"/>
  <c r="K210" i="12"/>
  <c r="J210" i="12" l="1"/>
  <c r="H212" i="12"/>
  <c r="I212" i="12" s="1"/>
  <c r="K211" i="12"/>
  <c r="H213" i="12" l="1"/>
  <c r="I213" i="12" s="1"/>
  <c r="J212" i="12"/>
  <c r="K212" i="12"/>
  <c r="J211" i="12"/>
  <c r="H214" i="12" l="1"/>
  <c r="I214" i="12" s="1"/>
  <c r="K213" i="12"/>
  <c r="J213" i="12"/>
  <c r="H215" i="12" l="1"/>
  <c r="I215" i="12" s="1"/>
  <c r="K214" i="12"/>
  <c r="J214" i="12" l="1"/>
  <c r="H216" i="12"/>
  <c r="I216" i="12" s="1"/>
  <c r="K215" i="12"/>
  <c r="J215" i="12" l="1"/>
  <c r="K216" i="12"/>
  <c r="H217" i="12"/>
  <c r="I217" i="12" s="1"/>
  <c r="J216" i="12" l="1"/>
  <c r="K217" i="12"/>
  <c r="H218" i="12"/>
  <c r="I218" i="12" s="1"/>
  <c r="J217" i="12"/>
  <c r="H219" i="12" l="1"/>
  <c r="I219" i="12" s="1"/>
  <c r="K218" i="12"/>
  <c r="H220" i="12" l="1"/>
  <c r="I220" i="12" s="1"/>
  <c r="K219" i="12"/>
  <c r="J218" i="12"/>
  <c r="I2" i="12" l="1"/>
  <c r="J219" i="12"/>
  <c r="J220" i="12" l="1"/>
  <c r="J4" i="12" s="1"/>
  <c r="K220" i="12"/>
  <c r="K4" i="12" s="1"/>
  <c r="B7" i="12" s="1"/>
  <c r="L6" i="12" s="1"/>
  <c r="L36" i="12" l="1"/>
  <c r="L91" i="12"/>
  <c r="L100" i="12"/>
  <c r="L181" i="12"/>
  <c r="L54" i="12"/>
  <c r="L28" i="12"/>
  <c r="L71" i="12"/>
  <c r="L130" i="12"/>
  <c r="L145" i="12"/>
  <c r="L158" i="12"/>
  <c r="L63" i="12"/>
  <c r="L111" i="12"/>
  <c r="L82" i="12"/>
  <c r="L166" i="12"/>
  <c r="L190" i="12"/>
  <c r="L174" i="12"/>
  <c r="L94" i="12"/>
  <c r="L7" i="12"/>
  <c r="L44" i="12"/>
  <c r="M4" i="12"/>
  <c r="M5" i="12" s="1"/>
  <c r="L62" i="12"/>
  <c r="L95" i="12"/>
  <c r="L136" i="12"/>
  <c r="L119" i="12"/>
  <c r="L198" i="12"/>
  <c r="L184" i="12"/>
  <c r="L192" i="12"/>
  <c r="L137" i="12"/>
  <c r="L165" i="12"/>
  <c r="L114" i="12"/>
  <c r="L30" i="12"/>
  <c r="L84" i="12"/>
  <c r="L15" i="12"/>
  <c r="L151" i="12"/>
  <c r="L57" i="12"/>
  <c r="L115" i="12"/>
  <c r="L108" i="12"/>
  <c r="L101" i="12"/>
  <c r="L215" i="12"/>
  <c r="L139" i="12"/>
  <c r="L186" i="12"/>
  <c r="L35" i="12"/>
  <c r="L45" i="12"/>
  <c r="L56" i="12"/>
  <c r="L77" i="12"/>
  <c r="L196" i="12"/>
  <c r="L8" i="12"/>
  <c r="L78" i="12"/>
  <c r="L129" i="12"/>
  <c r="L26" i="12"/>
  <c r="L140" i="12"/>
  <c r="L214" i="12"/>
  <c r="L154" i="12"/>
  <c r="L138" i="12"/>
  <c r="L162" i="12"/>
  <c r="L132" i="12"/>
  <c r="L50" i="12"/>
  <c r="L89" i="12"/>
  <c r="L104" i="12"/>
  <c r="L194" i="12"/>
  <c r="L25" i="12"/>
  <c r="L80" i="12"/>
  <c r="L159" i="12"/>
  <c r="L29" i="12"/>
  <c r="L150" i="12"/>
  <c r="L92" i="12"/>
  <c r="L144" i="12"/>
  <c r="L85" i="12"/>
  <c r="L93" i="12"/>
  <c r="L171" i="12"/>
  <c r="L177" i="12"/>
  <c r="L146" i="12"/>
  <c r="L160" i="12"/>
  <c r="L27" i="12"/>
  <c r="L66" i="12"/>
  <c r="L65" i="12"/>
  <c r="L51" i="12"/>
  <c r="L120" i="12"/>
  <c r="L176" i="12"/>
  <c r="L189" i="12"/>
  <c r="L210" i="12"/>
  <c r="L13" i="12"/>
  <c r="L182" i="12"/>
  <c r="L156" i="12"/>
  <c r="L191" i="12"/>
  <c r="L22" i="12"/>
  <c r="L99" i="12"/>
  <c r="L88" i="12"/>
  <c r="L37" i="12"/>
  <c r="L38" i="12"/>
  <c r="L107" i="12"/>
  <c r="L121" i="12"/>
  <c r="L112" i="12"/>
  <c r="L122" i="12"/>
  <c r="L23" i="12"/>
  <c r="L201" i="12"/>
  <c r="L34" i="12"/>
  <c r="L180" i="12"/>
  <c r="L43" i="12"/>
  <c r="L64" i="12"/>
  <c r="L131" i="12"/>
  <c r="L97" i="12"/>
  <c r="L70" i="12"/>
  <c r="L207" i="12"/>
  <c r="L211" i="12"/>
  <c r="L163" i="12"/>
  <c r="L133" i="12"/>
  <c r="L24" i="12"/>
  <c r="L206" i="12"/>
  <c r="L19" i="12"/>
  <c r="L217" i="12"/>
  <c r="L69" i="12"/>
  <c r="L49" i="12"/>
  <c r="L179" i="12"/>
  <c r="L127" i="12"/>
  <c r="L17" i="12"/>
  <c r="L83" i="12"/>
  <c r="L124" i="12"/>
  <c r="L21" i="12"/>
  <c r="L39" i="12"/>
  <c r="L110" i="12"/>
  <c r="L169" i="12"/>
  <c r="L148" i="12"/>
  <c r="L149" i="12"/>
  <c r="L103" i="12"/>
  <c r="L106" i="12"/>
  <c r="L202" i="12"/>
  <c r="L193" i="12"/>
  <c r="L216" i="12"/>
  <c r="L12" i="12"/>
  <c r="L60" i="12"/>
  <c r="L117" i="12"/>
  <c r="L90" i="12"/>
  <c r="L18" i="12"/>
  <c r="L203" i="12"/>
  <c r="L188" i="12"/>
  <c r="L68" i="12"/>
  <c r="L200" i="12"/>
  <c r="L11" i="12"/>
  <c r="L195" i="12"/>
  <c r="L208" i="12"/>
  <c r="L218" i="12"/>
  <c r="L81" i="12"/>
  <c r="L105" i="12"/>
  <c r="L220" i="12"/>
  <c r="L58" i="12"/>
  <c r="L173" i="12"/>
  <c r="L113" i="12"/>
  <c r="L126" i="12"/>
  <c r="L135" i="12"/>
  <c r="L116" i="12"/>
  <c r="L125" i="12"/>
  <c r="L48" i="12"/>
  <c r="L209" i="12"/>
  <c r="L74" i="12"/>
  <c r="L73" i="12"/>
  <c r="L183" i="12"/>
  <c r="L61" i="12"/>
  <c r="L167" i="12"/>
  <c r="L20" i="12"/>
  <c r="L164" i="12"/>
  <c r="L46" i="12"/>
  <c r="L10" i="12"/>
  <c r="L98" i="12"/>
  <c r="L9" i="12"/>
  <c r="L204" i="12"/>
  <c r="L197" i="12"/>
  <c r="L75" i="12"/>
  <c r="L153" i="12"/>
  <c r="L128" i="12"/>
  <c r="L42" i="12"/>
  <c r="L102" i="12"/>
  <c r="L161" i="12"/>
  <c r="L185" i="12"/>
  <c r="L152" i="12"/>
  <c r="L170" i="12"/>
  <c r="L168" i="12"/>
  <c r="L142" i="12"/>
  <c r="L213" i="12"/>
  <c r="L41" i="12"/>
  <c r="L53" i="12"/>
  <c r="L59" i="12"/>
  <c r="L134" i="12"/>
  <c r="L76" i="12"/>
  <c r="L172" i="12"/>
  <c r="L155" i="12"/>
  <c r="L14" i="12"/>
  <c r="L219" i="12"/>
  <c r="L72" i="12"/>
  <c r="L109" i="12"/>
  <c r="L187" i="12"/>
  <c r="L32" i="12"/>
  <c r="L55" i="12"/>
  <c r="L141" i="12"/>
  <c r="L86" i="12"/>
  <c r="L52" i="12"/>
  <c r="L96" i="12"/>
  <c r="L79" i="12"/>
  <c r="L205" i="12"/>
  <c r="L118" i="12"/>
  <c r="L40" i="12"/>
  <c r="L123" i="12"/>
  <c r="L212" i="12"/>
  <c r="L33" i="12"/>
  <c r="L178" i="12"/>
  <c r="L67" i="12"/>
  <c r="L87" i="12"/>
  <c r="L143" i="12"/>
  <c r="L31" i="12"/>
  <c r="L147" i="12"/>
  <c r="L157" i="12"/>
  <c r="L47" i="12"/>
  <c r="L16" i="12"/>
  <c r="L199" i="12"/>
  <c r="L175" i="12"/>
  <c r="C9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Rojo</author>
  </authors>
  <commentList>
    <comment ref="D12" authorId="0" shapeId="0" xr:uid="{00000000-0006-0000-0500-000001000000}">
      <text>
        <r>
          <rPr>
            <sz val="9"/>
            <color rgb="FF000000"/>
            <rFont val="Tahoma"/>
            <family val="2"/>
          </rPr>
          <t>If performance&lt;P50 payment, otherwise nothing.  Over 2 to have zero expected value</t>
        </r>
      </text>
    </comment>
    <comment ref="D52" authorId="0" shapeId="0" xr:uid="{00000000-0006-0000-0500-000002000000}">
      <text>
        <r>
          <rPr>
            <sz val="9"/>
            <color indexed="81"/>
            <rFont val="Tahoma"/>
            <family val="2"/>
          </rPr>
          <t>If performance&lt;P50 payment, otherwise nothing.  Over 2 to have zero expected value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<sst xmlns="http://schemas.openxmlformats.org/spreadsheetml/2006/main" count="330" uniqueCount="218">
  <si>
    <t>Equity</t>
  </si>
  <si>
    <t>Maintenance</t>
  </si>
  <si>
    <t>Inverter replacement</t>
  </si>
  <si>
    <t>Land lease (prepaid)</t>
  </si>
  <si>
    <t xml:space="preserve">Insurance </t>
  </si>
  <si>
    <t>Installed Capacity (kwp)</t>
  </si>
  <si>
    <t>Average Irradiation (P50) (Kwh/Kwp)</t>
  </si>
  <si>
    <t>Average portfolio feed in Tariff (€/Kwh)</t>
  </si>
  <si>
    <t>Local tax</t>
  </si>
  <si>
    <t>EBITDA</t>
  </si>
  <si>
    <t>Year</t>
  </si>
  <si>
    <t>Corporate tax</t>
  </si>
  <si>
    <t>Shareholder's loan interest payment</t>
  </si>
  <si>
    <t>Shareholder's loan principal re-payment</t>
  </si>
  <si>
    <t>(All figures in € unless</t>
  </si>
  <si>
    <t>otherwise indicated)</t>
  </si>
  <si>
    <t>Admininistration costs</t>
  </si>
  <si>
    <t xml:space="preserve">Total Revenues:   </t>
  </si>
  <si>
    <t>Bullet</t>
  </si>
  <si>
    <t>Funding:</t>
  </si>
  <si>
    <t>Shareholders' loan</t>
  </si>
  <si>
    <t>internal loan term</t>
  </si>
  <si>
    <t>check:</t>
  </si>
  <si>
    <t>debt repayment</t>
  </si>
  <si>
    <t>Principal end of period</t>
  </si>
  <si>
    <t>Principal start of period</t>
  </si>
  <si>
    <t>Loan Principal (start)</t>
  </si>
  <si>
    <t>Loan Principal (end)</t>
  </si>
  <si>
    <t>Yearly Debt Service:</t>
  </si>
  <si>
    <t>Interest payment</t>
  </si>
  <si>
    <t>Debt Service</t>
  </si>
  <si>
    <t>Depreciation Period:</t>
  </si>
  <si>
    <t xml:space="preserve">Depreciation </t>
  </si>
  <si>
    <t>Corporate Tax Rate:</t>
  </si>
  <si>
    <t>Internal loan interest*</t>
  </si>
  <si>
    <t>* As a junior loan in case of leveraged analysis it should be significantly higher than bank loan interest rate</t>
  </si>
  <si>
    <t>bullet repayment</t>
  </si>
  <si>
    <t>Unlevered Proforma</t>
  </si>
  <si>
    <t>Assumptions and main project characteristics summary</t>
  </si>
  <si>
    <t>Internal Debt - Shareholder's loan only</t>
  </si>
  <si>
    <t>UNLEVERED ANALYSIS</t>
  </si>
  <si>
    <t>Other Assumptions:</t>
  </si>
  <si>
    <t>Price Inflation:</t>
  </si>
  <si>
    <t>Annual panel degradation:</t>
  </si>
  <si>
    <t>FRENCH SOLAR PV ASSETS PRELIMINARY FINANCIAL MODEL</t>
  </si>
  <si>
    <r>
      <rPr>
        <b/>
        <sz val="11"/>
        <color indexed="8"/>
        <rFont val="Calibri"/>
        <family val="2"/>
      </rPr>
      <t>DISCLAIMER:</t>
    </r>
    <r>
      <rPr>
        <sz val="11"/>
        <color theme="1"/>
        <rFont val="Calibri"/>
        <family val="2"/>
        <scheme val="minor"/>
      </rPr>
      <t xml:space="preserve"> This financial model has been built by Sustainability Strategic Advisors Limited for illustration purposes only. </t>
    </r>
  </si>
  <si>
    <t>Book value:</t>
  </si>
  <si>
    <t>Unlevered Analysis</t>
  </si>
  <si>
    <t>Financial Model</t>
  </si>
  <si>
    <t>Distributable cash</t>
  </si>
  <si>
    <t>s</t>
  </si>
  <si>
    <t>P50/P90</t>
  </si>
  <si>
    <r>
      <t>l</t>
    </r>
    <r>
      <rPr>
        <vertAlign val="subscript"/>
        <sz val="11"/>
        <color indexed="8"/>
        <rFont val="Symbol"/>
        <family val="1"/>
        <charset val="2"/>
      </rPr>
      <t>10</t>
    </r>
  </si>
  <si>
    <r>
      <t>P</t>
    </r>
    <r>
      <rPr>
        <vertAlign val="subscript"/>
        <sz val="11"/>
        <color indexed="8"/>
        <rFont val="Calibri"/>
        <family val="2"/>
      </rPr>
      <t>50</t>
    </r>
  </si>
  <si>
    <r>
      <t>P</t>
    </r>
    <r>
      <rPr>
        <vertAlign val="subscript"/>
        <sz val="11"/>
        <color indexed="8"/>
        <rFont val="Calibri"/>
        <family val="2"/>
      </rPr>
      <t>90</t>
    </r>
  </si>
  <si>
    <t>Cost of Risk</t>
  </si>
  <si>
    <t xml:space="preserve">     Solar underperformance</t>
  </si>
  <si>
    <t>Solar Power Risk</t>
  </si>
  <si>
    <t>Assume a binary Event:</t>
  </si>
  <si>
    <t>Average Cost of Risk:</t>
  </si>
  <si>
    <t>% of Revenues:</t>
  </si>
  <si>
    <t>Total Decoupled Cash Flows</t>
  </si>
  <si>
    <t>Decoupled IRR</t>
  </si>
  <si>
    <t>x*f(x)dx</t>
  </si>
  <si>
    <t>f(x)dx</t>
  </si>
  <si>
    <t>Sum</t>
  </si>
  <si>
    <t xml:space="preserve">Quantile </t>
  </si>
  <si>
    <t>Revenue</t>
  </si>
  <si>
    <t>Installed Capacity</t>
  </si>
  <si>
    <t>Radiation</t>
  </si>
  <si>
    <t>Feed in tariff</t>
  </si>
  <si>
    <t>Description</t>
  </si>
  <si>
    <t>Less capacity than advertised</t>
  </si>
  <si>
    <t>Mitigant</t>
  </si>
  <si>
    <t xml:space="preserve">Expert report supported by professional liability insurance </t>
  </si>
  <si>
    <t>Lower than expected performance on any given year</t>
  </si>
  <si>
    <t>Valuation details</t>
  </si>
  <si>
    <t>Valuation method</t>
  </si>
  <si>
    <t>Sinthetic insurance premium</t>
  </si>
  <si>
    <t xml:space="preserve">Zero expected market value </t>
  </si>
  <si>
    <t>Government changes tariff arrangments (amount or tax)</t>
  </si>
  <si>
    <r>
      <rPr>
        <sz val="11"/>
        <color theme="1"/>
        <rFont val="Calibri"/>
        <family val="2"/>
        <scheme val="minor"/>
      </rPr>
      <t xml:space="preserve">Probability of changing conditions 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Symbol"/>
        <family val="1"/>
        <charset val="2"/>
      </rPr>
      <t>r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Symbol"/>
        <family val="1"/>
        <charset val="2"/>
      </rPr>
      <t>:</t>
    </r>
  </si>
  <si>
    <t>Downside Valuation</t>
  </si>
  <si>
    <t>Operating Costs</t>
  </si>
  <si>
    <t>Financial Costs</t>
  </si>
  <si>
    <t>Company breaks contract and an alternative needs to be found</t>
  </si>
  <si>
    <t xml:space="preserve">Legal report supported by professional liability insurance </t>
  </si>
  <si>
    <t>Supported by legal firm</t>
  </si>
  <si>
    <t>Insurance does not pay its commitments</t>
  </si>
  <si>
    <t xml:space="preserve">More inverters going wrong in any given year </t>
  </si>
  <si>
    <t>Normal distribution.  P50=€4,000/kwp and year.  Possible upside</t>
  </si>
  <si>
    <t>Fixed price contract broken and new contract/management needs to be put in place</t>
  </si>
  <si>
    <t>Request for proposal of an alternative administration cost</t>
  </si>
  <si>
    <t>Probability adjusted expected cost</t>
  </si>
  <si>
    <t>Normal distribution.  P50=1164  P90=1088  Potential Upside</t>
  </si>
  <si>
    <t>Insurance premium = Value of loss * Probability</t>
  </si>
  <si>
    <t>Binary outcome.  No upside</t>
  </si>
  <si>
    <t>Value Yr. 1</t>
  </si>
  <si>
    <t>Inverter Risk</t>
  </si>
  <si>
    <t>% Increase:</t>
  </si>
  <si>
    <t>Negative value as cost estimated to be above market rates</t>
  </si>
  <si>
    <t>Financial costs are pre-agreed hence will not change over the investment period</t>
  </si>
  <si>
    <t>Total Annual Insurance Premium</t>
  </si>
  <si>
    <t>Maintenance Cost</t>
  </si>
  <si>
    <t>Increase in tax rates</t>
  </si>
  <si>
    <t>Potential Cost Increase Percentage:</t>
  </si>
  <si>
    <t>Probability of default</t>
  </si>
  <si>
    <t>Default rates among maintenance service providers (average credit rating in the sector)</t>
  </si>
  <si>
    <t xml:space="preserve">    Maintenance</t>
  </si>
  <si>
    <t xml:space="preserve">    Inverter replacement</t>
  </si>
  <si>
    <t xml:space="preserve">    Political Risk/Feed in tariff reductions/Tax Increases</t>
  </si>
  <si>
    <t>P90/P50</t>
  </si>
  <si>
    <t>Political Risk.  Combination of Feed in Tariff  or complete default</t>
  </si>
  <si>
    <t>Covered under Risk 10: Government changing rules</t>
  </si>
  <si>
    <t xml:space="preserve"> Government changing rules.  Investors in the risk free rate are also subject to this type of risk </t>
  </si>
  <si>
    <t>Covered by risk free rate returns</t>
  </si>
  <si>
    <t>Area</t>
  </si>
  <si>
    <t>Arm*Area</t>
  </si>
  <si>
    <r>
      <t>P</t>
    </r>
    <r>
      <rPr>
        <vertAlign val="subscript"/>
        <sz val="11"/>
        <color indexed="8"/>
        <rFont val="Calibri"/>
        <family val="2"/>
      </rPr>
      <t>50</t>
    </r>
    <r>
      <rPr>
        <sz val="11"/>
        <color theme="1"/>
        <rFont val="Calibri"/>
        <family val="2"/>
        <scheme val="minor"/>
      </rPr>
      <t>-P</t>
    </r>
    <r>
      <rPr>
        <vertAlign val="subscript"/>
        <sz val="11"/>
        <color indexed="8"/>
        <rFont val="Calibri"/>
        <family val="2"/>
      </rPr>
      <t>78</t>
    </r>
  </si>
  <si>
    <t>Expected value of annual loss</t>
  </si>
  <si>
    <t>the time insurer makes no payment as</t>
  </si>
  <si>
    <t>performance is &gt;P50</t>
  </si>
  <si>
    <t>Consider: Value of current Tariff levels vs. Analysis of average Feed in Tariff decrease (tax increases) in other recent European government reviews vs. Power prices</t>
  </si>
  <si>
    <t>French Government Bond Yields</t>
  </si>
  <si>
    <t>vs. 2.79% reference Risk Free Rate (See Bond Yield Curve)</t>
  </si>
  <si>
    <t>Source: http://www.hfw.com/publications/client-briefings/solar-energy</t>
  </si>
  <si>
    <t>Calculated as the difference between chosen provider and the average of the rest of unsuccessful maintenance proposals</t>
  </si>
  <si>
    <t>Source: http://www.isdacdsmarketplace.com/daily_prices/cds_indices/sp_cds_indices</t>
  </si>
  <si>
    <r>
      <rPr>
        <sz val="11"/>
        <color theme="1"/>
        <rFont val="Calibri"/>
        <family val="2"/>
        <scheme val="minor"/>
      </rPr>
      <t xml:space="preserve">Probability of default 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Symbol"/>
        <family val="1"/>
        <charset val="2"/>
      </rPr>
      <t>r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Symbol"/>
        <family val="1"/>
        <charset val="2"/>
      </rPr>
      <t>:</t>
    </r>
  </si>
  <si>
    <t>No feed in tariff.  Only market value</t>
  </si>
  <si>
    <t>% change government reducing tariffs&amp; no default.  Energy is~4% of French GDP</t>
  </si>
  <si>
    <t>N(x)</t>
  </si>
  <si>
    <t>Normal distribution:</t>
  </si>
  <si>
    <t>Incremental</t>
  </si>
  <si>
    <t>Average</t>
  </si>
  <si>
    <t>Term</t>
  </si>
  <si>
    <t>Loan interest</t>
  </si>
  <si>
    <t>Based on AAA rating of insurance company</t>
  </si>
  <si>
    <t>NA</t>
  </si>
  <si>
    <t xml:space="preserve">Divided by 2 to indicate that half of </t>
  </si>
  <si>
    <t>Expected value of the loss is the center of gravity of the PDF.</t>
  </si>
  <si>
    <t>The total area above the CG is:</t>
  </si>
  <si>
    <t>Center of Gravity (CG) Arm</t>
  </si>
  <si>
    <r>
      <t>P</t>
    </r>
    <r>
      <rPr>
        <vertAlign val="subscript"/>
        <sz val="11"/>
        <color indexed="8"/>
        <rFont val="Calibri"/>
        <family val="2"/>
      </rPr>
      <t>79</t>
    </r>
  </si>
  <si>
    <r>
      <t>P</t>
    </r>
    <r>
      <rPr>
        <vertAlign val="subscript"/>
        <sz val="11"/>
        <color indexed="8"/>
        <rFont val="Calibri"/>
        <family val="2"/>
      </rPr>
      <t>50</t>
    </r>
    <r>
      <rPr>
        <sz val="11"/>
        <color theme="1"/>
        <rFont val="Calibri"/>
        <family val="2"/>
        <scheme val="minor"/>
      </rPr>
      <t>-P</t>
    </r>
    <r>
      <rPr>
        <vertAlign val="subscript"/>
        <sz val="11"/>
        <color indexed="8"/>
        <rFont val="Calibri"/>
        <family val="2"/>
      </rPr>
      <t>79</t>
    </r>
  </si>
  <si>
    <t>Value of current feed in tariffs:</t>
  </si>
  <si>
    <t>Minimum Feed-in Tariff:</t>
  </si>
  <si>
    <t>Energy Price:</t>
  </si>
  <si>
    <t>Risk data: Credit default swap</t>
  </si>
  <si>
    <t>Coefficient of Var:</t>
  </si>
  <si>
    <r>
      <t>Coefficient of Variation (C</t>
    </r>
    <r>
      <rPr>
        <vertAlign val="sub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>)</t>
    </r>
  </si>
  <si>
    <t>Average Loss:</t>
  </si>
  <si>
    <t>Standard Dev:</t>
  </si>
  <si>
    <t>Average Loss (% Max Tariff):</t>
  </si>
  <si>
    <t>Standard Dev (% Max Tariff):</t>
  </si>
  <si>
    <r>
      <t>Tariff (T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>)</t>
    </r>
  </si>
  <si>
    <r>
      <t>Probability (p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>)</t>
    </r>
  </si>
  <si>
    <r>
      <t>(T</t>
    </r>
    <r>
      <rPr>
        <vertAlign val="sub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>-</t>
    </r>
    <r>
      <rPr>
        <b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×p</t>
    </r>
    <r>
      <rPr>
        <vertAlign val="subscript"/>
        <sz val="11"/>
        <color indexed="8"/>
        <rFont val="Calibri"/>
        <family val="2"/>
      </rPr>
      <t>i</t>
    </r>
  </si>
  <si>
    <r>
      <t>Loss (L</t>
    </r>
    <r>
      <rPr>
        <vertAlign val="sub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</si>
  <si>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× p</t>
    </r>
    <r>
      <rPr>
        <vertAlign val="subscript"/>
        <sz val="10"/>
        <color indexed="8"/>
        <rFont val="Calibri"/>
        <family val="2"/>
      </rPr>
      <t>i</t>
    </r>
  </si>
  <si>
    <r>
      <t>L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× p</t>
    </r>
    <r>
      <rPr>
        <vertAlign val="subscript"/>
        <sz val="10"/>
        <color indexed="8"/>
        <rFont val="Calibri"/>
        <family val="2"/>
      </rPr>
      <t>i</t>
    </r>
  </si>
  <si>
    <r>
      <t>(L</t>
    </r>
    <r>
      <rPr>
        <vertAlign val="sub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>-</t>
    </r>
    <r>
      <rPr>
        <b/>
        <sz val="11"/>
        <color indexed="8"/>
        <rFont val="Calibri"/>
        <family val="2"/>
      </rPr>
      <t>L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×p</t>
    </r>
    <r>
      <rPr>
        <vertAlign val="subscript"/>
        <sz val="11"/>
        <color indexed="8"/>
        <rFont val="Calibri"/>
        <family val="2"/>
      </rPr>
      <t>i</t>
    </r>
  </si>
  <si>
    <t>Cv</t>
  </si>
  <si>
    <t>of future revenues</t>
  </si>
  <si>
    <t>Stdev</t>
  </si>
  <si>
    <r>
      <t>Cost (C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>)</t>
    </r>
  </si>
  <si>
    <r>
      <t>C</t>
    </r>
    <r>
      <rPr>
        <vertAlign val="subscript"/>
        <sz val="10"/>
        <color indexed="8"/>
        <rFont val="Calibri"/>
        <family val="2"/>
      </rPr>
      <t>i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× p</t>
    </r>
    <r>
      <rPr>
        <vertAlign val="subscript"/>
        <sz val="10"/>
        <color indexed="8"/>
        <rFont val="Calibri"/>
        <family val="2"/>
      </rPr>
      <t>i</t>
    </r>
  </si>
  <si>
    <r>
      <t>(C</t>
    </r>
    <r>
      <rPr>
        <vertAlign val="sub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>-</t>
    </r>
    <r>
      <rPr>
        <b/>
        <sz val="11"/>
        <color indexed="8"/>
        <rFont val="Calibri"/>
        <family val="2"/>
      </rPr>
      <t>C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×p</t>
    </r>
    <r>
      <rPr>
        <vertAlign val="subscript"/>
        <sz val="11"/>
        <color indexed="8"/>
        <rFont val="Calibri"/>
        <family val="2"/>
      </rPr>
      <t>i</t>
    </r>
  </si>
  <si>
    <t>DNPV</t>
  </si>
  <si>
    <t>NPV</t>
  </si>
  <si>
    <t>Risk Free Rate:</t>
  </si>
  <si>
    <t>(10% discount)</t>
  </si>
  <si>
    <t>risk sharing</t>
  </si>
  <si>
    <t>npv</t>
  </si>
  <si>
    <t>dnpv</t>
  </si>
  <si>
    <t>France</t>
  </si>
  <si>
    <t>Germany</t>
  </si>
  <si>
    <t>50% risk share</t>
  </si>
  <si>
    <t>(13% discount)</t>
  </si>
  <si>
    <t>Sale Price</t>
  </si>
  <si>
    <t>Normal</t>
  </si>
  <si>
    <t>Mean</t>
  </si>
  <si>
    <t>Sigma</t>
  </si>
  <si>
    <t>Output</t>
  </si>
  <si>
    <t>RAND</t>
  </si>
  <si>
    <t>Values</t>
  </si>
  <si>
    <t>(of the downside)</t>
  </si>
  <si>
    <t>WACC</t>
  </si>
  <si>
    <t>Binary Event:</t>
  </si>
  <si>
    <t>Initial investment</t>
  </si>
  <si>
    <t>Risk Drivers</t>
  </si>
  <si>
    <t>Revenues</t>
  </si>
  <si>
    <t>Cost</t>
  </si>
  <si>
    <t>Multinomial</t>
  </si>
  <si>
    <t>Energy price (Political Risk)</t>
  </si>
  <si>
    <t>Affects</t>
  </si>
  <si>
    <t>PDF</t>
  </si>
  <si>
    <t>Solar power risk underperformance (kWp)</t>
  </si>
  <si>
    <t>Power generated will be higher than this value</t>
  </si>
  <si>
    <t>Affect</t>
  </si>
  <si>
    <r>
      <t>P</t>
    </r>
    <r>
      <rPr>
        <vertAlign val="subscript"/>
        <sz val="11"/>
        <color indexed="8"/>
        <rFont val="Calibri"/>
        <family val="2"/>
      </rPr>
      <t>X</t>
    </r>
  </si>
  <si>
    <t>X</t>
  </si>
  <si>
    <t>at least this much time (if not provided, it is assumed 90%)</t>
  </si>
  <si>
    <t>Parameters</t>
  </si>
  <si>
    <t>Costs</t>
  </si>
  <si>
    <t>Increased cost</t>
  </si>
  <si>
    <t>if defined with 2, provide P50 and standard deviation</t>
  </si>
  <si>
    <t>Average (required)</t>
  </si>
  <si>
    <t>pairs of (values, probability of ocurrence)</t>
  </si>
  <si>
    <t>Unchanged</t>
  </si>
  <si>
    <t>Political risk: combination of feed in Tariff (FiT) decrease or tax increase</t>
  </si>
  <si>
    <t>Current FiT:</t>
  </si>
  <si>
    <t>Reduced FiT:</t>
  </si>
  <si>
    <t>Market Price:</t>
  </si>
  <si>
    <t>Maintenance cost changes</t>
  </si>
  <si>
    <t>From Typical Fianancial Analysis</t>
  </si>
  <si>
    <t>Unlevered Proforma (All figures in € unless otherwise indicated)</t>
  </si>
  <si>
    <t xml:space="preserve">Free 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</si>
</sst>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* #,##0_-;\-* #,##0_-;_-* &quot;-&quot;??_-;_-@_-"/>
    <numFmt numFmtId="167" formatCode="0.0%"/>
    <numFmt numFmtId="168" formatCode="_-* #,##0\ &quot;€&quot;_-;\-* #,##0\ &quot;€&quot;_-;_-* &quot;-&quot;??\ &quot;€&quot;_-;_-@_-"/>
    <numFmt numFmtId="169" formatCode="0\ &quot;years&quot;"/>
    <numFmt numFmtId="170" formatCode="0.0"/>
    <numFmt numFmtId="171" formatCode="0.0000"/>
    <numFmt numFmtId="172" formatCode="_(* #,##0_);_(* \(#,##0\);_(* &quot;-&quot;??_);_(@_)"/>
    <numFmt numFmtId="173" formatCode="0.000000"/>
    <numFmt numFmtId="174" formatCode="0.00000"/>
    <numFmt numFmtId="175" formatCode="0.00000000"/>
    <numFmt numFmtId="176" formatCode="#,##0_ ;\-#,##0\ "/>
    <numFmt numFmtId="177" formatCode="_-* #,##0.00\ &quot;€&quot;_-;\-* #,##0.00\ &quot;€&quot;_-;_-* &quot;-&quot;??\ &quot;€&quot;_-;_-@_-"/>
  </numFmts>
  <fonts count="5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b/>
      <i/>
      <sz val="6"/>
      <color indexed="8"/>
      <name val="Arial Narrow"/>
      <family val="2"/>
    </font>
    <font>
      <b/>
      <sz val="11"/>
      <color indexed="8"/>
      <name val="Arial Narrow"/>
      <family val="2"/>
    </font>
    <font>
      <i/>
      <sz val="11"/>
      <color indexed="8"/>
      <name val="Arial Narrow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9"/>
      <color indexed="10"/>
      <name val="Arial Narrow"/>
      <family val="2"/>
    </font>
    <font>
      <b/>
      <sz val="16"/>
      <color indexed="8"/>
      <name val="Arial Narrow"/>
      <family val="2"/>
    </font>
    <font>
      <sz val="16"/>
      <color indexed="8"/>
      <name val="Arial Narrow"/>
      <family val="2"/>
    </font>
    <font>
      <i/>
      <sz val="11"/>
      <name val="Calibri"/>
      <family val="2"/>
    </font>
    <font>
      <b/>
      <sz val="14"/>
      <color indexed="8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1"/>
      <color indexed="8"/>
      <name val="Symbol"/>
      <family val="1"/>
      <charset val="2"/>
    </font>
    <font>
      <vertAlign val="subscript"/>
      <sz val="11"/>
      <color indexed="8"/>
      <name val="Symbol"/>
      <family val="1"/>
      <charset val="2"/>
    </font>
    <font>
      <vertAlign val="subscript"/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name val="Arial Narrow"/>
      <family val="2"/>
    </font>
    <font>
      <b/>
      <sz val="12"/>
      <name val="Book Antiqua"/>
      <family val="1"/>
    </font>
    <font>
      <b/>
      <sz val="10"/>
      <name val="Geneva"/>
      <family val="2"/>
    </font>
    <font>
      <i/>
      <sz val="10"/>
      <name val="Geneva"/>
      <family val="2"/>
    </font>
    <font>
      <sz val="9"/>
      <color indexed="81"/>
      <name val="Tahoma"/>
      <family val="2"/>
    </font>
    <font>
      <vertAlign val="superscript"/>
      <sz val="11"/>
      <color indexed="8"/>
      <name val="Calibri"/>
      <family val="2"/>
    </font>
    <font>
      <vertAlign val="subscript"/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Arial Narrow"/>
      <family val="2"/>
    </font>
    <font>
      <b/>
      <sz val="10"/>
      <color indexed="9"/>
      <name val="Calibri"/>
      <family val="2"/>
    </font>
    <font>
      <sz val="11"/>
      <color indexed="9"/>
      <name val="Calibri"/>
      <family val="2"/>
    </font>
    <font>
      <i/>
      <sz val="11"/>
      <color indexed="8"/>
      <name val="Symbol"/>
      <family val="1"/>
      <charset val="2"/>
    </font>
    <font>
      <sz val="11"/>
      <color indexed="8"/>
      <name val="Symbol"/>
      <family val="1"/>
      <charset val="2"/>
    </font>
    <font>
      <b/>
      <sz val="11"/>
      <color indexed="9"/>
      <name val="Arial Narrow"/>
      <family val="2"/>
    </font>
    <font>
      <sz val="11"/>
      <name val="Calibri"/>
      <family val="2"/>
    </font>
    <font>
      <b/>
      <i/>
      <sz val="11"/>
      <color indexed="8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0"/>
      <color indexed="55"/>
      <name val="Calibri"/>
      <family val="2"/>
    </font>
    <font>
      <sz val="10"/>
      <color indexed="8"/>
      <name val="Calibri"/>
      <family val="2"/>
    </font>
    <font>
      <b/>
      <sz val="11"/>
      <color indexed="8"/>
      <name val="Symbol"/>
      <family val="1"/>
      <charset val="2"/>
    </font>
    <font>
      <sz val="9"/>
      <color rgb="FF000000"/>
      <name val="Tahoma"/>
      <family val="2"/>
    </font>
    <font>
      <b/>
      <sz val="11"/>
      <color theme="4" tint="-0.49998474074526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4">
    <xf numFmtId="0" fontId="0" fillId="0" borderId="0" xfId="0"/>
    <xf numFmtId="9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166" fontId="4" fillId="0" borderId="0" xfId="1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166" fontId="2" fillId="0" borderId="0" xfId="1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8" fontId="11" fillId="0" borderId="0" xfId="0" applyNumberFormat="1" applyFont="1"/>
    <xf numFmtId="0" fontId="5" fillId="0" borderId="1" xfId="0" applyFont="1" applyBorder="1"/>
    <xf numFmtId="9" fontId="0" fillId="0" borderId="2" xfId="0" applyNumberFormat="1" applyBorder="1"/>
    <xf numFmtId="0" fontId="5" fillId="0" borderId="3" xfId="0" applyFont="1" applyBorder="1"/>
    <xf numFmtId="10" fontId="0" fillId="0" borderId="4" xfId="0" applyNumberFormat="1" applyBorder="1"/>
    <xf numFmtId="0" fontId="5" fillId="0" borderId="5" xfId="0" applyFont="1" applyBorder="1"/>
    <xf numFmtId="9" fontId="0" fillId="0" borderId="6" xfId="0" applyNumberFormat="1" applyBorder="1"/>
    <xf numFmtId="0" fontId="12" fillId="0" borderId="0" xfId="0" applyFont="1"/>
    <xf numFmtId="0" fontId="13" fillId="0" borderId="0" xfId="0" applyFont="1"/>
    <xf numFmtId="166" fontId="9" fillId="0" borderId="0" xfId="1" applyNumberFormat="1" applyFont="1"/>
    <xf numFmtId="0" fontId="14" fillId="0" borderId="0" xfId="0" applyFont="1" applyAlignment="1">
      <alignment horizontal="center"/>
    </xf>
    <xf numFmtId="166" fontId="13" fillId="0" borderId="0" xfId="1" applyNumberFormat="1" applyFont="1"/>
    <xf numFmtId="166" fontId="9" fillId="0" borderId="0" xfId="1" applyNumberFormat="1" applyFont="1" applyAlignment="1">
      <alignment horizontal="center"/>
    </xf>
    <xf numFmtId="166" fontId="10" fillId="0" borderId="0" xfId="1" applyNumberFormat="1" applyFont="1" applyAlignment="1">
      <alignment horizontal="center"/>
    </xf>
    <xf numFmtId="164" fontId="10" fillId="0" borderId="0" xfId="1" applyFont="1" applyAlignment="1">
      <alignment horizontal="center"/>
    </xf>
    <xf numFmtId="0" fontId="13" fillId="0" borderId="0" xfId="0" applyFont="1" applyAlignment="1">
      <alignment horizontal="right"/>
    </xf>
    <xf numFmtId="166" fontId="9" fillId="0" borderId="0" xfId="1" quotePrefix="1" applyNumberFormat="1" applyFont="1"/>
    <xf numFmtId="166" fontId="9" fillId="0" borderId="7" xfId="1" applyNumberFormat="1" applyFont="1" applyBorder="1" applyAlignment="1">
      <alignment horizontal="center"/>
    </xf>
    <xf numFmtId="166" fontId="9" fillId="0" borderId="7" xfId="1" applyNumberFormat="1" applyFont="1" applyBorder="1"/>
    <xf numFmtId="0" fontId="9" fillId="0" borderId="7" xfId="0" applyFont="1" applyBorder="1"/>
    <xf numFmtId="166" fontId="13" fillId="0" borderId="0" xfId="1" applyNumberFormat="1" applyFont="1" applyAlignment="1">
      <alignment horizontal="center"/>
    </xf>
    <xf numFmtId="169" fontId="9" fillId="0" borderId="0" xfId="0" applyNumberFormat="1" applyFont="1"/>
    <xf numFmtId="169" fontId="2" fillId="0" borderId="4" xfId="1" applyNumberFormat="1" applyFont="1" applyBorder="1" applyAlignment="1"/>
    <xf numFmtId="10" fontId="9" fillId="0" borderId="0" xfId="0" applyNumberFormat="1" applyFont="1"/>
    <xf numFmtId="0" fontId="0" fillId="0" borderId="0" xfId="0" applyAlignment="1">
      <alignment horizontal="right"/>
    </xf>
    <xf numFmtId="168" fontId="7" fillId="0" borderId="0" xfId="0" applyNumberFormat="1" applyFont="1"/>
    <xf numFmtId="0" fontId="5" fillId="0" borderId="0" xfId="0" applyFont="1" applyAlignment="1">
      <alignment horizontal="right"/>
    </xf>
    <xf numFmtId="166" fontId="2" fillId="0" borderId="0" xfId="1" applyNumberFormat="1" applyFont="1" applyBorder="1"/>
    <xf numFmtId="169" fontId="0" fillId="0" borderId="0" xfId="0" applyNumberFormat="1"/>
    <xf numFmtId="0" fontId="15" fillId="2" borderId="0" xfId="0" applyFont="1" applyFill="1"/>
    <xf numFmtId="0" fontId="16" fillId="2" borderId="0" xfId="0" applyFont="1" applyFill="1"/>
    <xf numFmtId="0" fontId="15" fillId="3" borderId="0" xfId="0" applyFont="1" applyFill="1"/>
    <xf numFmtId="0" fontId="16" fillId="3" borderId="0" xfId="0" applyFont="1" applyFill="1"/>
    <xf numFmtId="168" fontId="17" fillId="0" borderId="0" xfId="0" applyNumberFormat="1" applyFont="1"/>
    <xf numFmtId="166" fontId="9" fillId="0" borderId="0" xfId="1" applyNumberFormat="1" applyFont="1" applyBorder="1"/>
    <xf numFmtId="166" fontId="18" fillId="0" borderId="0" xfId="1" applyNumberFormat="1" applyFont="1" applyBorder="1"/>
    <xf numFmtId="0" fontId="19" fillId="0" borderId="0" xfId="0" applyFont="1"/>
    <xf numFmtId="0" fontId="4" fillId="0" borderId="8" xfId="0" applyFont="1" applyBorder="1"/>
    <xf numFmtId="0" fontId="0" fillId="0" borderId="9" xfId="0" applyBorder="1"/>
    <xf numFmtId="0" fontId="0" fillId="0" borderId="8" xfId="0" applyBorder="1"/>
    <xf numFmtId="0" fontId="5" fillId="0" borderId="9" xfId="0" applyFont="1" applyBorder="1"/>
    <xf numFmtId="0" fontId="8" fillId="0" borderId="8" xfId="0" applyFont="1" applyBorder="1"/>
    <xf numFmtId="9" fontId="3" fillId="4" borderId="0" xfId="0" applyNumberFormat="1" applyFont="1" applyFill="1" applyAlignment="1">
      <alignment horizontal="center"/>
    </xf>
    <xf numFmtId="169" fontId="3" fillId="4" borderId="0" xfId="0" applyNumberFormat="1" applyFont="1" applyFill="1" applyAlignment="1">
      <alignment horizontal="center"/>
    </xf>
    <xf numFmtId="10" fontId="3" fillId="4" borderId="0" xfId="0" applyNumberFormat="1" applyFont="1" applyFill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0" xfId="2" applyNumberFormat="1" applyFont="1" applyFill="1" applyBorder="1" applyAlignment="1">
      <alignment horizontal="center"/>
    </xf>
    <xf numFmtId="10" fontId="5" fillId="0" borderId="9" xfId="2" applyNumberFormat="1" applyFont="1" applyBorder="1"/>
    <xf numFmtId="0" fontId="20" fillId="0" borderId="8" xfId="0" applyFont="1" applyBorder="1"/>
    <xf numFmtId="0" fontId="9" fillId="0" borderId="9" xfId="0" applyFont="1" applyBorder="1"/>
    <xf numFmtId="0" fontId="21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0" xfId="0" applyFill="1"/>
    <xf numFmtId="0" fontId="9" fillId="5" borderId="0" xfId="0" applyFont="1" applyFill="1"/>
    <xf numFmtId="0" fontId="5" fillId="5" borderId="0" xfId="0" applyFont="1" applyFill="1"/>
    <xf numFmtId="168" fontId="22" fillId="4" borderId="0" xfId="0" applyNumberFormat="1" applyFont="1" applyFill="1"/>
    <xf numFmtId="0" fontId="13" fillId="3" borderId="0" xfId="0" applyFont="1" applyFill="1"/>
    <xf numFmtId="0" fontId="9" fillId="3" borderId="0" xfId="0" applyFont="1" applyFill="1"/>
    <xf numFmtId="166" fontId="9" fillId="3" borderId="0" xfId="1" applyNumberFormat="1" applyFont="1" applyFill="1"/>
    <xf numFmtId="0" fontId="13" fillId="2" borderId="0" xfId="0" applyFont="1" applyFill="1"/>
    <xf numFmtId="0" fontId="9" fillId="2" borderId="0" xfId="0" applyFont="1" applyFill="1"/>
    <xf numFmtId="166" fontId="9" fillId="2" borderId="0" xfId="1" applyNumberFormat="1" applyFont="1" applyFill="1"/>
    <xf numFmtId="164" fontId="9" fillId="0" borderId="0" xfId="0" applyNumberFormat="1" applyFont="1"/>
    <xf numFmtId="166" fontId="39" fillId="0" borderId="0" xfId="1" applyNumberFormat="1" applyFont="1"/>
    <xf numFmtId="168" fontId="40" fillId="0" borderId="0" xfId="0" applyNumberFormat="1" applyFont="1"/>
    <xf numFmtId="166" fontId="41" fillId="0" borderId="0" xfId="1" applyNumberFormat="1" applyFont="1" applyBorder="1"/>
    <xf numFmtId="169" fontId="36" fillId="0" borderId="0" xfId="0" applyNumberFormat="1" applyFont="1"/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2" fillId="0" borderId="0" xfId="0" applyFont="1" applyAlignment="1">
      <alignment horizontal="center"/>
    </xf>
    <xf numFmtId="2" fontId="35" fillId="0" borderId="0" xfId="2" applyNumberFormat="1" applyFont="1" applyAlignment="1">
      <alignment horizontal="center"/>
    </xf>
    <xf numFmtId="0" fontId="37" fillId="0" borderId="0" xfId="0" applyFont="1"/>
    <xf numFmtId="0" fontId="43" fillId="0" borderId="0" xfId="0" applyFont="1" applyAlignment="1">
      <alignment horizontal="right"/>
    </xf>
    <xf numFmtId="167" fontId="35" fillId="6" borderId="0" xfId="2" applyNumberFormat="1" applyFont="1" applyFill="1" applyAlignment="1">
      <alignment horizontal="center"/>
    </xf>
    <xf numFmtId="166" fontId="39" fillId="3" borderId="0" xfId="1" applyNumberFormat="1" applyFont="1" applyFill="1"/>
    <xf numFmtId="166" fontId="13" fillId="3" borderId="0" xfId="1" applyNumberFormat="1" applyFont="1" applyFill="1"/>
    <xf numFmtId="166" fontId="44" fillId="3" borderId="0" xfId="1" applyNumberFormat="1" applyFont="1" applyFill="1"/>
    <xf numFmtId="166" fontId="28" fillId="3" borderId="0" xfId="1" applyNumberFormat="1" applyFont="1" applyFill="1"/>
    <xf numFmtId="10" fontId="13" fillId="3" borderId="0" xfId="2" applyNumberFormat="1" applyFont="1" applyFill="1"/>
    <xf numFmtId="171" fontId="37" fillId="0" borderId="0" xfId="0" applyNumberFormat="1" applyFont="1" applyAlignment="1">
      <alignment horizontal="center"/>
    </xf>
    <xf numFmtId="9" fontId="35" fillId="0" borderId="0" xfId="2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0" fillId="3" borderId="0" xfId="0" applyFill="1"/>
    <xf numFmtId="0" fontId="37" fillId="3" borderId="0" xfId="0" applyFont="1" applyFill="1"/>
    <xf numFmtId="0" fontId="37" fillId="3" borderId="0" xfId="0" applyFont="1" applyFill="1" applyAlignment="1">
      <alignment horizontal="center"/>
    </xf>
    <xf numFmtId="9" fontId="38" fillId="0" borderId="0" xfId="2" applyFont="1" applyAlignment="1">
      <alignment horizontal="center"/>
    </xf>
    <xf numFmtId="0" fontId="38" fillId="0" borderId="0" xfId="0" applyFont="1"/>
    <xf numFmtId="0" fontId="0" fillId="0" borderId="0" xfId="0" applyAlignment="1">
      <alignment horizontal="left"/>
    </xf>
    <xf numFmtId="0" fontId="37" fillId="0" borderId="0" xfId="0" applyFont="1" applyAlignment="1">
      <alignment horizontal="left"/>
    </xf>
    <xf numFmtId="0" fontId="29" fillId="0" borderId="0" xfId="0" applyFont="1"/>
    <xf numFmtId="0" fontId="0" fillId="0" borderId="13" xfId="0" applyBorder="1"/>
    <xf numFmtId="0" fontId="0" fillId="0" borderId="14" xfId="0" applyBorder="1"/>
    <xf numFmtId="166" fontId="35" fillId="0" borderId="0" xfId="1" applyNumberFormat="1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37" fillId="8" borderId="0" xfId="0" applyFont="1" applyFill="1" applyAlignment="1">
      <alignment vertical="center"/>
    </xf>
    <xf numFmtId="0" fontId="37" fillId="8" borderId="0" xfId="0" applyFont="1" applyFill="1"/>
    <xf numFmtId="0" fontId="37" fillId="0" borderId="0" xfId="0" applyFont="1" applyAlignment="1">
      <alignment horizontal="right"/>
    </xf>
    <xf numFmtId="0" fontId="37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37" fillId="0" borderId="0" xfId="0" applyNumberFormat="1" applyFont="1" applyAlignment="1">
      <alignment horizontal="center" vertical="center" wrapText="1"/>
    </xf>
    <xf numFmtId="176" fontId="37" fillId="0" borderId="0" xfId="0" applyNumberFormat="1" applyFont="1" applyAlignment="1">
      <alignment horizontal="center"/>
    </xf>
    <xf numFmtId="0" fontId="0" fillId="0" borderId="15" xfId="0" applyBorder="1"/>
    <xf numFmtId="172" fontId="9" fillId="3" borderId="0" xfId="1" applyNumberFormat="1" applyFont="1" applyFill="1"/>
    <xf numFmtId="167" fontId="38" fillId="0" borderId="0" xfId="2" applyNumberFormat="1" applyFont="1" applyAlignment="1">
      <alignment horizontal="center"/>
    </xf>
    <xf numFmtId="171" fontId="0" fillId="0" borderId="0" xfId="0" applyNumberFormat="1"/>
    <xf numFmtId="167" fontId="35" fillId="0" borderId="0" xfId="2" applyNumberFormat="1" applyFont="1" applyAlignment="1">
      <alignment horizontal="center"/>
    </xf>
    <xf numFmtId="10" fontId="35" fillId="6" borderId="0" xfId="2" applyNumberFormat="1" applyFont="1" applyFill="1" applyAlignment="1">
      <alignment horizontal="center"/>
    </xf>
    <xf numFmtId="175" fontId="0" fillId="0" borderId="0" xfId="0" applyNumberFormat="1"/>
    <xf numFmtId="0" fontId="47" fillId="0" borderId="0" xfId="0" applyFont="1" applyAlignment="1">
      <alignment horizontal="right"/>
    </xf>
    <xf numFmtId="0" fontId="48" fillId="0" borderId="0" xfId="0" applyFont="1"/>
    <xf numFmtId="175" fontId="37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0" fontId="42" fillId="0" borderId="0" xfId="0" applyFont="1" applyAlignment="1">
      <alignment horizontal="right"/>
    </xf>
    <xf numFmtId="168" fontId="49" fillId="0" borderId="0" xfId="0" applyNumberFormat="1" applyFont="1"/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horizontal="center"/>
    </xf>
    <xf numFmtId="1" fontId="45" fillId="0" borderId="0" xfId="0" applyNumberFormat="1" applyFont="1"/>
    <xf numFmtId="165" fontId="0" fillId="0" borderId="0" xfId="0" applyNumberFormat="1"/>
    <xf numFmtId="1" fontId="35" fillId="0" borderId="0" xfId="2" applyNumberFormat="1" applyFont="1" applyBorder="1"/>
    <xf numFmtId="10" fontId="46" fillId="0" borderId="0" xfId="2" applyNumberFormat="1" applyFont="1" applyBorder="1" applyAlignment="1">
      <alignment horizontal="center"/>
    </xf>
    <xf numFmtId="171" fontId="35" fillId="0" borderId="0" xfId="2" applyNumberFormat="1" applyFont="1" applyBorder="1"/>
    <xf numFmtId="10" fontId="35" fillId="0" borderId="0" xfId="2" applyNumberFormat="1" applyFont="1" applyBorder="1" applyAlignment="1">
      <alignment horizontal="center"/>
    </xf>
    <xf numFmtId="167" fontId="45" fillId="0" borderId="0" xfId="0" applyNumberFormat="1" applyFont="1"/>
    <xf numFmtId="0" fontId="0" fillId="0" borderId="0" xfId="0" applyAlignment="1">
      <alignment horizontal="centerContinuous"/>
    </xf>
    <xf numFmtId="0" fontId="31" fillId="0" borderId="0" xfId="0" applyFont="1" applyAlignment="1">
      <alignment horizontal="center"/>
    </xf>
    <xf numFmtId="10" fontId="35" fillId="0" borderId="0" xfId="2" applyNumberFormat="1" applyFont="1" applyFill="1" applyBorder="1" applyAlignment="1">
      <alignment horizontal="center"/>
    </xf>
    <xf numFmtId="173" fontId="37" fillId="0" borderId="0" xfId="0" applyNumberFormat="1" applyFont="1" applyAlignment="1">
      <alignment horizontal="center"/>
    </xf>
    <xf numFmtId="2" fontId="0" fillId="0" borderId="0" xfId="0" applyNumberFormat="1"/>
    <xf numFmtId="167" fontId="35" fillId="0" borderId="0" xfId="2" applyNumberFormat="1" applyFont="1"/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right"/>
    </xf>
    <xf numFmtId="167" fontId="37" fillId="0" borderId="0" xfId="2" applyNumberFormat="1" applyFont="1" applyAlignment="1">
      <alignment horizontal="center"/>
    </xf>
    <xf numFmtId="166" fontId="9" fillId="0" borderId="0" xfId="0" applyNumberFormat="1" applyFont="1"/>
    <xf numFmtId="10" fontId="37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3" fontId="9" fillId="0" borderId="0" xfId="1" applyNumberFormat="1" applyFont="1"/>
    <xf numFmtId="9" fontId="13" fillId="6" borderId="0" xfId="0" applyNumberFormat="1" applyFont="1" applyFill="1"/>
    <xf numFmtId="0" fontId="1" fillId="6" borderId="0" xfId="0" applyFont="1" applyFill="1"/>
    <xf numFmtId="164" fontId="9" fillId="0" borderId="0" xfId="1" applyFont="1"/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2" fontId="0" fillId="10" borderId="17" xfId="0" applyNumberFormat="1" applyFill="1" applyBorder="1" applyAlignment="1">
      <alignment horizontal="center"/>
    </xf>
    <xf numFmtId="2" fontId="0" fillId="9" borderId="17" xfId="0" applyNumberFormat="1" applyFill="1" applyBorder="1" applyAlignment="1">
      <alignment horizontal="center"/>
    </xf>
    <xf numFmtId="2" fontId="0" fillId="9" borderId="18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167" fontId="0" fillId="0" borderId="0" xfId="0" applyNumberFormat="1"/>
    <xf numFmtId="168" fontId="53" fillId="4" borderId="0" xfId="0" applyNumberFormat="1" applyFont="1" applyFill="1"/>
    <xf numFmtId="166" fontId="13" fillId="0" borderId="0" xfId="1" applyNumberFormat="1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right"/>
    </xf>
    <xf numFmtId="0" fontId="54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177" fontId="55" fillId="0" borderId="0" xfId="0" applyNumberFormat="1" applyFont="1" applyAlignment="1">
      <alignment horizontal="left" vertical="center"/>
    </xf>
    <xf numFmtId="9" fontId="0" fillId="0" borderId="0" xfId="2" applyFont="1" applyAlignment="1">
      <alignment horizontal="right"/>
    </xf>
    <xf numFmtId="0" fontId="1" fillId="3" borderId="0" xfId="0" applyFont="1" applyFill="1"/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67" fontId="37" fillId="0" borderId="0" xfId="0" applyNumberFormat="1" applyFont="1" applyAlignment="1">
      <alignment horizontal="center"/>
    </xf>
    <xf numFmtId="174" fontId="0" fillId="0" borderId="0" xfId="0" applyNumberFormat="1"/>
    <xf numFmtId="172" fontId="0" fillId="0" borderId="0" xfId="0" applyNumberFormat="1"/>
    <xf numFmtId="0" fontId="56" fillId="0" borderId="0" xfId="0" applyFont="1"/>
    <xf numFmtId="0" fontId="57" fillId="0" borderId="0" xfId="0" applyFont="1"/>
    <xf numFmtId="6" fontId="57" fillId="0" borderId="0" xfId="0" applyNumberFormat="1" applyFont="1"/>
    <xf numFmtId="8" fontId="0" fillId="0" borderId="0" xfId="0" applyNumberFormat="1"/>
    <xf numFmtId="166" fontId="0" fillId="0" borderId="0" xfId="1" applyNumberFormat="1" applyFont="1"/>
    <xf numFmtId="3" fontId="13" fillId="3" borderId="0" xfId="1" applyNumberFormat="1" applyFont="1" applyFill="1"/>
    <xf numFmtId="16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3" fontId="13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PDF of </a:t>
            </a:r>
            <a:r>
              <a:rPr lang="en-US" sz="1800" b="1" i="0" u="none" strike="noStrike" baseline="0">
                <a:effectLst/>
              </a:rPr>
              <a:t>Radiation &lt; P50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9728075035396696E-2"/>
          <c:y val="0.16251166520851559"/>
          <c:w val="0.86931714785651792"/>
          <c:h val="0.7446566054243219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'CG of Radiation Loss'!$H$5:$H$220</c:f>
              <c:numCache>
                <c:formatCode>General</c:formatCode>
                <c:ptCount val="216"/>
                <c:pt idx="0">
                  <c:v>0</c:v>
                </c:pt>
                <c:pt idx="1">
                  <c:v>-2.5000000000000001E-2</c:v>
                </c:pt>
                <c:pt idx="2">
                  <c:v>-0.05</c:v>
                </c:pt>
                <c:pt idx="3">
                  <c:v>-7.5000000000000011E-2</c:v>
                </c:pt>
                <c:pt idx="4">
                  <c:v>-0.1</c:v>
                </c:pt>
                <c:pt idx="5">
                  <c:v>-0.125</c:v>
                </c:pt>
                <c:pt idx="6">
                  <c:v>-0.15</c:v>
                </c:pt>
                <c:pt idx="7">
                  <c:v>-0.17499999999999999</c:v>
                </c:pt>
                <c:pt idx="8">
                  <c:v>-0.19999999999999998</c:v>
                </c:pt>
                <c:pt idx="9">
                  <c:v>-0.22499999999999998</c:v>
                </c:pt>
                <c:pt idx="10">
                  <c:v>-0.24999999999999997</c:v>
                </c:pt>
                <c:pt idx="11">
                  <c:v>-0.27499999999999997</c:v>
                </c:pt>
                <c:pt idx="12">
                  <c:v>-0.3</c:v>
                </c:pt>
                <c:pt idx="13">
                  <c:v>-0.32500000000000001</c:v>
                </c:pt>
                <c:pt idx="14">
                  <c:v>-0.35000000000000003</c:v>
                </c:pt>
                <c:pt idx="15">
                  <c:v>-0.37500000000000006</c:v>
                </c:pt>
                <c:pt idx="16">
                  <c:v>-0.40000000000000008</c:v>
                </c:pt>
                <c:pt idx="17">
                  <c:v>-0.4250000000000001</c:v>
                </c:pt>
                <c:pt idx="18">
                  <c:v>-0.45000000000000012</c:v>
                </c:pt>
                <c:pt idx="19">
                  <c:v>-0.47500000000000014</c:v>
                </c:pt>
                <c:pt idx="20">
                  <c:v>-0.50000000000000011</c:v>
                </c:pt>
                <c:pt idx="21">
                  <c:v>-0.52500000000000013</c:v>
                </c:pt>
                <c:pt idx="22">
                  <c:v>-0.55000000000000016</c:v>
                </c:pt>
                <c:pt idx="23">
                  <c:v>-0.57500000000000018</c:v>
                </c:pt>
                <c:pt idx="24">
                  <c:v>-0.6000000000000002</c:v>
                </c:pt>
                <c:pt idx="25">
                  <c:v>-0.62500000000000022</c:v>
                </c:pt>
                <c:pt idx="26">
                  <c:v>-0.65000000000000024</c:v>
                </c:pt>
                <c:pt idx="27">
                  <c:v>-0.67500000000000027</c:v>
                </c:pt>
                <c:pt idx="28">
                  <c:v>-0.70000000000000029</c:v>
                </c:pt>
                <c:pt idx="29">
                  <c:v>-0.72500000000000031</c:v>
                </c:pt>
                <c:pt idx="30">
                  <c:v>-0.75000000000000033</c:v>
                </c:pt>
                <c:pt idx="31">
                  <c:v>-0.77500000000000036</c:v>
                </c:pt>
                <c:pt idx="32">
                  <c:v>-0.80000000000000038</c:v>
                </c:pt>
                <c:pt idx="33">
                  <c:v>-0.8250000000000004</c:v>
                </c:pt>
                <c:pt idx="34">
                  <c:v>-0.85000000000000042</c:v>
                </c:pt>
                <c:pt idx="35">
                  <c:v>-0.87500000000000044</c:v>
                </c:pt>
                <c:pt idx="36">
                  <c:v>-0.90000000000000047</c:v>
                </c:pt>
                <c:pt idx="37">
                  <c:v>-0.92500000000000049</c:v>
                </c:pt>
                <c:pt idx="38">
                  <c:v>-0.95000000000000051</c:v>
                </c:pt>
                <c:pt idx="39">
                  <c:v>-0.97500000000000053</c:v>
                </c:pt>
                <c:pt idx="40">
                  <c:v>-1.0000000000000004</c:v>
                </c:pt>
                <c:pt idx="41">
                  <c:v>-1.0250000000000004</c:v>
                </c:pt>
                <c:pt idx="42">
                  <c:v>-1.0500000000000003</c:v>
                </c:pt>
                <c:pt idx="43">
                  <c:v>-1.0750000000000002</c:v>
                </c:pt>
                <c:pt idx="44">
                  <c:v>-1.1000000000000001</c:v>
                </c:pt>
                <c:pt idx="45">
                  <c:v>-1.125</c:v>
                </c:pt>
                <c:pt idx="46">
                  <c:v>-1.1499999999999999</c:v>
                </c:pt>
                <c:pt idx="47">
                  <c:v>-1.1749999999999998</c:v>
                </c:pt>
                <c:pt idx="48">
                  <c:v>-1.1999999999999997</c:v>
                </c:pt>
                <c:pt idx="49">
                  <c:v>-1.2249999999999996</c:v>
                </c:pt>
                <c:pt idx="50">
                  <c:v>-1.2499999999999996</c:v>
                </c:pt>
                <c:pt idx="51">
                  <c:v>-1.2749999999999995</c:v>
                </c:pt>
                <c:pt idx="52">
                  <c:v>-1.2999999999999994</c:v>
                </c:pt>
                <c:pt idx="53">
                  <c:v>-1.3249999999999993</c:v>
                </c:pt>
                <c:pt idx="54">
                  <c:v>-1.3499999999999992</c:v>
                </c:pt>
                <c:pt idx="55">
                  <c:v>-1.3749999999999991</c:v>
                </c:pt>
                <c:pt idx="56">
                  <c:v>-1.399999999999999</c:v>
                </c:pt>
                <c:pt idx="57">
                  <c:v>-1.4249999999999989</c:v>
                </c:pt>
                <c:pt idx="58">
                  <c:v>-1.4499999999999988</c:v>
                </c:pt>
                <c:pt idx="59">
                  <c:v>-1.4749999999999988</c:v>
                </c:pt>
                <c:pt idx="60">
                  <c:v>-1.4999999999999987</c:v>
                </c:pt>
                <c:pt idx="61">
                  <c:v>-1.5249999999999986</c:v>
                </c:pt>
                <c:pt idx="62">
                  <c:v>-1.5499999999999985</c:v>
                </c:pt>
                <c:pt idx="63">
                  <c:v>-1.5749999999999984</c:v>
                </c:pt>
                <c:pt idx="64">
                  <c:v>-1.5999999999999983</c:v>
                </c:pt>
                <c:pt idx="65">
                  <c:v>-1.6249999999999982</c:v>
                </c:pt>
                <c:pt idx="66">
                  <c:v>-1.6499999999999981</c:v>
                </c:pt>
                <c:pt idx="67">
                  <c:v>-1.674999999999998</c:v>
                </c:pt>
                <c:pt idx="68">
                  <c:v>-1.699999999999998</c:v>
                </c:pt>
                <c:pt idx="69">
                  <c:v>-1.7249999999999979</c:v>
                </c:pt>
                <c:pt idx="70">
                  <c:v>-1.7499999999999978</c:v>
                </c:pt>
                <c:pt idx="71">
                  <c:v>-1.7749999999999977</c:v>
                </c:pt>
                <c:pt idx="72">
                  <c:v>-1.7999999999999976</c:v>
                </c:pt>
                <c:pt idx="73">
                  <c:v>-1.8249999999999975</c:v>
                </c:pt>
                <c:pt idx="74">
                  <c:v>-1.8499999999999974</c:v>
                </c:pt>
                <c:pt idx="75">
                  <c:v>-1.8749999999999973</c:v>
                </c:pt>
                <c:pt idx="76">
                  <c:v>-1.8999999999999972</c:v>
                </c:pt>
                <c:pt idx="77">
                  <c:v>-1.9249999999999972</c:v>
                </c:pt>
                <c:pt idx="78">
                  <c:v>-1.9499999999999971</c:v>
                </c:pt>
                <c:pt idx="79">
                  <c:v>-1.974999999999997</c:v>
                </c:pt>
                <c:pt idx="80">
                  <c:v>-1.9999999999999969</c:v>
                </c:pt>
                <c:pt idx="81">
                  <c:v>-2.0249999999999968</c:v>
                </c:pt>
                <c:pt idx="82">
                  <c:v>-2.0499999999999967</c:v>
                </c:pt>
                <c:pt idx="83">
                  <c:v>-2.0749999999999966</c:v>
                </c:pt>
                <c:pt idx="84">
                  <c:v>-2.0999999999999965</c:v>
                </c:pt>
                <c:pt idx="85">
                  <c:v>-2.1249999999999964</c:v>
                </c:pt>
                <c:pt idx="86">
                  <c:v>-2.1499999999999964</c:v>
                </c:pt>
                <c:pt idx="87">
                  <c:v>-2.1749999999999963</c:v>
                </c:pt>
                <c:pt idx="88">
                  <c:v>-2.1999999999999962</c:v>
                </c:pt>
                <c:pt idx="89">
                  <c:v>-2.2249999999999961</c:v>
                </c:pt>
                <c:pt idx="90">
                  <c:v>-2.249999999999996</c:v>
                </c:pt>
                <c:pt idx="91">
                  <c:v>-2.2749999999999959</c:v>
                </c:pt>
                <c:pt idx="92">
                  <c:v>-2.2999999999999958</c:v>
                </c:pt>
                <c:pt idx="93">
                  <c:v>-2.3249999999999957</c:v>
                </c:pt>
                <c:pt idx="94">
                  <c:v>-2.3499999999999956</c:v>
                </c:pt>
                <c:pt idx="95">
                  <c:v>-2.3749999999999956</c:v>
                </c:pt>
                <c:pt idx="96">
                  <c:v>-2.3999999999999955</c:v>
                </c:pt>
                <c:pt idx="97">
                  <c:v>-2.4249999999999954</c:v>
                </c:pt>
                <c:pt idx="98">
                  <c:v>-2.4499999999999953</c:v>
                </c:pt>
                <c:pt idx="99">
                  <c:v>-2.4749999999999952</c:v>
                </c:pt>
                <c:pt idx="100">
                  <c:v>-2.4999999999999951</c:v>
                </c:pt>
                <c:pt idx="101">
                  <c:v>-2.524999999999995</c:v>
                </c:pt>
                <c:pt idx="102">
                  <c:v>-2.5499999999999949</c:v>
                </c:pt>
                <c:pt idx="103">
                  <c:v>-2.5749999999999948</c:v>
                </c:pt>
                <c:pt idx="104">
                  <c:v>-2.5999999999999948</c:v>
                </c:pt>
                <c:pt idx="105">
                  <c:v>-2.6249999999999947</c:v>
                </c:pt>
                <c:pt idx="106">
                  <c:v>-2.6499999999999946</c:v>
                </c:pt>
                <c:pt idx="107">
                  <c:v>-2.6749999999999945</c:v>
                </c:pt>
                <c:pt idx="108">
                  <c:v>-2.6999999999999944</c:v>
                </c:pt>
                <c:pt idx="109">
                  <c:v>-2.7249999999999943</c:v>
                </c:pt>
                <c:pt idx="110">
                  <c:v>-2.7499999999999942</c:v>
                </c:pt>
                <c:pt idx="111">
                  <c:v>-2.7749999999999941</c:v>
                </c:pt>
                <c:pt idx="112">
                  <c:v>-2.799999999999994</c:v>
                </c:pt>
                <c:pt idx="113">
                  <c:v>-2.824999999999994</c:v>
                </c:pt>
                <c:pt idx="114">
                  <c:v>-2.8499999999999939</c:v>
                </c:pt>
                <c:pt idx="115">
                  <c:v>-2.8749999999999938</c:v>
                </c:pt>
                <c:pt idx="116">
                  <c:v>-2.8999999999999937</c:v>
                </c:pt>
                <c:pt idx="117">
                  <c:v>-2.9249999999999936</c:v>
                </c:pt>
                <c:pt idx="118">
                  <c:v>-2.9499999999999935</c:v>
                </c:pt>
                <c:pt idx="119">
                  <c:v>-2.9749999999999934</c:v>
                </c:pt>
                <c:pt idx="120">
                  <c:v>-2.9999999999999933</c:v>
                </c:pt>
                <c:pt idx="121">
                  <c:v>-3.0249999999999932</c:v>
                </c:pt>
                <c:pt idx="122">
                  <c:v>-3.0499999999999932</c:v>
                </c:pt>
                <c:pt idx="123">
                  <c:v>-3.0749999999999931</c:v>
                </c:pt>
                <c:pt idx="124">
                  <c:v>-3.099999999999993</c:v>
                </c:pt>
                <c:pt idx="125">
                  <c:v>-3.1249999999999929</c:v>
                </c:pt>
                <c:pt idx="126">
                  <c:v>-3.1499999999999928</c:v>
                </c:pt>
                <c:pt idx="127">
                  <c:v>-3.1749999999999927</c:v>
                </c:pt>
                <c:pt idx="128">
                  <c:v>-3.1999999999999926</c:v>
                </c:pt>
                <c:pt idx="129">
                  <c:v>-3.2249999999999925</c:v>
                </c:pt>
                <c:pt idx="130">
                  <c:v>-3.2499999999999925</c:v>
                </c:pt>
                <c:pt idx="131">
                  <c:v>-3.2749999999999924</c:v>
                </c:pt>
                <c:pt idx="132">
                  <c:v>-3.2999999999999923</c:v>
                </c:pt>
                <c:pt idx="133">
                  <c:v>-3.3249999999999922</c:v>
                </c:pt>
                <c:pt idx="134">
                  <c:v>-3.3499999999999921</c:v>
                </c:pt>
                <c:pt idx="135">
                  <c:v>-3.374999999999992</c:v>
                </c:pt>
                <c:pt idx="136">
                  <c:v>-3.3999999999999919</c:v>
                </c:pt>
                <c:pt idx="137">
                  <c:v>-3.4249999999999918</c:v>
                </c:pt>
                <c:pt idx="138">
                  <c:v>-3.4499999999999917</c:v>
                </c:pt>
                <c:pt idx="139">
                  <c:v>-3.4749999999999917</c:v>
                </c:pt>
                <c:pt idx="140">
                  <c:v>-3.4999999999999916</c:v>
                </c:pt>
                <c:pt idx="141">
                  <c:v>-3.5249999999999915</c:v>
                </c:pt>
                <c:pt idx="142">
                  <c:v>-3.5499999999999914</c:v>
                </c:pt>
                <c:pt idx="143">
                  <c:v>-3.5749999999999913</c:v>
                </c:pt>
                <c:pt idx="144">
                  <c:v>-3.5999999999999912</c:v>
                </c:pt>
                <c:pt idx="145">
                  <c:v>-3.6249999999999911</c:v>
                </c:pt>
                <c:pt idx="146">
                  <c:v>-3.649999999999991</c:v>
                </c:pt>
                <c:pt idx="147">
                  <c:v>-3.6749999999999909</c:v>
                </c:pt>
                <c:pt idx="148">
                  <c:v>-3.6999999999999909</c:v>
                </c:pt>
                <c:pt idx="149">
                  <c:v>-3.7249999999999908</c:v>
                </c:pt>
                <c:pt idx="150">
                  <c:v>-3.7499999999999907</c:v>
                </c:pt>
                <c:pt idx="151">
                  <c:v>-3.7749999999999906</c:v>
                </c:pt>
                <c:pt idx="152">
                  <c:v>-3.7999999999999905</c:v>
                </c:pt>
                <c:pt idx="153">
                  <c:v>-3.8249999999999904</c:v>
                </c:pt>
                <c:pt idx="154">
                  <c:v>-3.8499999999999903</c:v>
                </c:pt>
                <c:pt idx="155">
                  <c:v>-3.8749999999999902</c:v>
                </c:pt>
                <c:pt idx="156">
                  <c:v>-3.8999999999999901</c:v>
                </c:pt>
                <c:pt idx="157">
                  <c:v>-3.9249999999999901</c:v>
                </c:pt>
                <c:pt idx="158">
                  <c:v>-3.94999999999999</c:v>
                </c:pt>
                <c:pt idx="159">
                  <c:v>-3.9749999999999899</c:v>
                </c:pt>
                <c:pt idx="160">
                  <c:v>-3.9999999999999898</c:v>
                </c:pt>
                <c:pt idx="161">
                  <c:v>-4.0249999999999897</c:v>
                </c:pt>
                <c:pt idx="162">
                  <c:v>-4.0499999999999901</c:v>
                </c:pt>
                <c:pt idx="163">
                  <c:v>-4.0749999999999904</c:v>
                </c:pt>
                <c:pt idx="164">
                  <c:v>-4.0999999999999908</c:v>
                </c:pt>
                <c:pt idx="165">
                  <c:v>-4.1249999999999911</c:v>
                </c:pt>
                <c:pt idx="166">
                  <c:v>-4.1499999999999915</c:v>
                </c:pt>
                <c:pt idx="167">
                  <c:v>-4.1749999999999918</c:v>
                </c:pt>
                <c:pt idx="168">
                  <c:v>-4.1999999999999922</c:v>
                </c:pt>
                <c:pt idx="169">
                  <c:v>-4.2249999999999925</c:v>
                </c:pt>
                <c:pt idx="170">
                  <c:v>-4.2499999999999929</c:v>
                </c:pt>
                <c:pt idx="171">
                  <c:v>-4.2749999999999932</c:v>
                </c:pt>
                <c:pt idx="172">
                  <c:v>-4.2999999999999936</c:v>
                </c:pt>
                <c:pt idx="173">
                  <c:v>-4.324999999999994</c:v>
                </c:pt>
                <c:pt idx="174">
                  <c:v>-4.3499999999999943</c:v>
                </c:pt>
                <c:pt idx="175">
                  <c:v>-4.3749999999999947</c:v>
                </c:pt>
                <c:pt idx="176">
                  <c:v>-4.399999999999995</c:v>
                </c:pt>
                <c:pt idx="177">
                  <c:v>-4.4249999999999954</c:v>
                </c:pt>
                <c:pt idx="178">
                  <c:v>-4.4499999999999957</c:v>
                </c:pt>
                <c:pt idx="179">
                  <c:v>-4.4749999999999961</c:v>
                </c:pt>
                <c:pt idx="180">
                  <c:v>-4.4999999999999964</c:v>
                </c:pt>
                <c:pt idx="181">
                  <c:v>-4.5249999999999968</c:v>
                </c:pt>
                <c:pt idx="182">
                  <c:v>-4.5499999999999972</c:v>
                </c:pt>
                <c:pt idx="183">
                  <c:v>-4.5749999999999975</c:v>
                </c:pt>
                <c:pt idx="184">
                  <c:v>-4.5999999999999979</c:v>
                </c:pt>
                <c:pt idx="185">
                  <c:v>-4.6249999999999982</c:v>
                </c:pt>
                <c:pt idx="186">
                  <c:v>-4.6499999999999986</c:v>
                </c:pt>
                <c:pt idx="187">
                  <c:v>-4.6749999999999989</c:v>
                </c:pt>
                <c:pt idx="188">
                  <c:v>-4.6999999999999993</c:v>
                </c:pt>
                <c:pt idx="189">
                  <c:v>-4.7249999999999996</c:v>
                </c:pt>
                <c:pt idx="190">
                  <c:v>-4.75</c:v>
                </c:pt>
                <c:pt idx="191">
                  <c:v>-4.7750000000000004</c:v>
                </c:pt>
                <c:pt idx="192">
                  <c:v>-4.8000000000000007</c:v>
                </c:pt>
                <c:pt idx="193">
                  <c:v>-4.8250000000000011</c:v>
                </c:pt>
                <c:pt idx="194">
                  <c:v>-4.8500000000000014</c:v>
                </c:pt>
                <c:pt idx="195">
                  <c:v>-4.8750000000000018</c:v>
                </c:pt>
                <c:pt idx="196">
                  <c:v>-4.9000000000000021</c:v>
                </c:pt>
                <c:pt idx="197">
                  <c:v>-4.9250000000000025</c:v>
                </c:pt>
                <c:pt idx="198">
                  <c:v>-4.9500000000000028</c:v>
                </c:pt>
                <c:pt idx="199">
                  <c:v>-4.9750000000000032</c:v>
                </c:pt>
                <c:pt idx="200">
                  <c:v>-5.0000000000000036</c:v>
                </c:pt>
                <c:pt idx="201">
                  <c:v>-5.0250000000000039</c:v>
                </c:pt>
                <c:pt idx="202">
                  <c:v>-5.0500000000000043</c:v>
                </c:pt>
                <c:pt idx="203">
                  <c:v>-5.0750000000000046</c:v>
                </c:pt>
                <c:pt idx="204">
                  <c:v>-5.100000000000005</c:v>
                </c:pt>
                <c:pt idx="205">
                  <c:v>-5.1250000000000053</c:v>
                </c:pt>
                <c:pt idx="206">
                  <c:v>-5.1500000000000057</c:v>
                </c:pt>
                <c:pt idx="207">
                  <c:v>-5.175000000000006</c:v>
                </c:pt>
                <c:pt idx="208">
                  <c:v>-5.2000000000000064</c:v>
                </c:pt>
                <c:pt idx="209">
                  <c:v>-5.2250000000000068</c:v>
                </c:pt>
                <c:pt idx="210">
                  <c:v>-5.2500000000000071</c:v>
                </c:pt>
                <c:pt idx="211">
                  <c:v>-5.2750000000000075</c:v>
                </c:pt>
                <c:pt idx="212">
                  <c:v>-5.3000000000000078</c:v>
                </c:pt>
                <c:pt idx="213">
                  <c:v>-5.3250000000000082</c:v>
                </c:pt>
                <c:pt idx="214">
                  <c:v>-5.3500000000000085</c:v>
                </c:pt>
                <c:pt idx="215">
                  <c:v>-5.3750000000000089</c:v>
                </c:pt>
              </c:numCache>
            </c:numRef>
          </c:xVal>
          <c:yVal>
            <c:numRef>
              <c:f>'CG of Radiation Loss'!$I$5:$I$220</c:f>
              <c:numCache>
                <c:formatCode>General</c:formatCode>
                <c:ptCount val="216"/>
                <c:pt idx="0">
                  <c:v>0.3989422804014327</c:v>
                </c:pt>
                <c:pt idx="1">
                  <c:v>0.3988176304163818</c:v>
                </c:pt>
                <c:pt idx="2">
                  <c:v>0.39844391409476404</c:v>
                </c:pt>
                <c:pt idx="3">
                  <c:v>0.39782183160749712</c:v>
                </c:pt>
                <c:pt idx="4">
                  <c:v>0.39695254747701181</c:v>
                </c:pt>
                <c:pt idx="5">
                  <c:v>0.39583768694474952</c:v>
                </c:pt>
                <c:pt idx="6">
                  <c:v>0.39447933090788895</c:v>
                </c:pt>
                <c:pt idx="7">
                  <c:v>0.39288000944737927</c:v>
                </c:pt>
                <c:pt idx="8">
                  <c:v>0.39104269397545588</c:v>
                </c:pt>
                <c:pt idx="9">
                  <c:v>0.38897078803674945</c:v>
                </c:pt>
                <c:pt idx="10">
                  <c:v>0.38666811680284924</c:v>
                </c:pt>
                <c:pt idx="11">
                  <c:v>0.38413891530570476</c:v>
                </c:pt>
                <c:pt idx="12">
                  <c:v>0.38138781546052414</c:v>
                </c:pt>
                <c:pt idx="13">
                  <c:v>0.37841983193381945</c:v>
                </c:pt>
                <c:pt idx="14">
                  <c:v>0.37524034691693792</c:v>
                </c:pt>
                <c:pt idx="15">
                  <c:v>0.37185509386976895</c:v>
                </c:pt>
                <c:pt idx="16">
                  <c:v>0.36827014030332333</c:v>
                </c:pt>
                <c:pt idx="17">
                  <c:v>0.36449186967350644</c:v>
                </c:pt>
                <c:pt idx="18">
                  <c:v>0.36052696246164795</c:v>
                </c:pt>
                <c:pt idx="19">
                  <c:v>0.35638237652018323</c:v>
                </c:pt>
                <c:pt idx="20">
                  <c:v>0.35206532676429947</c:v>
                </c:pt>
                <c:pt idx="21">
                  <c:v>0.34758326429234804</c:v>
                </c:pt>
                <c:pt idx="22">
                  <c:v>0.3429438550193839</c:v>
                </c:pt>
                <c:pt idx="23">
                  <c:v>0.33815495790931138</c:v>
                </c:pt>
                <c:pt idx="24">
                  <c:v>0.33322460289179962</c:v>
                </c:pt>
                <c:pt idx="25">
                  <c:v>0.32816096855037502</c:v>
                </c:pt>
                <c:pt idx="26">
                  <c:v>0.32297235966791427</c:v>
                </c:pt>
                <c:pt idx="27">
                  <c:v>0.31766718471514821</c:v>
                </c:pt>
                <c:pt idx="28">
                  <c:v>0.31225393336676122</c:v>
                </c:pt>
                <c:pt idx="29">
                  <c:v>0.30674115412823993</c:v>
                </c:pt>
                <c:pt idx="30">
                  <c:v>0.30113743215480432</c:v>
                </c:pt>
                <c:pt idx="31">
                  <c:v>0.29545136734156291</c:v>
                </c:pt>
                <c:pt idx="32">
                  <c:v>0.28969155276148267</c:v>
                </c:pt>
                <c:pt idx="33">
                  <c:v>0.28386655352488721</c:v>
                </c:pt>
                <c:pt idx="34">
                  <c:v>0.27798488613099637</c:v>
                </c:pt>
                <c:pt idx="35">
                  <c:v>0.27205499837854341</c:v>
                </c:pt>
                <c:pt idx="36">
                  <c:v>0.26608524989875476</c:v>
                </c:pt>
                <c:pt idx="37">
                  <c:v>0.26008389336999554</c:v>
                </c:pt>
                <c:pt idx="38">
                  <c:v>0.25405905646918892</c:v>
                </c:pt>
                <c:pt idx="39">
                  <c:v>0.24801872461073701</c:v>
                </c:pt>
                <c:pt idx="40">
                  <c:v>0.24197072451914328</c:v>
                </c:pt>
                <c:pt idx="41">
                  <c:v>0.23592270867687243</c:v>
                </c:pt>
                <c:pt idx="42">
                  <c:v>0.22988214068423296</c:v>
                </c:pt>
                <c:pt idx="43">
                  <c:v>0.22385628156323945</c:v>
                </c:pt>
                <c:pt idx="44">
                  <c:v>0.21785217703255053</c:v>
                </c:pt>
                <c:pt idx="45">
                  <c:v>0.21187664577569948</c:v>
                </c:pt>
                <c:pt idx="46">
                  <c:v>0.20593626871997478</c:v>
                </c:pt>
                <c:pt idx="47">
                  <c:v>0.20003737933848778</c:v>
                </c:pt>
                <c:pt idx="48">
                  <c:v>0.19418605498321304</c:v>
                </c:pt>
                <c:pt idx="49">
                  <c:v>0.1883881092521264</c:v>
                </c:pt>
                <c:pt idx="50">
                  <c:v>0.182649085389022</c:v>
                </c:pt>
                <c:pt idx="51">
                  <c:v>0.17697425071017983</c:v>
                </c:pt>
                <c:pt idx="52">
                  <c:v>0.17136859204780749</c:v>
                </c:pt>
                <c:pt idx="53">
                  <c:v>0.16583681219610488</c:v>
                </c:pt>
                <c:pt idx="54">
                  <c:v>0.16038332734191976</c:v>
                </c:pt>
                <c:pt idx="55">
                  <c:v>0.15501226545829339</c:v>
                </c:pt>
                <c:pt idx="56">
                  <c:v>0.14972746563574507</c:v>
                </c:pt>
                <c:pt idx="57">
                  <c:v>0.14453247832293309</c:v>
                </c:pt>
                <c:pt idx="58">
                  <c:v>0.13943056644536053</c:v>
                </c:pt>
                <c:pt idx="59">
                  <c:v>0.13442470736807935</c:v>
                </c:pt>
                <c:pt idx="60">
                  <c:v>0.12951759566589199</c:v>
                </c:pt>
                <c:pt idx="61">
                  <c:v>0.12471164666235747</c:v>
                </c:pt>
                <c:pt idx="62">
                  <c:v>0.12000900069698586</c:v>
                </c:pt>
                <c:pt idx="63">
                  <c:v>0.11541152807835028</c:v>
                </c:pt>
                <c:pt idx="64">
                  <c:v>0.11092083467945585</c:v>
                </c:pt>
                <c:pt idx="65">
                  <c:v>0.10653826813058538</c:v>
                </c:pt>
                <c:pt idx="66">
                  <c:v>0.10226492456397832</c:v>
                </c:pt>
                <c:pt idx="67">
                  <c:v>9.8101655864098136E-2</c:v>
                </c:pt>
                <c:pt idx="68">
                  <c:v>9.4049077376887252E-2</c:v>
                </c:pt>
                <c:pt idx="69">
                  <c:v>9.0107576031298431E-2</c:v>
                </c:pt>
                <c:pt idx="70">
                  <c:v>8.6277318826511851E-2</c:v>
                </c:pt>
                <c:pt idx="71">
                  <c:v>8.2558261638591951E-2</c:v>
                </c:pt>
                <c:pt idx="72">
                  <c:v>7.895015830089451E-2</c:v>
                </c:pt>
                <c:pt idx="73">
                  <c:v>7.5452569913290551E-2</c:v>
                </c:pt>
                <c:pt idx="74">
                  <c:v>7.2064874336218332E-2</c:v>
                </c:pt>
                <c:pt idx="75">
                  <c:v>6.8786275826692236E-2</c:v>
                </c:pt>
                <c:pt idx="76">
                  <c:v>6.5615814774676942E-2</c:v>
                </c:pt>
                <c:pt idx="77">
                  <c:v>6.2552377499660333E-2</c:v>
                </c:pt>
                <c:pt idx="78">
                  <c:v>5.9594706068816408E-2</c:v>
                </c:pt>
                <c:pt idx="79">
                  <c:v>5.674140809982435E-2</c:v>
                </c:pt>
                <c:pt idx="80">
                  <c:v>5.3990966513188389E-2</c:v>
                </c:pt>
                <c:pt idx="81">
                  <c:v>5.1341749200769796E-2</c:v>
                </c:pt>
                <c:pt idx="82">
                  <c:v>4.8792018579183097E-2</c:v>
                </c:pt>
                <c:pt idx="83">
                  <c:v>4.6339940998709563E-2</c:v>
                </c:pt>
                <c:pt idx="84">
                  <c:v>4.3983595980427524E-2</c:v>
                </c:pt>
                <c:pt idx="85">
                  <c:v>4.1720985256338924E-2</c:v>
                </c:pt>
                <c:pt idx="86">
                  <c:v>3.9550041589370519E-2</c:v>
                </c:pt>
                <c:pt idx="87">
                  <c:v>3.7468637352234081E-2</c:v>
                </c:pt>
                <c:pt idx="88">
                  <c:v>3.5474592846231737E-2</c:v>
                </c:pt>
                <c:pt idx="89">
                  <c:v>3.3565684343177839E-2</c:v>
                </c:pt>
                <c:pt idx="90">
                  <c:v>3.1739651835667702E-2</c:v>
                </c:pt>
                <c:pt idx="91">
                  <c:v>2.9994206482945578E-2</c:v>
                </c:pt>
                <c:pt idx="92">
                  <c:v>2.8327037741601453E-2</c:v>
                </c:pt>
                <c:pt idx="93">
                  <c:v>2.6735820172248501E-2</c:v>
                </c:pt>
                <c:pt idx="94">
                  <c:v>2.5218219915194649E-2</c:v>
                </c:pt>
                <c:pt idx="95">
                  <c:v>2.3771900829914056E-2</c:v>
                </c:pt>
                <c:pt idx="96">
                  <c:v>2.2394530294843142E-2</c:v>
                </c:pt>
                <c:pt idx="97">
                  <c:v>2.1083784665664341E-2</c:v>
                </c:pt>
                <c:pt idx="98">
                  <c:v>1.9837354391795549E-2</c:v>
                </c:pt>
                <c:pt idx="99">
                  <c:v>1.8652948792270131E-2</c:v>
                </c:pt>
                <c:pt idx="100">
                  <c:v>1.7528300493568749E-2</c:v>
                </c:pt>
                <c:pt idx="101">
                  <c:v>1.6461169533247475E-2</c:v>
                </c:pt>
                <c:pt idx="102">
                  <c:v>1.5449347134395374E-2</c:v>
                </c:pt>
                <c:pt idx="103">
                  <c:v>1.4490659157048637E-2</c:v>
                </c:pt>
                <c:pt idx="104">
                  <c:v>1.3582969233685802E-2</c:v>
                </c:pt>
                <c:pt idx="105">
                  <c:v>1.2724181596831608E-2</c:v>
                </c:pt>
                <c:pt idx="106">
                  <c:v>1.1912243607605349E-2</c:v>
                </c:pt>
                <c:pt idx="107">
                  <c:v>1.1145147994764971E-2</c:v>
                </c:pt>
                <c:pt idx="108">
                  <c:v>1.0420934814422753E-2</c:v>
                </c:pt>
                <c:pt idx="109">
                  <c:v>9.7376931411441506E-3</c:v>
                </c:pt>
                <c:pt idx="110">
                  <c:v>9.0935625015911986E-3</c:v>
                </c:pt>
                <c:pt idx="111">
                  <c:v>8.4867340622388557E-3</c:v>
                </c:pt>
                <c:pt idx="112">
                  <c:v>7.9154515829800935E-3</c:v>
                </c:pt>
                <c:pt idx="113">
                  <c:v>7.3780121486469175E-3</c:v>
                </c:pt>
                <c:pt idx="114">
                  <c:v>6.8727666906140926E-3</c:v>
                </c:pt>
                <c:pt idx="115">
                  <c:v>6.3981203107236701E-3</c:v>
                </c:pt>
                <c:pt idx="116">
                  <c:v>5.9525324197759648E-3</c:v>
                </c:pt>
                <c:pt idx="117">
                  <c:v>5.5345167027806052E-3</c:v>
                </c:pt>
                <c:pt idx="118">
                  <c:v>5.1426409230540399E-3</c:v>
                </c:pt>
                <c:pt idx="119">
                  <c:v>4.7755265770916518E-3</c:v>
                </c:pt>
                <c:pt idx="120">
                  <c:v>4.4318484119380934E-3</c:v>
                </c:pt>
                <c:pt idx="121">
                  <c:v>4.1103338165326443E-3</c:v>
                </c:pt>
                <c:pt idx="122">
                  <c:v>3.809762098221888E-3</c:v>
                </c:pt>
                <c:pt idx="123">
                  <c:v>3.528963655313837E-3</c:v>
                </c:pt>
                <c:pt idx="124">
                  <c:v>3.2668190561999911E-3</c:v>
                </c:pt>
                <c:pt idx="125">
                  <c:v>3.0222580351988233E-3</c:v>
                </c:pt>
                <c:pt idx="126">
                  <c:v>2.7942584148795092E-3</c:v>
                </c:pt>
                <c:pt idx="127">
                  <c:v>2.5818449642122775E-3</c:v>
                </c:pt>
                <c:pt idx="128">
                  <c:v>2.3840882014648994E-3</c:v>
                </c:pt>
                <c:pt idx="129">
                  <c:v>2.200103150327184E-3</c:v>
                </c:pt>
                <c:pt idx="130">
                  <c:v>2.0290480572998184E-3</c:v>
                </c:pt>
                <c:pt idx="131">
                  <c:v>1.8701230779336968E-3</c:v>
                </c:pt>
                <c:pt idx="132">
                  <c:v>1.7225689390537239E-3</c:v>
                </c:pt>
                <c:pt idx="133">
                  <c:v>1.5856655836494979E-3</c:v>
                </c:pt>
                <c:pt idx="134">
                  <c:v>1.4587308046667849E-3</c:v>
                </c:pt>
                <c:pt idx="135">
                  <c:v>1.3411188734904135E-3</c:v>
                </c:pt>
                <c:pt idx="136">
                  <c:v>1.2322191684730527E-3</c:v>
                </c:pt>
                <c:pt idx="137">
                  <c:v>1.1314548084372395E-3</c:v>
                </c:pt>
                <c:pt idx="138">
                  <c:v>1.0382812956614409E-3</c:v>
                </c:pt>
                <c:pt idx="139">
                  <c:v>9.5218517245629732E-4</c:v>
                </c:pt>
                <c:pt idx="140">
                  <c:v>8.7268269504578574E-4</c:v>
                </c:pt>
                <c:pt idx="141">
                  <c:v>7.9931852809077817E-4</c:v>
                </c:pt>
                <c:pt idx="142">
                  <c:v>7.3166446283033301E-4</c:v>
                </c:pt>
                <c:pt idx="143">
                  <c:v>6.6931816146967825E-4</c:v>
                </c:pt>
                <c:pt idx="144">
                  <c:v>6.1190193011379141E-4</c:v>
                </c:pt>
                <c:pt idx="145">
                  <c:v>5.5906152223218276E-4</c:v>
                </c:pt>
                <c:pt idx="146">
                  <c:v>5.104649743442024E-4</c:v>
                </c:pt>
                <c:pt idx="147">
                  <c:v>4.6580147533505236E-4</c:v>
                </c:pt>
                <c:pt idx="148">
                  <c:v>4.2478027055076613E-4</c:v>
                </c:pt>
                <c:pt idx="149">
                  <c:v>3.8712960157560243E-4</c:v>
                </c:pt>
                <c:pt idx="150">
                  <c:v>3.525956823674576E-4</c:v>
                </c:pt>
                <c:pt idx="151">
                  <c:v>3.2094171221575197E-4</c:v>
                </c:pt>
                <c:pt idx="152">
                  <c:v>2.9194692579147063E-4</c:v>
                </c:pt>
                <c:pt idx="153">
                  <c:v>2.6540568038023818E-4</c:v>
                </c:pt>
                <c:pt idx="154">
                  <c:v>2.4112658022600245E-4</c:v>
                </c:pt>
                <c:pt idx="155">
                  <c:v>2.1893163776462047E-4</c:v>
                </c:pt>
                <c:pt idx="156">
                  <c:v>1.9865547139278028E-4</c:v>
                </c:pt>
                <c:pt idx="157">
                  <c:v>1.8014453929769567E-4</c:v>
                </c:pt>
                <c:pt idx="158">
                  <c:v>1.6325640876624852E-4</c:v>
                </c:pt>
                <c:pt idx="159">
                  <c:v>1.4785906029807951E-4</c:v>
                </c:pt>
                <c:pt idx="160">
                  <c:v>1.3383022576489084E-4</c:v>
                </c:pt>
                <c:pt idx="161">
                  <c:v>1.2105675978724956E-4</c:v>
                </c:pt>
                <c:pt idx="162">
                  <c:v>1.0943404343980503E-4</c:v>
                </c:pt>
                <c:pt idx="163">
                  <c:v>9.8865419345373052E-5</c:v>
                </c:pt>
                <c:pt idx="164">
                  <c:v>8.9261657177136262E-5</c:v>
                </c:pt>
                <c:pt idx="165">
                  <c:v>8.054044855559715E-5</c:v>
                </c:pt>
                <c:pt idx="166">
                  <c:v>7.2625930302255048E-5</c:v>
                </c:pt>
                <c:pt idx="167">
                  <c:v>6.5448234994622991E-5</c:v>
                </c:pt>
                <c:pt idx="168">
                  <c:v>5.894306775654184E-5</c:v>
                </c:pt>
                <c:pt idx="169">
                  <c:v>5.305130821319595E-5</c:v>
                </c:pt>
                <c:pt idx="170">
                  <c:v>4.7718636541206395E-5</c:v>
                </c:pt>
                <c:pt idx="171">
                  <c:v>4.2895182550128498E-5</c:v>
                </c:pt>
                <c:pt idx="172">
                  <c:v>3.8535196742088159E-5</c:v>
                </c:pt>
                <c:pt idx="173">
                  <c:v>3.4596742310649857E-5</c:v>
                </c:pt>
                <c:pt idx="174">
                  <c:v>3.1041407057850985E-5</c:v>
                </c:pt>
                <c:pt idx="175">
                  <c:v>2.7834034229215523E-5</c:v>
                </c:pt>
                <c:pt idx="176">
                  <c:v>2.4942471290054108E-5</c:v>
                </c:pt>
                <c:pt idx="177">
                  <c:v>2.2337335692076468E-5</c:v>
                </c:pt>
                <c:pt idx="178">
                  <c:v>1.9991796706923181E-5</c:v>
                </c:pt>
                <c:pt idx="179">
                  <c:v>1.7881372432324655E-5</c:v>
                </c:pt>
                <c:pt idx="180">
                  <c:v>1.5983741106905729E-5</c:v>
                </c:pt>
                <c:pt idx="181">
                  <c:v>1.4278565900888E-5</c:v>
                </c:pt>
                <c:pt idx="182">
                  <c:v>1.2747332381833601E-5</c:v>
                </c:pt>
                <c:pt idx="183">
                  <c:v>1.1373197886886796E-5</c:v>
                </c:pt>
                <c:pt idx="184">
                  <c:v>1.014085206548685E-5</c:v>
                </c:pt>
                <c:pt idx="185">
                  <c:v>9.036387889051453E-6</c:v>
                </c:pt>
                <c:pt idx="186">
                  <c:v>8.0471824564923511E-6</c:v>
                </c:pt>
                <c:pt idx="187">
                  <c:v>7.1617869564679648E-6</c:v>
                </c:pt>
                <c:pt idx="188">
                  <c:v>6.3698251788671238E-6</c:v>
                </c:pt>
                <c:pt idx="189">
                  <c:v>5.6618999990348584E-6</c:v>
                </c:pt>
                <c:pt idx="190">
                  <c:v>5.0295072885924454E-6</c:v>
                </c:pt>
                <c:pt idx="191">
                  <c:v>4.4649567362846312E-6</c:v>
                </c:pt>
                <c:pt idx="192">
                  <c:v>3.9612990910320609E-6</c:v>
                </c:pt>
                <c:pt idx="193">
                  <c:v>3.5122593672182655E-6</c:v>
                </c:pt>
                <c:pt idx="194">
                  <c:v>3.1121755791489169E-6</c:v>
                </c:pt>
                <c:pt idx="195">
                  <c:v>2.755942597549948E-6</c:v>
                </c:pt>
                <c:pt idx="196">
                  <c:v>2.4389607458933348E-6</c:v>
                </c:pt>
                <c:pt idx="197">
                  <c:v>2.1570887782364207E-6</c:v>
                </c:pt>
                <c:pt idx="198">
                  <c:v>1.9066009031227839E-6</c:v>
                </c:pt>
                <c:pt idx="199">
                  <c:v>1.6841475399168487E-6</c:v>
                </c:pt>
                <c:pt idx="200">
                  <c:v>1.4867195147342714E-6</c:v>
                </c:pt>
                <c:pt idx="201">
                  <c:v>1.3116154228950171E-6</c:v>
                </c:pt>
                <c:pt idx="202">
                  <c:v>1.1564119035797567E-6</c:v>
                </c:pt>
                <c:pt idx="203">
                  <c:v>1.0189365901318526E-6</c:v>
                </c:pt>
                <c:pt idx="204">
                  <c:v>8.9724351623830992E-7</c:v>
                </c:pt>
                <c:pt idx="205">
                  <c:v>7.8959077406937827E-7</c:v>
                </c:pt>
                <c:pt idx="206">
                  <c:v>6.944202353855154E-7</c:v>
                </c:pt>
                <c:pt idx="207">
                  <c:v>6.1033916066226792E-7</c:v>
                </c:pt>
                <c:pt idx="208">
                  <c:v>5.361035344697443E-7</c:v>
                </c:pt>
                <c:pt idx="209">
                  <c:v>4.7060297770665687E-7</c:v>
                </c:pt>
                <c:pt idx="210">
                  <c:v>4.1284709886298449E-7</c:v>
                </c:pt>
                <c:pt idx="211">
                  <c:v>3.6195315730454275E-7</c:v>
                </c:pt>
                <c:pt idx="212">
                  <c:v>3.1713492167158462E-7</c:v>
                </c:pt>
                <c:pt idx="213">
                  <c:v>2.7769261589659089E-7</c:v>
                </c:pt>
                <c:pt idx="214">
                  <c:v>2.4300385410804185E-7</c:v>
                </c:pt>
                <c:pt idx="215">
                  <c:v>2.1251547383101861E-7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F-4CFD-9C77-0EDFC465FEB8}"/>
            </c:ext>
          </c:extLst>
        </c:ser>
        <c:ser>
          <c:idx val="1"/>
          <c:order val="1"/>
          <c:marker>
            <c:symbol val="none"/>
          </c:marker>
          <c:xVal>
            <c:numRef>
              <c:f>'CG of Radiation Loss'!$M$4:$M$5</c:f>
              <c:numCache>
                <c:formatCode>0.0000</c:formatCode>
                <c:ptCount val="2"/>
                <c:pt idx="0">
                  <c:v>-0.79796730796999016</c:v>
                </c:pt>
                <c:pt idx="1">
                  <c:v>-0.79796730796999016</c:v>
                </c:pt>
              </c:numCache>
            </c:numRef>
          </c:xVal>
          <c:yVal>
            <c:numRef>
              <c:f>'CG of Radiation Loss'!$N$4:$N$5</c:f>
              <c:numCache>
                <c:formatCode>General</c:formatCode>
                <c:ptCount val="2"/>
                <c:pt idx="0">
                  <c:v>0</c:v>
                </c:pt>
                <c:pt idx="1">
                  <c:v>0.3989422804014327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F-4CFD-9C77-0EDFC465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44704"/>
        <c:axId val="126993536"/>
      </c:scatterChart>
      <c:valAx>
        <c:axId val="127544704"/>
        <c:scaling>
          <c:orientation val="minMax"/>
          <c:min val="-4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6993536"/>
        <c:crossesAt val="0"/>
        <c:crossBetween val="midCat"/>
      </c:valAx>
      <c:valAx>
        <c:axId val="126993536"/>
        <c:scaling>
          <c:orientation val="minMax"/>
          <c:max val="0.4"/>
        </c:scaling>
        <c:delete val="0"/>
        <c:axPos val="l"/>
        <c:majorGridlines/>
        <c:numFmt formatCode="#,##0.00" sourceLinked="0"/>
        <c:majorTickMark val="cross"/>
        <c:minorTickMark val="none"/>
        <c:tickLblPos val="high"/>
        <c:crossAx val="12754470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Pt>
            <c:idx val="0"/>
            <c:marker>
              <c:symbol val="diamond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85F-43E0-9F36-983EEDB5042E}"/>
              </c:ext>
            </c:extLst>
          </c:dPt>
          <c:dPt>
            <c:idx val="1"/>
            <c:marker>
              <c:symbol val="circle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85F-43E0-9F36-983EEDB5042E}"/>
              </c:ext>
            </c:extLst>
          </c:dPt>
          <c:dPt>
            <c:idx val="2"/>
            <c:marker>
              <c:symbol val="square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85F-43E0-9F36-983EEDB5042E}"/>
              </c:ext>
            </c:extLst>
          </c:dPt>
          <c:dLbls>
            <c:dLbl>
              <c:idx val="0"/>
              <c:layout>
                <c:manualLayout>
                  <c:x val="2.5818882466280605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France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85F-43E0-9F36-983EEDB5042E}"/>
                </c:ext>
              </c:extLst>
            </c:dLbl>
            <c:dLbl>
              <c:idx val="1"/>
              <c:layout>
                <c:manualLayout>
                  <c:x val="-0.25362250238951345"/>
                  <c:y val="-9.2592592592592587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France (50% risk sharing)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85F-43E0-9F36-983EEDB5042E}"/>
                </c:ext>
              </c:extLst>
            </c:dLbl>
            <c:dLbl>
              <c:idx val="2"/>
              <c:layout>
                <c:manualLayout>
                  <c:x val="-0.24789980732177264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Germany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85F-43E0-9F36-983EEDB5042E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'DNPV Graph'!$E$4:$E$6</c:f>
              <c:numCache>
                <c:formatCode>General</c:formatCode>
                <c:ptCount val="3"/>
                <c:pt idx="0">
                  <c:v>13.7</c:v>
                </c:pt>
                <c:pt idx="1">
                  <c:v>13.7</c:v>
                </c:pt>
                <c:pt idx="2">
                  <c:v>16</c:v>
                </c:pt>
              </c:numCache>
            </c:numRef>
          </c:xVal>
          <c:yVal>
            <c:numRef>
              <c:f>'DNPV Graph'!$F$4:$F$6</c:f>
              <c:numCache>
                <c:formatCode>General</c:formatCode>
                <c:ptCount val="3"/>
                <c:pt idx="0">
                  <c:v>12.8</c:v>
                </c:pt>
                <c:pt idx="1">
                  <c:v>17.5</c:v>
                </c:pt>
                <c:pt idx="2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5F-43E0-9F36-983EEDB5042E}"/>
            </c:ext>
          </c:extLst>
        </c:ser>
        <c:ser>
          <c:idx val="1"/>
          <c:order val="1"/>
          <c:spPr>
            <a:ln w="9525">
              <a:prstDash val="sysDot"/>
            </a:ln>
          </c:spPr>
          <c:marker>
            <c:symbol val="none"/>
          </c:marker>
          <c:xVal>
            <c:numRef>
              <c:f>'DNPV Graph'!$E$8:$E$9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'DNPV Graph'!$F$8:$F$9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5F-43E0-9F36-983EEDB5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40128"/>
        <c:axId val="127042304"/>
      </c:scatterChart>
      <c:valAx>
        <c:axId val="127040128"/>
        <c:scaling>
          <c:orientation val="minMax"/>
          <c:max val="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NPV (Millions)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7042304"/>
        <c:crosses val="autoZero"/>
        <c:crossBetween val="midCat"/>
      </c:valAx>
      <c:valAx>
        <c:axId val="127042304"/>
        <c:scaling>
          <c:orientation val="minMax"/>
          <c:max val="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DNPV (millions)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27040128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85876837649629"/>
          <c:y val="3.9560002916302128E-2"/>
          <c:w val="0.7566789555929786"/>
          <c:h val="0.7212503645377661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Pt>
            <c:idx val="0"/>
            <c:marker>
              <c:symbol val="diamond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629-4877-9042-EBB3CF540E76}"/>
              </c:ext>
            </c:extLst>
          </c:dPt>
          <c:dPt>
            <c:idx val="1"/>
            <c:marker>
              <c:symbol val="circle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629-4877-9042-EBB3CF540E76}"/>
              </c:ext>
            </c:extLst>
          </c:dPt>
          <c:dPt>
            <c:idx val="2"/>
            <c:marker>
              <c:symbol val="square"/>
              <c:size val="7"/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629-4877-9042-EBB3CF540E76}"/>
              </c:ext>
            </c:extLst>
          </c:dPt>
          <c:dLbls>
            <c:dLbl>
              <c:idx val="0"/>
              <c:layout>
                <c:manualLayout>
                  <c:x val="2.5818882466280605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France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629-4877-9042-EBB3CF540E76}"/>
                </c:ext>
              </c:extLst>
            </c:dLbl>
            <c:dLbl>
              <c:idx val="1"/>
              <c:layout>
                <c:manualLayout>
                  <c:x val="7.1275772609348683E-4"/>
                  <c:y val="-2.7777777777777776E-2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France (50% risk sharing)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629-4877-9042-EBB3CF540E76}"/>
                </c:ext>
              </c:extLst>
            </c:dLbl>
            <c:dLbl>
              <c:idx val="2"/>
              <c:layout>
                <c:manualLayout>
                  <c:x val="1.414227845796732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Germany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629-4877-9042-EBB3CF540E7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'DNPV Graph'!$E$13:$E$15</c:f>
              <c:numCache>
                <c:formatCode>General</c:formatCode>
                <c:ptCount val="3"/>
                <c:pt idx="0">
                  <c:v>-0.30000000000000071</c:v>
                </c:pt>
                <c:pt idx="1">
                  <c:v>-0.30000000000000071</c:v>
                </c:pt>
                <c:pt idx="2">
                  <c:v>2</c:v>
                </c:pt>
              </c:numCache>
            </c:numRef>
          </c:xVal>
          <c:yVal>
            <c:numRef>
              <c:f>'DNPV Graph'!$F$13:$F$15</c:f>
              <c:numCache>
                <c:formatCode>General</c:formatCode>
                <c:ptCount val="3"/>
                <c:pt idx="0">
                  <c:v>-1.1999999999999993</c:v>
                </c:pt>
                <c:pt idx="1">
                  <c:v>3.5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29-4877-9042-EBB3CF540E76}"/>
            </c:ext>
          </c:extLst>
        </c:ser>
        <c:ser>
          <c:idx val="1"/>
          <c:order val="1"/>
          <c:spPr>
            <a:ln w="9525">
              <a:prstDash val="sysDot"/>
            </a:ln>
          </c:spPr>
          <c:marker>
            <c:symbol val="none"/>
          </c:marker>
          <c:xVal>
            <c:numRef>
              <c:f>'DNPV Graph'!$E$17:$E$18</c:f>
              <c:numCache>
                <c:formatCode>General</c:formatCode>
                <c:ptCount val="2"/>
                <c:pt idx="0">
                  <c:v>-5</c:v>
                </c:pt>
                <c:pt idx="1">
                  <c:v>15</c:v>
                </c:pt>
              </c:numCache>
            </c:numRef>
          </c:xVal>
          <c:yVal>
            <c:numRef>
              <c:f>'DNPV Graph'!$F$17:$F$18</c:f>
              <c:numCache>
                <c:formatCode>General</c:formatCode>
                <c:ptCount val="2"/>
                <c:pt idx="0">
                  <c:v>-5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29-4877-9042-EBB3CF540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8416"/>
        <c:axId val="127537536"/>
      </c:scatterChart>
      <c:valAx>
        <c:axId val="127068416"/>
        <c:scaling>
          <c:orientation val="minMax"/>
          <c:max val="15"/>
          <c:min val="-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NPV (Millions)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7537536"/>
        <c:crosses val="autoZero"/>
        <c:crossBetween val="midCat"/>
        <c:majorUnit val="10"/>
      </c:valAx>
      <c:valAx>
        <c:axId val="127537536"/>
        <c:scaling>
          <c:orientation val="minMax"/>
          <c:max val="1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DNPV (millions)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27068416"/>
        <c:crosses val="autoZero"/>
        <c:crossBetween val="midCat"/>
        <c:majorUnit val="5"/>
      </c:valAx>
      <c:spPr>
        <a:ln w="127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PDF of </a:t>
            </a:r>
            <a:r>
              <a:rPr lang="en-US" sz="1800" b="1" i="0" u="none" strike="noStrike" baseline="0">
                <a:effectLst/>
              </a:rPr>
              <a:t>Radiation &lt; P50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9728075035396696E-2"/>
          <c:y val="0.16251166520851559"/>
          <c:w val="0.86931714785651792"/>
          <c:h val="0.7446566054243219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'CG of Radiation Loss'!$H$5:$H$220</c:f>
              <c:numCache>
                <c:formatCode>General</c:formatCode>
                <c:ptCount val="216"/>
                <c:pt idx="0">
                  <c:v>0</c:v>
                </c:pt>
                <c:pt idx="1">
                  <c:v>-2.5000000000000001E-2</c:v>
                </c:pt>
                <c:pt idx="2">
                  <c:v>-0.05</c:v>
                </c:pt>
                <c:pt idx="3">
                  <c:v>-7.5000000000000011E-2</c:v>
                </c:pt>
                <c:pt idx="4">
                  <c:v>-0.1</c:v>
                </c:pt>
                <c:pt idx="5">
                  <c:v>-0.125</c:v>
                </c:pt>
                <c:pt idx="6">
                  <c:v>-0.15</c:v>
                </c:pt>
                <c:pt idx="7">
                  <c:v>-0.17499999999999999</c:v>
                </c:pt>
                <c:pt idx="8">
                  <c:v>-0.19999999999999998</c:v>
                </c:pt>
                <c:pt idx="9">
                  <c:v>-0.22499999999999998</c:v>
                </c:pt>
                <c:pt idx="10">
                  <c:v>-0.24999999999999997</c:v>
                </c:pt>
                <c:pt idx="11">
                  <c:v>-0.27499999999999997</c:v>
                </c:pt>
                <c:pt idx="12">
                  <c:v>-0.3</c:v>
                </c:pt>
                <c:pt idx="13">
                  <c:v>-0.32500000000000001</c:v>
                </c:pt>
                <c:pt idx="14">
                  <c:v>-0.35000000000000003</c:v>
                </c:pt>
                <c:pt idx="15">
                  <c:v>-0.37500000000000006</c:v>
                </c:pt>
                <c:pt idx="16">
                  <c:v>-0.40000000000000008</c:v>
                </c:pt>
                <c:pt idx="17">
                  <c:v>-0.4250000000000001</c:v>
                </c:pt>
                <c:pt idx="18">
                  <c:v>-0.45000000000000012</c:v>
                </c:pt>
                <c:pt idx="19">
                  <c:v>-0.47500000000000014</c:v>
                </c:pt>
                <c:pt idx="20">
                  <c:v>-0.50000000000000011</c:v>
                </c:pt>
                <c:pt idx="21">
                  <c:v>-0.52500000000000013</c:v>
                </c:pt>
                <c:pt idx="22">
                  <c:v>-0.55000000000000016</c:v>
                </c:pt>
                <c:pt idx="23">
                  <c:v>-0.57500000000000018</c:v>
                </c:pt>
                <c:pt idx="24">
                  <c:v>-0.6000000000000002</c:v>
                </c:pt>
                <c:pt idx="25">
                  <c:v>-0.62500000000000022</c:v>
                </c:pt>
                <c:pt idx="26">
                  <c:v>-0.65000000000000024</c:v>
                </c:pt>
                <c:pt idx="27">
                  <c:v>-0.67500000000000027</c:v>
                </c:pt>
                <c:pt idx="28">
                  <c:v>-0.70000000000000029</c:v>
                </c:pt>
                <c:pt idx="29">
                  <c:v>-0.72500000000000031</c:v>
                </c:pt>
                <c:pt idx="30">
                  <c:v>-0.75000000000000033</c:v>
                </c:pt>
                <c:pt idx="31">
                  <c:v>-0.77500000000000036</c:v>
                </c:pt>
                <c:pt idx="32">
                  <c:v>-0.80000000000000038</c:v>
                </c:pt>
                <c:pt idx="33">
                  <c:v>-0.8250000000000004</c:v>
                </c:pt>
                <c:pt idx="34">
                  <c:v>-0.85000000000000042</c:v>
                </c:pt>
                <c:pt idx="35">
                  <c:v>-0.87500000000000044</c:v>
                </c:pt>
                <c:pt idx="36">
                  <c:v>-0.90000000000000047</c:v>
                </c:pt>
                <c:pt idx="37">
                  <c:v>-0.92500000000000049</c:v>
                </c:pt>
                <c:pt idx="38">
                  <c:v>-0.95000000000000051</c:v>
                </c:pt>
                <c:pt idx="39">
                  <c:v>-0.97500000000000053</c:v>
                </c:pt>
                <c:pt idx="40">
                  <c:v>-1.0000000000000004</c:v>
                </c:pt>
                <c:pt idx="41">
                  <c:v>-1.0250000000000004</c:v>
                </c:pt>
                <c:pt idx="42">
                  <c:v>-1.0500000000000003</c:v>
                </c:pt>
                <c:pt idx="43">
                  <c:v>-1.0750000000000002</c:v>
                </c:pt>
                <c:pt idx="44">
                  <c:v>-1.1000000000000001</c:v>
                </c:pt>
                <c:pt idx="45">
                  <c:v>-1.125</c:v>
                </c:pt>
                <c:pt idx="46">
                  <c:v>-1.1499999999999999</c:v>
                </c:pt>
                <c:pt idx="47">
                  <c:v>-1.1749999999999998</c:v>
                </c:pt>
                <c:pt idx="48">
                  <c:v>-1.1999999999999997</c:v>
                </c:pt>
                <c:pt idx="49">
                  <c:v>-1.2249999999999996</c:v>
                </c:pt>
                <c:pt idx="50">
                  <c:v>-1.2499999999999996</c:v>
                </c:pt>
                <c:pt idx="51">
                  <c:v>-1.2749999999999995</c:v>
                </c:pt>
                <c:pt idx="52">
                  <c:v>-1.2999999999999994</c:v>
                </c:pt>
                <c:pt idx="53">
                  <c:v>-1.3249999999999993</c:v>
                </c:pt>
                <c:pt idx="54">
                  <c:v>-1.3499999999999992</c:v>
                </c:pt>
                <c:pt idx="55">
                  <c:v>-1.3749999999999991</c:v>
                </c:pt>
                <c:pt idx="56">
                  <c:v>-1.399999999999999</c:v>
                </c:pt>
                <c:pt idx="57">
                  <c:v>-1.4249999999999989</c:v>
                </c:pt>
                <c:pt idx="58">
                  <c:v>-1.4499999999999988</c:v>
                </c:pt>
                <c:pt idx="59">
                  <c:v>-1.4749999999999988</c:v>
                </c:pt>
                <c:pt idx="60">
                  <c:v>-1.4999999999999987</c:v>
                </c:pt>
                <c:pt idx="61">
                  <c:v>-1.5249999999999986</c:v>
                </c:pt>
                <c:pt idx="62">
                  <c:v>-1.5499999999999985</c:v>
                </c:pt>
                <c:pt idx="63">
                  <c:v>-1.5749999999999984</c:v>
                </c:pt>
                <c:pt idx="64">
                  <c:v>-1.5999999999999983</c:v>
                </c:pt>
                <c:pt idx="65">
                  <c:v>-1.6249999999999982</c:v>
                </c:pt>
                <c:pt idx="66">
                  <c:v>-1.6499999999999981</c:v>
                </c:pt>
                <c:pt idx="67">
                  <c:v>-1.674999999999998</c:v>
                </c:pt>
                <c:pt idx="68">
                  <c:v>-1.699999999999998</c:v>
                </c:pt>
                <c:pt idx="69">
                  <c:v>-1.7249999999999979</c:v>
                </c:pt>
                <c:pt idx="70">
                  <c:v>-1.7499999999999978</c:v>
                </c:pt>
                <c:pt idx="71">
                  <c:v>-1.7749999999999977</c:v>
                </c:pt>
                <c:pt idx="72">
                  <c:v>-1.7999999999999976</c:v>
                </c:pt>
                <c:pt idx="73">
                  <c:v>-1.8249999999999975</c:v>
                </c:pt>
                <c:pt idx="74">
                  <c:v>-1.8499999999999974</c:v>
                </c:pt>
                <c:pt idx="75">
                  <c:v>-1.8749999999999973</c:v>
                </c:pt>
                <c:pt idx="76">
                  <c:v>-1.8999999999999972</c:v>
                </c:pt>
                <c:pt idx="77">
                  <c:v>-1.9249999999999972</c:v>
                </c:pt>
                <c:pt idx="78">
                  <c:v>-1.9499999999999971</c:v>
                </c:pt>
                <c:pt idx="79">
                  <c:v>-1.974999999999997</c:v>
                </c:pt>
                <c:pt idx="80">
                  <c:v>-1.9999999999999969</c:v>
                </c:pt>
                <c:pt idx="81">
                  <c:v>-2.0249999999999968</c:v>
                </c:pt>
                <c:pt idx="82">
                  <c:v>-2.0499999999999967</c:v>
                </c:pt>
                <c:pt idx="83">
                  <c:v>-2.0749999999999966</c:v>
                </c:pt>
                <c:pt idx="84">
                  <c:v>-2.0999999999999965</c:v>
                </c:pt>
                <c:pt idx="85">
                  <c:v>-2.1249999999999964</c:v>
                </c:pt>
                <c:pt idx="86">
                  <c:v>-2.1499999999999964</c:v>
                </c:pt>
                <c:pt idx="87">
                  <c:v>-2.1749999999999963</c:v>
                </c:pt>
                <c:pt idx="88">
                  <c:v>-2.1999999999999962</c:v>
                </c:pt>
                <c:pt idx="89">
                  <c:v>-2.2249999999999961</c:v>
                </c:pt>
                <c:pt idx="90">
                  <c:v>-2.249999999999996</c:v>
                </c:pt>
                <c:pt idx="91">
                  <c:v>-2.2749999999999959</c:v>
                </c:pt>
                <c:pt idx="92">
                  <c:v>-2.2999999999999958</c:v>
                </c:pt>
                <c:pt idx="93">
                  <c:v>-2.3249999999999957</c:v>
                </c:pt>
                <c:pt idx="94">
                  <c:v>-2.3499999999999956</c:v>
                </c:pt>
                <c:pt idx="95">
                  <c:v>-2.3749999999999956</c:v>
                </c:pt>
                <c:pt idx="96">
                  <c:v>-2.3999999999999955</c:v>
                </c:pt>
                <c:pt idx="97">
                  <c:v>-2.4249999999999954</c:v>
                </c:pt>
                <c:pt idx="98">
                  <c:v>-2.4499999999999953</c:v>
                </c:pt>
                <c:pt idx="99">
                  <c:v>-2.4749999999999952</c:v>
                </c:pt>
                <c:pt idx="100">
                  <c:v>-2.4999999999999951</c:v>
                </c:pt>
                <c:pt idx="101">
                  <c:v>-2.524999999999995</c:v>
                </c:pt>
                <c:pt idx="102">
                  <c:v>-2.5499999999999949</c:v>
                </c:pt>
                <c:pt idx="103">
                  <c:v>-2.5749999999999948</c:v>
                </c:pt>
                <c:pt idx="104">
                  <c:v>-2.5999999999999948</c:v>
                </c:pt>
                <c:pt idx="105">
                  <c:v>-2.6249999999999947</c:v>
                </c:pt>
                <c:pt idx="106">
                  <c:v>-2.6499999999999946</c:v>
                </c:pt>
                <c:pt idx="107">
                  <c:v>-2.6749999999999945</c:v>
                </c:pt>
                <c:pt idx="108">
                  <c:v>-2.6999999999999944</c:v>
                </c:pt>
                <c:pt idx="109">
                  <c:v>-2.7249999999999943</c:v>
                </c:pt>
                <c:pt idx="110">
                  <c:v>-2.7499999999999942</c:v>
                </c:pt>
                <c:pt idx="111">
                  <c:v>-2.7749999999999941</c:v>
                </c:pt>
                <c:pt idx="112">
                  <c:v>-2.799999999999994</c:v>
                </c:pt>
                <c:pt idx="113">
                  <c:v>-2.824999999999994</c:v>
                </c:pt>
                <c:pt idx="114">
                  <c:v>-2.8499999999999939</c:v>
                </c:pt>
                <c:pt idx="115">
                  <c:v>-2.8749999999999938</c:v>
                </c:pt>
                <c:pt idx="116">
                  <c:v>-2.8999999999999937</c:v>
                </c:pt>
                <c:pt idx="117">
                  <c:v>-2.9249999999999936</c:v>
                </c:pt>
                <c:pt idx="118">
                  <c:v>-2.9499999999999935</c:v>
                </c:pt>
                <c:pt idx="119">
                  <c:v>-2.9749999999999934</c:v>
                </c:pt>
                <c:pt idx="120">
                  <c:v>-2.9999999999999933</c:v>
                </c:pt>
                <c:pt idx="121">
                  <c:v>-3.0249999999999932</c:v>
                </c:pt>
                <c:pt idx="122">
                  <c:v>-3.0499999999999932</c:v>
                </c:pt>
                <c:pt idx="123">
                  <c:v>-3.0749999999999931</c:v>
                </c:pt>
                <c:pt idx="124">
                  <c:v>-3.099999999999993</c:v>
                </c:pt>
                <c:pt idx="125">
                  <c:v>-3.1249999999999929</c:v>
                </c:pt>
                <c:pt idx="126">
                  <c:v>-3.1499999999999928</c:v>
                </c:pt>
                <c:pt idx="127">
                  <c:v>-3.1749999999999927</c:v>
                </c:pt>
                <c:pt idx="128">
                  <c:v>-3.1999999999999926</c:v>
                </c:pt>
                <c:pt idx="129">
                  <c:v>-3.2249999999999925</c:v>
                </c:pt>
                <c:pt idx="130">
                  <c:v>-3.2499999999999925</c:v>
                </c:pt>
                <c:pt idx="131">
                  <c:v>-3.2749999999999924</c:v>
                </c:pt>
                <c:pt idx="132">
                  <c:v>-3.2999999999999923</c:v>
                </c:pt>
                <c:pt idx="133">
                  <c:v>-3.3249999999999922</c:v>
                </c:pt>
                <c:pt idx="134">
                  <c:v>-3.3499999999999921</c:v>
                </c:pt>
                <c:pt idx="135">
                  <c:v>-3.374999999999992</c:v>
                </c:pt>
                <c:pt idx="136">
                  <c:v>-3.3999999999999919</c:v>
                </c:pt>
                <c:pt idx="137">
                  <c:v>-3.4249999999999918</c:v>
                </c:pt>
                <c:pt idx="138">
                  <c:v>-3.4499999999999917</c:v>
                </c:pt>
                <c:pt idx="139">
                  <c:v>-3.4749999999999917</c:v>
                </c:pt>
                <c:pt idx="140">
                  <c:v>-3.4999999999999916</c:v>
                </c:pt>
                <c:pt idx="141">
                  <c:v>-3.5249999999999915</c:v>
                </c:pt>
                <c:pt idx="142">
                  <c:v>-3.5499999999999914</c:v>
                </c:pt>
                <c:pt idx="143">
                  <c:v>-3.5749999999999913</c:v>
                </c:pt>
                <c:pt idx="144">
                  <c:v>-3.5999999999999912</c:v>
                </c:pt>
                <c:pt idx="145">
                  <c:v>-3.6249999999999911</c:v>
                </c:pt>
                <c:pt idx="146">
                  <c:v>-3.649999999999991</c:v>
                </c:pt>
                <c:pt idx="147">
                  <c:v>-3.6749999999999909</c:v>
                </c:pt>
                <c:pt idx="148">
                  <c:v>-3.6999999999999909</c:v>
                </c:pt>
                <c:pt idx="149">
                  <c:v>-3.7249999999999908</c:v>
                </c:pt>
                <c:pt idx="150">
                  <c:v>-3.7499999999999907</c:v>
                </c:pt>
                <c:pt idx="151">
                  <c:v>-3.7749999999999906</c:v>
                </c:pt>
                <c:pt idx="152">
                  <c:v>-3.7999999999999905</c:v>
                </c:pt>
                <c:pt idx="153">
                  <c:v>-3.8249999999999904</c:v>
                </c:pt>
                <c:pt idx="154">
                  <c:v>-3.8499999999999903</c:v>
                </c:pt>
                <c:pt idx="155">
                  <c:v>-3.8749999999999902</c:v>
                </c:pt>
                <c:pt idx="156">
                  <c:v>-3.8999999999999901</c:v>
                </c:pt>
                <c:pt idx="157">
                  <c:v>-3.9249999999999901</c:v>
                </c:pt>
                <c:pt idx="158">
                  <c:v>-3.94999999999999</c:v>
                </c:pt>
                <c:pt idx="159">
                  <c:v>-3.9749999999999899</c:v>
                </c:pt>
                <c:pt idx="160">
                  <c:v>-3.9999999999999898</c:v>
                </c:pt>
                <c:pt idx="161">
                  <c:v>-4.0249999999999897</c:v>
                </c:pt>
                <c:pt idx="162">
                  <c:v>-4.0499999999999901</c:v>
                </c:pt>
                <c:pt idx="163">
                  <c:v>-4.0749999999999904</c:v>
                </c:pt>
                <c:pt idx="164">
                  <c:v>-4.0999999999999908</c:v>
                </c:pt>
                <c:pt idx="165">
                  <c:v>-4.1249999999999911</c:v>
                </c:pt>
                <c:pt idx="166">
                  <c:v>-4.1499999999999915</c:v>
                </c:pt>
                <c:pt idx="167">
                  <c:v>-4.1749999999999918</c:v>
                </c:pt>
                <c:pt idx="168">
                  <c:v>-4.1999999999999922</c:v>
                </c:pt>
                <c:pt idx="169">
                  <c:v>-4.2249999999999925</c:v>
                </c:pt>
                <c:pt idx="170">
                  <c:v>-4.2499999999999929</c:v>
                </c:pt>
                <c:pt idx="171">
                  <c:v>-4.2749999999999932</c:v>
                </c:pt>
                <c:pt idx="172">
                  <c:v>-4.2999999999999936</c:v>
                </c:pt>
                <c:pt idx="173">
                  <c:v>-4.324999999999994</c:v>
                </c:pt>
                <c:pt idx="174">
                  <c:v>-4.3499999999999943</c:v>
                </c:pt>
                <c:pt idx="175">
                  <c:v>-4.3749999999999947</c:v>
                </c:pt>
                <c:pt idx="176">
                  <c:v>-4.399999999999995</c:v>
                </c:pt>
                <c:pt idx="177">
                  <c:v>-4.4249999999999954</c:v>
                </c:pt>
                <c:pt idx="178">
                  <c:v>-4.4499999999999957</c:v>
                </c:pt>
                <c:pt idx="179">
                  <c:v>-4.4749999999999961</c:v>
                </c:pt>
                <c:pt idx="180">
                  <c:v>-4.4999999999999964</c:v>
                </c:pt>
                <c:pt idx="181">
                  <c:v>-4.5249999999999968</c:v>
                </c:pt>
                <c:pt idx="182">
                  <c:v>-4.5499999999999972</c:v>
                </c:pt>
                <c:pt idx="183">
                  <c:v>-4.5749999999999975</c:v>
                </c:pt>
                <c:pt idx="184">
                  <c:v>-4.5999999999999979</c:v>
                </c:pt>
                <c:pt idx="185">
                  <c:v>-4.6249999999999982</c:v>
                </c:pt>
                <c:pt idx="186">
                  <c:v>-4.6499999999999986</c:v>
                </c:pt>
                <c:pt idx="187">
                  <c:v>-4.6749999999999989</c:v>
                </c:pt>
                <c:pt idx="188">
                  <c:v>-4.6999999999999993</c:v>
                </c:pt>
                <c:pt idx="189">
                  <c:v>-4.7249999999999996</c:v>
                </c:pt>
                <c:pt idx="190">
                  <c:v>-4.75</c:v>
                </c:pt>
                <c:pt idx="191">
                  <c:v>-4.7750000000000004</c:v>
                </c:pt>
                <c:pt idx="192">
                  <c:v>-4.8000000000000007</c:v>
                </c:pt>
                <c:pt idx="193">
                  <c:v>-4.8250000000000011</c:v>
                </c:pt>
                <c:pt idx="194">
                  <c:v>-4.8500000000000014</c:v>
                </c:pt>
                <c:pt idx="195">
                  <c:v>-4.8750000000000018</c:v>
                </c:pt>
                <c:pt idx="196">
                  <c:v>-4.9000000000000021</c:v>
                </c:pt>
                <c:pt idx="197">
                  <c:v>-4.9250000000000025</c:v>
                </c:pt>
                <c:pt idx="198">
                  <c:v>-4.9500000000000028</c:v>
                </c:pt>
                <c:pt idx="199">
                  <c:v>-4.9750000000000032</c:v>
                </c:pt>
                <c:pt idx="200">
                  <c:v>-5.0000000000000036</c:v>
                </c:pt>
                <c:pt idx="201">
                  <c:v>-5.0250000000000039</c:v>
                </c:pt>
                <c:pt idx="202">
                  <c:v>-5.0500000000000043</c:v>
                </c:pt>
                <c:pt idx="203">
                  <c:v>-5.0750000000000046</c:v>
                </c:pt>
                <c:pt idx="204">
                  <c:v>-5.100000000000005</c:v>
                </c:pt>
                <c:pt idx="205">
                  <c:v>-5.1250000000000053</c:v>
                </c:pt>
                <c:pt idx="206">
                  <c:v>-5.1500000000000057</c:v>
                </c:pt>
                <c:pt idx="207">
                  <c:v>-5.175000000000006</c:v>
                </c:pt>
                <c:pt idx="208">
                  <c:v>-5.2000000000000064</c:v>
                </c:pt>
                <c:pt idx="209">
                  <c:v>-5.2250000000000068</c:v>
                </c:pt>
                <c:pt idx="210">
                  <c:v>-5.2500000000000071</c:v>
                </c:pt>
                <c:pt idx="211">
                  <c:v>-5.2750000000000075</c:v>
                </c:pt>
                <c:pt idx="212">
                  <c:v>-5.3000000000000078</c:v>
                </c:pt>
                <c:pt idx="213">
                  <c:v>-5.3250000000000082</c:v>
                </c:pt>
                <c:pt idx="214">
                  <c:v>-5.3500000000000085</c:v>
                </c:pt>
                <c:pt idx="215">
                  <c:v>-5.3750000000000089</c:v>
                </c:pt>
              </c:numCache>
            </c:numRef>
          </c:xVal>
          <c:yVal>
            <c:numRef>
              <c:f>'CG of Radiation Loss'!$I$5:$I$220</c:f>
              <c:numCache>
                <c:formatCode>General</c:formatCode>
                <c:ptCount val="216"/>
                <c:pt idx="0">
                  <c:v>0.3989422804014327</c:v>
                </c:pt>
                <c:pt idx="1">
                  <c:v>0.3988176304163818</c:v>
                </c:pt>
                <c:pt idx="2">
                  <c:v>0.39844391409476404</c:v>
                </c:pt>
                <c:pt idx="3">
                  <c:v>0.39782183160749712</c:v>
                </c:pt>
                <c:pt idx="4">
                  <c:v>0.39695254747701181</c:v>
                </c:pt>
                <c:pt idx="5">
                  <c:v>0.39583768694474952</c:v>
                </c:pt>
                <c:pt idx="6">
                  <c:v>0.39447933090788895</c:v>
                </c:pt>
                <c:pt idx="7">
                  <c:v>0.39288000944737927</c:v>
                </c:pt>
                <c:pt idx="8">
                  <c:v>0.39104269397545588</c:v>
                </c:pt>
                <c:pt idx="9">
                  <c:v>0.38897078803674945</c:v>
                </c:pt>
                <c:pt idx="10">
                  <c:v>0.38666811680284924</c:v>
                </c:pt>
                <c:pt idx="11">
                  <c:v>0.38413891530570476</c:v>
                </c:pt>
                <c:pt idx="12">
                  <c:v>0.38138781546052414</c:v>
                </c:pt>
                <c:pt idx="13">
                  <c:v>0.37841983193381945</c:v>
                </c:pt>
                <c:pt idx="14">
                  <c:v>0.37524034691693792</c:v>
                </c:pt>
                <c:pt idx="15">
                  <c:v>0.37185509386976895</c:v>
                </c:pt>
                <c:pt idx="16">
                  <c:v>0.36827014030332333</c:v>
                </c:pt>
                <c:pt idx="17">
                  <c:v>0.36449186967350644</c:v>
                </c:pt>
                <c:pt idx="18">
                  <c:v>0.36052696246164795</c:v>
                </c:pt>
                <c:pt idx="19">
                  <c:v>0.35638237652018323</c:v>
                </c:pt>
                <c:pt idx="20">
                  <c:v>0.35206532676429947</c:v>
                </c:pt>
                <c:pt idx="21">
                  <c:v>0.34758326429234804</c:v>
                </c:pt>
                <c:pt idx="22">
                  <c:v>0.3429438550193839</c:v>
                </c:pt>
                <c:pt idx="23">
                  <c:v>0.33815495790931138</c:v>
                </c:pt>
                <c:pt idx="24">
                  <c:v>0.33322460289179962</c:v>
                </c:pt>
                <c:pt idx="25">
                  <c:v>0.32816096855037502</c:v>
                </c:pt>
                <c:pt idx="26">
                  <c:v>0.32297235966791427</c:v>
                </c:pt>
                <c:pt idx="27">
                  <c:v>0.31766718471514821</c:v>
                </c:pt>
                <c:pt idx="28">
                  <c:v>0.31225393336676122</c:v>
                </c:pt>
                <c:pt idx="29">
                  <c:v>0.30674115412823993</c:v>
                </c:pt>
                <c:pt idx="30">
                  <c:v>0.30113743215480432</c:v>
                </c:pt>
                <c:pt idx="31">
                  <c:v>0.29545136734156291</c:v>
                </c:pt>
                <c:pt idx="32">
                  <c:v>0.28969155276148267</c:v>
                </c:pt>
                <c:pt idx="33">
                  <c:v>0.28386655352488721</c:v>
                </c:pt>
                <c:pt idx="34">
                  <c:v>0.27798488613099637</c:v>
                </c:pt>
                <c:pt idx="35">
                  <c:v>0.27205499837854341</c:v>
                </c:pt>
                <c:pt idx="36">
                  <c:v>0.26608524989875476</c:v>
                </c:pt>
                <c:pt idx="37">
                  <c:v>0.26008389336999554</c:v>
                </c:pt>
                <c:pt idx="38">
                  <c:v>0.25405905646918892</c:v>
                </c:pt>
                <c:pt idx="39">
                  <c:v>0.24801872461073701</c:v>
                </c:pt>
                <c:pt idx="40">
                  <c:v>0.24197072451914328</c:v>
                </c:pt>
                <c:pt idx="41">
                  <c:v>0.23592270867687243</c:v>
                </c:pt>
                <c:pt idx="42">
                  <c:v>0.22988214068423296</c:v>
                </c:pt>
                <c:pt idx="43">
                  <c:v>0.22385628156323945</c:v>
                </c:pt>
                <c:pt idx="44">
                  <c:v>0.21785217703255053</c:v>
                </c:pt>
                <c:pt idx="45">
                  <c:v>0.21187664577569948</c:v>
                </c:pt>
                <c:pt idx="46">
                  <c:v>0.20593626871997478</c:v>
                </c:pt>
                <c:pt idx="47">
                  <c:v>0.20003737933848778</c:v>
                </c:pt>
                <c:pt idx="48">
                  <c:v>0.19418605498321304</c:v>
                </c:pt>
                <c:pt idx="49">
                  <c:v>0.1883881092521264</c:v>
                </c:pt>
                <c:pt idx="50">
                  <c:v>0.182649085389022</c:v>
                </c:pt>
                <c:pt idx="51">
                  <c:v>0.17697425071017983</c:v>
                </c:pt>
                <c:pt idx="52">
                  <c:v>0.17136859204780749</c:v>
                </c:pt>
                <c:pt idx="53">
                  <c:v>0.16583681219610488</c:v>
                </c:pt>
                <c:pt idx="54">
                  <c:v>0.16038332734191976</c:v>
                </c:pt>
                <c:pt idx="55">
                  <c:v>0.15501226545829339</c:v>
                </c:pt>
                <c:pt idx="56">
                  <c:v>0.14972746563574507</c:v>
                </c:pt>
                <c:pt idx="57">
                  <c:v>0.14453247832293309</c:v>
                </c:pt>
                <c:pt idx="58">
                  <c:v>0.13943056644536053</c:v>
                </c:pt>
                <c:pt idx="59">
                  <c:v>0.13442470736807935</c:v>
                </c:pt>
                <c:pt idx="60">
                  <c:v>0.12951759566589199</c:v>
                </c:pt>
                <c:pt idx="61">
                  <c:v>0.12471164666235747</c:v>
                </c:pt>
                <c:pt idx="62">
                  <c:v>0.12000900069698586</c:v>
                </c:pt>
                <c:pt idx="63">
                  <c:v>0.11541152807835028</c:v>
                </c:pt>
                <c:pt idx="64">
                  <c:v>0.11092083467945585</c:v>
                </c:pt>
                <c:pt idx="65">
                  <c:v>0.10653826813058538</c:v>
                </c:pt>
                <c:pt idx="66">
                  <c:v>0.10226492456397832</c:v>
                </c:pt>
                <c:pt idx="67">
                  <c:v>9.8101655864098136E-2</c:v>
                </c:pt>
                <c:pt idx="68">
                  <c:v>9.4049077376887252E-2</c:v>
                </c:pt>
                <c:pt idx="69">
                  <c:v>9.0107576031298431E-2</c:v>
                </c:pt>
                <c:pt idx="70">
                  <c:v>8.6277318826511851E-2</c:v>
                </c:pt>
                <c:pt idx="71">
                  <c:v>8.2558261638591951E-2</c:v>
                </c:pt>
                <c:pt idx="72">
                  <c:v>7.895015830089451E-2</c:v>
                </c:pt>
                <c:pt idx="73">
                  <c:v>7.5452569913290551E-2</c:v>
                </c:pt>
                <c:pt idx="74">
                  <c:v>7.2064874336218332E-2</c:v>
                </c:pt>
                <c:pt idx="75">
                  <c:v>6.8786275826692236E-2</c:v>
                </c:pt>
                <c:pt idx="76">
                  <c:v>6.5615814774676942E-2</c:v>
                </c:pt>
                <c:pt idx="77">
                  <c:v>6.2552377499660333E-2</c:v>
                </c:pt>
                <c:pt idx="78">
                  <c:v>5.9594706068816408E-2</c:v>
                </c:pt>
                <c:pt idx="79">
                  <c:v>5.674140809982435E-2</c:v>
                </c:pt>
                <c:pt idx="80">
                  <c:v>5.3990966513188389E-2</c:v>
                </c:pt>
                <c:pt idx="81">
                  <c:v>5.1341749200769796E-2</c:v>
                </c:pt>
                <c:pt idx="82">
                  <c:v>4.8792018579183097E-2</c:v>
                </c:pt>
                <c:pt idx="83">
                  <c:v>4.6339940998709563E-2</c:v>
                </c:pt>
                <c:pt idx="84">
                  <c:v>4.3983595980427524E-2</c:v>
                </c:pt>
                <c:pt idx="85">
                  <c:v>4.1720985256338924E-2</c:v>
                </c:pt>
                <c:pt idx="86">
                  <c:v>3.9550041589370519E-2</c:v>
                </c:pt>
                <c:pt idx="87">
                  <c:v>3.7468637352234081E-2</c:v>
                </c:pt>
                <c:pt idx="88">
                  <c:v>3.5474592846231737E-2</c:v>
                </c:pt>
                <c:pt idx="89">
                  <c:v>3.3565684343177839E-2</c:v>
                </c:pt>
                <c:pt idx="90">
                  <c:v>3.1739651835667702E-2</c:v>
                </c:pt>
                <c:pt idx="91">
                  <c:v>2.9994206482945578E-2</c:v>
                </c:pt>
                <c:pt idx="92">
                  <c:v>2.8327037741601453E-2</c:v>
                </c:pt>
                <c:pt idx="93">
                  <c:v>2.6735820172248501E-2</c:v>
                </c:pt>
                <c:pt idx="94">
                  <c:v>2.5218219915194649E-2</c:v>
                </c:pt>
                <c:pt idx="95">
                  <c:v>2.3771900829914056E-2</c:v>
                </c:pt>
                <c:pt idx="96">
                  <c:v>2.2394530294843142E-2</c:v>
                </c:pt>
                <c:pt idx="97">
                  <c:v>2.1083784665664341E-2</c:v>
                </c:pt>
                <c:pt idx="98">
                  <c:v>1.9837354391795549E-2</c:v>
                </c:pt>
                <c:pt idx="99">
                  <c:v>1.8652948792270131E-2</c:v>
                </c:pt>
                <c:pt idx="100">
                  <c:v>1.7528300493568749E-2</c:v>
                </c:pt>
                <c:pt idx="101">
                  <c:v>1.6461169533247475E-2</c:v>
                </c:pt>
                <c:pt idx="102">
                  <c:v>1.5449347134395374E-2</c:v>
                </c:pt>
                <c:pt idx="103">
                  <c:v>1.4490659157048637E-2</c:v>
                </c:pt>
                <c:pt idx="104">
                  <c:v>1.3582969233685802E-2</c:v>
                </c:pt>
                <c:pt idx="105">
                  <c:v>1.2724181596831608E-2</c:v>
                </c:pt>
                <c:pt idx="106">
                  <c:v>1.1912243607605349E-2</c:v>
                </c:pt>
                <c:pt idx="107">
                  <c:v>1.1145147994764971E-2</c:v>
                </c:pt>
                <c:pt idx="108">
                  <c:v>1.0420934814422753E-2</c:v>
                </c:pt>
                <c:pt idx="109">
                  <c:v>9.7376931411441506E-3</c:v>
                </c:pt>
                <c:pt idx="110">
                  <c:v>9.0935625015911986E-3</c:v>
                </c:pt>
                <c:pt idx="111">
                  <c:v>8.4867340622388557E-3</c:v>
                </c:pt>
                <c:pt idx="112">
                  <c:v>7.9154515829800935E-3</c:v>
                </c:pt>
                <c:pt idx="113">
                  <c:v>7.3780121486469175E-3</c:v>
                </c:pt>
                <c:pt idx="114">
                  <c:v>6.8727666906140926E-3</c:v>
                </c:pt>
                <c:pt idx="115">
                  <c:v>6.3981203107236701E-3</c:v>
                </c:pt>
                <c:pt idx="116">
                  <c:v>5.9525324197759648E-3</c:v>
                </c:pt>
                <c:pt idx="117">
                  <c:v>5.5345167027806052E-3</c:v>
                </c:pt>
                <c:pt idx="118">
                  <c:v>5.1426409230540399E-3</c:v>
                </c:pt>
                <c:pt idx="119">
                  <c:v>4.7755265770916518E-3</c:v>
                </c:pt>
                <c:pt idx="120">
                  <c:v>4.4318484119380934E-3</c:v>
                </c:pt>
                <c:pt idx="121">
                  <c:v>4.1103338165326443E-3</c:v>
                </c:pt>
                <c:pt idx="122">
                  <c:v>3.809762098221888E-3</c:v>
                </c:pt>
                <c:pt idx="123">
                  <c:v>3.528963655313837E-3</c:v>
                </c:pt>
                <c:pt idx="124">
                  <c:v>3.2668190561999911E-3</c:v>
                </c:pt>
                <c:pt idx="125">
                  <c:v>3.0222580351988233E-3</c:v>
                </c:pt>
                <c:pt idx="126">
                  <c:v>2.7942584148795092E-3</c:v>
                </c:pt>
                <c:pt idx="127">
                  <c:v>2.5818449642122775E-3</c:v>
                </c:pt>
                <c:pt idx="128">
                  <c:v>2.3840882014648994E-3</c:v>
                </c:pt>
                <c:pt idx="129">
                  <c:v>2.200103150327184E-3</c:v>
                </c:pt>
                <c:pt idx="130">
                  <c:v>2.0290480572998184E-3</c:v>
                </c:pt>
                <c:pt idx="131">
                  <c:v>1.8701230779336968E-3</c:v>
                </c:pt>
                <c:pt idx="132">
                  <c:v>1.7225689390537239E-3</c:v>
                </c:pt>
                <c:pt idx="133">
                  <c:v>1.5856655836494979E-3</c:v>
                </c:pt>
                <c:pt idx="134">
                  <c:v>1.4587308046667849E-3</c:v>
                </c:pt>
                <c:pt idx="135">
                  <c:v>1.3411188734904135E-3</c:v>
                </c:pt>
                <c:pt idx="136">
                  <c:v>1.2322191684730527E-3</c:v>
                </c:pt>
                <c:pt idx="137">
                  <c:v>1.1314548084372395E-3</c:v>
                </c:pt>
                <c:pt idx="138">
                  <c:v>1.0382812956614409E-3</c:v>
                </c:pt>
                <c:pt idx="139">
                  <c:v>9.5218517245629732E-4</c:v>
                </c:pt>
                <c:pt idx="140">
                  <c:v>8.7268269504578574E-4</c:v>
                </c:pt>
                <c:pt idx="141">
                  <c:v>7.9931852809077817E-4</c:v>
                </c:pt>
                <c:pt idx="142">
                  <c:v>7.3166446283033301E-4</c:v>
                </c:pt>
                <c:pt idx="143">
                  <c:v>6.6931816146967825E-4</c:v>
                </c:pt>
                <c:pt idx="144">
                  <c:v>6.1190193011379141E-4</c:v>
                </c:pt>
                <c:pt idx="145">
                  <c:v>5.5906152223218276E-4</c:v>
                </c:pt>
                <c:pt idx="146">
                  <c:v>5.104649743442024E-4</c:v>
                </c:pt>
                <c:pt idx="147">
                  <c:v>4.6580147533505236E-4</c:v>
                </c:pt>
                <c:pt idx="148">
                  <c:v>4.2478027055076613E-4</c:v>
                </c:pt>
                <c:pt idx="149">
                  <c:v>3.8712960157560243E-4</c:v>
                </c:pt>
                <c:pt idx="150">
                  <c:v>3.525956823674576E-4</c:v>
                </c:pt>
                <c:pt idx="151">
                  <c:v>3.2094171221575197E-4</c:v>
                </c:pt>
                <c:pt idx="152">
                  <c:v>2.9194692579147063E-4</c:v>
                </c:pt>
                <c:pt idx="153">
                  <c:v>2.6540568038023818E-4</c:v>
                </c:pt>
                <c:pt idx="154">
                  <c:v>2.4112658022600245E-4</c:v>
                </c:pt>
                <c:pt idx="155">
                  <c:v>2.1893163776462047E-4</c:v>
                </c:pt>
                <c:pt idx="156">
                  <c:v>1.9865547139278028E-4</c:v>
                </c:pt>
                <c:pt idx="157">
                  <c:v>1.8014453929769567E-4</c:v>
                </c:pt>
                <c:pt idx="158">
                  <c:v>1.6325640876624852E-4</c:v>
                </c:pt>
                <c:pt idx="159">
                  <c:v>1.4785906029807951E-4</c:v>
                </c:pt>
                <c:pt idx="160">
                  <c:v>1.3383022576489084E-4</c:v>
                </c:pt>
                <c:pt idx="161">
                  <c:v>1.2105675978724956E-4</c:v>
                </c:pt>
                <c:pt idx="162">
                  <c:v>1.0943404343980503E-4</c:v>
                </c:pt>
                <c:pt idx="163">
                  <c:v>9.8865419345373052E-5</c:v>
                </c:pt>
                <c:pt idx="164">
                  <c:v>8.9261657177136262E-5</c:v>
                </c:pt>
                <c:pt idx="165">
                  <c:v>8.054044855559715E-5</c:v>
                </c:pt>
                <c:pt idx="166">
                  <c:v>7.2625930302255048E-5</c:v>
                </c:pt>
                <c:pt idx="167">
                  <c:v>6.5448234994622991E-5</c:v>
                </c:pt>
                <c:pt idx="168">
                  <c:v>5.894306775654184E-5</c:v>
                </c:pt>
                <c:pt idx="169">
                  <c:v>5.305130821319595E-5</c:v>
                </c:pt>
                <c:pt idx="170">
                  <c:v>4.7718636541206395E-5</c:v>
                </c:pt>
                <c:pt idx="171">
                  <c:v>4.2895182550128498E-5</c:v>
                </c:pt>
                <c:pt idx="172">
                  <c:v>3.8535196742088159E-5</c:v>
                </c:pt>
                <c:pt idx="173">
                  <c:v>3.4596742310649857E-5</c:v>
                </c:pt>
                <c:pt idx="174">
                  <c:v>3.1041407057850985E-5</c:v>
                </c:pt>
                <c:pt idx="175">
                  <c:v>2.7834034229215523E-5</c:v>
                </c:pt>
                <c:pt idx="176">
                  <c:v>2.4942471290054108E-5</c:v>
                </c:pt>
                <c:pt idx="177">
                  <c:v>2.2337335692076468E-5</c:v>
                </c:pt>
                <c:pt idx="178">
                  <c:v>1.9991796706923181E-5</c:v>
                </c:pt>
                <c:pt idx="179">
                  <c:v>1.7881372432324655E-5</c:v>
                </c:pt>
                <c:pt idx="180">
                  <c:v>1.5983741106905729E-5</c:v>
                </c:pt>
                <c:pt idx="181">
                  <c:v>1.4278565900888E-5</c:v>
                </c:pt>
                <c:pt idx="182">
                  <c:v>1.2747332381833601E-5</c:v>
                </c:pt>
                <c:pt idx="183">
                  <c:v>1.1373197886886796E-5</c:v>
                </c:pt>
                <c:pt idx="184">
                  <c:v>1.014085206548685E-5</c:v>
                </c:pt>
                <c:pt idx="185">
                  <c:v>9.036387889051453E-6</c:v>
                </c:pt>
                <c:pt idx="186">
                  <c:v>8.0471824564923511E-6</c:v>
                </c:pt>
                <c:pt idx="187">
                  <c:v>7.1617869564679648E-6</c:v>
                </c:pt>
                <c:pt idx="188">
                  <c:v>6.3698251788671238E-6</c:v>
                </c:pt>
                <c:pt idx="189">
                  <c:v>5.6618999990348584E-6</c:v>
                </c:pt>
                <c:pt idx="190">
                  <c:v>5.0295072885924454E-6</c:v>
                </c:pt>
                <c:pt idx="191">
                  <c:v>4.4649567362846312E-6</c:v>
                </c:pt>
                <c:pt idx="192">
                  <c:v>3.9612990910320609E-6</c:v>
                </c:pt>
                <c:pt idx="193">
                  <c:v>3.5122593672182655E-6</c:v>
                </c:pt>
                <c:pt idx="194">
                  <c:v>3.1121755791489169E-6</c:v>
                </c:pt>
                <c:pt idx="195">
                  <c:v>2.755942597549948E-6</c:v>
                </c:pt>
                <c:pt idx="196">
                  <c:v>2.4389607458933348E-6</c:v>
                </c:pt>
                <c:pt idx="197">
                  <c:v>2.1570887782364207E-6</c:v>
                </c:pt>
                <c:pt idx="198">
                  <c:v>1.9066009031227839E-6</c:v>
                </c:pt>
                <c:pt idx="199">
                  <c:v>1.6841475399168487E-6</c:v>
                </c:pt>
                <c:pt idx="200">
                  <c:v>1.4867195147342714E-6</c:v>
                </c:pt>
                <c:pt idx="201">
                  <c:v>1.3116154228950171E-6</c:v>
                </c:pt>
                <c:pt idx="202">
                  <c:v>1.1564119035797567E-6</c:v>
                </c:pt>
                <c:pt idx="203">
                  <c:v>1.0189365901318526E-6</c:v>
                </c:pt>
                <c:pt idx="204">
                  <c:v>8.9724351623830992E-7</c:v>
                </c:pt>
                <c:pt idx="205">
                  <c:v>7.8959077406937827E-7</c:v>
                </c:pt>
                <c:pt idx="206">
                  <c:v>6.944202353855154E-7</c:v>
                </c:pt>
                <c:pt idx="207">
                  <c:v>6.1033916066226792E-7</c:v>
                </c:pt>
                <c:pt idx="208">
                  <c:v>5.361035344697443E-7</c:v>
                </c:pt>
                <c:pt idx="209">
                  <c:v>4.7060297770665687E-7</c:v>
                </c:pt>
                <c:pt idx="210">
                  <c:v>4.1284709886298449E-7</c:v>
                </c:pt>
                <c:pt idx="211">
                  <c:v>3.6195315730454275E-7</c:v>
                </c:pt>
                <c:pt idx="212">
                  <c:v>3.1713492167158462E-7</c:v>
                </c:pt>
                <c:pt idx="213">
                  <c:v>2.7769261589659089E-7</c:v>
                </c:pt>
                <c:pt idx="214">
                  <c:v>2.4300385410804185E-7</c:v>
                </c:pt>
                <c:pt idx="215">
                  <c:v>2.1251547383101861E-7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8-4CA7-BCEA-CC5FC32FDD5B}"/>
            </c:ext>
          </c:extLst>
        </c:ser>
        <c:ser>
          <c:idx val="1"/>
          <c:order val="1"/>
          <c:marker>
            <c:symbol val="none"/>
          </c:marker>
          <c:xVal>
            <c:numRef>
              <c:f>'CG of Radiation Loss'!$M$4:$M$5</c:f>
              <c:numCache>
                <c:formatCode>0.0000</c:formatCode>
                <c:ptCount val="2"/>
                <c:pt idx="0">
                  <c:v>-0.79796730796999016</c:v>
                </c:pt>
                <c:pt idx="1">
                  <c:v>-0.79796730796999016</c:v>
                </c:pt>
              </c:numCache>
            </c:numRef>
          </c:xVal>
          <c:yVal>
            <c:numRef>
              <c:f>'CG of Radiation Loss'!$N$4:$N$5</c:f>
              <c:numCache>
                <c:formatCode>General</c:formatCode>
                <c:ptCount val="2"/>
                <c:pt idx="0">
                  <c:v>0</c:v>
                </c:pt>
                <c:pt idx="1">
                  <c:v>0.3989422804014327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38-4CA7-BCEA-CC5FC32F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05824"/>
        <c:axId val="129011712"/>
      </c:scatterChart>
      <c:valAx>
        <c:axId val="129005824"/>
        <c:scaling>
          <c:orientation val="minMax"/>
          <c:min val="-4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9011712"/>
        <c:crossesAt val="0"/>
        <c:crossBetween val="midCat"/>
      </c:valAx>
      <c:valAx>
        <c:axId val="129011712"/>
        <c:scaling>
          <c:orientation val="minMax"/>
          <c:max val="0.4"/>
        </c:scaling>
        <c:delete val="0"/>
        <c:axPos val="l"/>
        <c:majorGridlines/>
        <c:numFmt formatCode="#,##0.00" sourceLinked="0"/>
        <c:majorTickMark val="cross"/>
        <c:minorTickMark val="none"/>
        <c:tickLblPos val="high"/>
        <c:crossAx val="12900582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571500</xdr:colOff>
      <xdr:row>16</xdr:row>
      <xdr:rowOff>161925</xdr:rowOff>
    </xdr:from>
    <xdr:to>
      <xdr:col>25</xdr:col>
      <xdr:colOff>133350</xdr:colOff>
      <xdr:row>28</xdr:row>
      <xdr:rowOff>161924</xdr:rowOff>
    </xdr:to>
    <xdr:pic>
      <xdr:nvPicPr>
        <xdr:cNvPr id="5481" name="Picture 46">
          <a:extLst>
            <a:ext uri="{FF2B5EF4-FFF2-40B4-BE49-F238E27FC236}">
              <a16:creationId xmlns:a16="http://schemas.microsoft.com/office/drawing/2014/main" id="{00000000-0008-0000-0500-00006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7677150"/>
          <a:ext cx="3219450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123825</xdr:colOff>
      <xdr:row>31</xdr:row>
      <xdr:rowOff>9525</xdr:rowOff>
    </xdr:from>
    <xdr:to>
      <xdr:col>20</xdr:col>
      <xdr:colOff>304800</xdr:colOff>
      <xdr:row>39</xdr:row>
      <xdr:rowOff>123826</xdr:rowOff>
    </xdr:to>
    <xdr:pic>
      <xdr:nvPicPr>
        <xdr:cNvPr id="5482" name="Picture 79">
          <a:extLst>
            <a:ext uri="{FF2B5EF4-FFF2-40B4-BE49-F238E27FC236}">
              <a16:creationId xmlns:a16="http://schemas.microsoft.com/office/drawing/2014/main" id="{00000000-0008-0000-0500-00006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5" y="10239375"/>
          <a:ext cx="2009775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7888</xdr:colOff>
      <xdr:row>0</xdr:row>
      <xdr:rowOff>76496</xdr:rowOff>
    </xdr:from>
    <xdr:to>
      <xdr:col>13</xdr:col>
      <xdr:colOff>112663</xdr:colOff>
      <xdr:row>13</xdr:row>
      <xdr:rowOff>133646</xdr:rowOff>
    </xdr:to>
    <xdr:graphicFrame macro="">
      <xdr:nvGraphicFramePr>
        <xdr:cNvPr id="5483" name="Chart 14">
          <a:extLst>
            <a:ext uri="{FF2B5EF4-FFF2-40B4-BE49-F238E27FC236}">
              <a16:creationId xmlns:a16="http://schemas.microsoft.com/office/drawing/2014/main" id="{00000000-0008-0000-0500-00006B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</xdr:row>
      <xdr:rowOff>28575</xdr:rowOff>
    </xdr:from>
    <xdr:to>
      <xdr:col>12</xdr:col>
      <xdr:colOff>485775</xdr:colOff>
      <xdr:row>16</xdr:row>
      <xdr:rowOff>104775</xdr:rowOff>
    </xdr:to>
    <xdr:graphicFrame macro="">
      <xdr:nvGraphicFramePr>
        <xdr:cNvPr id="189478" name="Chart 3">
          <a:extLst>
            <a:ext uri="{FF2B5EF4-FFF2-40B4-BE49-F238E27FC236}">
              <a16:creationId xmlns:a16="http://schemas.microsoft.com/office/drawing/2014/main" id="{00000000-0008-0000-0000-000026E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17</xdr:row>
      <xdr:rowOff>114300</xdr:rowOff>
    </xdr:from>
    <xdr:to>
      <xdr:col>13</xdr:col>
      <xdr:colOff>219075</xdr:colOff>
      <xdr:row>32</xdr:row>
      <xdr:rowOff>0</xdr:rowOff>
    </xdr:to>
    <xdr:graphicFrame macro="">
      <xdr:nvGraphicFramePr>
        <xdr:cNvPr id="189479" name="Chart 3">
          <a:extLst>
            <a:ext uri="{FF2B5EF4-FFF2-40B4-BE49-F238E27FC236}">
              <a16:creationId xmlns:a16="http://schemas.microsoft.com/office/drawing/2014/main" id="{00000000-0008-0000-0000-000027E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104775</xdr:rowOff>
    </xdr:from>
    <xdr:to>
      <xdr:col>13</xdr:col>
      <xdr:colOff>266700</xdr:colOff>
      <xdr:row>25</xdr:row>
      <xdr:rowOff>28575</xdr:rowOff>
    </xdr:to>
    <xdr:pic>
      <xdr:nvPicPr>
        <xdr:cNvPr id="6292" name="Picture 1">
          <a:extLst>
            <a:ext uri="{FF2B5EF4-FFF2-40B4-BE49-F238E27FC236}">
              <a16:creationId xmlns:a16="http://schemas.microsoft.com/office/drawing/2014/main" id="{00000000-0008-0000-0600-00009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95275"/>
          <a:ext cx="75723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133350</xdr:rowOff>
    </xdr:from>
    <xdr:to>
      <xdr:col>3</xdr:col>
      <xdr:colOff>762000</xdr:colOff>
      <xdr:row>4</xdr:row>
      <xdr:rowOff>9525</xdr:rowOff>
    </xdr:to>
    <xdr:pic>
      <xdr:nvPicPr>
        <xdr:cNvPr id="76960" name="Picture 72" descr="&#10;f(x;\mu,\sigma^2) = \frac{1}{\sigma\sqrt{2\pi}} e^{ -\frac{1}{2}\left(\frac{x-\mu}{\sigma}\right)^2 }&#10;">
          <a:extLst>
            <a:ext uri="{FF2B5EF4-FFF2-40B4-BE49-F238E27FC236}">
              <a16:creationId xmlns:a16="http://schemas.microsoft.com/office/drawing/2014/main" id="{00000000-0008-0000-0700-0000A02C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23850"/>
          <a:ext cx="23431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11</xdr:row>
      <xdr:rowOff>76200</xdr:rowOff>
    </xdr:from>
    <xdr:to>
      <xdr:col>6</xdr:col>
      <xdr:colOff>200025</xdr:colOff>
      <xdr:row>25</xdr:row>
      <xdr:rowOff>152400</xdr:rowOff>
    </xdr:to>
    <xdr:graphicFrame macro="">
      <xdr:nvGraphicFramePr>
        <xdr:cNvPr id="76961" name="Chart 9">
          <a:extLst>
            <a:ext uri="{FF2B5EF4-FFF2-40B4-BE49-F238E27FC236}">
              <a16:creationId xmlns:a16="http://schemas.microsoft.com/office/drawing/2014/main" id="{00000000-0008-0000-0700-0000A12C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eosyntec-my.sharepoint.com/NAS-6C-C8-8A/c/Users/despinoza/AppData/Local/Microsoft/Windows/Temporary%20Internet%20Files/Content.Outlook/010NYJ0G/Black%20Scholes%20formula%20European%20Op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t"/>
      <sheetName val="Call"/>
    </sheetNames>
    <sheetDataSet>
      <sheetData sheetId="0">
        <row r="9">
          <cell r="F9">
            <v>-0.45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Y53"/>
  <sheetViews>
    <sheetView showGridLines="0" tabSelected="1" topLeftCell="A33" zoomScale="169" zoomScaleNormal="100" workbookViewId="0">
      <selection activeCell="D50" sqref="D50"/>
    </sheetView>
  </sheetViews>
  <sheetFormatPr baseColWidth="10" defaultColWidth="8.83203125" defaultRowHeight="15" outlineLevelCol="2" x14ac:dyDescent="0.2"/>
  <cols>
    <col min="1" max="1" width="6.33203125" customWidth="1"/>
    <col min="2" max="2" width="29.5" style="10" customWidth="1"/>
    <col min="3" max="3" width="9.83203125" style="10" customWidth="1"/>
    <col min="4" max="4" width="11.33203125" style="10" customWidth="1"/>
    <col min="5" max="6" width="13.1640625" style="22" customWidth="1"/>
    <col min="7" max="9" width="13.1640625" style="10" customWidth="1"/>
    <col min="10" max="10" width="13.1640625" style="10" customWidth="1" outlineLevel="1"/>
    <col min="11" max="13" width="13.1640625" style="10" hidden="1" customWidth="1" outlineLevel="1"/>
    <col min="14" max="14" width="13.1640625" style="10" hidden="1" customWidth="1"/>
    <col min="15" max="18" width="13.1640625" style="10" hidden="1" customWidth="1" outlineLevel="1"/>
    <col min="19" max="19" width="13.1640625" style="10" hidden="1" customWidth="1"/>
    <col min="20" max="23" width="13.1640625" style="10" customWidth="1" outlineLevel="2"/>
    <col min="24" max="24" width="13.1640625" style="10" customWidth="1"/>
    <col min="25" max="25" width="11.6640625" style="10" customWidth="1"/>
  </cols>
  <sheetData>
    <row r="1" spans="2:25" ht="20" x14ac:dyDescent="0.2">
      <c r="B1" s="48" t="s">
        <v>44</v>
      </c>
      <c r="E1" s="47"/>
      <c r="F1"/>
      <c r="G1" s="49"/>
      <c r="H1" s="49"/>
      <c r="I1" s="49"/>
    </row>
    <row r="2" spans="2:25" ht="16" thickBot="1" x14ac:dyDescent="0.25">
      <c r="C2"/>
      <c r="D2"/>
      <c r="E2"/>
      <c r="F2"/>
      <c r="G2"/>
      <c r="H2"/>
      <c r="I2"/>
      <c r="J2" s="66"/>
      <c r="K2" s="66"/>
      <c r="L2"/>
      <c r="M2"/>
      <c r="N2"/>
      <c r="O2"/>
      <c r="P2"/>
      <c r="Q2"/>
      <c r="R2"/>
      <c r="S2"/>
      <c r="T2"/>
      <c r="U2"/>
      <c r="V2"/>
      <c r="X2"/>
      <c r="Y2"/>
    </row>
    <row r="3" spans="2:25" ht="19" x14ac:dyDescent="0.25">
      <c r="B3" s="63" t="s">
        <v>38</v>
      </c>
      <c r="C3" s="64"/>
      <c r="D3" s="64"/>
      <c r="E3" s="64"/>
      <c r="F3" s="64"/>
      <c r="G3" s="64"/>
      <c r="H3" s="64"/>
      <c r="I3" s="65"/>
      <c r="J3" s="66"/>
      <c r="K3" s="66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2:25" x14ac:dyDescent="0.2">
      <c r="B4" s="50" t="s">
        <v>19</v>
      </c>
      <c r="C4" s="6"/>
      <c r="D4"/>
      <c r="E4" s="40"/>
      <c r="F4" s="2" t="s">
        <v>41</v>
      </c>
      <c r="H4"/>
      <c r="I4" s="62"/>
      <c r="J4" s="6"/>
      <c r="K4" s="68"/>
      <c r="L4" s="6"/>
      <c r="N4" s="6"/>
      <c r="O4" s="6"/>
      <c r="P4"/>
      <c r="Q4"/>
      <c r="R4"/>
      <c r="S4"/>
      <c r="T4"/>
      <c r="U4"/>
      <c r="V4"/>
      <c r="W4"/>
      <c r="X4"/>
      <c r="Y4"/>
    </row>
    <row r="5" spans="2:25" x14ac:dyDescent="0.2">
      <c r="B5" s="54" t="s">
        <v>47</v>
      </c>
      <c r="G5" s="39" t="s">
        <v>187</v>
      </c>
      <c r="H5" s="55">
        <v>0.1</v>
      </c>
      <c r="I5" s="51"/>
      <c r="K5" s="66"/>
      <c r="L5" s="6"/>
      <c r="M5"/>
      <c r="N5" s="6"/>
      <c r="O5" s="6"/>
      <c r="P5"/>
      <c r="Q5"/>
      <c r="R5"/>
      <c r="S5"/>
      <c r="T5"/>
      <c r="U5"/>
      <c r="V5"/>
      <c r="W5"/>
      <c r="X5"/>
      <c r="Y5"/>
    </row>
    <row r="6" spans="2:25" x14ac:dyDescent="0.2">
      <c r="B6" s="52"/>
      <c r="C6" s="37" t="s">
        <v>189</v>
      </c>
      <c r="D6" s="169">
        <v>8840000</v>
      </c>
      <c r="E6" s="40"/>
      <c r="F6" s="38"/>
      <c r="G6" s="37" t="s">
        <v>170</v>
      </c>
      <c r="H6" s="59">
        <v>2.7900000000000001E-2</v>
      </c>
      <c r="I6" s="51"/>
      <c r="K6" s="66"/>
      <c r="L6" s="6"/>
      <c r="M6"/>
      <c r="N6" s="6"/>
      <c r="O6" s="6"/>
      <c r="P6"/>
      <c r="Q6"/>
      <c r="R6"/>
      <c r="S6"/>
      <c r="T6"/>
      <c r="U6"/>
      <c r="V6"/>
      <c r="W6"/>
      <c r="X6"/>
      <c r="Y6"/>
    </row>
    <row r="7" spans="2:25" x14ac:dyDescent="0.2">
      <c r="B7" s="52"/>
      <c r="C7" s="39" t="s">
        <v>0</v>
      </c>
      <c r="D7" s="55">
        <v>0.5</v>
      </c>
      <c r="E7" s="133">
        <f>$D$6*D7</f>
        <v>4420000</v>
      </c>
      <c r="F7" s="38"/>
      <c r="G7" s="37" t="s">
        <v>31</v>
      </c>
      <c r="H7" s="56">
        <v>20</v>
      </c>
      <c r="I7" s="60"/>
      <c r="K7" s="66"/>
      <c r="L7" s="6"/>
      <c r="M7"/>
      <c r="N7" s="6"/>
      <c r="O7" s="6"/>
      <c r="P7"/>
      <c r="Q7"/>
      <c r="R7"/>
      <c r="S7"/>
      <c r="T7"/>
      <c r="U7"/>
      <c r="V7"/>
      <c r="W7"/>
      <c r="X7"/>
      <c r="Y7"/>
    </row>
    <row r="8" spans="2:25" x14ac:dyDescent="0.2">
      <c r="B8" s="52"/>
      <c r="C8" s="39" t="s">
        <v>20</v>
      </c>
      <c r="D8" s="55">
        <v>0.5</v>
      </c>
      <c r="E8" s="133">
        <f>$D$6*D8</f>
        <v>4420000</v>
      </c>
      <c r="F8" s="40"/>
      <c r="G8" s="37" t="s">
        <v>46</v>
      </c>
      <c r="H8" s="169">
        <v>14000000</v>
      </c>
      <c r="I8" s="51"/>
      <c r="K8" s="66"/>
      <c r="L8" s="6"/>
      <c r="M8"/>
      <c r="N8" s="6"/>
      <c r="O8" s="6"/>
      <c r="P8"/>
      <c r="Q8"/>
      <c r="R8"/>
      <c r="S8"/>
      <c r="T8"/>
      <c r="U8"/>
      <c r="V8"/>
      <c r="W8"/>
      <c r="X8"/>
      <c r="Y8"/>
    </row>
    <row r="9" spans="2:25" x14ac:dyDescent="0.2">
      <c r="B9" s="52"/>
      <c r="C9" s="39" t="s">
        <v>34</v>
      </c>
      <c r="D9" s="57">
        <v>0.05</v>
      </c>
      <c r="E9" s="79"/>
      <c r="F9" s="41"/>
      <c r="G9" s="37" t="s">
        <v>33</v>
      </c>
      <c r="H9" s="58">
        <v>0.33329999999999999</v>
      </c>
      <c r="I9" s="51"/>
      <c r="K9" s="66"/>
      <c r="L9" s="6"/>
      <c r="M9"/>
      <c r="N9" s="6"/>
      <c r="O9" s="6"/>
      <c r="P9"/>
      <c r="Q9"/>
      <c r="R9"/>
      <c r="S9"/>
      <c r="T9"/>
      <c r="U9"/>
      <c r="V9"/>
      <c r="W9"/>
      <c r="X9"/>
      <c r="Y9"/>
    </row>
    <row r="10" spans="2:25" x14ac:dyDescent="0.2">
      <c r="B10" s="52"/>
      <c r="C10" s="39" t="s">
        <v>21</v>
      </c>
      <c r="D10" s="56">
        <v>20</v>
      </c>
      <c r="E10" s="80"/>
      <c r="F10" s="41"/>
      <c r="G10" s="37" t="s">
        <v>43</v>
      </c>
      <c r="H10" s="59">
        <v>4.0000000000000001E-3</v>
      </c>
      <c r="I10" s="51"/>
      <c r="K10" s="66"/>
      <c r="L10" s="6"/>
      <c r="M10"/>
      <c r="N10" s="6"/>
      <c r="O10" s="6"/>
      <c r="P10"/>
      <c r="Q10"/>
      <c r="R10"/>
      <c r="S10"/>
      <c r="T10"/>
      <c r="U10"/>
      <c r="V10"/>
      <c r="W10"/>
      <c r="X10"/>
      <c r="Y10"/>
    </row>
    <row r="11" spans="2:25" x14ac:dyDescent="0.2">
      <c r="B11" s="52"/>
      <c r="C11" s="39" t="s">
        <v>18</v>
      </c>
      <c r="D11" s="55">
        <v>0</v>
      </c>
      <c r="E11" s="78"/>
      <c r="F11" s="41"/>
      <c r="G11" s="37" t="s">
        <v>42</v>
      </c>
      <c r="H11" s="58">
        <v>2.5000000000000001E-2</v>
      </c>
      <c r="I11" s="51"/>
      <c r="K11" s="66"/>
      <c r="L11" s="6"/>
      <c r="M11"/>
      <c r="N11" s="6"/>
      <c r="O11" s="6"/>
      <c r="P11"/>
      <c r="Q11"/>
      <c r="R11"/>
      <c r="S11"/>
      <c r="T11"/>
      <c r="U11"/>
      <c r="V11"/>
      <c r="W11"/>
      <c r="X11"/>
      <c r="Y11"/>
    </row>
    <row r="12" spans="2:25" x14ac:dyDescent="0.2">
      <c r="B12" s="61" t="s">
        <v>35</v>
      </c>
      <c r="C12" s="39"/>
      <c r="D12" s="38"/>
      <c r="E12" s="38"/>
      <c r="F12" s="38"/>
      <c r="G12" s="38"/>
      <c r="H12" s="41"/>
      <c r="I12" s="53"/>
      <c r="K12" s="68"/>
      <c r="L12" s="6"/>
      <c r="M12"/>
      <c r="N12" s="6"/>
      <c r="O12" s="6"/>
      <c r="P12"/>
      <c r="Q12"/>
      <c r="R12"/>
      <c r="S12"/>
      <c r="T12"/>
      <c r="U12"/>
      <c r="V12"/>
      <c r="W12"/>
      <c r="X12"/>
      <c r="Y12"/>
    </row>
    <row r="13" spans="2:25" ht="16" thickBot="1" x14ac:dyDescent="0.25">
      <c r="B13" s="108" t="s">
        <v>45</v>
      </c>
      <c r="C13" s="121"/>
      <c r="D13" s="121"/>
      <c r="E13" s="121"/>
      <c r="F13" s="121"/>
      <c r="G13" s="121"/>
      <c r="H13" s="121"/>
      <c r="I13" s="109"/>
      <c r="J13"/>
      <c r="K13" s="67"/>
      <c r="O13"/>
      <c r="P13"/>
      <c r="Q13"/>
      <c r="R13"/>
      <c r="S13"/>
      <c r="T13"/>
      <c r="U13"/>
      <c r="V13"/>
      <c r="W13"/>
      <c r="X13"/>
      <c r="Y13"/>
    </row>
    <row r="14" spans="2:25" x14ac:dyDescent="0.2">
      <c r="B14"/>
      <c r="C14"/>
      <c r="D14"/>
      <c r="E14"/>
      <c r="F14"/>
      <c r="G14"/>
      <c r="H14"/>
      <c r="I14"/>
      <c r="J14"/>
      <c r="O14"/>
      <c r="P14"/>
      <c r="Q14"/>
      <c r="R14"/>
      <c r="S14"/>
      <c r="T14"/>
      <c r="U14"/>
      <c r="V14"/>
      <c r="W14"/>
      <c r="X14"/>
      <c r="Y14"/>
    </row>
    <row r="15" spans="2:25" x14ac:dyDescent="0.2">
      <c r="B15" s="73" t="s">
        <v>48</v>
      </c>
      <c r="C15" s="73"/>
      <c r="D15" s="74"/>
      <c r="E15" s="75"/>
      <c r="F15" s="75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2:25" x14ac:dyDescent="0.2">
      <c r="B16" s="70" t="s">
        <v>216</v>
      </c>
      <c r="C16" s="71"/>
      <c r="D16" s="71"/>
      <c r="E16" s="71"/>
      <c r="F16" s="72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 spans="2:25" x14ac:dyDescent="0.2">
      <c r="B17" s="170" t="s">
        <v>10</v>
      </c>
      <c r="D17" s="21">
        <v>0</v>
      </c>
      <c r="E17" s="21">
        <v>1</v>
      </c>
      <c r="F17" s="21">
        <v>2</v>
      </c>
      <c r="G17" s="21">
        <v>3</v>
      </c>
      <c r="H17" s="21">
        <v>4</v>
      </c>
      <c r="I17" s="21">
        <v>5</v>
      </c>
      <c r="J17" s="21">
        <v>6</v>
      </c>
      <c r="K17" s="21">
        <v>7</v>
      </c>
      <c r="L17" s="21">
        <v>8</v>
      </c>
      <c r="M17" s="21">
        <v>9</v>
      </c>
      <c r="N17" s="21">
        <v>10</v>
      </c>
      <c r="O17" s="21">
        <v>11</v>
      </c>
      <c r="P17" s="21">
        <v>12</v>
      </c>
      <c r="Q17" s="21">
        <v>13</v>
      </c>
      <c r="R17" s="21">
        <v>14</v>
      </c>
      <c r="S17" s="21">
        <v>15</v>
      </c>
      <c r="T17" s="21">
        <v>16</v>
      </c>
      <c r="U17" s="21">
        <v>17</v>
      </c>
      <c r="V17" s="21">
        <v>18</v>
      </c>
      <c r="W17" s="21">
        <v>19</v>
      </c>
      <c r="X17" s="21">
        <v>20</v>
      </c>
    </row>
    <row r="18" spans="2:25" x14ac:dyDescent="0.2">
      <c r="B18" s="23"/>
      <c r="C18" s="23"/>
      <c r="F18" s="24"/>
      <c r="G18" s="21"/>
      <c r="H18" s="76"/>
    </row>
    <row r="19" spans="2:25" s="8" customFormat="1" ht="12" customHeight="1" x14ac:dyDescent="0.2">
      <c r="B19" s="11" t="s">
        <v>5</v>
      </c>
      <c r="C19" s="11"/>
      <c r="D19" s="11"/>
      <c r="E19" s="26">
        <v>3969.9649999999997</v>
      </c>
      <c r="F19" s="26">
        <f t="shared" ref="F19:X19" si="0">E19*(1-$H$10)</f>
        <v>3954.0851399999997</v>
      </c>
      <c r="G19" s="26">
        <f t="shared" si="0"/>
        <v>3938.2687994399998</v>
      </c>
      <c r="H19" s="26">
        <f t="shared" si="0"/>
        <v>3922.5157242422397</v>
      </c>
      <c r="I19" s="26">
        <f t="shared" si="0"/>
        <v>3906.8256613452709</v>
      </c>
      <c r="J19" s="26">
        <f t="shared" si="0"/>
        <v>3891.1983586998899</v>
      </c>
      <c r="K19" s="26">
        <f t="shared" si="0"/>
        <v>3875.6335652650905</v>
      </c>
      <c r="L19" s="26">
        <f t="shared" si="0"/>
        <v>3860.1310310040303</v>
      </c>
      <c r="M19" s="26">
        <f t="shared" si="0"/>
        <v>3844.6905068800143</v>
      </c>
      <c r="N19" s="26">
        <f t="shared" si="0"/>
        <v>3829.311744852494</v>
      </c>
      <c r="O19" s="26">
        <f t="shared" si="0"/>
        <v>3813.9944978730841</v>
      </c>
      <c r="P19" s="26">
        <f t="shared" si="0"/>
        <v>3798.7385198815919</v>
      </c>
      <c r="Q19" s="26">
        <f t="shared" si="0"/>
        <v>3783.5435658020656</v>
      </c>
      <c r="R19" s="26">
        <f t="shared" si="0"/>
        <v>3768.4093915388571</v>
      </c>
      <c r="S19" s="26">
        <f t="shared" si="0"/>
        <v>3753.3357539727017</v>
      </c>
      <c r="T19" s="26">
        <f t="shared" si="0"/>
        <v>3738.3224109568109</v>
      </c>
      <c r="U19" s="26">
        <f t="shared" si="0"/>
        <v>3723.3691213129837</v>
      </c>
      <c r="V19" s="26">
        <f t="shared" si="0"/>
        <v>3708.4756448277317</v>
      </c>
      <c r="W19" s="26">
        <f t="shared" si="0"/>
        <v>3693.6417422484205</v>
      </c>
      <c r="X19" s="26">
        <f t="shared" si="0"/>
        <v>3678.8671752794266</v>
      </c>
      <c r="Y19" s="11"/>
    </row>
    <row r="20" spans="2:25" s="8" customFormat="1" ht="12" customHeight="1" x14ac:dyDescent="0.2">
      <c r="B20" s="11" t="s">
        <v>6</v>
      </c>
      <c r="C20" s="11"/>
      <c r="D20" s="11"/>
      <c r="E20" s="26">
        <v>1164.0609111969502</v>
      </c>
      <c r="F20" s="26">
        <v>1164.06091119695</v>
      </c>
      <c r="G20" s="26">
        <v>1164.0609111969502</v>
      </c>
      <c r="H20" s="26">
        <v>1164.0609111969504</v>
      </c>
      <c r="I20" s="26">
        <v>1164.06091119695</v>
      </c>
      <c r="J20" s="26">
        <v>1164.0609111969502</v>
      </c>
      <c r="K20" s="26">
        <v>1164.06091119695</v>
      </c>
      <c r="L20" s="26">
        <v>1164.0609111969502</v>
      </c>
      <c r="M20" s="26">
        <v>1164.0609111969502</v>
      </c>
      <c r="N20" s="26">
        <v>1164.0609111969502</v>
      </c>
      <c r="O20" s="26">
        <v>1164.06091119695</v>
      </c>
      <c r="P20" s="26">
        <v>1164.06091119695</v>
      </c>
      <c r="Q20" s="26">
        <v>1164.0609111969502</v>
      </c>
      <c r="R20" s="26">
        <v>1164.0609111969502</v>
      </c>
      <c r="S20" s="26">
        <v>1164.0609111969502</v>
      </c>
      <c r="T20" s="26">
        <v>1164.0609111969502</v>
      </c>
      <c r="U20" s="26">
        <v>1164.06091119695</v>
      </c>
      <c r="V20" s="26">
        <v>1164.0609111969502</v>
      </c>
      <c r="W20" s="26">
        <v>1164.0609111969504</v>
      </c>
      <c r="X20" s="26">
        <v>1164.06091119695</v>
      </c>
      <c r="Y20" s="11"/>
    </row>
    <row r="21" spans="2:25" s="8" customFormat="1" ht="12" customHeight="1" x14ac:dyDescent="0.2">
      <c r="B21" s="11" t="s">
        <v>7</v>
      </c>
      <c r="C21" s="11"/>
      <c r="D21" s="11"/>
      <c r="E21" s="27">
        <v>0.43361286372646013</v>
      </c>
      <c r="F21" s="27">
        <f>E21*(1+'Financial model'!$H$11)</f>
        <v>0.44445318531962158</v>
      </c>
      <c r="G21" s="27">
        <f>F21*(1+'Financial model'!$H$11)</f>
        <v>0.45556451495261208</v>
      </c>
      <c r="H21" s="27">
        <f>G21*(1+'Financial model'!$H$11)</f>
        <v>0.46695362782642735</v>
      </c>
      <c r="I21" s="27">
        <f>H21*(1+'Financial model'!$H$11)</f>
        <v>0.47862746852208798</v>
      </c>
      <c r="J21" s="27">
        <f>I21*(1+'Financial model'!$H$11)</f>
        <v>0.49059315523514013</v>
      </c>
      <c r="K21" s="27">
        <f>J21*(1+'Financial model'!$H$11)</f>
        <v>0.50285798411601856</v>
      </c>
      <c r="L21" s="27">
        <f>K21*(1+'Financial model'!$H$11)</f>
        <v>0.51542943371891903</v>
      </c>
      <c r="M21" s="27">
        <f>L21*(1+'Financial model'!$H$11)</f>
        <v>0.52831516956189195</v>
      </c>
      <c r="N21" s="27">
        <f>M21*(1+'Financial model'!$H$11)</f>
        <v>0.54152304880093916</v>
      </c>
      <c r="O21" s="27">
        <f>N21*(1+'Financial model'!$H$11)</f>
        <v>0.55506112502096261</v>
      </c>
      <c r="P21" s="27">
        <f>O21*(1+'Financial model'!$H$11)</f>
        <v>0.56893765314648659</v>
      </c>
      <c r="Q21" s="27">
        <f>P21*(1+'Financial model'!$H$11)</f>
        <v>0.58316109447514874</v>
      </c>
      <c r="R21" s="27">
        <f>Q21*(1+'Financial model'!$H$11)</f>
        <v>0.5977401218370274</v>
      </c>
      <c r="S21" s="27">
        <f>R21*(1+'Financial model'!$H$11)</f>
        <v>0.61268362488295303</v>
      </c>
      <c r="T21" s="27">
        <f>S21*(1+'Financial model'!$H$11)</f>
        <v>0.62800071550502679</v>
      </c>
      <c r="U21" s="27">
        <f>T21*(1+'Financial model'!$H$11)</f>
        <v>0.64370073339265244</v>
      </c>
      <c r="V21" s="27">
        <f>U21*(1+'Financial model'!$H$11)</f>
        <v>0.65979325172746872</v>
      </c>
      <c r="W21" s="27">
        <f>V21*(1+'Financial model'!$H$11)</f>
        <v>0.67628808302065535</v>
      </c>
      <c r="X21" s="27">
        <f>W21*(1+'Financial model'!$H$11)</f>
        <v>0.69319528509617168</v>
      </c>
      <c r="Y21" s="11"/>
    </row>
    <row r="22" spans="2:25" ht="15.75" customHeight="1" x14ac:dyDescent="0.2">
      <c r="B22" s="28" t="s">
        <v>191</v>
      </c>
      <c r="C22" s="21"/>
      <c r="D22" s="10">
        <v>0</v>
      </c>
      <c r="E22" s="25">
        <f>E19*E20*E21</f>
        <v>2003846.9211544001</v>
      </c>
      <c r="F22" s="25">
        <f t="shared" ref="F22:X22" si="1">F19*F20*F21</f>
        <v>2045727.3218065265</v>
      </c>
      <c r="G22" s="25">
        <f t="shared" si="1"/>
        <v>2088483.0228322835</v>
      </c>
      <c r="H22" s="25">
        <f t="shared" si="1"/>
        <v>2132132.3180094785</v>
      </c>
      <c r="I22" s="25">
        <f t="shared" si="1"/>
        <v>2176693.8834558753</v>
      </c>
      <c r="J22" s="25">
        <f t="shared" si="1"/>
        <v>2222186.7856201036</v>
      </c>
      <c r="K22" s="25">
        <f t="shared" si="1"/>
        <v>2268630.4894395629</v>
      </c>
      <c r="L22" s="25">
        <f t="shared" si="1"/>
        <v>2316044.8666688502</v>
      </c>
      <c r="M22" s="25">
        <f t="shared" si="1"/>
        <v>2364450.2043822291</v>
      </c>
      <c r="N22" s="25">
        <f t="shared" si="1"/>
        <v>2413867.2136538168</v>
      </c>
      <c r="O22" s="25">
        <f t="shared" si="1"/>
        <v>2464317.0384191815</v>
      </c>
      <c r="P22" s="25">
        <f t="shared" si="1"/>
        <v>2515821.2645221422</v>
      </c>
      <c r="Q22" s="25">
        <f t="shared" si="1"/>
        <v>2568401.9289506553</v>
      </c>
      <c r="R22" s="25">
        <f t="shared" si="1"/>
        <v>2622081.5292657232</v>
      </c>
      <c r="S22" s="25">
        <f t="shared" si="1"/>
        <v>2676883.0332273771</v>
      </c>
      <c r="T22" s="25">
        <f t="shared" si="1"/>
        <v>2732829.888621829</v>
      </c>
      <c r="U22" s="25">
        <f t="shared" si="1"/>
        <v>2789946.0332940244</v>
      </c>
      <c r="V22" s="25">
        <f t="shared" si="1"/>
        <v>2848255.9053898701</v>
      </c>
      <c r="W22" s="25">
        <f t="shared" si="1"/>
        <v>2907784.4538125182</v>
      </c>
      <c r="X22" s="25">
        <f t="shared" si="1"/>
        <v>2968557.1488971985</v>
      </c>
    </row>
    <row r="23" spans="2:25" ht="9.75" customHeight="1" x14ac:dyDescent="0.2">
      <c r="E23" s="25"/>
      <c r="F23" s="29"/>
    </row>
    <row r="24" spans="2:25" x14ac:dyDescent="0.2">
      <c r="B24" s="10" t="s">
        <v>1</v>
      </c>
      <c r="D24" s="76"/>
      <c r="E24" s="25">
        <f>0.9*35000*E19/1000</f>
        <v>125053.89749999999</v>
      </c>
      <c r="F24" s="22">
        <f>E24*(1+'Financial model'!$H$11)</f>
        <v>128180.24493749999</v>
      </c>
      <c r="G24" s="22">
        <f>F24*(1+'Financial model'!$H$11)</f>
        <v>131384.75106093747</v>
      </c>
      <c r="H24" s="22">
        <f>G24*(1+'Financial model'!$H$11)</f>
        <v>134669.36983746089</v>
      </c>
      <c r="I24" s="22">
        <f>H24*(1+'Financial model'!$H$11)</f>
        <v>138036.1040833974</v>
      </c>
      <c r="J24" s="22">
        <f>I24*(1+'Financial model'!$H$11)</f>
        <v>141487.00668548231</v>
      </c>
      <c r="K24" s="22">
        <f>J24*(1+'Financial model'!$H$11)</f>
        <v>145024.18185261937</v>
      </c>
      <c r="L24" s="22">
        <f>K24*(1+'Financial model'!$H$11)</f>
        <v>148649.78639893484</v>
      </c>
      <c r="M24" s="22">
        <f>L24*(1+'Financial model'!$H$11)</f>
        <v>152366.03105890821</v>
      </c>
      <c r="N24" s="22">
        <f>M24*(1+'Financial model'!$H$11)</f>
        <v>156175.18183538091</v>
      </c>
      <c r="O24" s="22">
        <f>N24*(1+'Financial model'!$H$11)</f>
        <v>160079.5613812654</v>
      </c>
      <c r="P24" s="22">
        <f>O24*(1+'Financial model'!$H$11)</f>
        <v>164081.55041579701</v>
      </c>
      <c r="Q24" s="22">
        <f>P24*(1+'Financial model'!$H$11)</f>
        <v>168183.58917619192</v>
      </c>
      <c r="R24" s="22">
        <f>Q24*(1+'Financial model'!$H$11)</f>
        <v>172388.17890559669</v>
      </c>
      <c r="S24" s="22">
        <f>R24*(1+'Financial model'!$H$11)</f>
        <v>176697.88337823658</v>
      </c>
      <c r="T24" s="22">
        <f>S24*(1+'Financial model'!$H$11)</f>
        <v>181115.33046269248</v>
      </c>
      <c r="U24" s="22">
        <f>T24*(1+'Financial model'!$H$11)</f>
        <v>185643.21372425978</v>
      </c>
      <c r="V24" s="22">
        <f>U24*(1+'Financial model'!$H$11)</f>
        <v>190284.29406736625</v>
      </c>
      <c r="W24" s="22">
        <f>V24*(1+'Financial model'!$H$11)</f>
        <v>195041.40141905038</v>
      </c>
      <c r="X24" s="22">
        <f>W24*(1+'Financial model'!$H$11)</f>
        <v>199917.43645452661</v>
      </c>
    </row>
    <row r="25" spans="2:25" x14ac:dyDescent="0.2">
      <c r="B25" s="10" t="s">
        <v>16</v>
      </c>
      <c r="E25" s="25">
        <f>0.9*80000</f>
        <v>72000</v>
      </c>
      <c r="F25" s="22">
        <f>E25*(1+'Financial model'!$H$11)</f>
        <v>73800</v>
      </c>
      <c r="G25" s="22">
        <f>F25*(1+'Financial model'!$H$11)</f>
        <v>75645</v>
      </c>
      <c r="H25" s="22">
        <f>G25*(1+'Financial model'!$H$11)</f>
        <v>77536.125</v>
      </c>
      <c r="I25" s="22">
        <f>H25*(1+'Financial model'!$H$11)</f>
        <v>79474.528124999997</v>
      </c>
      <c r="J25" s="22">
        <f>I25*(1+'Financial model'!$H$11)</f>
        <v>81461.391328124984</v>
      </c>
      <c r="K25" s="22">
        <f>J25*(1+'Financial model'!$H$11)</f>
        <v>83497.926111328095</v>
      </c>
      <c r="L25" s="22">
        <f>K25*(1+'Financial model'!$H$11)</f>
        <v>85585.374264111291</v>
      </c>
      <c r="M25" s="22">
        <f>L25*(1+'Financial model'!$H$11)</f>
        <v>87725.00862071407</v>
      </c>
      <c r="N25" s="22">
        <f>M25*(1+'Financial model'!$H$11)</f>
        <v>89918.133836231907</v>
      </c>
      <c r="O25" s="22">
        <f>N25*(1+'Financial model'!$H$11)</f>
        <v>92166.087182137693</v>
      </c>
      <c r="P25" s="22">
        <f>O25*(1+'Financial model'!$H$11)</f>
        <v>94470.239361691129</v>
      </c>
      <c r="Q25" s="22">
        <f>P25*(1+'Financial model'!$H$11)</f>
        <v>96831.995345733405</v>
      </c>
      <c r="R25" s="22">
        <f>Q25*(1+'Financial model'!$H$11)</f>
        <v>99252.79522937673</v>
      </c>
      <c r="S25" s="22">
        <f>R25*(1+'Financial model'!$H$11)</f>
        <v>101734.11511011115</v>
      </c>
      <c r="T25" s="22">
        <f>S25*(1+'Financial model'!$H$11)</f>
        <v>104277.46798786391</v>
      </c>
      <c r="U25" s="22">
        <f>T25*(1+'Financial model'!$H$11)</f>
        <v>106884.4046875605</v>
      </c>
      <c r="V25" s="22">
        <f>U25*(1+'Financial model'!$H$11)</f>
        <v>109556.5148047495</v>
      </c>
      <c r="W25" s="22">
        <f>V25*(1+'Financial model'!$H$11)</f>
        <v>112295.42767486823</v>
      </c>
      <c r="X25" s="22">
        <f>W25*(1+'Financial model'!$H$11)</f>
        <v>115102.81336673992</v>
      </c>
    </row>
    <row r="26" spans="2:25" x14ac:dyDescent="0.2">
      <c r="B26" s="10" t="s">
        <v>2</v>
      </c>
      <c r="E26" s="25">
        <f>0.9*4000*E19/1000</f>
        <v>14291.873999999998</v>
      </c>
      <c r="F26" s="22">
        <f>E26*(1+'Financial model'!$H$11)</f>
        <v>14649.170849999997</v>
      </c>
      <c r="G26" s="22">
        <f>F26*(1+'Financial model'!$H$11)</f>
        <v>15015.400121249995</v>
      </c>
      <c r="H26" s="22">
        <f>G26*(1+'Financial model'!$H$11)</f>
        <v>15390.785124281243</v>
      </c>
      <c r="I26" s="22">
        <f>H26*(1+'Financial model'!$H$11)</f>
        <v>15775.554752388272</v>
      </c>
      <c r="J26" s="22">
        <f>I26*(1+'Financial model'!$H$11)</f>
        <v>16169.943621197977</v>
      </c>
      <c r="K26" s="22">
        <f>J26*(1+'Financial model'!$H$11)</f>
        <v>16574.192211727925</v>
      </c>
      <c r="L26" s="22">
        <f>K26*(1+'Financial model'!$H$11)</f>
        <v>16988.547017021123</v>
      </c>
      <c r="M26" s="22">
        <f>L26*(1+'Financial model'!$H$11)</f>
        <v>17413.260692446649</v>
      </c>
      <c r="N26" s="22">
        <f>M26*(1+'Financial model'!$H$11)</f>
        <v>17848.592209757815</v>
      </c>
      <c r="O26" s="22">
        <f>N26*(1+'Financial model'!$H$11)</f>
        <v>18294.807015001759</v>
      </c>
      <c r="P26" s="22">
        <f>O26*(1+'Financial model'!$H$11)</f>
        <v>18752.177190376802</v>
      </c>
      <c r="Q26" s="22">
        <f>P26*(1+'Financial model'!$H$11)</f>
        <v>19220.981620136219</v>
      </c>
      <c r="R26" s="22">
        <f>Q26*(1+'Financial model'!$H$11)</f>
        <v>19701.506160639623</v>
      </c>
      <c r="S26" s="22">
        <f>R26*(1+'Financial model'!$H$11)</f>
        <v>20194.043814655612</v>
      </c>
      <c r="T26" s="22">
        <f>S26*(1+'Financial model'!$H$11)</f>
        <v>20698.894910022002</v>
      </c>
      <c r="U26" s="22">
        <f>T26*(1+'Financial model'!$H$11)</f>
        <v>21216.36728277255</v>
      </c>
      <c r="V26" s="22">
        <f>U26*(1+'Financial model'!$H$11)</f>
        <v>21746.77646484186</v>
      </c>
      <c r="W26" s="22">
        <f>V26*(1+'Financial model'!$H$11)</f>
        <v>22290.445876462905</v>
      </c>
      <c r="X26" s="22">
        <f>W26*(1+'Financial model'!$H$11)</f>
        <v>22847.707023374474</v>
      </c>
    </row>
    <row r="27" spans="2:25" x14ac:dyDescent="0.2">
      <c r="B27" s="10" t="s">
        <v>3</v>
      </c>
      <c r="E27" s="25">
        <v>0</v>
      </c>
      <c r="F27" s="22">
        <f>E27*(1+'Financial model'!$H$11)</f>
        <v>0</v>
      </c>
      <c r="G27" s="22">
        <f>F27*(1+'Financial model'!$H$11)</f>
        <v>0</v>
      </c>
      <c r="H27" s="22">
        <f>G27*(1+'Financial model'!$H$11)</f>
        <v>0</v>
      </c>
      <c r="I27" s="22">
        <f>H27*(1+'Financial model'!$H$11)</f>
        <v>0</v>
      </c>
      <c r="J27" s="22">
        <f>I27*(1+'Financial model'!$H$11)</f>
        <v>0</v>
      </c>
      <c r="K27" s="22">
        <f>J27*(1+'Financial model'!$H$11)</f>
        <v>0</v>
      </c>
      <c r="L27" s="22">
        <f>K27*(1+'Financial model'!$H$11)</f>
        <v>0</v>
      </c>
      <c r="M27" s="22">
        <f>L27*(1+'Financial model'!$H$11)</f>
        <v>0</v>
      </c>
      <c r="N27" s="22">
        <f>M27*(1+'Financial model'!$H$11)</f>
        <v>0</v>
      </c>
      <c r="O27" s="22">
        <f>N27*(1+'Financial model'!$H$11)</f>
        <v>0</v>
      </c>
      <c r="P27" s="22">
        <f>O27*(1+'Financial model'!$H$11)</f>
        <v>0</v>
      </c>
      <c r="Q27" s="22">
        <f>P27*(1+'Financial model'!$H$11)</f>
        <v>0</v>
      </c>
      <c r="R27" s="22">
        <f>Q27*(1+'Financial model'!$H$11)</f>
        <v>0</v>
      </c>
      <c r="S27" s="22">
        <f>R27*(1+'Financial model'!$H$11)</f>
        <v>0</v>
      </c>
      <c r="T27" s="22">
        <f>S27*(1+'Financial model'!$H$11)</f>
        <v>0</v>
      </c>
      <c r="U27" s="22">
        <f>T27*(1+'Financial model'!$H$11)</f>
        <v>0</v>
      </c>
      <c r="V27" s="22">
        <f>U27*(1+'Financial model'!$H$11)</f>
        <v>0</v>
      </c>
      <c r="W27" s="22">
        <f>V27*(1+'Financial model'!$H$11)</f>
        <v>0</v>
      </c>
      <c r="X27" s="22">
        <f>W27*(1+'Financial model'!$H$11)</f>
        <v>0</v>
      </c>
    </row>
    <row r="28" spans="2:25" x14ac:dyDescent="0.2">
      <c r="B28" s="10" t="s">
        <v>4</v>
      </c>
      <c r="E28" s="25">
        <f>0.9*4000*E19/1000</f>
        <v>14291.873999999998</v>
      </c>
      <c r="F28" s="22">
        <f>E28*(1+'Financial model'!$H$11)</f>
        <v>14649.170849999997</v>
      </c>
      <c r="G28" s="22">
        <f>F28*(1+'Financial model'!$H$11)</f>
        <v>15015.400121249995</v>
      </c>
      <c r="H28" s="22">
        <f>G28*(1+'Financial model'!$H$11)</f>
        <v>15390.785124281243</v>
      </c>
      <c r="I28" s="22">
        <f>H28*(1+'Financial model'!$H$11)</f>
        <v>15775.554752388272</v>
      </c>
      <c r="J28" s="22">
        <f>I28*(1+'Financial model'!$H$11)</f>
        <v>16169.943621197977</v>
      </c>
      <c r="K28" s="22">
        <f>J28*(1+'Financial model'!$H$11)</f>
        <v>16574.192211727925</v>
      </c>
      <c r="L28" s="22">
        <f>K28*(1+'Financial model'!$H$11)</f>
        <v>16988.547017021123</v>
      </c>
      <c r="M28" s="22">
        <f>L28*(1+'Financial model'!$H$11)</f>
        <v>17413.260692446649</v>
      </c>
      <c r="N28" s="22">
        <f>M28*(1+'Financial model'!$H$11)</f>
        <v>17848.592209757815</v>
      </c>
      <c r="O28" s="22">
        <f>N28*(1+'Financial model'!$H$11)</f>
        <v>18294.807015001759</v>
      </c>
      <c r="P28" s="22">
        <f>O28*(1+'Financial model'!$H$11)</f>
        <v>18752.177190376802</v>
      </c>
      <c r="Q28" s="22">
        <f>P28*(1+'Financial model'!$H$11)</f>
        <v>19220.981620136219</v>
      </c>
      <c r="R28" s="22">
        <f>Q28*(1+'Financial model'!$H$11)</f>
        <v>19701.506160639623</v>
      </c>
      <c r="S28" s="22">
        <f>R28*(1+'Financial model'!$H$11)</f>
        <v>20194.043814655612</v>
      </c>
      <c r="T28" s="22">
        <f>S28*(1+'Financial model'!$H$11)</f>
        <v>20698.894910022002</v>
      </c>
      <c r="U28" s="22">
        <f>T28*(1+'Financial model'!$H$11)</f>
        <v>21216.36728277255</v>
      </c>
      <c r="V28" s="22">
        <f>U28*(1+'Financial model'!$H$11)</f>
        <v>21746.77646484186</v>
      </c>
      <c r="W28" s="22">
        <f>V28*(1+'Financial model'!$H$11)</f>
        <v>22290.445876462905</v>
      </c>
      <c r="X28" s="22">
        <f>W28*(1+'Financial model'!$H$11)</f>
        <v>22847.707023374474</v>
      </c>
    </row>
    <row r="29" spans="2:25" x14ac:dyDescent="0.2">
      <c r="B29" s="10" t="s">
        <v>8</v>
      </c>
      <c r="E29" s="25">
        <f>0.9*(5000+7000*E19/1000+0.16%*E22+1%*(E22-E24-E25-E26-E27-E28-E32-E33))</f>
        <v>40111.202547351932</v>
      </c>
      <c r="F29" s="22">
        <f>E29*(1+'Financial model'!$H$11)</f>
        <v>41113.982611035724</v>
      </c>
      <c r="G29" s="22">
        <f>F29*(1+'Financial model'!$H$11)</f>
        <v>42141.832176311611</v>
      </c>
      <c r="H29" s="22">
        <f>G29*(1+'Financial model'!$H$11)</f>
        <v>43195.377980719401</v>
      </c>
      <c r="I29" s="22">
        <f>H29*(1+'Financial model'!$H$11)</f>
        <v>44275.262430237381</v>
      </c>
      <c r="J29" s="22">
        <f>I29*(1+'Financial model'!$H$11)</f>
        <v>45382.143990993311</v>
      </c>
      <c r="K29" s="22">
        <f>J29*(1+'Financial model'!$H$11)</f>
        <v>46516.697590768141</v>
      </c>
      <c r="L29" s="22">
        <f>K29*(1+'Financial model'!$H$11)</f>
        <v>47679.615030537338</v>
      </c>
      <c r="M29" s="22">
        <f>L29*(1+'Financial model'!$H$11)</f>
        <v>48871.605406300769</v>
      </c>
      <c r="N29" s="22">
        <f>M29*(1+'Financial model'!$H$11)</f>
        <v>50093.395541458282</v>
      </c>
      <c r="O29" s="22">
        <f>N29*(1+'Financial model'!$H$11)</f>
        <v>51345.730429994735</v>
      </c>
      <c r="P29" s="22">
        <f>O29*(1+'Financial model'!$H$11)</f>
        <v>52629.3736907446</v>
      </c>
      <c r="Q29" s="22">
        <f>P29*(1+'Financial model'!$H$11)</f>
        <v>53945.10803301321</v>
      </c>
      <c r="R29" s="22">
        <f>Q29*(1+'Financial model'!$H$11)</f>
        <v>55293.735733838534</v>
      </c>
      <c r="S29" s="22">
        <f>R29*(1+'Financial model'!$H$11)</f>
        <v>56676.079127184494</v>
      </c>
      <c r="T29" s="22">
        <f>S29*(1+'Financial model'!$H$11)</f>
        <v>58092.981105364102</v>
      </c>
      <c r="U29" s="22">
        <f>T29*(1+'Financial model'!$H$11)</f>
        <v>59545.305632998199</v>
      </c>
      <c r="V29" s="22">
        <f>U29*(1+'Financial model'!$H$11)</f>
        <v>61033.938273823151</v>
      </c>
      <c r="W29" s="22">
        <f>V29*(1+'Financial model'!$H$11)</f>
        <v>62559.786730668726</v>
      </c>
      <c r="X29" s="22">
        <f>W29*(1+'Financial model'!$H$11)</f>
        <v>64123.78139893544</v>
      </c>
    </row>
    <row r="30" spans="2:25" ht="6.75" customHeight="1" thickBot="1" x14ac:dyDescent="0.25">
      <c r="E30" s="30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spans="2:25" ht="16" thickTop="1" x14ac:dyDescent="0.2">
      <c r="B31" s="28" t="s">
        <v>9</v>
      </c>
      <c r="E31" s="33">
        <f>E22-SUM(E24:E29)</f>
        <v>1738098.0731070482</v>
      </c>
      <c r="F31" s="33">
        <f t="shared" ref="F31:X31" si="2">F22-SUM(F24:F29)</f>
        <v>1773334.7525579908</v>
      </c>
      <c r="G31" s="33">
        <f t="shared" si="2"/>
        <v>1809280.6393525344</v>
      </c>
      <c r="H31" s="33">
        <f t="shared" si="2"/>
        <v>1845949.8749427358</v>
      </c>
      <c r="I31" s="33">
        <f t="shared" si="2"/>
        <v>1883356.879312464</v>
      </c>
      <c r="J31" s="33">
        <f t="shared" si="2"/>
        <v>1921516.3563731071</v>
      </c>
      <c r="K31" s="33">
        <f t="shared" si="2"/>
        <v>1960443.2994613913</v>
      </c>
      <c r="L31" s="33">
        <f t="shared" si="2"/>
        <v>2000152.9969412244</v>
      </c>
      <c r="M31" s="33">
        <f t="shared" si="2"/>
        <v>2040661.0379114128</v>
      </c>
      <c r="N31" s="33">
        <f t="shared" si="2"/>
        <v>2081983.3180212302</v>
      </c>
      <c r="O31" s="33">
        <f t="shared" si="2"/>
        <v>2124136.0453957799</v>
      </c>
      <c r="P31" s="33">
        <f t="shared" si="2"/>
        <v>2167135.746673156</v>
      </c>
      <c r="Q31" s="33">
        <f t="shared" si="2"/>
        <v>2210999.2731554443</v>
      </c>
      <c r="R31" s="33">
        <f t="shared" si="2"/>
        <v>2255743.8070756318</v>
      </c>
      <c r="S31" s="33">
        <f t="shared" si="2"/>
        <v>2301386.8679825338</v>
      </c>
      <c r="T31" s="33">
        <f t="shared" si="2"/>
        <v>2347946.3192458646</v>
      </c>
      <c r="U31" s="33">
        <f t="shared" si="2"/>
        <v>2395440.3746836609</v>
      </c>
      <c r="V31" s="33">
        <f t="shared" si="2"/>
        <v>2443887.6053142473</v>
      </c>
      <c r="W31" s="33">
        <f t="shared" si="2"/>
        <v>2493306.9462350048</v>
      </c>
      <c r="X31" s="33">
        <f t="shared" si="2"/>
        <v>2543717.7036302476</v>
      </c>
    </row>
    <row r="32" spans="2:25" x14ac:dyDescent="0.2">
      <c r="B32" s="10" t="s">
        <v>32</v>
      </c>
      <c r="C32" s="189">
        <f>'Financial model'!H7</f>
        <v>20</v>
      </c>
      <c r="E32" s="22">
        <f t="shared" ref="E32:X32" si="3">$H$8/$H$7</f>
        <v>700000</v>
      </c>
      <c r="F32" s="22">
        <f t="shared" si="3"/>
        <v>700000</v>
      </c>
      <c r="G32" s="22">
        <f t="shared" si="3"/>
        <v>700000</v>
      </c>
      <c r="H32" s="22">
        <f t="shared" si="3"/>
        <v>700000</v>
      </c>
      <c r="I32" s="22">
        <f t="shared" si="3"/>
        <v>700000</v>
      </c>
      <c r="J32" s="22">
        <f t="shared" si="3"/>
        <v>700000</v>
      </c>
      <c r="K32" s="22">
        <f t="shared" si="3"/>
        <v>700000</v>
      </c>
      <c r="L32" s="22">
        <f t="shared" si="3"/>
        <v>700000</v>
      </c>
      <c r="M32" s="22">
        <f t="shared" si="3"/>
        <v>700000</v>
      </c>
      <c r="N32" s="22">
        <f t="shared" si="3"/>
        <v>700000</v>
      </c>
      <c r="O32" s="22">
        <f t="shared" si="3"/>
        <v>700000</v>
      </c>
      <c r="P32" s="22">
        <f t="shared" si="3"/>
        <v>700000</v>
      </c>
      <c r="Q32" s="22">
        <f t="shared" si="3"/>
        <v>700000</v>
      </c>
      <c r="R32" s="22">
        <f t="shared" si="3"/>
        <v>700000</v>
      </c>
      <c r="S32" s="22">
        <f t="shared" si="3"/>
        <v>700000</v>
      </c>
      <c r="T32" s="22">
        <f t="shared" si="3"/>
        <v>700000</v>
      </c>
      <c r="U32" s="22">
        <f t="shared" si="3"/>
        <v>700000</v>
      </c>
      <c r="V32" s="22">
        <f t="shared" si="3"/>
        <v>700000</v>
      </c>
      <c r="W32" s="22">
        <f t="shared" si="3"/>
        <v>700000</v>
      </c>
      <c r="X32" s="22">
        <f t="shared" si="3"/>
        <v>700000</v>
      </c>
    </row>
    <row r="33" spans="2:25" x14ac:dyDescent="0.2">
      <c r="B33" s="10" t="s">
        <v>12</v>
      </c>
      <c r="C33" s="190"/>
      <c r="E33" s="22">
        <f>'Debt Repayment profiles'!C12</f>
        <v>221000</v>
      </c>
      <c r="F33" s="22">
        <f>'Debt Repayment profiles'!D12</f>
        <v>214316.38823085721</v>
      </c>
      <c r="G33" s="22">
        <f>'Debt Repayment profiles'!E12</f>
        <v>207298.59587325729</v>
      </c>
      <c r="H33" s="22">
        <f>'Debt Repayment profiles'!F12</f>
        <v>199929.91389777738</v>
      </c>
      <c r="I33" s="22">
        <f>'Debt Repayment profiles'!G12</f>
        <v>192192.79782352346</v>
      </c>
      <c r="J33" s="22">
        <f>'Debt Repayment profiles'!H12</f>
        <v>184068.82594555686</v>
      </c>
      <c r="K33" s="22">
        <f>'Debt Repayment profiles'!I12</f>
        <v>175538.65547369191</v>
      </c>
      <c r="L33" s="22">
        <f>'Debt Repayment profiles'!J12</f>
        <v>166581.97647823373</v>
      </c>
      <c r="M33" s="22">
        <f>'Debt Repayment profiles'!K12</f>
        <v>157177.46353300262</v>
      </c>
      <c r="N33" s="22">
        <f>'Debt Repayment profiles'!L12</f>
        <v>147302.72494050997</v>
      </c>
      <c r="O33" s="22">
        <f>'Debt Repayment profiles'!M12</f>
        <v>136934.24941839269</v>
      </c>
      <c r="P33" s="22">
        <f>'Debt Repayment profiles'!N12</f>
        <v>126047.35012016953</v>
      </c>
      <c r="Q33" s="22">
        <f>'Debt Repayment profiles'!O12</f>
        <v>114616.10585703522</v>
      </c>
      <c r="R33" s="22">
        <f>'Debt Repayment profiles'!P12</f>
        <v>102613.2993807442</v>
      </c>
      <c r="S33" s="22">
        <f>'Debt Repayment profiles'!Q12</f>
        <v>90010.352580638617</v>
      </c>
      <c r="T33" s="22">
        <f>'Debt Repayment profiles'!R12</f>
        <v>76777.258440527759</v>
      </c>
      <c r="U33" s="22">
        <f>'Debt Repayment profiles'!S12</f>
        <v>62882.509593411378</v>
      </c>
      <c r="V33" s="22">
        <f>'Debt Repayment profiles'!T12</f>
        <v>48293.023303939161</v>
      </c>
      <c r="W33" s="22">
        <f>'Debt Repayment profiles'!U12</f>
        <v>32974.062699993337</v>
      </c>
      <c r="X33" s="22">
        <f>'Debt Repayment profiles'!V12</f>
        <v>16889.154065850216</v>
      </c>
    </row>
    <row r="34" spans="2:25" x14ac:dyDescent="0.2">
      <c r="B34" s="10" t="s">
        <v>13</v>
      </c>
      <c r="C34" s="190"/>
      <c r="E34" s="22">
        <f>'Debt Repayment profiles'!C15+'Debt Repayment profiles'!C16</f>
        <v>133672.23538285564</v>
      </c>
      <c r="F34" s="22">
        <f>'Debt Repayment profiles'!D15+'Debt Repayment profiles'!D16</f>
        <v>140355.84715199843</v>
      </c>
      <c r="G34" s="22">
        <f>'Debt Repayment profiles'!E15+'Debt Repayment profiles'!E16</f>
        <v>147373.63950959835</v>
      </c>
      <c r="H34" s="22">
        <f>'Debt Repayment profiles'!F15+'Debt Repayment profiles'!F16</f>
        <v>154742.32148507825</v>
      </c>
      <c r="I34" s="22">
        <f>'Debt Repayment profiles'!G15+'Debt Repayment profiles'!G16</f>
        <v>162479.43755933217</v>
      </c>
      <c r="J34" s="22">
        <f>'Debt Repayment profiles'!H15+'Debt Repayment profiles'!H16</f>
        <v>170603.40943729877</v>
      </c>
      <c r="K34" s="22">
        <f>'Debt Repayment profiles'!I15+'Debt Repayment profiles'!I16</f>
        <v>179133.57990916373</v>
      </c>
      <c r="L34" s="22">
        <f>'Debt Repayment profiles'!J15+'Debt Repayment profiles'!J16</f>
        <v>188090.25890462191</v>
      </c>
      <c r="M34" s="22">
        <f>'Debt Repayment profiles'!K15+'Debt Repayment profiles'!K16</f>
        <v>197494.77184985302</v>
      </c>
      <c r="N34" s="22">
        <f>'Debt Repayment profiles'!L15+'Debt Repayment profiles'!L16</f>
        <v>207369.51044234567</v>
      </c>
      <c r="O34" s="22">
        <f>'Debt Repayment profiles'!M15+'Debt Repayment profiles'!M16</f>
        <v>217737.98596446295</v>
      </c>
      <c r="P34" s="22">
        <f>'Debt Repayment profiles'!N15+'Debt Repayment profiles'!N16</f>
        <v>228624.88526268612</v>
      </c>
      <c r="Q34" s="22">
        <f>'Debt Repayment profiles'!O15+'Debt Repayment profiles'!O16</f>
        <v>240056.12952582043</v>
      </c>
      <c r="R34" s="22">
        <f>'Debt Repayment profiles'!P15+'Debt Repayment profiles'!P16</f>
        <v>252058.93600211144</v>
      </c>
      <c r="S34" s="22">
        <f>'Debt Repayment profiles'!Q15+'Debt Repayment profiles'!Q16</f>
        <v>264661.88280221703</v>
      </c>
      <c r="T34" s="22">
        <f>'Debt Repayment profiles'!R15+'Debt Repayment profiles'!R16</f>
        <v>277894.97694232786</v>
      </c>
      <c r="U34" s="22">
        <f>'Debt Repayment profiles'!S15+'Debt Repayment profiles'!S16</f>
        <v>291789.72578944429</v>
      </c>
      <c r="V34" s="22">
        <f>'Debt Repayment profiles'!T15+'Debt Repayment profiles'!T16</f>
        <v>306379.21207891649</v>
      </c>
      <c r="W34" s="22">
        <f>'Debt Repayment profiles'!U15+'Debt Repayment profiles'!U16</f>
        <v>321698.17268286232</v>
      </c>
      <c r="X34" s="22">
        <f>'Debt Repayment profiles'!V15+'Debt Repayment profiles'!V16</f>
        <v>337783.08131700545</v>
      </c>
      <c r="Y34" s="153"/>
    </row>
    <row r="35" spans="2:25" x14ac:dyDescent="0.2">
      <c r="B35" s="10" t="s">
        <v>11</v>
      </c>
      <c r="C35" s="191">
        <f>'Financial model'!H9</f>
        <v>0.33329999999999999</v>
      </c>
      <c r="E35" s="156">
        <f>$C$35*(E31-E32-E33)</f>
        <v>272338.78776657913</v>
      </c>
      <c r="F35" s="22">
        <f>$C$35*(F31-F32-F33)</f>
        <v>286310.82083023363</v>
      </c>
      <c r="G35" s="22">
        <f t="shared" ref="G35:X35" si="4">$C$35*(G31-G32-G33)</f>
        <v>300630.61509164306</v>
      </c>
      <c r="H35" s="22">
        <f t="shared" si="4"/>
        <v>315308.45301628462</v>
      </c>
      <c r="I35" s="22">
        <f t="shared" si="4"/>
        <v>330354.98836026387</v>
      </c>
      <c r="J35" s="22">
        <f t="shared" si="4"/>
        <v>345781.26189150248</v>
      </c>
      <c r="K35" s="22">
        <f t="shared" si="4"/>
        <v>361598.71784110018</v>
      </c>
      <c r="L35" s="22">
        <f t="shared" si="4"/>
        <v>377819.22112031479</v>
      </c>
      <c r="M35" s="22">
        <f t="shared" si="4"/>
        <v>394455.07534032408</v>
      </c>
      <c r="N35" s="22">
        <f t="shared" si="4"/>
        <v>411519.04167380399</v>
      </c>
      <c r="O35" s="22">
        <f t="shared" si="4"/>
        <v>429024.35859926313</v>
      </c>
      <c r="P35" s="22">
        <f t="shared" si="4"/>
        <v>446984.76257111039</v>
      </c>
      <c r="Q35" s="22">
        <f t="shared" si="4"/>
        <v>465414.50966055976</v>
      </c>
      <c r="R35" s="22">
        <f t="shared" si="4"/>
        <v>484328.39821470605</v>
      </c>
      <c r="S35" s="22">
        <f t="shared" si="4"/>
        <v>503741.79258345161</v>
      </c>
      <c r="T35" s="22">
        <f t="shared" si="4"/>
        <v>523670.64796641871</v>
      </c>
      <c r="U35" s="22">
        <f t="shared" si="4"/>
        <v>544131.53643458011</v>
      </c>
      <c r="V35" s="22">
        <f t="shared" si="4"/>
        <v>565141.67418403563</v>
      </c>
      <c r="W35" s="22">
        <f t="shared" si="4"/>
        <v>586718.95008221932</v>
      </c>
      <c r="X35" s="22">
        <f t="shared" si="4"/>
        <v>608881.95556981361</v>
      </c>
    </row>
    <row r="36" spans="2:25" s="2" customFormat="1" x14ac:dyDescent="0.2">
      <c r="B36" s="28" t="s">
        <v>217</v>
      </c>
      <c r="C36" s="28"/>
      <c r="D36" s="193">
        <f>-D6</f>
        <v>-8840000</v>
      </c>
      <c r="E36" s="24">
        <f>E31-E35</f>
        <v>1465759.2853404691</v>
      </c>
      <c r="F36" s="24">
        <f>F31-F35</f>
        <v>1487023.9317277572</v>
      </c>
      <c r="G36" s="24">
        <f>G31-G35</f>
        <v>1508650.0242608914</v>
      </c>
      <c r="H36" s="24">
        <f>H31-H35</f>
        <v>1530641.4219264511</v>
      </c>
      <c r="I36" s="24">
        <f>I31-I35</f>
        <v>1553001.8909522002</v>
      </c>
      <c r="J36" s="24">
        <f>J31-J35</f>
        <v>1575735.0944816046</v>
      </c>
      <c r="K36" s="24">
        <f>K31-K35</f>
        <v>1598844.5816202911</v>
      </c>
      <c r="L36" s="24">
        <f>L31-L35</f>
        <v>1622333.7758209095</v>
      </c>
      <c r="M36" s="24">
        <f>M31-M35</f>
        <v>1646205.9625710887</v>
      </c>
      <c r="N36" s="24">
        <f>N31-N35</f>
        <v>1670464.2763474262</v>
      </c>
      <c r="O36" s="24">
        <f>O31-O35</f>
        <v>1695111.6867965166</v>
      </c>
      <c r="P36" s="24">
        <f>P31-P35</f>
        <v>1720150.9841020457</v>
      </c>
      <c r="Q36" s="24">
        <f>Q31-Q35</f>
        <v>1745584.7634948846</v>
      </c>
      <c r="R36" s="24">
        <f>R31-R35</f>
        <v>1771415.4088609258</v>
      </c>
      <c r="S36" s="24">
        <f>S31-S35</f>
        <v>1797645.0753990822</v>
      </c>
      <c r="T36" s="24">
        <f>T31-T35</f>
        <v>1824275.671279446</v>
      </c>
      <c r="U36" s="24">
        <f>U31-U35</f>
        <v>1851308.8382490808</v>
      </c>
      <c r="V36" s="24">
        <f>V31-V35</f>
        <v>1878745.9311302118</v>
      </c>
      <c r="W36" s="24">
        <f>W31-W35</f>
        <v>1906587.9961527856</v>
      </c>
      <c r="X36" s="24">
        <f>X31-X35</f>
        <v>1934835.7480604341</v>
      </c>
      <c r="Y36" s="21"/>
    </row>
    <row r="37" spans="2:25" s="2" customFormat="1" x14ac:dyDescent="0.2">
      <c r="C37" s="192"/>
      <c r="D37" s="77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1"/>
    </row>
    <row r="38" spans="2:25" s="2" customFormat="1" x14ac:dyDescent="0.2">
      <c r="B38" s="28"/>
      <c r="C38" s="192"/>
      <c r="D38" s="77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1"/>
    </row>
    <row r="39" spans="2:25" s="2" customFormat="1" x14ac:dyDescent="0.2">
      <c r="B39" s="70" t="s">
        <v>55</v>
      </c>
      <c r="C39" s="70"/>
      <c r="D39" s="90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21"/>
    </row>
    <row r="40" spans="2:25" s="2" customFormat="1" x14ac:dyDescent="0.2">
      <c r="B40" s="71" t="s">
        <v>56</v>
      </c>
      <c r="C40" s="70"/>
      <c r="D40" s="92"/>
      <c r="E40" s="122">
        <f>('Risk Valuation'!$D$12)*'Financial model'!E22</f>
        <v>40229.184927929862</v>
      </c>
      <c r="F40" s="122">
        <f>('Risk Valuation'!$D$12)*'Financial model'!F22</f>
        <v>41069.974892923587</v>
      </c>
      <c r="G40" s="122">
        <f>('Risk Valuation'!$D$12)*'Financial model'!G22</f>
        <v>41928.337368185697</v>
      </c>
      <c r="H40" s="122">
        <f>('Risk Valuation'!$D$12)*'Financial model'!H22</f>
        <v>42804.639619180787</v>
      </c>
      <c r="I40" s="122">
        <f>('Risk Valuation'!$D$12)*'Financial model'!I22</f>
        <v>43699.256587221636</v>
      </c>
      <c r="J40" s="122">
        <f>('Risk Valuation'!$D$12)*'Financial model'!J22</f>
        <v>44612.571049894585</v>
      </c>
      <c r="K40" s="122">
        <f>('Risk Valuation'!$D$12)*'Financial model'!K22</f>
        <v>45544.973784837362</v>
      </c>
      <c r="L40" s="122">
        <f>('Risk Valuation'!$D$12)*'Financial model'!L22</f>
        <v>46496.863736940468</v>
      </c>
      <c r="M40" s="122">
        <f>('Risk Valuation'!$D$12)*'Financial model'!M22</f>
        <v>47468.648189042528</v>
      </c>
      <c r="N40" s="122">
        <f>('Risk Valuation'!$D$12)*'Financial model'!N22</f>
        <v>48460.742936193499</v>
      </c>
      <c r="O40" s="122">
        <f>('Risk Valuation'!$D$12)*'Financial model'!O22</f>
        <v>49473.57246355994</v>
      </c>
      <c r="P40" s="122">
        <f>('Risk Valuation'!$D$12)*'Financial model'!P22</f>
        <v>50507.570128048341</v>
      </c>
      <c r="Q40" s="122">
        <f>('Risk Valuation'!$D$12)*'Financial model'!Q22</f>
        <v>51563.178343724554</v>
      </c>
      <c r="R40" s="122">
        <f>('Risk Valuation'!$D$12)*'Financial model'!R22</f>
        <v>52640.84877110838</v>
      </c>
      <c r="S40" s="122">
        <f>('Risk Valuation'!$D$12)*'Financial model'!S22</f>
        <v>53741.042510424551</v>
      </c>
      <c r="T40" s="122">
        <f>('Risk Valuation'!$D$12)*'Financial model'!T22</f>
        <v>54864.23029889242</v>
      </c>
      <c r="U40" s="122">
        <f>('Risk Valuation'!$D$12)*'Financial model'!U22</f>
        <v>56010.892712139255</v>
      </c>
      <c r="V40" s="122">
        <f>('Risk Valuation'!$D$12)*'Financial model'!V22</f>
        <v>57181.520369822974</v>
      </c>
      <c r="W40" s="122">
        <f>('Risk Valuation'!$D$12)*'Financial model'!W22</f>
        <v>58376.614145552274</v>
      </c>
      <c r="X40" s="122">
        <f>('Risk Valuation'!$D$12)*'Financial model'!X22</f>
        <v>59596.685381194286</v>
      </c>
      <c r="Y40" s="21"/>
    </row>
    <row r="41" spans="2:25" s="2" customFormat="1" x14ac:dyDescent="0.2">
      <c r="B41" s="71" t="s">
        <v>110</v>
      </c>
      <c r="C41" s="70"/>
      <c r="D41" s="90"/>
      <c r="E41" s="122">
        <f>'Risk Valuation'!$E$26*NPV('Risk Valuation'!$E$26+$H$6,E22:$X$22)</f>
        <v>1236407.646863058</v>
      </c>
      <c r="F41" s="122">
        <f>'Risk Valuation'!$E$26*NPV('Risk Valuation'!$E$26+$H$6,F22:$X$22)</f>
        <v>1228359.7028131087</v>
      </c>
      <c r="G41" s="122">
        <f>'Risk Valuation'!$E$26*NPV('Risk Valuation'!$E$26+$H$6,G22:$X$22)</f>
        <v>1217319.3964137512</v>
      </c>
      <c r="H41" s="122">
        <f>'Risk Valuation'!$E$26*NPV('Risk Valuation'!$E$26+$H$6,H22:$X$22)</f>
        <v>1202988.833237618</v>
      </c>
      <c r="I41" s="122">
        <f>'Risk Valuation'!$E$26*NPV('Risk Valuation'!$E$26+$H$6,I22:$X$22)</f>
        <v>1185044.2794125148</v>
      </c>
      <c r="J41" s="122">
        <f>'Risk Valuation'!$E$26*NPV('Risk Valuation'!$E$26+$H$6,J22:$X$22)</f>
        <v>1163133.9870716301</v>
      </c>
      <c r="K41" s="122">
        <f>'Risk Valuation'!$E$26*NPV('Risk Valuation'!$E$26+$H$6,K22:$X$22)</f>
        <v>1136875.8381426062</v>
      </c>
      <c r="L41" s="122">
        <f>'Risk Valuation'!$E$26*NPV('Risk Valuation'!$E$26+$H$6,L22:$X$22)</f>
        <v>1105854.7913273179</v>
      </c>
      <c r="M41" s="122">
        <f>'Risk Valuation'!$E$26*NPV('Risk Valuation'!$E$26+$H$6,M22:$X$22)</f>
        <v>1069620.1158616222</v>
      </c>
      <c r="N41" s="122">
        <f>'Risk Valuation'!$E$26*NPV('Risk Valuation'!$E$26+$H$6,N22:$X$22)</f>
        <v>1027682.3942765285</v>
      </c>
      <c r="O41" s="122">
        <f>'Risk Valuation'!$E$26*NPV('Risk Valuation'!$E$26+$H$6,O22:$X$22)</f>
        <v>979510.27490046329</v>
      </c>
      <c r="P41" s="122">
        <f>'Risk Valuation'!$E$26*NPV('Risk Valuation'!$E$26+$H$6,P22:$X$22)</f>
        <v>924526.953237009</v>
      </c>
      <c r="Q41" s="122">
        <f>'Risk Valuation'!$E$26*NPV('Risk Valuation'!$E$26+$H$6,Q22:$X$22)</f>
        <v>862106.35961342801</v>
      </c>
      <c r="R41" s="122">
        <f>'Risk Valuation'!$E$26*NPV('Risk Valuation'!$E$26+$H$6,R22:$X$22)</f>
        <v>791569.02861129877</v>
      </c>
      <c r="S41" s="122">
        <f>'Risk Valuation'!$E$26*NPV('Risk Valuation'!$E$26+$H$6,S22:$X$22)</f>
        <v>712177.62374956673</v>
      </c>
      <c r="T41" s="122">
        <f>'Risk Valuation'!$E$26*NPV('Risk Valuation'!$E$26+$H$6,T22:$X$22)</f>
        <v>623132.08867923054</v>
      </c>
      <c r="U41" s="122">
        <f>'Risk Valuation'!$E$26*NPV('Risk Valuation'!$E$26+$H$6,U22:$X$22)</f>
        <v>523564.39375349972</v>
      </c>
      <c r="V41" s="122">
        <f>'Risk Valuation'!$E$26*NPV('Risk Valuation'!$E$26+$H$6,V22:$X$22)</f>
        <v>412532.84424227726</v>
      </c>
      <c r="W41" s="122">
        <f>'Risk Valuation'!$E$26*NPV('Risk Valuation'!$E$26+$H$6,W22:$X$22)</f>
        <v>289015.9136485593</v>
      </c>
      <c r="X41" s="122">
        <f>'Risk Valuation'!$E$26*NPV('Risk Valuation'!$E$26+$H$6,X22:$X$22)</f>
        <v>151905.56253880708</v>
      </c>
      <c r="Y41" s="21"/>
    </row>
    <row r="42" spans="2:25" s="2" customFormat="1" x14ac:dyDescent="0.2">
      <c r="B42" s="71" t="s">
        <v>108</v>
      </c>
      <c r="C42" s="70"/>
      <c r="D42" s="90"/>
      <c r="E42" s="122">
        <f>'Risk Valuation'!$E$36*'Financial model'!E24</f>
        <v>6252.6948750000001</v>
      </c>
      <c r="F42" s="122">
        <f>'Risk Valuation'!$E$36*'Financial model'!F24</f>
        <v>6409.0122468749996</v>
      </c>
      <c r="G42" s="122">
        <f>'Risk Valuation'!$E$36*'Financial model'!G24</f>
        <v>6569.2375530468744</v>
      </c>
      <c r="H42" s="122">
        <f>'Risk Valuation'!$E$36*'Financial model'!H24</f>
        <v>6733.4684918730454</v>
      </c>
      <c r="I42" s="122">
        <f>'Risk Valuation'!$E$36*'Financial model'!I24</f>
        <v>6901.8052041698702</v>
      </c>
      <c r="J42" s="122">
        <f>'Risk Valuation'!$E$36*'Financial model'!J24</f>
        <v>7074.350334274116</v>
      </c>
      <c r="K42" s="122">
        <f>'Risk Valuation'!$E$36*'Financial model'!K24</f>
        <v>7251.2090926309684</v>
      </c>
      <c r="L42" s="122">
        <f>'Risk Valuation'!$E$36*'Financial model'!L24</f>
        <v>7432.4893199467424</v>
      </c>
      <c r="M42" s="122">
        <f>'Risk Valuation'!$E$36*'Financial model'!M24</f>
        <v>7618.3015529454105</v>
      </c>
      <c r="N42" s="122">
        <f>'Risk Valuation'!$E$36*'Financial model'!N24</f>
        <v>7808.7590917690459</v>
      </c>
      <c r="O42" s="122">
        <f>'Risk Valuation'!$E$36*'Financial model'!O24</f>
        <v>8003.9780690632706</v>
      </c>
      <c r="P42" s="122">
        <f>'Risk Valuation'!$E$36*'Financial model'!P24</f>
        <v>8204.0775207898514</v>
      </c>
      <c r="Q42" s="122">
        <f>'Risk Valuation'!$E$36*'Financial model'!Q24</f>
        <v>8409.1794588095963</v>
      </c>
      <c r="R42" s="122">
        <f>'Risk Valuation'!$E$36*'Financial model'!R24</f>
        <v>8619.4089452798344</v>
      </c>
      <c r="S42" s="122">
        <f>'Risk Valuation'!$E$36*'Financial model'!S24</f>
        <v>8834.8941689118292</v>
      </c>
      <c r="T42" s="122">
        <f>'Risk Valuation'!$E$36*'Financial model'!T24</f>
        <v>9055.7665231346236</v>
      </c>
      <c r="U42" s="122">
        <f>'Risk Valuation'!$E$36*'Financial model'!U24</f>
        <v>9282.1606862129902</v>
      </c>
      <c r="V42" s="122">
        <f>'Risk Valuation'!$E$36*'Financial model'!V24</f>
        <v>9514.2147033683123</v>
      </c>
      <c r="W42" s="122">
        <f>'Risk Valuation'!$E$36*'Financial model'!W24</f>
        <v>9752.070070952519</v>
      </c>
      <c r="X42" s="122">
        <f>'Risk Valuation'!$E$36*'Financial model'!X24</f>
        <v>9995.8718227263307</v>
      </c>
      <c r="Y42" s="21"/>
    </row>
    <row r="43" spans="2:25" s="2" customFormat="1" x14ac:dyDescent="0.2">
      <c r="B43" s="71"/>
      <c r="C43" s="70"/>
      <c r="D43" s="90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21"/>
    </row>
    <row r="44" spans="2:25" s="2" customFormat="1" x14ac:dyDescent="0.2">
      <c r="B44" s="70" t="s">
        <v>61</v>
      </c>
      <c r="C44" s="70"/>
      <c r="D44" s="188">
        <f>-D6</f>
        <v>-8840000</v>
      </c>
      <c r="E44" s="91">
        <f>E36-SUM(E40:E43)*(1-$C$35)</f>
        <v>610456.83791225485</v>
      </c>
      <c r="F44" s="91">
        <f t="shared" ref="F44:X44" si="5">F36-SUM(F40:F43)*(1-$C$35)</f>
        <v>636422.27713615377</v>
      </c>
      <c r="G44" s="91">
        <f t="shared" si="5"/>
        <v>664729.84947185777</v>
      </c>
      <c r="H44" s="91">
        <f t="shared" si="5"/>
        <v>695581.71012929163</v>
      </c>
      <c r="I44" s="91">
        <f t="shared" si="5"/>
        <v>729197.14197155589</v>
      </c>
      <c r="J44" s="91">
        <f t="shared" si="5"/>
        <v>765813.99481412349</v>
      </c>
      <c r="K44" s="91">
        <f t="shared" si="5"/>
        <v>805690.24520620727</v>
      </c>
      <c r="L44" s="91">
        <f t="shared" si="5"/>
        <v>849105.68675995979</v>
      </c>
      <c r="M44" s="91">
        <f t="shared" si="5"/>
        <v>896363.76193316176</v>
      </c>
      <c r="N44" s="91">
        <f t="shared" si="5"/>
        <v>947793.54708122183</v>
      </c>
      <c r="O44" s="91">
        <f t="shared" si="5"/>
        <v>1003751.9035802778</v>
      </c>
      <c r="P44" s="91">
        <f t="shared" si="5"/>
        <v>1064625.8088914515</v>
      </c>
      <c r="Q44" s="91">
        <f t="shared" si="5"/>
        <v>1130834.8825936625</v>
      </c>
      <c r="R44" s="91">
        <f t="shared" si="5"/>
        <v>1202834.1236662569</v>
      </c>
      <c r="S44" s="91">
        <f t="shared" si="5"/>
        <v>1281116.8766611326</v>
      </c>
      <c r="T44" s="91">
        <f t="shared" si="5"/>
        <v>1366218.0458757575</v>
      </c>
      <c r="U44" s="91">
        <f t="shared" si="5"/>
        <v>1458717.5782329412</v>
      </c>
      <c r="V44" s="91">
        <f t="shared" si="5"/>
        <v>1559244.2373005887</v>
      </c>
      <c r="W44" s="91">
        <f t="shared" si="5"/>
        <v>1668479.6927561474</v>
      </c>
      <c r="X44" s="91">
        <f t="shared" si="5"/>
        <v>1787162.9516279576</v>
      </c>
      <c r="Y44" s="21"/>
    </row>
    <row r="45" spans="2:25" s="2" customFormat="1" x14ac:dyDescent="0.2">
      <c r="B45" s="70"/>
      <c r="C45" s="70"/>
      <c r="D45" s="90"/>
      <c r="E45" s="9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21"/>
    </row>
    <row r="47" spans="2:25" x14ac:dyDescent="0.2">
      <c r="C47" s="21" t="s">
        <v>168</v>
      </c>
      <c r="D47" s="24">
        <f>NPV(H6,E44:X44)</f>
        <v>15208526.525154935</v>
      </c>
      <c r="H47" s="153"/>
      <c r="T47" s="159"/>
    </row>
    <row r="48" spans="2:25" x14ac:dyDescent="0.2">
      <c r="C48" s="21" t="s">
        <v>169</v>
      </c>
      <c r="D48" s="24">
        <f>NPV(H5,E36:X36)</f>
        <v>13758809.662502481</v>
      </c>
      <c r="E48" s="22" t="s">
        <v>171</v>
      </c>
    </row>
    <row r="49" spans="4:24" x14ac:dyDescent="0.2">
      <c r="D49" s="24">
        <f>NPV(13%,E36:X36)</f>
        <v>11231389.770768551</v>
      </c>
      <c r="E49" s="22" t="s">
        <v>178</v>
      </c>
    </row>
    <row r="50" spans="4:24" x14ac:dyDescent="0.2">
      <c r="D50" s="21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4:24" x14ac:dyDescent="0.2">
      <c r="D51" s="21"/>
      <c r="W51" s="22"/>
      <c r="X51" s="22"/>
    </row>
    <row r="53" spans="4:24" x14ac:dyDescent="0.2">
      <c r="E53" s="159"/>
      <c r="X53" s="22"/>
    </row>
  </sheetData>
  <phoneticPr fontId="23" type="noConversion"/>
  <pageMargins left="0.7" right="0.7" top="0.75" bottom="0.75" header="0.3" footer="0.3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19"/>
  <sheetViews>
    <sheetView view="pageBreakPreview" zoomScale="60" zoomScaleNormal="90" workbookViewId="0">
      <selection activeCell="A7" sqref="A7"/>
    </sheetView>
  </sheetViews>
  <sheetFormatPr baseColWidth="10" defaultColWidth="11.5" defaultRowHeight="15" x14ac:dyDescent="0.2"/>
  <cols>
    <col min="1" max="1" width="22.5" customWidth="1"/>
    <col min="2" max="2" width="15" customWidth="1"/>
    <col min="3" max="22" width="10.5" customWidth="1"/>
  </cols>
  <sheetData>
    <row r="1" spans="1:25" s="43" customFormat="1" x14ac:dyDescent="0.2">
      <c r="A1" s="42" t="s">
        <v>40</v>
      </c>
    </row>
    <row r="2" spans="1:25" s="45" customFormat="1" x14ac:dyDescent="0.2">
      <c r="A2" s="44" t="s">
        <v>39</v>
      </c>
    </row>
    <row r="3" spans="1:25" x14ac:dyDescent="0.2">
      <c r="A3" s="14"/>
      <c r="B3" s="15"/>
      <c r="D3" s="39" t="s">
        <v>26</v>
      </c>
      <c r="E3" s="13">
        <f>'Financial model'!E8</f>
        <v>4420000</v>
      </c>
    </row>
    <row r="4" spans="1:25" x14ac:dyDescent="0.2">
      <c r="A4" s="16" t="s">
        <v>135</v>
      </c>
      <c r="B4" s="35">
        <f>'Financial model'!D10</f>
        <v>20</v>
      </c>
      <c r="D4" s="39" t="s">
        <v>27</v>
      </c>
      <c r="E4" s="13">
        <f>E3*B6</f>
        <v>0</v>
      </c>
    </row>
    <row r="5" spans="1:25" x14ac:dyDescent="0.2">
      <c r="A5" s="16" t="s">
        <v>136</v>
      </c>
      <c r="B5" s="17">
        <f>'Financial model'!D9</f>
        <v>0.05</v>
      </c>
      <c r="D5" s="39"/>
    </row>
    <row r="6" spans="1:25" x14ac:dyDescent="0.2">
      <c r="A6" s="18" t="s">
        <v>18</v>
      </c>
      <c r="B6" s="19">
        <f>'Financial model'!D11</f>
        <v>0</v>
      </c>
      <c r="D6" s="39" t="s">
        <v>28</v>
      </c>
      <c r="E6" s="46">
        <f>PMT(B5,B4,E3,-E4,0)</f>
        <v>-354672.23538285564</v>
      </c>
    </row>
    <row r="7" spans="1:25" x14ac:dyDescent="0.2">
      <c r="A7" s="6"/>
      <c r="B7" s="1"/>
    </row>
    <row r="8" spans="1:25" x14ac:dyDescent="0.2">
      <c r="A8" s="3" t="s">
        <v>14</v>
      </c>
      <c r="B8" s="5" t="s">
        <v>10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2">
        <v>14</v>
      </c>
      <c r="Q8" s="2">
        <v>15</v>
      </c>
      <c r="R8" s="2">
        <v>16</v>
      </c>
      <c r="S8" s="2">
        <v>17</v>
      </c>
      <c r="T8" s="2">
        <v>18</v>
      </c>
      <c r="U8" s="2">
        <v>19</v>
      </c>
      <c r="V8" s="2">
        <v>20</v>
      </c>
    </row>
    <row r="9" spans="1:25" x14ac:dyDescent="0.2">
      <c r="A9" s="3" t="s">
        <v>15</v>
      </c>
      <c r="C9" s="7"/>
      <c r="D9" s="4"/>
      <c r="E9" s="2"/>
    </row>
    <row r="11" spans="1:25" x14ac:dyDescent="0.2">
      <c r="A11" t="s">
        <v>30</v>
      </c>
      <c r="C11" s="13">
        <f t="shared" ref="C11:V11" si="0">-$E$6*IF($B$4&gt;=C$8,1,0)</f>
        <v>354672.23538285564</v>
      </c>
      <c r="D11" s="13">
        <f t="shared" si="0"/>
        <v>354672.23538285564</v>
      </c>
      <c r="E11" s="13">
        <f t="shared" si="0"/>
        <v>354672.23538285564</v>
      </c>
      <c r="F11" s="13">
        <f t="shared" si="0"/>
        <v>354672.23538285564</v>
      </c>
      <c r="G11" s="13">
        <f t="shared" si="0"/>
        <v>354672.23538285564</v>
      </c>
      <c r="H11" s="13">
        <f t="shared" si="0"/>
        <v>354672.23538285564</v>
      </c>
      <c r="I11" s="13">
        <f t="shared" si="0"/>
        <v>354672.23538285564</v>
      </c>
      <c r="J11" s="13">
        <f t="shared" si="0"/>
        <v>354672.23538285564</v>
      </c>
      <c r="K11" s="13">
        <f t="shared" si="0"/>
        <v>354672.23538285564</v>
      </c>
      <c r="L11" s="13">
        <f t="shared" si="0"/>
        <v>354672.23538285564</v>
      </c>
      <c r="M11" s="13">
        <f t="shared" si="0"/>
        <v>354672.23538285564</v>
      </c>
      <c r="N11" s="13">
        <f t="shared" si="0"/>
        <v>354672.23538285564</v>
      </c>
      <c r="O11" s="13">
        <f t="shared" si="0"/>
        <v>354672.23538285564</v>
      </c>
      <c r="P11" s="13">
        <f t="shared" si="0"/>
        <v>354672.23538285564</v>
      </c>
      <c r="Q11" s="13">
        <f t="shared" si="0"/>
        <v>354672.23538285564</v>
      </c>
      <c r="R11" s="13">
        <f t="shared" si="0"/>
        <v>354672.23538285564</v>
      </c>
      <c r="S11" s="13">
        <f t="shared" si="0"/>
        <v>354672.23538285564</v>
      </c>
      <c r="T11" s="13">
        <f t="shared" si="0"/>
        <v>354672.23538285564</v>
      </c>
      <c r="U11" s="13">
        <f t="shared" si="0"/>
        <v>354672.23538285564</v>
      </c>
      <c r="V11" s="13">
        <f t="shared" si="0"/>
        <v>354672.23538285564</v>
      </c>
    </row>
    <row r="12" spans="1:25" x14ac:dyDescent="0.2">
      <c r="A12" s="6" t="s">
        <v>29</v>
      </c>
      <c r="C12" s="13">
        <f>C14*$B$5</f>
        <v>221000</v>
      </c>
      <c r="D12" s="13">
        <f t="shared" ref="D12:V12" si="1">D14*$B$5</f>
        <v>214316.38823085721</v>
      </c>
      <c r="E12" s="13">
        <f t="shared" si="1"/>
        <v>207298.59587325729</v>
      </c>
      <c r="F12" s="13">
        <f t="shared" si="1"/>
        <v>199929.91389777738</v>
      </c>
      <c r="G12" s="13">
        <f t="shared" si="1"/>
        <v>192192.79782352346</v>
      </c>
      <c r="H12" s="13">
        <f t="shared" si="1"/>
        <v>184068.82594555686</v>
      </c>
      <c r="I12" s="13">
        <f t="shared" si="1"/>
        <v>175538.65547369191</v>
      </c>
      <c r="J12" s="13">
        <f t="shared" si="1"/>
        <v>166581.97647823373</v>
      </c>
      <c r="K12" s="13">
        <f t="shared" si="1"/>
        <v>157177.46353300262</v>
      </c>
      <c r="L12" s="13">
        <f t="shared" si="1"/>
        <v>147302.72494050997</v>
      </c>
      <c r="M12" s="13">
        <f t="shared" si="1"/>
        <v>136934.24941839269</v>
      </c>
      <c r="N12" s="13">
        <f t="shared" si="1"/>
        <v>126047.35012016953</v>
      </c>
      <c r="O12" s="13">
        <f t="shared" si="1"/>
        <v>114616.10585703522</v>
      </c>
      <c r="P12" s="13">
        <f t="shared" si="1"/>
        <v>102613.2993807442</v>
      </c>
      <c r="Q12" s="13">
        <f t="shared" si="1"/>
        <v>90010.352580638617</v>
      </c>
      <c r="R12" s="13">
        <f t="shared" si="1"/>
        <v>76777.258440527759</v>
      </c>
      <c r="S12" s="13">
        <f t="shared" si="1"/>
        <v>62882.509593411378</v>
      </c>
      <c r="T12" s="13">
        <f t="shared" si="1"/>
        <v>48293.023303939161</v>
      </c>
      <c r="U12" s="13">
        <f t="shared" si="1"/>
        <v>32974.062699993337</v>
      </c>
      <c r="V12" s="13">
        <f t="shared" si="1"/>
        <v>16889.154065850216</v>
      </c>
    </row>
    <row r="13" spans="1:25" x14ac:dyDescent="0.2">
      <c r="A13" s="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5" x14ac:dyDescent="0.2">
      <c r="A14" s="6" t="s">
        <v>25</v>
      </c>
      <c r="B14" s="12"/>
      <c r="C14" s="13">
        <f>B17</f>
        <v>4420000</v>
      </c>
      <c r="D14" s="13">
        <f>C17</f>
        <v>4286327.7646171441</v>
      </c>
      <c r="E14" s="13">
        <f t="shared" ref="E14:V14" si="2">D17</f>
        <v>4145971.9174651457</v>
      </c>
      <c r="F14" s="13">
        <f t="shared" si="2"/>
        <v>3998598.2779555474</v>
      </c>
      <c r="G14" s="13">
        <f t="shared" si="2"/>
        <v>3843855.956470469</v>
      </c>
      <c r="H14" s="13">
        <f t="shared" si="2"/>
        <v>3681376.5189111368</v>
      </c>
      <c r="I14" s="13">
        <f t="shared" si="2"/>
        <v>3510773.109473838</v>
      </c>
      <c r="J14" s="13">
        <f t="shared" si="2"/>
        <v>3331639.5295646745</v>
      </c>
      <c r="K14" s="13">
        <f t="shared" si="2"/>
        <v>3143549.2706600525</v>
      </c>
      <c r="L14" s="13">
        <f t="shared" si="2"/>
        <v>2946054.4988101996</v>
      </c>
      <c r="M14" s="13">
        <f t="shared" si="2"/>
        <v>2738684.9883678537</v>
      </c>
      <c r="N14" s="13">
        <f t="shared" si="2"/>
        <v>2520947.0024033906</v>
      </c>
      <c r="O14" s="13">
        <f t="shared" si="2"/>
        <v>2292322.1171407043</v>
      </c>
      <c r="P14" s="13">
        <f t="shared" si="2"/>
        <v>2052265.9876148838</v>
      </c>
      <c r="Q14" s="13">
        <f t="shared" si="2"/>
        <v>1800207.0516127723</v>
      </c>
      <c r="R14" s="13">
        <f t="shared" si="2"/>
        <v>1535545.1688105552</v>
      </c>
      <c r="S14" s="13">
        <f t="shared" si="2"/>
        <v>1257650.1918682274</v>
      </c>
      <c r="T14" s="13">
        <f t="shared" si="2"/>
        <v>965860.46607878315</v>
      </c>
      <c r="U14" s="13">
        <f t="shared" si="2"/>
        <v>659481.25399986666</v>
      </c>
      <c r="V14" s="13">
        <f t="shared" si="2"/>
        <v>337783.08131700434</v>
      </c>
      <c r="W14" s="12"/>
      <c r="X14" s="12"/>
      <c r="Y14" s="12"/>
    </row>
    <row r="15" spans="1:25" x14ac:dyDescent="0.2">
      <c r="A15" s="6" t="s">
        <v>23</v>
      </c>
      <c r="B15" s="12"/>
      <c r="C15" s="13">
        <f t="shared" ref="C15:V15" si="3">(C11-C12)*IF($B$4&gt;=C$8,1,0)</f>
        <v>133672.23538285564</v>
      </c>
      <c r="D15" s="13">
        <f t="shared" si="3"/>
        <v>140355.84715199843</v>
      </c>
      <c r="E15" s="13">
        <f t="shared" si="3"/>
        <v>147373.63950959835</v>
      </c>
      <c r="F15" s="13">
        <f t="shared" si="3"/>
        <v>154742.32148507825</v>
      </c>
      <c r="G15" s="13">
        <f t="shared" si="3"/>
        <v>162479.43755933217</v>
      </c>
      <c r="H15" s="13">
        <f t="shared" si="3"/>
        <v>170603.40943729877</v>
      </c>
      <c r="I15" s="13">
        <f t="shared" si="3"/>
        <v>179133.57990916373</v>
      </c>
      <c r="J15" s="13">
        <f t="shared" si="3"/>
        <v>188090.25890462191</v>
      </c>
      <c r="K15" s="13">
        <f t="shared" si="3"/>
        <v>197494.77184985302</v>
      </c>
      <c r="L15" s="13">
        <f t="shared" si="3"/>
        <v>207369.51044234567</v>
      </c>
      <c r="M15" s="13">
        <f t="shared" si="3"/>
        <v>217737.98596446295</v>
      </c>
      <c r="N15" s="13">
        <f t="shared" si="3"/>
        <v>228624.88526268612</v>
      </c>
      <c r="O15" s="13">
        <f t="shared" si="3"/>
        <v>240056.12952582043</v>
      </c>
      <c r="P15" s="13">
        <f t="shared" si="3"/>
        <v>252058.93600211144</v>
      </c>
      <c r="Q15" s="13">
        <f t="shared" si="3"/>
        <v>264661.88280221703</v>
      </c>
      <c r="R15" s="13">
        <f t="shared" si="3"/>
        <v>277894.97694232786</v>
      </c>
      <c r="S15" s="13">
        <f t="shared" si="3"/>
        <v>291789.72578944429</v>
      </c>
      <c r="T15" s="13">
        <f t="shared" si="3"/>
        <v>306379.21207891649</v>
      </c>
      <c r="U15" s="13">
        <f t="shared" si="3"/>
        <v>321698.17268286232</v>
      </c>
      <c r="V15" s="13">
        <f t="shared" si="3"/>
        <v>337783.08131700545</v>
      </c>
      <c r="W15" s="12"/>
      <c r="X15" s="12"/>
      <c r="Y15" s="12"/>
    </row>
    <row r="16" spans="1:25" x14ac:dyDescent="0.2">
      <c r="A16" s="6" t="s">
        <v>36</v>
      </c>
      <c r="B16" s="12"/>
      <c r="C16" s="12">
        <f t="shared" ref="C16:V16" si="4">IF($B$4=C$8,$E$4,0)</f>
        <v>0</v>
      </c>
      <c r="D16" s="12">
        <f t="shared" si="4"/>
        <v>0</v>
      </c>
      <c r="E16" s="12">
        <f t="shared" si="4"/>
        <v>0</v>
      </c>
      <c r="F16" s="12">
        <f t="shared" si="4"/>
        <v>0</v>
      </c>
      <c r="G16" s="12">
        <f t="shared" si="4"/>
        <v>0</v>
      </c>
      <c r="H16" s="12">
        <f t="shared" si="4"/>
        <v>0</v>
      </c>
      <c r="I16" s="12">
        <f t="shared" si="4"/>
        <v>0</v>
      </c>
      <c r="J16" s="12">
        <f t="shared" si="4"/>
        <v>0</v>
      </c>
      <c r="K16" s="12">
        <f t="shared" si="4"/>
        <v>0</v>
      </c>
      <c r="L16" s="12">
        <f t="shared" si="4"/>
        <v>0</v>
      </c>
      <c r="M16" s="12">
        <f t="shared" si="4"/>
        <v>0</v>
      </c>
      <c r="N16" s="12">
        <f t="shared" si="4"/>
        <v>0</v>
      </c>
      <c r="O16" s="12">
        <f t="shared" si="4"/>
        <v>0</v>
      </c>
      <c r="P16" s="12">
        <f t="shared" si="4"/>
        <v>0</v>
      </c>
      <c r="Q16" s="12">
        <f t="shared" si="4"/>
        <v>0</v>
      </c>
      <c r="R16" s="12">
        <f t="shared" si="4"/>
        <v>0</v>
      </c>
      <c r="S16" s="12">
        <f t="shared" si="4"/>
        <v>0</v>
      </c>
      <c r="T16" s="12">
        <f t="shared" si="4"/>
        <v>0</v>
      </c>
      <c r="U16" s="12">
        <f t="shared" si="4"/>
        <v>0</v>
      </c>
      <c r="V16" s="12">
        <f t="shared" si="4"/>
        <v>0</v>
      </c>
      <c r="W16" s="12"/>
      <c r="X16" s="12"/>
      <c r="Y16" s="12"/>
    </row>
    <row r="17" spans="1:25" x14ac:dyDescent="0.2">
      <c r="A17" s="6" t="s">
        <v>24</v>
      </c>
      <c r="B17" s="13">
        <f>E3</f>
        <v>4420000</v>
      </c>
      <c r="C17" s="13">
        <f>MAX(C14-C15+C16,0)</f>
        <v>4286327.7646171441</v>
      </c>
      <c r="D17" s="13">
        <f t="shared" ref="D17:V17" si="5">MAX(D14-D15+D16,0)</f>
        <v>4145971.9174651457</v>
      </c>
      <c r="E17" s="13">
        <f t="shared" si="5"/>
        <v>3998598.2779555474</v>
      </c>
      <c r="F17" s="13">
        <f t="shared" si="5"/>
        <v>3843855.956470469</v>
      </c>
      <c r="G17" s="13">
        <f t="shared" si="5"/>
        <v>3681376.5189111368</v>
      </c>
      <c r="H17" s="13">
        <f t="shared" si="5"/>
        <v>3510773.109473838</v>
      </c>
      <c r="I17" s="13">
        <f t="shared" si="5"/>
        <v>3331639.5295646745</v>
      </c>
      <c r="J17" s="13">
        <f t="shared" si="5"/>
        <v>3143549.2706600525</v>
      </c>
      <c r="K17" s="13">
        <f t="shared" si="5"/>
        <v>2946054.4988101996</v>
      </c>
      <c r="L17" s="13">
        <f t="shared" si="5"/>
        <v>2738684.9883678537</v>
      </c>
      <c r="M17" s="13">
        <f t="shared" si="5"/>
        <v>2520947.0024033906</v>
      </c>
      <c r="N17" s="13">
        <f t="shared" si="5"/>
        <v>2292322.1171407043</v>
      </c>
      <c r="O17" s="13">
        <f t="shared" si="5"/>
        <v>2052265.9876148838</v>
      </c>
      <c r="P17" s="13">
        <f t="shared" si="5"/>
        <v>1800207.0516127723</v>
      </c>
      <c r="Q17" s="13">
        <f t="shared" si="5"/>
        <v>1535545.1688105552</v>
      </c>
      <c r="R17" s="13">
        <f t="shared" si="5"/>
        <v>1257650.1918682274</v>
      </c>
      <c r="S17" s="13">
        <f t="shared" si="5"/>
        <v>965860.46607878315</v>
      </c>
      <c r="T17" s="13">
        <f t="shared" si="5"/>
        <v>659481.25399986666</v>
      </c>
      <c r="U17" s="13">
        <f t="shared" si="5"/>
        <v>337783.08131700434</v>
      </c>
      <c r="V17" s="13">
        <f t="shared" si="5"/>
        <v>0</v>
      </c>
      <c r="W17" s="12"/>
      <c r="X17" s="12"/>
      <c r="Y17" s="12"/>
    </row>
    <row r="19" spans="1:25" s="9" customFormat="1" x14ac:dyDescent="0.2">
      <c r="B19" s="9" t="s">
        <v>22</v>
      </c>
      <c r="C19" s="20" t="b">
        <f>C15+C12=C11</f>
        <v>1</v>
      </c>
      <c r="D19" s="20" t="b">
        <f t="shared" ref="D19:V19" si="6">D15+D12=D11</f>
        <v>1</v>
      </c>
      <c r="E19" s="20" t="b">
        <f t="shared" si="6"/>
        <v>1</v>
      </c>
      <c r="F19" s="20" t="b">
        <f t="shared" si="6"/>
        <v>1</v>
      </c>
      <c r="G19" s="20" t="b">
        <f t="shared" si="6"/>
        <v>1</v>
      </c>
      <c r="H19" s="20" t="b">
        <f t="shared" si="6"/>
        <v>1</v>
      </c>
      <c r="I19" s="20" t="b">
        <f t="shared" si="6"/>
        <v>1</v>
      </c>
      <c r="J19" s="20" t="b">
        <f t="shared" si="6"/>
        <v>1</v>
      </c>
      <c r="K19" s="20" t="b">
        <f t="shared" si="6"/>
        <v>1</v>
      </c>
      <c r="L19" s="20" t="b">
        <f t="shared" si="6"/>
        <v>1</v>
      </c>
      <c r="M19" s="20" t="b">
        <f t="shared" si="6"/>
        <v>1</v>
      </c>
      <c r="N19" s="20" t="b">
        <f t="shared" si="6"/>
        <v>1</v>
      </c>
      <c r="O19" s="20" t="b">
        <f t="shared" si="6"/>
        <v>1</v>
      </c>
      <c r="P19" s="20" t="b">
        <f t="shared" si="6"/>
        <v>1</v>
      </c>
      <c r="Q19" s="20" t="b">
        <f t="shared" si="6"/>
        <v>1</v>
      </c>
      <c r="R19" s="20" t="b">
        <f t="shared" si="6"/>
        <v>1</v>
      </c>
      <c r="S19" s="20" t="b">
        <f t="shared" si="6"/>
        <v>1</v>
      </c>
      <c r="T19" s="20" t="b">
        <f t="shared" si="6"/>
        <v>1</v>
      </c>
      <c r="U19" s="20" t="b">
        <f t="shared" si="6"/>
        <v>1</v>
      </c>
      <c r="V19" s="20" t="b">
        <f t="shared" si="6"/>
        <v>1</v>
      </c>
    </row>
  </sheetData>
  <phoneticPr fontId="23" type="noConversion"/>
  <pageMargins left="0.7" right="0.7" top="0.75" bottom="0.75" header="0.3" footer="0.3"/>
  <pageSetup paperSize="9" scale="35" orientation="portrait" r:id="rId1"/>
  <colBreaks count="1" manualBreakCount="1">
    <brk id="22" max="5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Z47"/>
  <sheetViews>
    <sheetView showGridLines="0" topLeftCell="A25" zoomScaleNormal="100" workbookViewId="0">
      <selection activeCell="E41" sqref="E41"/>
    </sheetView>
  </sheetViews>
  <sheetFormatPr baseColWidth="10" defaultColWidth="8.83203125" defaultRowHeight="15" outlineLevelCol="2" x14ac:dyDescent="0.2"/>
  <cols>
    <col min="1" max="1" width="6.33203125" customWidth="1"/>
    <col min="2" max="2" width="29.5" style="10" customWidth="1"/>
    <col min="3" max="4" width="12.5" style="10" customWidth="1"/>
    <col min="5" max="6" width="13.1640625" style="22" customWidth="1"/>
    <col min="7" max="9" width="13.1640625" style="10" customWidth="1"/>
    <col min="10" max="10" width="13.1640625" style="10" customWidth="1" outlineLevel="1"/>
    <col min="11" max="13" width="13.1640625" style="10" hidden="1" customWidth="1" outlineLevel="1"/>
    <col min="14" max="14" width="13.1640625" style="10" hidden="1" customWidth="1"/>
    <col min="15" max="18" width="13.1640625" style="10" hidden="1" customWidth="1" outlineLevel="1"/>
    <col min="19" max="19" width="13.1640625" style="10" hidden="1" customWidth="1"/>
    <col min="20" max="22" width="13.1640625" style="10" hidden="1" customWidth="1" outlineLevel="2"/>
    <col min="23" max="23" width="13.1640625" style="10" customWidth="1" outlineLevel="2"/>
    <col min="24" max="24" width="13.1640625" style="10" customWidth="1"/>
    <col min="25" max="25" width="9.1640625" style="10" customWidth="1"/>
  </cols>
  <sheetData>
    <row r="1" spans="2:25" ht="20" x14ac:dyDescent="0.2">
      <c r="B1" s="48" t="s">
        <v>44</v>
      </c>
      <c r="E1" s="47"/>
      <c r="F1"/>
      <c r="G1" s="49"/>
      <c r="H1" s="49"/>
      <c r="I1" s="49"/>
    </row>
    <row r="2" spans="2:25" ht="16" thickBot="1" x14ac:dyDescent="0.25">
      <c r="C2"/>
      <c r="D2"/>
      <c r="E2"/>
      <c r="F2"/>
      <c r="G2"/>
      <c r="H2"/>
      <c r="I2"/>
      <c r="J2" s="66"/>
      <c r="K2" s="66"/>
      <c r="L2"/>
      <c r="M2"/>
      <c r="N2"/>
      <c r="O2"/>
      <c r="P2"/>
      <c r="Q2"/>
      <c r="R2"/>
      <c r="S2"/>
      <c r="T2"/>
      <c r="U2"/>
      <c r="V2"/>
      <c r="X2"/>
      <c r="Y2"/>
    </row>
    <row r="3" spans="2:25" ht="19" x14ac:dyDescent="0.25">
      <c r="B3" s="63" t="s">
        <v>38</v>
      </c>
      <c r="C3" s="64"/>
      <c r="D3" s="64"/>
      <c r="E3" s="64"/>
      <c r="F3" s="64"/>
      <c r="G3" s="64"/>
      <c r="H3" s="64"/>
      <c r="I3" s="65"/>
      <c r="J3" s="66"/>
      <c r="K3" s="66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2:25" x14ac:dyDescent="0.2">
      <c r="B4" s="50" t="s">
        <v>19</v>
      </c>
      <c r="C4" s="6"/>
      <c r="D4"/>
      <c r="E4" s="40"/>
      <c r="F4" s="2" t="s">
        <v>41</v>
      </c>
      <c r="H4"/>
      <c r="I4" s="62"/>
      <c r="J4" s="6"/>
      <c r="K4" s="68"/>
      <c r="L4" s="6"/>
      <c r="N4" s="6"/>
      <c r="O4" s="6"/>
      <c r="P4"/>
      <c r="Q4"/>
      <c r="R4"/>
      <c r="S4"/>
      <c r="T4"/>
      <c r="U4"/>
      <c r="V4"/>
      <c r="W4"/>
      <c r="X4"/>
      <c r="Y4"/>
    </row>
    <row r="5" spans="2:25" x14ac:dyDescent="0.2">
      <c r="B5" s="54" t="s">
        <v>47</v>
      </c>
      <c r="C5"/>
      <c r="D5"/>
      <c r="E5" s="40"/>
      <c r="G5" t="s">
        <v>170</v>
      </c>
      <c r="H5" s="59">
        <v>2.7900000000000001E-2</v>
      </c>
      <c r="I5" s="51"/>
      <c r="K5" s="66"/>
      <c r="L5" s="6"/>
      <c r="M5"/>
      <c r="N5" s="6"/>
      <c r="O5" s="6"/>
      <c r="P5"/>
      <c r="Q5"/>
      <c r="R5"/>
      <c r="S5"/>
      <c r="T5"/>
      <c r="U5"/>
      <c r="V5"/>
      <c r="W5"/>
      <c r="X5"/>
      <c r="Y5"/>
    </row>
    <row r="6" spans="2:25" x14ac:dyDescent="0.2">
      <c r="B6" s="52"/>
      <c r="C6" s="39" t="s">
        <v>0</v>
      </c>
      <c r="D6" s="55">
        <v>0.5</v>
      </c>
      <c r="E6" s="133">
        <f>-$D$41*D6</f>
        <v>4420000</v>
      </c>
      <c r="F6" s="38"/>
      <c r="G6" s="37" t="s">
        <v>31</v>
      </c>
      <c r="H6" s="56">
        <v>20</v>
      </c>
      <c r="I6" s="51"/>
      <c r="K6" s="66"/>
      <c r="L6" s="6"/>
      <c r="M6"/>
      <c r="N6" s="6"/>
      <c r="O6" s="6"/>
      <c r="P6"/>
      <c r="Q6"/>
      <c r="R6"/>
      <c r="S6"/>
      <c r="T6"/>
      <c r="U6"/>
      <c r="V6"/>
      <c r="W6"/>
      <c r="X6"/>
      <c r="Y6"/>
    </row>
    <row r="7" spans="2:25" x14ac:dyDescent="0.2">
      <c r="B7" s="52"/>
      <c r="C7" s="39" t="s">
        <v>20</v>
      </c>
      <c r="D7" s="55">
        <v>0.5</v>
      </c>
      <c r="E7" s="133">
        <f>-$D$41*D7</f>
        <v>4420000</v>
      </c>
      <c r="F7" s="38"/>
      <c r="G7" s="37" t="s">
        <v>46</v>
      </c>
      <c r="H7" s="69">
        <v>14000000</v>
      </c>
      <c r="I7" s="60"/>
      <c r="K7" s="66"/>
      <c r="L7" s="6"/>
      <c r="M7"/>
      <c r="N7" s="6"/>
      <c r="O7" s="6"/>
      <c r="P7"/>
      <c r="Q7"/>
      <c r="R7"/>
      <c r="S7"/>
      <c r="T7"/>
      <c r="U7"/>
      <c r="V7"/>
      <c r="W7"/>
      <c r="X7"/>
      <c r="Y7"/>
    </row>
    <row r="8" spans="2:25" x14ac:dyDescent="0.2">
      <c r="B8" s="52"/>
      <c r="C8" s="39" t="s">
        <v>34</v>
      </c>
      <c r="D8" s="57">
        <v>0.05</v>
      </c>
      <c r="E8" s="79"/>
      <c r="F8" s="40"/>
      <c r="G8" s="37" t="s">
        <v>33</v>
      </c>
      <c r="H8" s="58">
        <v>0.33329999999999999</v>
      </c>
      <c r="I8" s="51"/>
      <c r="K8" s="66"/>
      <c r="L8" s="6"/>
      <c r="M8"/>
      <c r="N8" s="6"/>
      <c r="O8" s="6"/>
      <c r="P8"/>
      <c r="Q8"/>
      <c r="R8"/>
      <c r="S8"/>
      <c r="T8"/>
      <c r="U8"/>
      <c r="V8"/>
      <c r="W8"/>
      <c r="X8"/>
      <c r="Y8"/>
    </row>
    <row r="9" spans="2:25" x14ac:dyDescent="0.2">
      <c r="B9" s="52"/>
      <c r="C9" s="39" t="s">
        <v>21</v>
      </c>
      <c r="D9" s="56">
        <v>20</v>
      </c>
      <c r="E9" s="80"/>
      <c r="F9" s="41"/>
      <c r="G9" s="37" t="s">
        <v>43</v>
      </c>
      <c r="H9" s="59">
        <v>4.0000000000000001E-3</v>
      </c>
      <c r="I9" s="51"/>
      <c r="K9" s="66"/>
      <c r="L9" s="6"/>
      <c r="M9"/>
      <c r="N9" s="6"/>
      <c r="O9" s="6"/>
      <c r="P9"/>
      <c r="Q9"/>
      <c r="R9"/>
      <c r="S9"/>
      <c r="T9"/>
      <c r="U9"/>
      <c r="V9"/>
      <c r="W9"/>
      <c r="X9"/>
      <c r="Y9"/>
    </row>
    <row r="10" spans="2:25" x14ac:dyDescent="0.2">
      <c r="B10" s="52"/>
      <c r="C10" s="39" t="s">
        <v>18</v>
      </c>
      <c r="D10" s="55">
        <v>0</v>
      </c>
      <c r="E10" s="78"/>
      <c r="F10" s="41"/>
      <c r="G10" s="37" t="s">
        <v>42</v>
      </c>
      <c r="H10" s="58">
        <v>2.5000000000000001E-2</v>
      </c>
      <c r="I10" s="51"/>
      <c r="K10" s="66"/>
      <c r="L10" s="6"/>
      <c r="M10"/>
      <c r="N10" s="6"/>
      <c r="O10" s="6"/>
      <c r="P10"/>
      <c r="Q10"/>
      <c r="R10"/>
      <c r="S10"/>
      <c r="T10"/>
      <c r="U10"/>
      <c r="V10"/>
      <c r="W10"/>
      <c r="X10"/>
      <c r="Y10"/>
    </row>
    <row r="11" spans="2:25" x14ac:dyDescent="0.2">
      <c r="B11" s="61" t="s">
        <v>35</v>
      </c>
      <c r="C11" s="39"/>
      <c r="D11" s="38"/>
      <c r="E11" s="38"/>
      <c r="F11" s="38"/>
      <c r="G11" s="38"/>
      <c r="H11" s="41"/>
      <c r="I11" s="53"/>
      <c r="K11" s="68"/>
      <c r="L11" s="6"/>
      <c r="M11"/>
      <c r="N11" s="6"/>
      <c r="O11" s="6"/>
      <c r="P11"/>
      <c r="Q11"/>
      <c r="R11"/>
      <c r="S11"/>
      <c r="T11"/>
      <c r="U11"/>
      <c r="V11"/>
      <c r="W11"/>
      <c r="X11"/>
      <c r="Y11"/>
    </row>
    <row r="12" spans="2:25" ht="16" thickBot="1" x14ac:dyDescent="0.25">
      <c r="B12" s="108" t="s">
        <v>45</v>
      </c>
      <c r="C12" s="121"/>
      <c r="D12" s="121"/>
      <c r="E12" s="121"/>
      <c r="F12" s="121"/>
      <c r="G12" s="121"/>
      <c r="H12" s="121"/>
      <c r="I12" s="109"/>
      <c r="J12"/>
      <c r="K12" s="67"/>
      <c r="O12"/>
      <c r="P12"/>
      <c r="Q12"/>
      <c r="R12"/>
      <c r="S12"/>
      <c r="T12"/>
      <c r="U12"/>
      <c r="V12"/>
      <c r="W12"/>
      <c r="X12"/>
      <c r="Y12"/>
    </row>
    <row r="13" spans="2:25" x14ac:dyDescent="0.2">
      <c r="B13"/>
      <c r="C13"/>
      <c r="D13"/>
      <c r="E13"/>
      <c r="F13"/>
      <c r="G13"/>
      <c r="H13"/>
      <c r="I13"/>
      <c r="J13"/>
      <c r="O13"/>
      <c r="P13"/>
      <c r="Q13"/>
      <c r="R13"/>
      <c r="S13"/>
      <c r="T13"/>
      <c r="U13"/>
      <c r="V13"/>
      <c r="W13"/>
      <c r="X13"/>
      <c r="Y13"/>
    </row>
    <row r="14" spans="2:25" x14ac:dyDescent="0.2">
      <c r="B14" s="73" t="s">
        <v>48</v>
      </c>
      <c r="C14" s="73"/>
      <c r="D14" s="74"/>
      <c r="E14" s="75"/>
      <c r="F14" s="75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spans="2:25" x14ac:dyDescent="0.2">
      <c r="B15" s="70" t="s">
        <v>37</v>
      </c>
      <c r="C15" s="71"/>
      <c r="D15" s="71"/>
      <c r="E15" s="72"/>
      <c r="F15" s="72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 spans="2:25" x14ac:dyDescent="0.2">
      <c r="B16" s="23" t="s">
        <v>14</v>
      </c>
      <c r="C16" s="23"/>
      <c r="D16" s="21" t="s">
        <v>10</v>
      </c>
      <c r="E16" s="21">
        <v>1</v>
      </c>
      <c r="F16" s="21">
        <v>2</v>
      </c>
      <c r="G16" s="21">
        <v>3</v>
      </c>
      <c r="H16" s="21">
        <v>4</v>
      </c>
      <c r="I16" s="21">
        <v>5</v>
      </c>
      <c r="J16" s="21">
        <v>6</v>
      </c>
      <c r="K16" s="21">
        <v>7</v>
      </c>
      <c r="L16" s="21">
        <v>8</v>
      </c>
      <c r="M16" s="21">
        <v>9</v>
      </c>
      <c r="N16" s="21">
        <v>10</v>
      </c>
      <c r="O16" s="21">
        <v>11</v>
      </c>
      <c r="P16" s="21">
        <v>12</v>
      </c>
      <c r="Q16" s="21">
        <v>13</v>
      </c>
      <c r="R16" s="21">
        <v>14</v>
      </c>
      <c r="S16" s="21">
        <v>15</v>
      </c>
      <c r="T16" s="21">
        <v>16</v>
      </c>
      <c r="U16" s="21">
        <v>17</v>
      </c>
      <c r="V16" s="21">
        <v>18</v>
      </c>
      <c r="W16" s="21">
        <v>19</v>
      </c>
      <c r="X16" s="21">
        <v>20</v>
      </c>
    </row>
    <row r="17" spans="2:25" x14ac:dyDescent="0.2">
      <c r="B17" s="23" t="s">
        <v>15</v>
      </c>
      <c r="C17" s="23"/>
      <c r="F17" s="24"/>
      <c r="G17" s="21"/>
    </row>
    <row r="18" spans="2:25" s="8" customFormat="1" ht="12" customHeight="1" x14ac:dyDescent="0.2">
      <c r="B18" s="11" t="s">
        <v>5</v>
      </c>
      <c r="C18" s="11"/>
      <c r="D18" s="11"/>
      <c r="E18" s="26">
        <v>3969.9649999999997</v>
      </c>
      <c r="F18" s="26">
        <f>E18*(1-$H$9)</f>
        <v>3954.0851399999997</v>
      </c>
      <c r="G18" s="26">
        <f t="shared" ref="G18:X18" si="0">F18*(1-$H$9)</f>
        <v>3938.2687994399998</v>
      </c>
      <c r="H18" s="26">
        <f t="shared" si="0"/>
        <v>3922.5157242422397</v>
      </c>
      <c r="I18" s="26">
        <f t="shared" si="0"/>
        <v>3906.8256613452709</v>
      </c>
      <c r="J18" s="26">
        <f t="shared" si="0"/>
        <v>3891.1983586998899</v>
      </c>
      <c r="K18" s="26">
        <f t="shared" si="0"/>
        <v>3875.6335652650905</v>
      </c>
      <c r="L18" s="26">
        <f t="shared" si="0"/>
        <v>3860.1310310040303</v>
      </c>
      <c r="M18" s="26">
        <f t="shared" si="0"/>
        <v>3844.6905068800143</v>
      </c>
      <c r="N18" s="26">
        <f t="shared" si="0"/>
        <v>3829.311744852494</v>
      </c>
      <c r="O18" s="26">
        <f t="shared" si="0"/>
        <v>3813.9944978730841</v>
      </c>
      <c r="P18" s="26">
        <f t="shared" si="0"/>
        <v>3798.7385198815919</v>
      </c>
      <c r="Q18" s="26">
        <f t="shared" si="0"/>
        <v>3783.5435658020656</v>
      </c>
      <c r="R18" s="26">
        <f t="shared" si="0"/>
        <v>3768.4093915388571</v>
      </c>
      <c r="S18" s="26">
        <f t="shared" si="0"/>
        <v>3753.3357539727017</v>
      </c>
      <c r="T18" s="26">
        <f t="shared" si="0"/>
        <v>3738.3224109568109</v>
      </c>
      <c r="U18" s="26">
        <f t="shared" si="0"/>
        <v>3723.3691213129837</v>
      </c>
      <c r="V18" s="26">
        <f t="shared" si="0"/>
        <v>3708.4756448277317</v>
      </c>
      <c r="W18" s="26">
        <f t="shared" si="0"/>
        <v>3693.6417422484205</v>
      </c>
      <c r="X18" s="26">
        <f t="shared" si="0"/>
        <v>3678.8671752794266</v>
      </c>
      <c r="Y18" s="11"/>
    </row>
    <row r="19" spans="2:25" s="8" customFormat="1" ht="12" customHeight="1" x14ac:dyDescent="0.2">
      <c r="B19" s="11" t="s">
        <v>6</v>
      </c>
      <c r="C19" s="11"/>
      <c r="D19" s="11"/>
      <c r="E19" s="26">
        <v>1164.0609111969502</v>
      </c>
      <c r="F19" s="26">
        <v>1164.06091119695</v>
      </c>
      <c r="G19" s="26">
        <v>1164.0609111969502</v>
      </c>
      <c r="H19" s="26">
        <v>1164.0609111969504</v>
      </c>
      <c r="I19" s="26">
        <v>1164.06091119695</v>
      </c>
      <c r="J19" s="26">
        <v>1164.0609111969502</v>
      </c>
      <c r="K19" s="26">
        <v>1164.06091119695</v>
      </c>
      <c r="L19" s="26">
        <v>1164.0609111969502</v>
      </c>
      <c r="M19" s="26">
        <v>1164.0609111969502</v>
      </c>
      <c r="N19" s="26">
        <v>1164.0609111969502</v>
      </c>
      <c r="O19" s="26">
        <v>1164.06091119695</v>
      </c>
      <c r="P19" s="26">
        <v>1164.06091119695</v>
      </c>
      <c r="Q19" s="26">
        <v>1164.0609111969502</v>
      </c>
      <c r="R19" s="26">
        <v>1164.0609111969502</v>
      </c>
      <c r="S19" s="26">
        <v>1164.0609111969502</v>
      </c>
      <c r="T19" s="26">
        <v>1164.0609111969502</v>
      </c>
      <c r="U19" s="26">
        <v>1164.06091119695</v>
      </c>
      <c r="V19" s="26">
        <v>1164.0609111969502</v>
      </c>
      <c r="W19" s="26">
        <v>1164.0609111969504</v>
      </c>
      <c r="X19" s="26">
        <v>1164.06091119695</v>
      </c>
      <c r="Y19" s="11"/>
    </row>
    <row r="20" spans="2:25" s="8" customFormat="1" ht="12" customHeight="1" x14ac:dyDescent="0.2">
      <c r="B20" s="11" t="s">
        <v>7</v>
      </c>
      <c r="C20" s="11"/>
      <c r="D20" s="11"/>
      <c r="E20" s="27">
        <v>0.43361286372646013</v>
      </c>
      <c r="F20" s="27">
        <f>E20*(1+'Financial model 2'!$H$10)</f>
        <v>0.44445318531962158</v>
      </c>
      <c r="G20" s="27">
        <f>F20*(1+'Financial model 2'!$H$10)</f>
        <v>0.45556451495261208</v>
      </c>
      <c r="H20" s="27">
        <f>G20*(1+'Financial model 2'!$H$10)</f>
        <v>0.46695362782642735</v>
      </c>
      <c r="I20" s="27">
        <f>H20*(1+'Financial model 2'!$H$10)</f>
        <v>0.47862746852208798</v>
      </c>
      <c r="J20" s="27">
        <f>I20*(1+'Financial model 2'!$H$10)</f>
        <v>0.49059315523514013</v>
      </c>
      <c r="K20" s="27">
        <f>J20*(1+'Financial model 2'!$H$10)</f>
        <v>0.50285798411601856</v>
      </c>
      <c r="L20" s="27">
        <f>K20*(1+'Financial model 2'!$H$10)</f>
        <v>0.51542943371891903</v>
      </c>
      <c r="M20" s="27">
        <f>L20*(1+'Financial model 2'!$H$10)</f>
        <v>0.52831516956189195</v>
      </c>
      <c r="N20" s="27">
        <f>M20*(1+'Financial model 2'!$H$10)</f>
        <v>0.54152304880093916</v>
      </c>
      <c r="O20" s="27">
        <f>N20*(1+'Financial model 2'!$H$10)</f>
        <v>0.55506112502096261</v>
      </c>
      <c r="P20" s="27">
        <f>O20*(1+'Financial model 2'!$H$10)</f>
        <v>0.56893765314648659</v>
      </c>
      <c r="Q20" s="27">
        <f>P20*(1+'Financial model 2'!$H$10)</f>
        <v>0.58316109447514874</v>
      </c>
      <c r="R20" s="27">
        <f>Q20*(1+'Financial model 2'!$H$10)</f>
        <v>0.5977401218370274</v>
      </c>
      <c r="S20" s="27">
        <f>R20*(1+'Financial model 2'!$H$10)</f>
        <v>0.61268362488295303</v>
      </c>
      <c r="T20" s="27">
        <f>S20*(1+'Financial model 2'!$H$10)</f>
        <v>0.62800071550502679</v>
      </c>
      <c r="U20" s="27">
        <f>T20*(1+'Financial model 2'!$H$10)</f>
        <v>0.64370073339265244</v>
      </c>
      <c r="V20" s="27">
        <f>U20*(1+'Financial model 2'!$H$10)</f>
        <v>0.65979325172746872</v>
      </c>
      <c r="W20" s="27">
        <f>V20*(1+'Financial model 2'!$H$10)</f>
        <v>0.67628808302065535</v>
      </c>
      <c r="X20" s="27">
        <f>W20*(1+'Financial model 2'!$H$10)</f>
        <v>0.69319528509617168</v>
      </c>
      <c r="Y20" s="11"/>
    </row>
    <row r="21" spans="2:25" ht="15.75" customHeight="1" x14ac:dyDescent="0.2">
      <c r="B21" s="21"/>
      <c r="C21" s="21"/>
      <c r="D21" s="28" t="s">
        <v>17</v>
      </c>
      <c r="E21" s="25">
        <f>E18*E19*E20</f>
        <v>2003846.9211544001</v>
      </c>
      <c r="F21" s="25">
        <f t="shared" ref="F21:X21" si="1">F18*F19*F20</f>
        <v>2045727.3218065265</v>
      </c>
      <c r="G21" s="25">
        <f t="shared" si="1"/>
        <v>2088483.0228322835</v>
      </c>
      <c r="H21" s="25">
        <f t="shared" si="1"/>
        <v>2132132.3180094785</v>
      </c>
      <c r="I21" s="25">
        <f t="shared" si="1"/>
        <v>2176693.8834558753</v>
      </c>
      <c r="J21" s="25">
        <f t="shared" si="1"/>
        <v>2222186.7856201036</v>
      </c>
      <c r="K21" s="25">
        <f t="shared" si="1"/>
        <v>2268630.4894395629</v>
      </c>
      <c r="L21" s="25">
        <f t="shared" si="1"/>
        <v>2316044.8666688502</v>
      </c>
      <c r="M21" s="25">
        <f t="shared" si="1"/>
        <v>2364450.2043822291</v>
      </c>
      <c r="N21" s="25">
        <f t="shared" si="1"/>
        <v>2413867.2136538168</v>
      </c>
      <c r="O21" s="25">
        <f t="shared" si="1"/>
        <v>2464317.0384191815</v>
      </c>
      <c r="P21" s="25">
        <f t="shared" si="1"/>
        <v>2515821.2645221422</v>
      </c>
      <c r="Q21" s="25">
        <f t="shared" si="1"/>
        <v>2568401.9289506553</v>
      </c>
      <c r="R21" s="25">
        <f t="shared" si="1"/>
        <v>2622081.5292657232</v>
      </c>
      <c r="S21" s="25">
        <f t="shared" si="1"/>
        <v>2676883.0332273771</v>
      </c>
      <c r="T21" s="25">
        <f t="shared" si="1"/>
        <v>2732829.888621829</v>
      </c>
      <c r="U21" s="25">
        <f t="shared" si="1"/>
        <v>2789946.0332940244</v>
      </c>
      <c r="V21" s="25">
        <f t="shared" si="1"/>
        <v>2848255.9053898701</v>
      </c>
      <c r="W21" s="25">
        <f t="shared" si="1"/>
        <v>2907784.4538125182</v>
      </c>
      <c r="X21" s="25">
        <f t="shared" si="1"/>
        <v>2968557.1488971985</v>
      </c>
    </row>
    <row r="22" spans="2:25" ht="9.75" customHeight="1" x14ac:dyDescent="0.2">
      <c r="E22" s="25"/>
      <c r="F22" s="29"/>
    </row>
    <row r="23" spans="2:25" x14ac:dyDescent="0.2">
      <c r="B23" s="10" t="s">
        <v>1</v>
      </c>
      <c r="D23" s="76"/>
      <c r="E23" s="25">
        <f>0.9*35000*E18/1000</f>
        <v>125053.89749999999</v>
      </c>
      <c r="F23" s="22">
        <f>E23*(1+'Financial model'!$H$11)</f>
        <v>128180.24493749999</v>
      </c>
      <c r="G23" s="22">
        <f>F23*(1+'Financial model'!$H$11)</f>
        <v>131384.75106093747</v>
      </c>
      <c r="H23" s="22">
        <f>G23*(1+'Financial model'!$H$11)</f>
        <v>134669.36983746089</v>
      </c>
      <c r="I23" s="22">
        <f>H23*(1+'Financial model'!$H$11)</f>
        <v>138036.1040833974</v>
      </c>
      <c r="J23" s="22">
        <f>I23*(1+'Financial model'!$H$11)</f>
        <v>141487.00668548231</v>
      </c>
      <c r="K23" s="22">
        <f>J23*(1+'Financial model'!$H$11)</f>
        <v>145024.18185261937</v>
      </c>
      <c r="L23" s="22">
        <f>K23*(1+'Financial model'!$H$11)</f>
        <v>148649.78639893484</v>
      </c>
      <c r="M23" s="22">
        <f>L23*(1+'Financial model'!$H$11)</f>
        <v>152366.03105890821</v>
      </c>
      <c r="N23" s="22">
        <f>M23*(1+'Financial model'!$H$11)</f>
        <v>156175.18183538091</v>
      </c>
      <c r="O23" s="22">
        <f>N23*(1+'Financial model'!$H$11)</f>
        <v>160079.5613812654</v>
      </c>
      <c r="P23" s="22">
        <f>O23*(1+'Financial model'!$H$11)</f>
        <v>164081.55041579701</v>
      </c>
      <c r="Q23" s="22">
        <f>P23*(1+'Financial model'!$H$11)</f>
        <v>168183.58917619192</v>
      </c>
      <c r="R23" s="22">
        <f>Q23*(1+'Financial model'!$H$11)</f>
        <v>172388.17890559669</v>
      </c>
      <c r="S23" s="22">
        <f>R23*(1+'Financial model'!$H$11)</f>
        <v>176697.88337823658</v>
      </c>
      <c r="T23" s="22">
        <f>S23*(1+'Financial model'!$H$11)</f>
        <v>181115.33046269248</v>
      </c>
      <c r="U23" s="22">
        <f>T23*(1+'Financial model'!$H$11)</f>
        <v>185643.21372425978</v>
      </c>
      <c r="V23" s="22">
        <f>U23*(1+'Financial model'!$H$11)</f>
        <v>190284.29406736625</v>
      </c>
      <c r="W23" s="22">
        <f>V23*(1+'Financial model'!$H$11)</f>
        <v>195041.40141905038</v>
      </c>
      <c r="X23" s="22">
        <f>W23*(1+'Financial model'!$H$11)</f>
        <v>199917.43645452661</v>
      </c>
    </row>
    <row r="24" spans="2:25" x14ac:dyDescent="0.2">
      <c r="B24" s="10" t="s">
        <v>16</v>
      </c>
      <c r="E24" s="25">
        <f>0.9*80000</f>
        <v>72000</v>
      </c>
      <c r="F24" s="22">
        <f>E24*(1+'Financial model'!$H$11)</f>
        <v>73800</v>
      </c>
      <c r="G24" s="22">
        <f>F24*(1+'Financial model'!$H$11)</f>
        <v>75645</v>
      </c>
      <c r="H24" s="22">
        <f>G24*(1+'Financial model'!$H$11)</f>
        <v>77536.125</v>
      </c>
      <c r="I24" s="22">
        <f>H24*(1+'Financial model'!$H$11)</f>
        <v>79474.528124999997</v>
      </c>
      <c r="J24" s="22">
        <f>I24*(1+'Financial model'!$H$11)</f>
        <v>81461.391328124984</v>
      </c>
      <c r="K24" s="22">
        <f>J24*(1+'Financial model'!$H$11)</f>
        <v>83497.926111328095</v>
      </c>
      <c r="L24" s="22">
        <f>K24*(1+'Financial model'!$H$11)</f>
        <v>85585.374264111291</v>
      </c>
      <c r="M24" s="22">
        <f>L24*(1+'Financial model'!$H$11)</f>
        <v>87725.00862071407</v>
      </c>
      <c r="N24" s="22">
        <f>M24*(1+'Financial model'!$H$11)</f>
        <v>89918.133836231907</v>
      </c>
      <c r="O24" s="22">
        <f>N24*(1+'Financial model'!$H$11)</f>
        <v>92166.087182137693</v>
      </c>
      <c r="P24" s="22">
        <f>O24*(1+'Financial model'!$H$11)</f>
        <v>94470.239361691129</v>
      </c>
      <c r="Q24" s="22">
        <f>P24*(1+'Financial model'!$H$11)</f>
        <v>96831.995345733405</v>
      </c>
      <c r="R24" s="22">
        <f>Q24*(1+'Financial model'!$H$11)</f>
        <v>99252.79522937673</v>
      </c>
      <c r="S24" s="22">
        <f>R24*(1+'Financial model'!$H$11)</f>
        <v>101734.11511011115</v>
      </c>
      <c r="T24" s="22">
        <f>S24*(1+'Financial model'!$H$11)</f>
        <v>104277.46798786391</v>
      </c>
      <c r="U24" s="22">
        <f>T24*(1+'Financial model'!$H$11)</f>
        <v>106884.4046875605</v>
      </c>
      <c r="V24" s="22">
        <f>U24*(1+'Financial model'!$H$11)</f>
        <v>109556.5148047495</v>
      </c>
      <c r="W24" s="22">
        <f>V24*(1+'Financial model'!$H$11)</f>
        <v>112295.42767486823</v>
      </c>
      <c r="X24" s="22">
        <f>W24*(1+'Financial model'!$H$11)</f>
        <v>115102.81336673992</v>
      </c>
    </row>
    <row r="25" spans="2:25" x14ac:dyDescent="0.2">
      <c r="B25" s="10" t="s">
        <v>2</v>
      </c>
      <c r="E25" s="25">
        <f>0.9*4000*E18/1000</f>
        <v>14291.873999999998</v>
      </c>
      <c r="F25" s="22">
        <f>E25*(1+'Financial model'!$H$11)</f>
        <v>14649.170849999997</v>
      </c>
      <c r="G25" s="22">
        <f>F25*(1+'Financial model'!$H$11)</f>
        <v>15015.400121249995</v>
      </c>
      <c r="H25" s="22">
        <f>G25*(1+'Financial model'!$H$11)</f>
        <v>15390.785124281243</v>
      </c>
      <c r="I25" s="22">
        <f>H25*(1+'Financial model'!$H$11)</f>
        <v>15775.554752388272</v>
      </c>
      <c r="J25" s="22">
        <f>I25*(1+'Financial model'!$H$11)</f>
        <v>16169.943621197977</v>
      </c>
      <c r="K25" s="22">
        <f>J25*(1+'Financial model'!$H$11)</f>
        <v>16574.192211727925</v>
      </c>
      <c r="L25" s="22">
        <f>K25*(1+'Financial model'!$H$11)</f>
        <v>16988.547017021123</v>
      </c>
      <c r="M25" s="22">
        <f>L25*(1+'Financial model'!$H$11)</f>
        <v>17413.260692446649</v>
      </c>
      <c r="N25" s="22">
        <f>M25*(1+'Financial model'!$H$11)</f>
        <v>17848.592209757815</v>
      </c>
      <c r="O25" s="22">
        <f>N25*(1+'Financial model'!$H$11)</f>
        <v>18294.807015001759</v>
      </c>
      <c r="P25" s="22">
        <f>O25*(1+'Financial model'!$H$11)</f>
        <v>18752.177190376802</v>
      </c>
      <c r="Q25" s="22">
        <f>P25*(1+'Financial model'!$H$11)</f>
        <v>19220.981620136219</v>
      </c>
      <c r="R25" s="22">
        <f>Q25*(1+'Financial model'!$H$11)</f>
        <v>19701.506160639623</v>
      </c>
      <c r="S25" s="22">
        <f>R25*(1+'Financial model'!$H$11)</f>
        <v>20194.043814655612</v>
      </c>
      <c r="T25" s="22">
        <f>S25*(1+'Financial model'!$H$11)</f>
        <v>20698.894910022002</v>
      </c>
      <c r="U25" s="22">
        <f>T25*(1+'Financial model'!$H$11)</f>
        <v>21216.36728277255</v>
      </c>
      <c r="V25" s="22">
        <f>U25*(1+'Financial model'!$H$11)</f>
        <v>21746.77646484186</v>
      </c>
      <c r="W25" s="22">
        <f>V25*(1+'Financial model'!$H$11)</f>
        <v>22290.445876462905</v>
      </c>
      <c r="X25" s="22">
        <f>W25*(1+'Financial model'!$H$11)</f>
        <v>22847.707023374474</v>
      </c>
    </row>
    <row r="26" spans="2:25" x14ac:dyDescent="0.2">
      <c r="B26" s="10" t="s">
        <v>3</v>
      </c>
      <c r="E26" s="25">
        <v>0</v>
      </c>
      <c r="F26" s="22">
        <f>E26*(1+'Financial model'!$H$11)</f>
        <v>0</v>
      </c>
      <c r="G26" s="22">
        <f>F26*(1+'Financial model'!$H$11)</f>
        <v>0</v>
      </c>
      <c r="H26" s="22">
        <f>G26*(1+'Financial model'!$H$11)</f>
        <v>0</v>
      </c>
      <c r="I26" s="22">
        <f>H26*(1+'Financial model'!$H$11)</f>
        <v>0</v>
      </c>
      <c r="J26" s="22">
        <f>I26*(1+'Financial model'!$H$11)</f>
        <v>0</v>
      </c>
      <c r="K26" s="22">
        <f>J26*(1+'Financial model'!$H$11)</f>
        <v>0</v>
      </c>
      <c r="L26" s="22">
        <f>K26*(1+'Financial model'!$H$11)</f>
        <v>0</v>
      </c>
      <c r="M26" s="22">
        <f>L26*(1+'Financial model'!$H$11)</f>
        <v>0</v>
      </c>
      <c r="N26" s="22">
        <f>M26*(1+'Financial model'!$H$11)</f>
        <v>0</v>
      </c>
      <c r="O26" s="22">
        <f>N26*(1+'Financial model'!$H$11)</f>
        <v>0</v>
      </c>
      <c r="P26" s="22">
        <f>O26*(1+'Financial model'!$H$11)</f>
        <v>0</v>
      </c>
      <c r="Q26" s="22">
        <f>P26*(1+'Financial model'!$H$11)</f>
        <v>0</v>
      </c>
      <c r="R26" s="22">
        <f>Q26*(1+'Financial model'!$H$11)</f>
        <v>0</v>
      </c>
      <c r="S26" s="22">
        <f>R26*(1+'Financial model'!$H$11)</f>
        <v>0</v>
      </c>
      <c r="T26" s="22">
        <f>S26*(1+'Financial model'!$H$11)</f>
        <v>0</v>
      </c>
      <c r="U26" s="22">
        <f>T26*(1+'Financial model'!$H$11)</f>
        <v>0</v>
      </c>
      <c r="V26" s="22">
        <f>U26*(1+'Financial model'!$H$11)</f>
        <v>0</v>
      </c>
      <c r="W26" s="22">
        <f>V26*(1+'Financial model'!$H$11)</f>
        <v>0</v>
      </c>
      <c r="X26" s="22">
        <f>W26*(1+'Financial model'!$H$11)</f>
        <v>0</v>
      </c>
    </row>
    <row r="27" spans="2:25" x14ac:dyDescent="0.2">
      <c r="B27" s="10" t="s">
        <v>4</v>
      </c>
      <c r="E27" s="25">
        <f>0.9*4000*E18/1000</f>
        <v>14291.873999999998</v>
      </c>
      <c r="F27" s="22">
        <f>E27*(1+'Financial model'!$H$11)</f>
        <v>14649.170849999997</v>
      </c>
      <c r="G27" s="22">
        <f>F27*(1+'Financial model'!$H$11)</f>
        <v>15015.400121249995</v>
      </c>
      <c r="H27" s="22">
        <f>G27*(1+'Financial model'!$H$11)</f>
        <v>15390.785124281243</v>
      </c>
      <c r="I27" s="22">
        <f>H27*(1+'Financial model'!$H$11)</f>
        <v>15775.554752388272</v>
      </c>
      <c r="J27" s="22">
        <f>I27*(1+'Financial model'!$H$11)</f>
        <v>16169.943621197977</v>
      </c>
      <c r="K27" s="22">
        <f>J27*(1+'Financial model'!$H$11)</f>
        <v>16574.192211727925</v>
      </c>
      <c r="L27" s="22">
        <f>K27*(1+'Financial model'!$H$11)</f>
        <v>16988.547017021123</v>
      </c>
      <c r="M27" s="22">
        <f>L27*(1+'Financial model'!$H$11)</f>
        <v>17413.260692446649</v>
      </c>
      <c r="N27" s="22">
        <f>M27*(1+'Financial model'!$H$11)</f>
        <v>17848.592209757815</v>
      </c>
      <c r="O27" s="22">
        <f>N27*(1+'Financial model'!$H$11)</f>
        <v>18294.807015001759</v>
      </c>
      <c r="P27" s="22">
        <f>O27*(1+'Financial model'!$H$11)</f>
        <v>18752.177190376802</v>
      </c>
      <c r="Q27" s="22">
        <f>P27*(1+'Financial model'!$H$11)</f>
        <v>19220.981620136219</v>
      </c>
      <c r="R27" s="22">
        <f>Q27*(1+'Financial model'!$H$11)</f>
        <v>19701.506160639623</v>
      </c>
      <c r="S27" s="22">
        <f>R27*(1+'Financial model'!$H$11)</f>
        <v>20194.043814655612</v>
      </c>
      <c r="T27" s="22">
        <f>S27*(1+'Financial model'!$H$11)</f>
        <v>20698.894910022002</v>
      </c>
      <c r="U27" s="22">
        <f>T27*(1+'Financial model'!$H$11)</f>
        <v>21216.36728277255</v>
      </c>
      <c r="V27" s="22">
        <f>U27*(1+'Financial model'!$H$11)</f>
        <v>21746.77646484186</v>
      </c>
      <c r="W27" s="22">
        <f>V27*(1+'Financial model'!$H$11)</f>
        <v>22290.445876462905</v>
      </c>
      <c r="X27" s="22">
        <f>W27*(1+'Financial model'!$H$11)</f>
        <v>22847.707023374474</v>
      </c>
    </row>
    <row r="28" spans="2:25" x14ac:dyDescent="0.2">
      <c r="B28" s="10" t="s">
        <v>8</v>
      </c>
      <c r="E28" s="25">
        <f>0.9*(5000+7000*E18/1000+0.16%*E21+1%*(E21-E23-E24-E25-E26-E27-E31-E32))</f>
        <v>40111.202547351932</v>
      </c>
      <c r="F28" s="22">
        <f>E28*(1+'Financial model'!$H$11)</f>
        <v>41113.982611035724</v>
      </c>
      <c r="G28" s="22">
        <f>F28*(1+'Financial model'!$H$11)</f>
        <v>42141.832176311611</v>
      </c>
      <c r="H28" s="22">
        <f>G28*(1+'Financial model'!$H$11)</f>
        <v>43195.377980719401</v>
      </c>
      <c r="I28" s="22">
        <f>H28*(1+'Financial model'!$H$11)</f>
        <v>44275.262430237381</v>
      </c>
      <c r="J28" s="22">
        <f>I28*(1+'Financial model'!$H$11)</f>
        <v>45382.143990993311</v>
      </c>
      <c r="K28" s="22">
        <f>J28*(1+'Financial model'!$H$11)</f>
        <v>46516.697590768141</v>
      </c>
      <c r="L28" s="22">
        <f>K28*(1+'Financial model'!$H$11)</f>
        <v>47679.615030537338</v>
      </c>
      <c r="M28" s="22">
        <f>L28*(1+'Financial model'!$H$11)</f>
        <v>48871.605406300769</v>
      </c>
      <c r="N28" s="22">
        <f>M28*(1+'Financial model'!$H$11)</f>
        <v>50093.395541458282</v>
      </c>
      <c r="O28" s="22">
        <f>N28*(1+'Financial model'!$H$11)</f>
        <v>51345.730429994735</v>
      </c>
      <c r="P28" s="22">
        <f>O28*(1+'Financial model'!$H$11)</f>
        <v>52629.3736907446</v>
      </c>
      <c r="Q28" s="22">
        <f>P28*(1+'Financial model'!$H$11)</f>
        <v>53945.10803301321</v>
      </c>
      <c r="R28" s="22">
        <f>Q28*(1+'Financial model'!$H$11)</f>
        <v>55293.735733838534</v>
      </c>
      <c r="S28" s="22">
        <f>R28*(1+'Financial model'!$H$11)</f>
        <v>56676.079127184494</v>
      </c>
      <c r="T28" s="22">
        <f>S28*(1+'Financial model'!$H$11)</f>
        <v>58092.981105364102</v>
      </c>
      <c r="U28" s="22">
        <f>T28*(1+'Financial model'!$H$11)</f>
        <v>59545.305632998199</v>
      </c>
      <c r="V28" s="22">
        <f>U28*(1+'Financial model'!$H$11)</f>
        <v>61033.938273823151</v>
      </c>
      <c r="W28" s="22">
        <f>V28*(1+'Financial model'!$H$11)</f>
        <v>62559.786730668726</v>
      </c>
      <c r="X28" s="22">
        <f>W28*(1+'Financial model'!$H$11)</f>
        <v>64123.78139893544</v>
      </c>
    </row>
    <row r="29" spans="2:25" ht="6.75" customHeight="1" thickBot="1" x14ac:dyDescent="0.25">
      <c r="E29" s="30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2:25" ht="16" thickTop="1" x14ac:dyDescent="0.2">
      <c r="C30" s="28" t="s">
        <v>9</v>
      </c>
      <c r="E30" s="33">
        <f>E21-SUM(E23:E28)</f>
        <v>1738098.0731070482</v>
      </c>
      <c r="F30" s="33">
        <f t="shared" ref="F30:X30" si="2">F21-SUM(F23:F28)</f>
        <v>1773334.7525579908</v>
      </c>
      <c r="G30" s="33">
        <f t="shared" si="2"/>
        <v>1809280.6393525344</v>
      </c>
      <c r="H30" s="33">
        <f t="shared" si="2"/>
        <v>1845949.8749427358</v>
      </c>
      <c r="I30" s="33">
        <f t="shared" si="2"/>
        <v>1883356.879312464</v>
      </c>
      <c r="J30" s="33">
        <f t="shared" si="2"/>
        <v>1921516.3563731071</v>
      </c>
      <c r="K30" s="33">
        <f t="shared" si="2"/>
        <v>1960443.2994613913</v>
      </c>
      <c r="L30" s="33">
        <f t="shared" si="2"/>
        <v>2000152.9969412244</v>
      </c>
      <c r="M30" s="33">
        <f t="shared" si="2"/>
        <v>2040661.0379114128</v>
      </c>
      <c r="N30" s="33">
        <f t="shared" si="2"/>
        <v>2081983.3180212302</v>
      </c>
      <c r="O30" s="33">
        <f t="shared" si="2"/>
        <v>2124136.0453957799</v>
      </c>
      <c r="P30" s="33">
        <f t="shared" si="2"/>
        <v>2167135.746673156</v>
      </c>
      <c r="Q30" s="33">
        <f t="shared" si="2"/>
        <v>2210999.2731554443</v>
      </c>
      <c r="R30" s="33">
        <f t="shared" si="2"/>
        <v>2255743.8070756318</v>
      </c>
      <c r="S30" s="33">
        <f t="shared" si="2"/>
        <v>2301386.8679825338</v>
      </c>
      <c r="T30" s="33">
        <f t="shared" si="2"/>
        <v>2347946.3192458646</v>
      </c>
      <c r="U30" s="33">
        <f t="shared" si="2"/>
        <v>2395440.3746836609</v>
      </c>
      <c r="V30" s="33">
        <f t="shared" si="2"/>
        <v>2443887.6053142473</v>
      </c>
      <c r="W30" s="33">
        <f t="shared" si="2"/>
        <v>2493306.9462350048</v>
      </c>
      <c r="X30" s="33">
        <f t="shared" si="2"/>
        <v>2543717.7036302476</v>
      </c>
    </row>
    <row r="31" spans="2:25" x14ac:dyDescent="0.2">
      <c r="B31" s="10" t="s">
        <v>32</v>
      </c>
      <c r="C31" s="34">
        <f>'Financial model 2'!H6</f>
        <v>20</v>
      </c>
      <c r="E31" s="22">
        <f>$H$7/$H$6</f>
        <v>700000</v>
      </c>
      <c r="F31" s="22">
        <f t="shared" ref="F31:X31" si="3">$H$7/$H$6</f>
        <v>700000</v>
      </c>
      <c r="G31" s="22">
        <f t="shared" si="3"/>
        <v>700000</v>
      </c>
      <c r="H31" s="22">
        <f t="shared" si="3"/>
        <v>700000</v>
      </c>
      <c r="I31" s="22">
        <f t="shared" si="3"/>
        <v>700000</v>
      </c>
      <c r="J31" s="22">
        <f t="shared" si="3"/>
        <v>700000</v>
      </c>
      <c r="K31" s="22">
        <f t="shared" si="3"/>
        <v>700000</v>
      </c>
      <c r="L31" s="22">
        <f t="shared" si="3"/>
        <v>700000</v>
      </c>
      <c r="M31" s="22">
        <f t="shared" si="3"/>
        <v>700000</v>
      </c>
      <c r="N31" s="22">
        <f t="shared" si="3"/>
        <v>700000</v>
      </c>
      <c r="O31" s="22">
        <f t="shared" si="3"/>
        <v>700000</v>
      </c>
      <c r="P31" s="22">
        <f t="shared" si="3"/>
        <v>700000</v>
      </c>
      <c r="Q31" s="22">
        <f t="shared" si="3"/>
        <v>700000</v>
      </c>
      <c r="R31" s="22">
        <f t="shared" si="3"/>
        <v>700000</v>
      </c>
      <c r="S31" s="22">
        <f t="shared" si="3"/>
        <v>700000</v>
      </c>
      <c r="T31" s="22">
        <f t="shared" si="3"/>
        <v>700000</v>
      </c>
      <c r="U31" s="22">
        <f t="shared" si="3"/>
        <v>700000</v>
      </c>
      <c r="V31" s="22">
        <f t="shared" si="3"/>
        <v>700000</v>
      </c>
      <c r="W31" s="22">
        <f t="shared" si="3"/>
        <v>700000</v>
      </c>
      <c r="X31" s="22">
        <f t="shared" si="3"/>
        <v>700000</v>
      </c>
    </row>
    <row r="32" spans="2:25" x14ac:dyDescent="0.2">
      <c r="B32" s="10" t="s">
        <v>12</v>
      </c>
      <c r="E32" s="22">
        <f>'Debt Repayment profiles'!C12</f>
        <v>221000</v>
      </c>
      <c r="F32" s="22">
        <f>'Debt Repayment profiles'!D12</f>
        <v>214316.38823085721</v>
      </c>
      <c r="G32" s="22">
        <f>'Debt Repayment profiles'!E12</f>
        <v>207298.59587325729</v>
      </c>
      <c r="H32" s="22">
        <f>'Debt Repayment profiles'!F12</f>
        <v>199929.91389777738</v>
      </c>
      <c r="I32" s="22">
        <f>'Debt Repayment profiles'!G12</f>
        <v>192192.79782352346</v>
      </c>
      <c r="J32" s="22">
        <f>'Debt Repayment profiles'!H12</f>
        <v>184068.82594555686</v>
      </c>
      <c r="K32" s="22">
        <f>'Debt Repayment profiles'!I12</f>
        <v>175538.65547369191</v>
      </c>
      <c r="L32" s="22">
        <f>'Debt Repayment profiles'!J12</f>
        <v>166581.97647823373</v>
      </c>
      <c r="M32" s="22">
        <f>'Debt Repayment profiles'!K12</f>
        <v>157177.46353300262</v>
      </c>
      <c r="N32" s="22">
        <f>'Debt Repayment profiles'!L12</f>
        <v>147302.72494050997</v>
      </c>
      <c r="O32" s="22">
        <f>'Debt Repayment profiles'!M12</f>
        <v>136934.24941839269</v>
      </c>
      <c r="P32" s="22">
        <f>'Debt Repayment profiles'!N12</f>
        <v>126047.35012016953</v>
      </c>
      <c r="Q32" s="22">
        <f>'Debt Repayment profiles'!O12</f>
        <v>114616.10585703522</v>
      </c>
      <c r="R32" s="22">
        <f>'Debt Repayment profiles'!P12</f>
        <v>102613.2993807442</v>
      </c>
      <c r="S32" s="22">
        <f>'Debt Repayment profiles'!Q12</f>
        <v>90010.352580638617</v>
      </c>
      <c r="T32" s="22">
        <f>'Debt Repayment profiles'!R12</f>
        <v>76777.258440527759</v>
      </c>
      <c r="U32" s="22">
        <f>'Debt Repayment profiles'!S12</f>
        <v>62882.509593411378</v>
      </c>
      <c r="V32" s="22">
        <f>'Debt Repayment profiles'!T12</f>
        <v>48293.023303939161</v>
      </c>
      <c r="W32" s="22">
        <f>'Debt Repayment profiles'!U12</f>
        <v>32974.062699993337</v>
      </c>
      <c r="X32" s="22">
        <f>'Debt Repayment profiles'!V12</f>
        <v>16889.154065850216</v>
      </c>
    </row>
    <row r="33" spans="2:26" x14ac:dyDescent="0.2">
      <c r="B33" s="10" t="s">
        <v>13</v>
      </c>
      <c r="E33" s="22">
        <f>'Debt Repayment profiles'!C15+'Debt Repayment profiles'!C16</f>
        <v>133672.23538285564</v>
      </c>
      <c r="F33" s="22">
        <f>'Debt Repayment profiles'!D15+'Debt Repayment profiles'!D16</f>
        <v>140355.84715199843</v>
      </c>
      <c r="G33" s="22">
        <f>'Debt Repayment profiles'!E15+'Debt Repayment profiles'!E16</f>
        <v>147373.63950959835</v>
      </c>
      <c r="H33" s="22">
        <f>'Debt Repayment profiles'!F15+'Debt Repayment profiles'!F16</f>
        <v>154742.32148507825</v>
      </c>
      <c r="I33" s="22">
        <f>'Debt Repayment profiles'!G15+'Debt Repayment profiles'!G16</f>
        <v>162479.43755933217</v>
      </c>
      <c r="J33" s="22">
        <f>'Debt Repayment profiles'!H15+'Debt Repayment profiles'!H16</f>
        <v>170603.40943729877</v>
      </c>
      <c r="K33" s="22">
        <f>'Debt Repayment profiles'!I15+'Debt Repayment profiles'!I16</f>
        <v>179133.57990916373</v>
      </c>
      <c r="L33" s="22">
        <f>'Debt Repayment profiles'!J15+'Debt Repayment profiles'!J16</f>
        <v>188090.25890462191</v>
      </c>
      <c r="M33" s="22">
        <f>'Debt Repayment profiles'!K15+'Debt Repayment profiles'!K16</f>
        <v>197494.77184985302</v>
      </c>
      <c r="N33" s="22">
        <f>'Debt Repayment profiles'!L15+'Debt Repayment profiles'!L16</f>
        <v>207369.51044234567</v>
      </c>
      <c r="O33" s="22">
        <f>'Debt Repayment profiles'!M15+'Debt Repayment profiles'!M16</f>
        <v>217737.98596446295</v>
      </c>
      <c r="P33" s="22">
        <f>'Debt Repayment profiles'!N15+'Debt Repayment profiles'!N16</f>
        <v>228624.88526268612</v>
      </c>
      <c r="Q33" s="22">
        <f>'Debt Repayment profiles'!O15+'Debt Repayment profiles'!O16</f>
        <v>240056.12952582043</v>
      </c>
      <c r="R33" s="22">
        <f>'Debt Repayment profiles'!P15+'Debt Repayment profiles'!P16</f>
        <v>252058.93600211144</v>
      </c>
      <c r="S33" s="22">
        <f>'Debt Repayment profiles'!Q15+'Debt Repayment profiles'!Q16</f>
        <v>264661.88280221703</v>
      </c>
      <c r="T33" s="22">
        <f>'Debt Repayment profiles'!R15+'Debt Repayment profiles'!R16</f>
        <v>277894.97694232786</v>
      </c>
      <c r="U33" s="22">
        <f>'Debt Repayment profiles'!S15+'Debt Repayment profiles'!S16</f>
        <v>291789.72578944429</v>
      </c>
      <c r="V33" s="22">
        <f>'Debt Repayment profiles'!T15+'Debt Repayment profiles'!T16</f>
        <v>306379.21207891649</v>
      </c>
      <c r="W33" s="22">
        <f>'Debt Repayment profiles'!U15+'Debt Repayment profiles'!U16</f>
        <v>321698.17268286232</v>
      </c>
      <c r="X33" s="22">
        <f>'Debt Repayment profiles'!V15+'Debt Repayment profiles'!V16</f>
        <v>337783.08131700545</v>
      </c>
    </row>
    <row r="34" spans="2:26" x14ac:dyDescent="0.2">
      <c r="B34" s="10" t="s">
        <v>11</v>
      </c>
      <c r="C34" s="36">
        <f>'Financial model 2'!H8</f>
        <v>0.33329999999999999</v>
      </c>
      <c r="E34" s="22">
        <f>$C$34*(E30-E31-E32)</f>
        <v>272338.78776657913</v>
      </c>
      <c r="F34" s="22">
        <f>$C$34*(F30-F31-F32)</f>
        <v>286310.82083023363</v>
      </c>
      <c r="G34" s="22">
        <f t="shared" ref="G34:X34" si="4">$C$34*(G30-G31-G32)</f>
        <v>300630.61509164306</v>
      </c>
      <c r="H34" s="22">
        <f t="shared" si="4"/>
        <v>315308.45301628462</v>
      </c>
      <c r="I34" s="22">
        <f t="shared" si="4"/>
        <v>330354.98836026387</v>
      </c>
      <c r="J34" s="22">
        <f t="shared" si="4"/>
        <v>345781.26189150248</v>
      </c>
      <c r="K34" s="22">
        <f t="shared" si="4"/>
        <v>361598.71784110018</v>
      </c>
      <c r="L34" s="22">
        <f t="shared" si="4"/>
        <v>377819.22112031479</v>
      </c>
      <c r="M34" s="22">
        <f t="shared" si="4"/>
        <v>394455.07534032408</v>
      </c>
      <c r="N34" s="22">
        <f t="shared" si="4"/>
        <v>411519.04167380399</v>
      </c>
      <c r="O34" s="22">
        <f t="shared" si="4"/>
        <v>429024.35859926313</v>
      </c>
      <c r="P34" s="22">
        <f t="shared" si="4"/>
        <v>446984.76257111039</v>
      </c>
      <c r="Q34" s="22">
        <f t="shared" si="4"/>
        <v>465414.50966055976</v>
      </c>
      <c r="R34" s="22">
        <f t="shared" si="4"/>
        <v>484328.39821470605</v>
      </c>
      <c r="S34" s="22">
        <f t="shared" si="4"/>
        <v>503741.79258345161</v>
      </c>
      <c r="T34" s="22">
        <f t="shared" si="4"/>
        <v>523670.64796641871</v>
      </c>
      <c r="U34" s="22">
        <f t="shared" si="4"/>
        <v>544131.53643458011</v>
      </c>
      <c r="V34" s="22">
        <f t="shared" si="4"/>
        <v>565141.67418403563</v>
      </c>
      <c r="W34" s="22">
        <f t="shared" si="4"/>
        <v>586718.95008221932</v>
      </c>
      <c r="X34" s="22">
        <f t="shared" si="4"/>
        <v>608881.95556981361</v>
      </c>
    </row>
    <row r="35" spans="2:26" s="2" customFormat="1" x14ac:dyDescent="0.2">
      <c r="B35" s="21" t="s">
        <v>49</v>
      </c>
      <c r="C35" s="21"/>
      <c r="D35" s="77"/>
      <c r="E35" s="24">
        <f>E30-E34</f>
        <v>1465759.2853404691</v>
      </c>
      <c r="F35" s="24">
        <f t="shared" ref="F35:S35" si="5">F30-F34</f>
        <v>1487023.9317277572</v>
      </c>
      <c r="G35" s="24">
        <f t="shared" si="5"/>
        <v>1508650.0242608914</v>
      </c>
      <c r="H35" s="24">
        <f t="shared" si="5"/>
        <v>1530641.4219264511</v>
      </c>
      <c r="I35" s="24">
        <f t="shared" si="5"/>
        <v>1553001.8909522002</v>
      </c>
      <c r="J35" s="24">
        <f t="shared" si="5"/>
        <v>1575735.0944816046</v>
      </c>
      <c r="K35" s="24">
        <f t="shared" si="5"/>
        <v>1598844.5816202911</v>
      </c>
      <c r="L35" s="24">
        <f t="shared" si="5"/>
        <v>1622333.7758209095</v>
      </c>
      <c r="M35" s="24">
        <f t="shared" si="5"/>
        <v>1646205.9625710887</v>
      </c>
      <c r="N35" s="24">
        <f t="shared" si="5"/>
        <v>1670464.2763474262</v>
      </c>
      <c r="O35" s="24">
        <f t="shared" si="5"/>
        <v>1695111.6867965166</v>
      </c>
      <c r="P35" s="24">
        <f t="shared" si="5"/>
        <v>1720150.9841020457</v>
      </c>
      <c r="Q35" s="24">
        <f t="shared" si="5"/>
        <v>1745584.7634948846</v>
      </c>
      <c r="R35" s="24">
        <f t="shared" si="5"/>
        <v>1771415.4088609258</v>
      </c>
      <c r="S35" s="24">
        <f t="shared" si="5"/>
        <v>1797645.0753990822</v>
      </c>
      <c r="T35" s="24">
        <f>T30-T34</f>
        <v>1824275.671279446</v>
      </c>
      <c r="U35" s="24">
        <f>U30-U34</f>
        <v>1851308.8382490808</v>
      </c>
      <c r="V35" s="24">
        <f>V30-V34</f>
        <v>1878745.9311302118</v>
      </c>
      <c r="W35" s="24">
        <f>W30-W34</f>
        <v>1906587.9961527856</v>
      </c>
      <c r="X35" s="24">
        <f>X30-X34</f>
        <v>1934835.7480604341</v>
      </c>
      <c r="Y35" s="21"/>
    </row>
    <row r="36" spans="2:26" s="2" customFormat="1" x14ac:dyDescent="0.2">
      <c r="B36" s="70" t="s">
        <v>55</v>
      </c>
      <c r="C36" s="70"/>
      <c r="D36" s="9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21"/>
    </row>
    <row r="37" spans="2:26" s="2" customFormat="1" x14ac:dyDescent="0.2">
      <c r="B37" s="71" t="s">
        <v>56</v>
      </c>
      <c r="C37" s="70"/>
      <c r="D37" s="92"/>
      <c r="E37" s="122">
        <f>('Risk Valuation'!$D$12)*'Financial model 2'!E21</f>
        <v>40229.184927929862</v>
      </c>
      <c r="F37" s="122">
        <f>('Risk Valuation'!$D$12)*'Financial model 2'!F21</f>
        <v>41069.974892923587</v>
      </c>
      <c r="G37" s="122">
        <f>('Risk Valuation'!$D$12)*'Financial model 2'!G21</f>
        <v>41928.337368185697</v>
      </c>
      <c r="H37" s="122">
        <f>('Risk Valuation'!$D$12)*'Financial model 2'!H21</f>
        <v>42804.639619180787</v>
      </c>
      <c r="I37" s="122">
        <f>('Risk Valuation'!$D$12)*'Financial model 2'!I21</f>
        <v>43699.256587221636</v>
      </c>
      <c r="J37" s="122">
        <f>('Risk Valuation'!$D$12)*'Financial model 2'!J21</f>
        <v>44612.571049894585</v>
      </c>
      <c r="K37" s="122">
        <f>('Risk Valuation'!$D$12)*'Financial model 2'!K21</f>
        <v>45544.973784837362</v>
      </c>
      <c r="L37" s="122">
        <f>('Risk Valuation'!$D$12)*'Financial model 2'!L21</f>
        <v>46496.863736940468</v>
      </c>
      <c r="M37" s="122">
        <f>('Risk Valuation'!$D$12)*'Financial model 2'!M21</f>
        <v>47468.648189042528</v>
      </c>
      <c r="N37" s="122">
        <f>('Risk Valuation'!$D$12)*'Financial model 2'!N21</f>
        <v>48460.742936193499</v>
      </c>
      <c r="O37" s="122">
        <f>('Risk Valuation'!$D$12)*'Financial model 2'!O21</f>
        <v>49473.57246355994</v>
      </c>
      <c r="P37" s="122">
        <f>('Risk Valuation'!$D$12)*'Financial model 2'!P21</f>
        <v>50507.570128048341</v>
      </c>
      <c r="Q37" s="122">
        <f>('Risk Valuation'!$D$12)*'Financial model 2'!Q21</f>
        <v>51563.178343724554</v>
      </c>
      <c r="R37" s="122">
        <f>('Risk Valuation'!$D$12)*'Financial model 2'!R21</f>
        <v>52640.84877110838</v>
      </c>
      <c r="S37" s="122">
        <f>('Risk Valuation'!$D$12)*'Financial model 2'!S21</f>
        <v>53741.042510424551</v>
      </c>
      <c r="T37" s="122">
        <f>('Risk Valuation'!$D$12)*'Financial model 2'!T21</f>
        <v>54864.23029889242</v>
      </c>
      <c r="U37" s="122">
        <f>('Risk Valuation'!$D$12)*'Financial model 2'!U21</f>
        <v>56010.892712139255</v>
      </c>
      <c r="V37" s="122">
        <f>('Risk Valuation'!$D$12)*'Financial model 2'!V21</f>
        <v>57181.520369822974</v>
      </c>
      <c r="W37" s="122">
        <f>('Risk Valuation'!$D$12)*'Financial model 2'!W21</f>
        <v>58376.614145552274</v>
      </c>
      <c r="X37" s="122">
        <f>('Risk Valuation'!$D$12)*'Financial model 2'!X21</f>
        <v>59596.685381194286</v>
      </c>
      <c r="Y37" s="21"/>
    </row>
    <row r="38" spans="2:26" s="2" customFormat="1" x14ac:dyDescent="0.2">
      <c r="B38" s="71" t="s">
        <v>110</v>
      </c>
      <c r="C38" s="70"/>
      <c r="D38" s="90"/>
      <c r="E38" s="122">
        <f>'Risk Valuation'!$E$26*(NPV('Risk Valuation'!$E$26*$Y$38+2.79%,E21:$X$21)-NPV('Risk Valuation'!$E$26*$Y$38+2.92%,E34:$X$34))*$Y$38</f>
        <v>651059.03015546489</v>
      </c>
      <c r="F38" s="122">
        <f>'Risk Valuation'!$E$26*(NPV('Risk Valuation'!$E$26*$Y$38+2.79%,F21:$X$21)-NPV('Risk Valuation'!$E$26*$Y$38+2.92%,F34:$X$34))*$Y$38</f>
        <v>639107.80540999805</v>
      </c>
      <c r="G38" s="122">
        <f>'Risk Valuation'!$E$26*(NPV('Risk Valuation'!$E$26*$Y$38+2.79%,G21:$X$21)-NPV('Risk Valuation'!$E$26*$Y$38+2.92%,G34:$X$34))*$Y$38</f>
        <v>625718.57035939989</v>
      </c>
      <c r="H38" s="122">
        <f>'Risk Valuation'!$E$26*(NPV('Risk Valuation'!$E$26*$Y$38+2.79%,H21:$X$21)-NPV('Risk Valuation'!$E$26*$Y$38+2.92%,H34:$X$34))*$Y$38</f>
        <v>610797.24149633653</v>
      </c>
      <c r="I38" s="122">
        <f>'Risk Valuation'!$E$26*(NPV('Risk Valuation'!$E$26*$Y$38+2.79%,I21:$X$21)-NPV('Risk Valuation'!$E$26*$Y$38+2.92%,I34:$X$34))*$Y$38</f>
        <v>594244.32253821939</v>
      </c>
      <c r="J38" s="122">
        <f>'Risk Valuation'!$E$26*(NPV('Risk Valuation'!$E$26*$Y$38+2.79%,J21:$X$21)-NPV('Risk Valuation'!$E$26*$Y$38+2.92%,J34:$X$34))*$Y$38</f>
        <v>575954.60583533172</v>
      </c>
      <c r="K38" s="122">
        <f>'Risk Valuation'!$E$26*(NPV('Risk Valuation'!$E$26*$Y$38+2.79%,K21:$X$21)-NPV('Risk Valuation'!$E$26*$Y$38+2.92%,K34:$X$34))*$Y$38</f>
        <v>555816.85755673295</v>
      </c>
      <c r="L38" s="122">
        <f>'Risk Valuation'!$E$26*(NPV('Risk Valuation'!$E$26*$Y$38+2.79%,L21:$X$21)-NPV('Risk Valuation'!$E$26*$Y$38+2.92%,L34:$X$34))*$Y$38</f>
        <v>533713.4857775789</v>
      </c>
      <c r="M38" s="122">
        <f>'Risk Valuation'!$E$26*(NPV('Risk Valuation'!$E$26*$Y$38+2.79%,M21:$X$21)-NPV('Risk Valuation'!$E$26*$Y$38+2.92%,M34:$X$34))*$Y$38</f>
        <v>509520.19054425339</v>
      </c>
      <c r="N38" s="122">
        <f>'Risk Valuation'!$E$26*(NPV('Risk Valuation'!$E$26*$Y$38+2.79%,N21:$X$21)-NPV('Risk Valuation'!$E$26*$Y$38+2.92%,N34:$X$34))*$Y$38</f>
        <v>483105.59494391357</v>
      </c>
      <c r="O38" s="122">
        <f>'Risk Valuation'!$E$26*(NPV('Risk Valuation'!$E$26*$Y$38+2.79%,O21:$X$21)-NPV('Risk Valuation'!$E$26*$Y$38+2.92%,O34:$X$34))*$Y$38</f>
        <v>454330.85615258024</v>
      </c>
      <c r="P38" s="122">
        <f>'Risk Valuation'!$E$26*(NPV('Risk Valuation'!$E$26*$Y$38+2.79%,P21:$X$21)-NPV('Risk Valuation'!$E$26*$Y$38+2.92%,P34:$X$34))*$Y$38</f>
        <v>423049.25538060692</v>
      </c>
      <c r="Q38" s="122">
        <f>'Risk Valuation'!$E$26*(NPV('Risk Valuation'!$E$26*$Y$38+2.79%,Q21:$X$21)-NPV('Risk Valuation'!$E$26*$Y$38+2.92%,Q34:$X$34))*$Y$38</f>
        <v>389105.76557608135</v>
      </c>
      <c r="R38" s="122">
        <f>'Risk Valuation'!$E$26*(NPV('Risk Valuation'!$E$26*$Y$38+2.79%,R21:$X$21)-NPV('Risk Valuation'!$E$26*$Y$38+2.92%,R34:$X$34))*$Y$38</f>
        <v>352336.59568529873</v>
      </c>
      <c r="S38" s="122">
        <f>'Risk Valuation'!$E$26*(NPV('Risk Valuation'!$E$26*$Y$38+2.79%,S21:$X$21)-NPV('Risk Valuation'!$E$26*$Y$38+2.92%,S34:$X$34))*$Y$38</f>
        <v>312568.71020472114</v>
      </c>
      <c r="T38" s="122">
        <f>'Risk Valuation'!$E$26*(NPV('Risk Valuation'!$E$26*$Y$38+2.79%,T21:$X$21)-NPV('Risk Valuation'!$E$26*$Y$38+2.92%,T34:$X$34))*$Y$38</f>
        <v>269619.32269061933</v>
      </c>
      <c r="U38" s="122">
        <f>'Risk Valuation'!$E$26*(NPV('Risk Valuation'!$E$26*$Y$38+2.79%,U21:$X$21)-NPV('Risk Valuation'!$E$26*$Y$38+2.92%,U34:$X$34))*$Y$38</f>
        <v>223295.36182072046</v>
      </c>
      <c r="V38" s="122">
        <f>'Risk Valuation'!$E$26*(NPV('Risk Valuation'!$E$26*$Y$38+2.79%,V21:$X$21)-NPV('Risk Valuation'!$E$26*$Y$38+2.92%,V34:$X$34))*$Y$38</f>
        <v>173392.90852641314</v>
      </c>
      <c r="W38" s="122">
        <f>'Risk Valuation'!$E$26*(NPV('Risk Valuation'!$E$26*$Y$38+2.79%,W21:$X$21)-NPV('Risk Valuation'!$E$26*$Y$38+2.92%,W34:$X$34))*$Y$38</f>
        <v>119696.60263423379</v>
      </c>
      <c r="X38" s="122">
        <f>'Risk Valuation'!$E$26*(NPV('Risk Valuation'!$E$26*$Y$38+2.79%,X21:$X$21)-NPV('Risk Valuation'!$E$26*$Y$38+2.92%,X34:$X$34))*$Y$38</f>
        <v>61979.017371214111</v>
      </c>
      <c r="Y38" s="157">
        <v>0.5</v>
      </c>
      <c r="Z38" s="158" t="s">
        <v>172</v>
      </c>
    </row>
    <row r="39" spans="2:26" s="2" customFormat="1" x14ac:dyDescent="0.2">
      <c r="B39" s="71" t="s">
        <v>108</v>
      </c>
      <c r="C39" s="70"/>
      <c r="D39" s="90"/>
      <c r="E39" s="122">
        <f>'Risk Valuation'!$E$36*'Financial model 2'!E23</f>
        <v>6252.6948750000001</v>
      </c>
      <c r="F39" s="122">
        <f>'Risk Valuation'!$E$36*'Financial model 2'!F23</f>
        <v>6409.0122468749996</v>
      </c>
      <c r="G39" s="122">
        <f>'Risk Valuation'!$E$36*'Financial model 2'!G23</f>
        <v>6569.2375530468744</v>
      </c>
      <c r="H39" s="122">
        <f>'Risk Valuation'!$E$36*'Financial model 2'!H23</f>
        <v>6733.4684918730454</v>
      </c>
      <c r="I39" s="122">
        <f>'Risk Valuation'!$E$36*'Financial model 2'!I23</f>
        <v>6901.8052041698702</v>
      </c>
      <c r="J39" s="122">
        <f>'Risk Valuation'!$E$36*'Financial model 2'!J23</f>
        <v>7074.350334274116</v>
      </c>
      <c r="K39" s="122">
        <f>'Risk Valuation'!$E$36*'Financial model 2'!K23</f>
        <v>7251.2090926309684</v>
      </c>
      <c r="L39" s="122">
        <f>'Risk Valuation'!$E$36*'Financial model 2'!L23</f>
        <v>7432.4893199467424</v>
      </c>
      <c r="M39" s="122">
        <f>'Risk Valuation'!$E$36*'Financial model 2'!M23</f>
        <v>7618.3015529454105</v>
      </c>
      <c r="N39" s="122">
        <f>'Risk Valuation'!$E$36*'Financial model 2'!N23</f>
        <v>7808.7590917690459</v>
      </c>
      <c r="O39" s="122">
        <f>'Risk Valuation'!$E$36*'Financial model 2'!O23</f>
        <v>8003.9780690632706</v>
      </c>
      <c r="P39" s="122">
        <f>'Risk Valuation'!$E$36*'Financial model 2'!P23</f>
        <v>8204.0775207898514</v>
      </c>
      <c r="Q39" s="122">
        <f>'Risk Valuation'!$E$36*'Financial model 2'!Q23</f>
        <v>8409.1794588095963</v>
      </c>
      <c r="R39" s="122">
        <f>'Risk Valuation'!$E$36*'Financial model 2'!R23</f>
        <v>8619.4089452798344</v>
      </c>
      <c r="S39" s="122">
        <f>'Risk Valuation'!$E$36*'Financial model 2'!S23</f>
        <v>8834.8941689118292</v>
      </c>
      <c r="T39" s="122">
        <f>'Risk Valuation'!$E$36*'Financial model 2'!T23</f>
        <v>9055.7665231346236</v>
      </c>
      <c r="U39" s="122">
        <f>'Risk Valuation'!$E$36*'Financial model 2'!U23</f>
        <v>9282.1606862129902</v>
      </c>
      <c r="V39" s="122">
        <f>'Risk Valuation'!$E$36*'Financial model 2'!V23</f>
        <v>9514.2147033683123</v>
      </c>
      <c r="W39" s="122">
        <f>'Risk Valuation'!$E$36*'Financial model 2'!W23</f>
        <v>9752.070070952519</v>
      </c>
      <c r="X39" s="122">
        <f>'Risk Valuation'!$E$36*'Financial model 2'!X23</f>
        <v>9995.8718227263307</v>
      </c>
      <c r="Y39" s="21"/>
    </row>
    <row r="40" spans="2:26" s="2" customFormat="1" x14ac:dyDescent="0.2">
      <c r="B40" s="71" t="s">
        <v>109</v>
      </c>
      <c r="C40" s="70"/>
      <c r="D40" s="90"/>
      <c r="E40" s="122">
        <f>'Risk Valuation'!$D$52*'Financial model 2'!E25</f>
        <v>307.62412485836455</v>
      </c>
      <c r="F40" s="122">
        <f>'Risk Valuation'!$D$52*'Financial model 2'!F25</f>
        <v>315.3147279798236</v>
      </c>
      <c r="G40" s="122">
        <f>'Risk Valuation'!$D$52*'Financial model 2'!G25</f>
        <v>323.19759617931919</v>
      </c>
      <c r="H40" s="122">
        <f>'Risk Valuation'!$D$52*'Financial model 2'!H25</f>
        <v>331.27753608380215</v>
      </c>
      <c r="I40" s="122">
        <f>'Risk Valuation'!$D$52*'Financial model 2'!I25</f>
        <v>339.55947448589711</v>
      </c>
      <c r="J40" s="122">
        <f>'Risk Valuation'!$D$52*'Financial model 2'!J25</f>
        <v>348.0484613480445</v>
      </c>
      <c r="K40" s="122">
        <f>'Risk Valuation'!$D$52*'Financial model 2'!K25</f>
        <v>356.7496728817456</v>
      </c>
      <c r="L40" s="122">
        <f>'Risk Valuation'!$D$52*'Financial model 2'!L25</f>
        <v>365.66841470378921</v>
      </c>
      <c r="M40" s="122">
        <f>'Risk Valuation'!$D$52*'Financial model 2'!M25</f>
        <v>374.81012507138394</v>
      </c>
      <c r="N40" s="122">
        <f>'Risk Valuation'!$D$52*'Financial model 2'!N25</f>
        <v>384.18037819816851</v>
      </c>
      <c r="O40" s="122">
        <f>'Risk Valuation'!$D$52*'Financial model 2'!O25</f>
        <v>393.78488765312272</v>
      </c>
      <c r="P40" s="122">
        <f>'Risk Valuation'!$D$52*'Financial model 2'!P25</f>
        <v>403.62950984445075</v>
      </c>
      <c r="Q40" s="122">
        <f>'Risk Valuation'!$D$52*'Financial model 2'!Q25</f>
        <v>413.72024759056194</v>
      </c>
      <c r="R40" s="122">
        <f>'Risk Valuation'!$D$52*'Financial model 2'!R25</f>
        <v>424.06325378032597</v>
      </c>
      <c r="S40" s="122">
        <f>'Risk Valuation'!$D$52*'Financial model 2'!S25</f>
        <v>434.6648351248341</v>
      </c>
      <c r="T40" s="122">
        <f>'Risk Valuation'!$D$52*'Financial model 2'!T25</f>
        <v>445.53145600295494</v>
      </c>
      <c r="U40" s="122">
        <f>'Risk Valuation'!$D$52*'Financial model 2'!U25</f>
        <v>456.66974240302875</v>
      </c>
      <c r="V40" s="122">
        <f>'Risk Valuation'!$D$52*'Financial model 2'!V25</f>
        <v>468.08648596310439</v>
      </c>
      <c r="W40" s="122">
        <f>'Risk Valuation'!$D$52*'Financial model 2'!W25</f>
        <v>479.78864811218199</v>
      </c>
      <c r="X40" s="122">
        <f>'Risk Valuation'!$D$52*'Financial model 2'!X25</f>
        <v>491.78336431498644</v>
      </c>
      <c r="Y40" s="21"/>
    </row>
    <row r="41" spans="2:26" s="2" customFormat="1" x14ac:dyDescent="0.2">
      <c r="B41" s="70" t="s">
        <v>61</v>
      </c>
      <c r="C41" s="70"/>
      <c r="D41" s="93">
        <v>-8840000</v>
      </c>
      <c r="E41" s="91">
        <f>E35-SUM(E37:E40)</f>
        <v>767910.75125721586</v>
      </c>
      <c r="F41" s="91">
        <f>F35-SUM(F37:F40)</f>
        <v>800121.82444998075</v>
      </c>
      <c r="G41" s="91">
        <f t="shared" ref="G41:X41" si="6">G35-SUM(G37:G40)</f>
        <v>834110.68138407951</v>
      </c>
      <c r="H41" s="91">
        <f t="shared" si="6"/>
        <v>869974.79478297697</v>
      </c>
      <c r="I41" s="91">
        <f t="shared" si="6"/>
        <v>907816.94714810338</v>
      </c>
      <c r="J41" s="91">
        <f t="shared" si="6"/>
        <v>947745.5188007562</v>
      </c>
      <c r="K41" s="91">
        <f t="shared" si="6"/>
        <v>989874.79151320795</v>
      </c>
      <c r="L41" s="91">
        <f t="shared" si="6"/>
        <v>1034325.2685717397</v>
      </c>
      <c r="M41" s="91">
        <f t="shared" si="6"/>
        <v>1081224.0121597759</v>
      </c>
      <c r="N41" s="91">
        <f t="shared" si="6"/>
        <v>1130704.9989973521</v>
      </c>
      <c r="O41" s="91">
        <f t="shared" si="6"/>
        <v>1182909.49522366</v>
      </c>
      <c r="P41" s="91">
        <f t="shared" si="6"/>
        <v>1237986.451562756</v>
      </c>
      <c r="Q41" s="91">
        <f t="shared" si="6"/>
        <v>1296092.9198686786</v>
      </c>
      <c r="R41" s="91">
        <f t="shared" si="6"/>
        <v>1357394.4922054587</v>
      </c>
      <c r="S41" s="91">
        <f t="shared" si="6"/>
        <v>1422065.7636798997</v>
      </c>
      <c r="T41" s="91">
        <f t="shared" si="6"/>
        <v>1490290.8203107966</v>
      </c>
      <c r="U41" s="91">
        <f t="shared" si="6"/>
        <v>1562263.753287605</v>
      </c>
      <c r="V41" s="91">
        <f t="shared" si="6"/>
        <v>1638189.2010446442</v>
      </c>
      <c r="W41" s="91">
        <f t="shared" si="6"/>
        <v>1718282.9206539348</v>
      </c>
      <c r="X41" s="91">
        <f t="shared" si="6"/>
        <v>1802772.3901209845</v>
      </c>
      <c r="Y41" s="21"/>
    </row>
    <row r="42" spans="2:26" s="2" customFormat="1" x14ac:dyDescent="0.2">
      <c r="B42" s="70" t="s">
        <v>62</v>
      </c>
      <c r="C42" s="70"/>
      <c r="D42" s="90"/>
      <c r="E42" s="94">
        <f>IRR(D41:X41)</f>
        <v>0.10116794259920026</v>
      </c>
      <c r="F42" s="91" t="s">
        <v>124</v>
      </c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21"/>
    </row>
    <row r="44" spans="2:26" x14ac:dyDescent="0.2">
      <c r="D44" s="21" t="s">
        <v>168</v>
      </c>
      <c r="E44" s="24">
        <f>NPV(H5,E41:X41)</f>
        <v>17524803.211526658</v>
      </c>
      <c r="H44" s="153"/>
    </row>
    <row r="45" spans="2:26" x14ac:dyDescent="0.2">
      <c r="D45" s="21" t="s">
        <v>169</v>
      </c>
      <c r="E45" s="24">
        <f>NPV(10%,E35:X35)</f>
        <v>13758809.662502481</v>
      </c>
      <c r="F45" s="22" t="s">
        <v>171</v>
      </c>
    </row>
    <row r="47" spans="2:26" x14ac:dyDescent="0.2">
      <c r="D47" s="21" t="s">
        <v>55</v>
      </c>
      <c r="E47" s="24">
        <f>SUM(E37:E39)</f>
        <v>697540.90995839483</v>
      </c>
      <c r="F47" s="24">
        <f t="shared" ref="F47:X47" si="7">SUM(F37:F39)</f>
        <v>686586.79254979664</v>
      </c>
      <c r="G47" s="24">
        <f t="shared" si="7"/>
        <v>674216.14528063254</v>
      </c>
      <c r="H47" s="24">
        <f t="shared" si="7"/>
        <v>660335.34960739035</v>
      </c>
      <c r="I47" s="24">
        <f t="shared" si="7"/>
        <v>644845.38432961085</v>
      </c>
      <c r="J47" s="24">
        <f t="shared" si="7"/>
        <v>627641.52721950039</v>
      </c>
      <c r="K47" s="24">
        <f t="shared" si="7"/>
        <v>608613.04043420136</v>
      </c>
      <c r="L47" s="24">
        <f t="shared" si="7"/>
        <v>587642.83883446606</v>
      </c>
      <c r="M47" s="24">
        <f t="shared" si="7"/>
        <v>564607.14028624131</v>
      </c>
      <c r="N47" s="24">
        <f t="shared" si="7"/>
        <v>539375.0969718761</v>
      </c>
      <c r="O47" s="24">
        <f t="shared" si="7"/>
        <v>511808.40668520343</v>
      </c>
      <c r="P47" s="24">
        <f t="shared" si="7"/>
        <v>481760.90302944515</v>
      </c>
      <c r="Q47" s="24">
        <f t="shared" si="7"/>
        <v>449078.12337861554</v>
      </c>
      <c r="R47" s="24">
        <f t="shared" si="7"/>
        <v>413596.85340168694</v>
      </c>
      <c r="S47" s="24">
        <f t="shared" si="7"/>
        <v>375144.64688405755</v>
      </c>
      <c r="T47" s="24">
        <f t="shared" si="7"/>
        <v>333539.31951264635</v>
      </c>
      <c r="U47" s="24">
        <f t="shared" si="7"/>
        <v>288588.41521907272</v>
      </c>
      <c r="V47" s="24">
        <f t="shared" si="7"/>
        <v>240088.64359960443</v>
      </c>
      <c r="W47" s="24">
        <f t="shared" si="7"/>
        <v>187825.28685073857</v>
      </c>
      <c r="X47" s="24">
        <f t="shared" si="7"/>
        <v>131571.57457513473</v>
      </c>
    </row>
  </sheetData>
  <phoneticPr fontId="23" type="noConversion"/>
  <pageMargins left="0.7" right="0.7" top="0.75" bottom="0.7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K108"/>
  <sheetViews>
    <sheetView topLeftCell="A6" workbookViewId="0">
      <selection activeCell="A6" sqref="A6"/>
    </sheetView>
  </sheetViews>
  <sheetFormatPr baseColWidth="10" defaultColWidth="8.83203125" defaultRowHeight="15" x14ac:dyDescent="0.2"/>
  <cols>
    <col min="1" max="1" width="3.5" customWidth="1"/>
    <col min="2" max="2" width="21" customWidth="1"/>
    <col min="3" max="3" width="21.5" customWidth="1"/>
    <col min="4" max="4" width="3.6640625" customWidth="1"/>
    <col min="5" max="5" width="21.5" customWidth="1"/>
    <col min="6" max="6" width="3.6640625" customWidth="1"/>
    <col min="7" max="7" width="21.5" customWidth="1"/>
    <col min="8" max="8" width="3.6640625" customWidth="1"/>
    <col min="9" max="9" width="21.5" customWidth="1"/>
    <col min="10" max="10" width="3.6640625" customWidth="1"/>
    <col min="11" max="11" width="21.5" customWidth="1"/>
  </cols>
  <sheetData>
    <row r="2" spans="1:11" x14ac:dyDescent="0.2">
      <c r="A2" s="87"/>
    </row>
    <row r="3" spans="1:11" x14ac:dyDescent="0.2">
      <c r="A3" s="87"/>
      <c r="B3" s="101"/>
      <c r="C3" s="102" t="s">
        <v>71</v>
      </c>
      <c r="D3" s="102"/>
      <c r="E3" s="102" t="s">
        <v>73</v>
      </c>
      <c r="F3" s="102"/>
      <c r="G3" s="102" t="s">
        <v>77</v>
      </c>
      <c r="H3" s="111"/>
      <c r="I3" s="102" t="s">
        <v>76</v>
      </c>
      <c r="J3" s="111"/>
      <c r="K3" s="102" t="s">
        <v>97</v>
      </c>
    </row>
    <row r="4" spans="1:11" x14ac:dyDescent="0.2">
      <c r="A4" s="87"/>
      <c r="B4" s="115" t="s">
        <v>67</v>
      </c>
      <c r="C4" s="99"/>
      <c r="D4" s="99"/>
      <c r="E4" s="99"/>
      <c r="F4" s="99"/>
      <c r="G4" s="99"/>
      <c r="H4" s="83"/>
      <c r="I4" s="99"/>
      <c r="J4" s="83"/>
      <c r="K4" s="99"/>
    </row>
    <row r="5" spans="1:11" ht="48" x14ac:dyDescent="0.2">
      <c r="A5" s="113">
        <v>1</v>
      </c>
      <c r="B5" s="97" t="s">
        <v>68</v>
      </c>
      <c r="C5" s="98" t="s">
        <v>72</v>
      </c>
      <c r="D5" s="98"/>
      <c r="E5" s="98" t="s">
        <v>74</v>
      </c>
      <c r="F5" s="98"/>
      <c r="G5" s="98" t="s">
        <v>137</v>
      </c>
      <c r="I5" s="98" t="s">
        <v>138</v>
      </c>
      <c r="J5" s="98"/>
      <c r="K5" s="118">
        <v>0</v>
      </c>
    </row>
    <row r="6" spans="1:11" ht="48" x14ac:dyDescent="0.2">
      <c r="A6" s="113">
        <v>2</v>
      </c>
      <c r="B6" s="97" t="s">
        <v>69</v>
      </c>
      <c r="C6" s="98" t="s">
        <v>75</v>
      </c>
      <c r="D6" s="98"/>
      <c r="E6" s="98" t="s">
        <v>78</v>
      </c>
      <c r="F6" s="98"/>
      <c r="G6" s="98" t="s">
        <v>79</v>
      </c>
      <c r="I6" s="98" t="s">
        <v>94</v>
      </c>
      <c r="J6" s="98"/>
      <c r="K6" s="118">
        <f>'Risk Valuation'!D13</f>
        <v>40229.184927929862</v>
      </c>
    </row>
    <row r="7" spans="1:11" ht="48" x14ac:dyDescent="0.2">
      <c r="A7" s="113">
        <v>3</v>
      </c>
      <c r="B7" s="97" t="s">
        <v>70</v>
      </c>
      <c r="C7" s="98" t="s">
        <v>80</v>
      </c>
      <c r="D7" s="98"/>
      <c r="E7" s="98" t="s">
        <v>78</v>
      </c>
      <c r="F7" s="98"/>
      <c r="G7" s="98" t="s">
        <v>95</v>
      </c>
      <c r="I7" s="98" t="s">
        <v>96</v>
      </c>
      <c r="J7" s="98"/>
      <c r="K7" s="118">
        <f>'Risk Valuation'!E29</f>
        <v>5.5435939783917601E-2</v>
      </c>
    </row>
    <row r="8" spans="1:11" x14ac:dyDescent="0.2">
      <c r="A8" s="112"/>
      <c r="B8" s="97"/>
      <c r="C8" s="98"/>
      <c r="D8" s="98"/>
      <c r="E8" s="98"/>
      <c r="F8" s="98"/>
      <c r="G8" s="98"/>
      <c r="I8" s="98"/>
      <c r="J8" s="98"/>
      <c r="K8" s="98"/>
    </row>
    <row r="9" spans="1:11" x14ac:dyDescent="0.2">
      <c r="A9" s="112"/>
      <c r="B9" s="114" t="s">
        <v>83</v>
      </c>
      <c r="C9" s="98"/>
      <c r="D9" s="98"/>
      <c r="E9" s="98"/>
      <c r="F9" s="98"/>
      <c r="G9" s="98"/>
      <c r="I9" s="98"/>
      <c r="J9" s="98"/>
      <c r="K9" s="118"/>
    </row>
    <row r="10" spans="1:11" ht="48" x14ac:dyDescent="0.2">
      <c r="A10" s="113">
        <v>4</v>
      </c>
      <c r="B10" s="97" t="s">
        <v>1</v>
      </c>
      <c r="C10" s="98" t="s">
        <v>85</v>
      </c>
      <c r="D10" s="98"/>
      <c r="E10" s="98" t="s">
        <v>78</v>
      </c>
      <c r="F10" s="98"/>
      <c r="G10" s="98" t="s">
        <v>95</v>
      </c>
      <c r="I10" s="98" t="s">
        <v>96</v>
      </c>
      <c r="J10" s="98"/>
      <c r="K10" s="118">
        <f>'Risk Valuation'!E38</f>
        <v>6252.6948750000001</v>
      </c>
    </row>
    <row r="11" spans="1:11" ht="64" x14ac:dyDescent="0.2">
      <c r="A11" s="113">
        <v>5</v>
      </c>
      <c r="B11" s="97" t="s">
        <v>16</v>
      </c>
      <c r="C11" s="98" t="s">
        <v>91</v>
      </c>
      <c r="D11" s="98"/>
      <c r="E11" s="98" t="s">
        <v>92</v>
      </c>
      <c r="F11" s="98"/>
      <c r="G11" s="98" t="s">
        <v>93</v>
      </c>
      <c r="I11" s="98" t="s">
        <v>100</v>
      </c>
      <c r="J11" s="98"/>
      <c r="K11" s="118">
        <v>0</v>
      </c>
    </row>
    <row r="12" spans="1:11" ht="48" x14ac:dyDescent="0.2">
      <c r="A12" s="113">
        <v>6</v>
      </c>
      <c r="B12" s="97" t="s">
        <v>2</v>
      </c>
      <c r="C12" s="98" t="s">
        <v>89</v>
      </c>
      <c r="D12" s="98"/>
      <c r="E12" s="98" t="s">
        <v>78</v>
      </c>
      <c r="F12" s="98"/>
      <c r="G12" s="98" t="s">
        <v>79</v>
      </c>
      <c r="I12" s="98" t="s">
        <v>90</v>
      </c>
      <c r="J12" s="98"/>
      <c r="K12" s="118">
        <f>'Risk Valuation'!D52*'Financial model'!E26</f>
        <v>307.62412485836455</v>
      </c>
    </row>
    <row r="13" spans="1:11" ht="48" x14ac:dyDescent="0.2">
      <c r="A13" s="113">
        <v>7</v>
      </c>
      <c r="B13" s="97" t="s">
        <v>3</v>
      </c>
      <c r="C13" s="98"/>
      <c r="D13" s="98"/>
      <c r="E13" s="98" t="s">
        <v>86</v>
      </c>
      <c r="F13" s="98"/>
      <c r="G13" s="98" t="s">
        <v>87</v>
      </c>
      <c r="I13" s="98"/>
      <c r="J13" s="98"/>
      <c r="K13" s="118">
        <v>0</v>
      </c>
    </row>
    <row r="14" spans="1:11" ht="32" x14ac:dyDescent="0.2">
      <c r="A14" s="113">
        <v>8</v>
      </c>
      <c r="B14" s="97" t="s">
        <v>4</v>
      </c>
      <c r="C14" s="98" t="s">
        <v>88</v>
      </c>
      <c r="D14" s="98"/>
      <c r="E14" s="98"/>
      <c r="F14" s="98"/>
      <c r="G14" s="98" t="s">
        <v>137</v>
      </c>
      <c r="I14" s="98"/>
      <c r="J14" s="98"/>
      <c r="K14" s="118">
        <v>0</v>
      </c>
    </row>
    <row r="15" spans="1:11" ht="48" x14ac:dyDescent="0.2">
      <c r="A15" s="113">
        <v>9</v>
      </c>
      <c r="B15" s="97" t="s">
        <v>8</v>
      </c>
      <c r="C15" s="98" t="s">
        <v>104</v>
      </c>
      <c r="D15" s="98"/>
      <c r="E15" s="98"/>
      <c r="F15" s="98"/>
      <c r="G15" s="98"/>
      <c r="I15" s="98" t="s">
        <v>113</v>
      </c>
      <c r="J15" s="98"/>
      <c r="K15" s="118">
        <v>0</v>
      </c>
    </row>
    <row r="16" spans="1:11" x14ac:dyDescent="0.2">
      <c r="A16" s="97"/>
      <c r="B16" s="97"/>
      <c r="C16" s="98"/>
      <c r="D16" s="98"/>
      <c r="E16" s="98"/>
      <c r="F16" s="98"/>
      <c r="G16" s="98"/>
      <c r="I16" s="98"/>
      <c r="J16" s="98"/>
      <c r="K16" s="118"/>
    </row>
    <row r="17" spans="1:11" x14ac:dyDescent="0.2">
      <c r="A17" s="97"/>
      <c r="B17" s="114" t="s">
        <v>83</v>
      </c>
      <c r="C17" s="98"/>
      <c r="D17" s="98"/>
      <c r="E17" s="98"/>
      <c r="F17" s="98"/>
      <c r="G17" s="98"/>
      <c r="I17" s="98"/>
      <c r="J17" s="98"/>
      <c r="K17" s="118"/>
    </row>
    <row r="18" spans="1:11" ht="64" x14ac:dyDescent="0.2">
      <c r="A18" s="113">
        <v>10</v>
      </c>
      <c r="B18" s="97" t="s">
        <v>84</v>
      </c>
      <c r="C18" s="98"/>
      <c r="D18" s="98"/>
      <c r="E18" s="98"/>
      <c r="F18" s="98"/>
      <c r="G18" s="98"/>
      <c r="I18" s="98" t="s">
        <v>101</v>
      </c>
      <c r="J18" s="98"/>
      <c r="K18" s="118">
        <v>0</v>
      </c>
    </row>
    <row r="19" spans="1:11" ht="64" x14ac:dyDescent="0.2">
      <c r="A19" s="113">
        <v>11</v>
      </c>
      <c r="B19" s="97" t="s">
        <v>11</v>
      </c>
      <c r="C19" s="98" t="s">
        <v>104</v>
      </c>
      <c r="D19" s="98"/>
      <c r="E19" s="98"/>
      <c r="F19" s="98"/>
      <c r="G19" s="98" t="s">
        <v>114</v>
      </c>
      <c r="I19" s="98" t="s">
        <v>115</v>
      </c>
      <c r="J19" s="98"/>
      <c r="K19" s="118">
        <v>0</v>
      </c>
    </row>
    <row r="20" spans="1:11" x14ac:dyDescent="0.2">
      <c r="A20" s="97"/>
      <c r="B20" s="97"/>
      <c r="C20" s="98"/>
      <c r="D20" s="98"/>
      <c r="E20" s="98"/>
      <c r="F20" s="98"/>
      <c r="G20" s="98"/>
      <c r="I20" s="98"/>
      <c r="J20" s="98"/>
      <c r="K20" s="118"/>
    </row>
    <row r="21" spans="1:11" ht="32" x14ac:dyDescent="0.2">
      <c r="A21" s="97"/>
      <c r="B21" s="97"/>
      <c r="C21" s="98"/>
      <c r="D21" s="98"/>
      <c r="E21" s="98"/>
      <c r="F21" s="98"/>
      <c r="G21" s="98"/>
      <c r="I21" s="117" t="s">
        <v>102</v>
      </c>
      <c r="J21" s="98"/>
      <c r="K21" s="119">
        <f>SUM(K4:K20)</f>
        <v>46789.559363728011</v>
      </c>
    </row>
    <row r="22" spans="1:11" x14ac:dyDescent="0.2">
      <c r="A22" s="97"/>
      <c r="B22" s="97"/>
      <c r="C22" s="98"/>
      <c r="D22" s="98"/>
      <c r="E22" s="98"/>
      <c r="F22" s="98"/>
      <c r="G22" s="98"/>
      <c r="I22" s="98"/>
      <c r="J22" s="98"/>
      <c r="K22" s="110"/>
    </row>
    <row r="23" spans="1:11" x14ac:dyDescent="0.2">
      <c r="A23" s="97"/>
      <c r="B23" s="97"/>
      <c r="C23" s="98"/>
      <c r="D23" s="98"/>
      <c r="E23" s="98"/>
      <c r="F23" s="98"/>
      <c r="G23" s="98"/>
      <c r="I23" s="98"/>
      <c r="J23" s="98"/>
      <c r="K23" s="110"/>
    </row>
    <row r="24" spans="1:11" x14ac:dyDescent="0.2">
      <c r="A24" s="97"/>
      <c r="B24" s="97"/>
      <c r="C24" s="98"/>
      <c r="D24" s="98"/>
      <c r="E24" s="98"/>
      <c r="F24" s="98"/>
      <c r="G24" s="98"/>
      <c r="I24" s="98"/>
      <c r="J24" s="98"/>
      <c r="K24" s="98"/>
    </row>
    <row r="25" spans="1:11" x14ac:dyDescent="0.2">
      <c r="A25" s="97"/>
      <c r="B25" s="97"/>
      <c r="C25" s="98"/>
      <c r="D25" s="98"/>
      <c r="E25" s="98"/>
      <c r="F25" s="98"/>
      <c r="G25" s="98"/>
      <c r="I25" s="98"/>
      <c r="J25" s="98"/>
      <c r="K25" s="98"/>
    </row>
    <row r="26" spans="1:11" x14ac:dyDescent="0.2">
      <c r="A26" s="97"/>
      <c r="B26" s="97"/>
      <c r="C26" s="98"/>
      <c r="D26" s="98"/>
      <c r="E26" s="98"/>
      <c r="F26" s="98"/>
      <c r="G26" s="98"/>
      <c r="I26" s="98"/>
      <c r="J26" s="98"/>
      <c r="K26" s="98"/>
    </row>
    <row r="27" spans="1:11" x14ac:dyDescent="0.2">
      <c r="A27" s="97"/>
      <c r="B27" s="97"/>
      <c r="C27" s="98"/>
      <c r="D27" s="98"/>
      <c r="E27" s="98"/>
      <c r="F27" s="98"/>
      <c r="G27" s="98"/>
      <c r="I27" s="98"/>
      <c r="J27" s="98"/>
      <c r="K27" s="98"/>
    </row>
    <row r="28" spans="1:11" x14ac:dyDescent="0.2">
      <c r="A28" s="97"/>
      <c r="B28" s="97"/>
      <c r="C28" s="98"/>
      <c r="D28" s="98"/>
      <c r="E28" s="98"/>
      <c r="F28" s="98"/>
      <c r="G28" s="98"/>
      <c r="I28" s="98"/>
      <c r="J28" s="98"/>
      <c r="K28" s="98"/>
    </row>
    <row r="29" spans="1:11" x14ac:dyDescent="0.2">
      <c r="A29" s="97"/>
      <c r="B29" s="97"/>
      <c r="C29" s="97"/>
      <c r="D29" s="97"/>
      <c r="E29" s="97"/>
      <c r="F29" s="97"/>
      <c r="G29" s="97"/>
      <c r="I29" s="98"/>
      <c r="J29" s="98"/>
      <c r="K29" s="98"/>
    </row>
    <row r="30" spans="1:11" x14ac:dyDescent="0.2">
      <c r="A30" s="97"/>
      <c r="B30" s="97"/>
      <c r="C30" s="97"/>
      <c r="D30" s="97"/>
      <c r="E30" s="97"/>
      <c r="F30" s="97"/>
      <c r="G30" s="97"/>
      <c r="I30" s="98"/>
      <c r="J30" s="98"/>
      <c r="K30" s="98"/>
    </row>
    <row r="31" spans="1:11" x14ac:dyDescent="0.2">
      <c r="A31" s="97"/>
      <c r="B31" s="97"/>
      <c r="C31" s="97"/>
      <c r="D31" s="97"/>
      <c r="E31" s="97"/>
      <c r="F31" s="97"/>
      <c r="G31" s="97"/>
      <c r="I31" s="98"/>
      <c r="J31" s="98"/>
      <c r="K31" s="98"/>
    </row>
    <row r="32" spans="1:11" x14ac:dyDescent="0.2">
      <c r="A32" s="97"/>
      <c r="B32" s="97"/>
      <c r="C32" s="97"/>
      <c r="D32" s="97"/>
      <c r="E32" s="97"/>
      <c r="F32" s="97"/>
      <c r="G32" s="97"/>
      <c r="I32" s="98"/>
      <c r="J32" s="98"/>
      <c r="K32" s="98"/>
    </row>
    <row r="33" spans="1:11" x14ac:dyDescent="0.2">
      <c r="A33" s="97"/>
      <c r="B33" s="97"/>
      <c r="C33" s="97"/>
      <c r="D33" s="97"/>
      <c r="E33" s="97"/>
      <c r="F33" s="97"/>
      <c r="G33" s="97"/>
      <c r="I33" s="98"/>
      <c r="J33" s="98"/>
      <c r="K33" s="98"/>
    </row>
    <row r="34" spans="1:11" x14ac:dyDescent="0.2">
      <c r="A34" s="97"/>
      <c r="B34" s="97"/>
      <c r="C34" s="97"/>
      <c r="D34" s="97"/>
      <c r="E34" s="97"/>
      <c r="F34" s="97"/>
      <c r="G34" s="97"/>
      <c r="I34" s="98"/>
      <c r="J34" s="98"/>
      <c r="K34" s="98"/>
    </row>
    <row r="35" spans="1:11" x14ac:dyDescent="0.2">
      <c r="A35" s="97"/>
      <c r="B35" s="97"/>
      <c r="C35" s="97"/>
      <c r="D35" s="97"/>
      <c r="E35" s="97"/>
      <c r="F35" s="97"/>
      <c r="G35" s="97"/>
      <c r="I35" s="98"/>
      <c r="J35" s="98"/>
      <c r="K35" s="98"/>
    </row>
    <row r="36" spans="1:11" x14ac:dyDescent="0.2">
      <c r="A36" s="97"/>
      <c r="B36" s="97"/>
      <c r="C36" s="97"/>
      <c r="D36" s="97"/>
      <c r="E36" s="97"/>
      <c r="F36" s="97"/>
      <c r="G36" s="97"/>
      <c r="I36" s="98"/>
      <c r="J36" s="98"/>
      <c r="K36" s="98"/>
    </row>
    <row r="37" spans="1:11" x14ac:dyDescent="0.2">
      <c r="A37" s="97"/>
      <c r="B37" s="97"/>
      <c r="C37" s="97"/>
      <c r="D37" s="97"/>
      <c r="E37" s="97"/>
      <c r="F37" s="97"/>
      <c r="G37" s="97"/>
      <c r="I37" s="98"/>
      <c r="J37" s="98"/>
      <c r="K37" s="98"/>
    </row>
    <row r="38" spans="1:11" x14ac:dyDescent="0.2">
      <c r="A38" s="97"/>
      <c r="B38" s="97"/>
      <c r="C38" s="97"/>
      <c r="D38" s="97"/>
      <c r="E38" s="97"/>
      <c r="F38" s="97"/>
      <c r="G38" s="97"/>
      <c r="I38" s="98"/>
      <c r="J38" s="98"/>
      <c r="K38" s="98"/>
    </row>
    <row r="39" spans="1:11" x14ac:dyDescent="0.2">
      <c r="A39" s="97"/>
      <c r="B39" s="97"/>
      <c r="C39" s="97"/>
      <c r="D39" s="97"/>
      <c r="E39" s="97"/>
      <c r="F39" s="97"/>
      <c r="G39" s="97"/>
      <c r="I39" s="98"/>
      <c r="J39" s="98"/>
      <c r="K39" s="98"/>
    </row>
    <row r="40" spans="1:11" x14ac:dyDescent="0.2">
      <c r="A40" s="97"/>
      <c r="B40" s="97"/>
      <c r="C40" s="97"/>
      <c r="D40" s="97"/>
      <c r="E40" s="97"/>
      <c r="F40" s="97"/>
      <c r="G40" s="97"/>
      <c r="I40" s="98"/>
      <c r="J40" s="98"/>
      <c r="K40" s="98"/>
    </row>
    <row r="41" spans="1:11" x14ac:dyDescent="0.2">
      <c r="A41" s="97"/>
      <c r="B41" s="97"/>
      <c r="C41" s="97"/>
      <c r="D41" s="97"/>
      <c r="E41" s="97"/>
      <c r="F41" s="97"/>
      <c r="G41" s="97"/>
      <c r="I41" s="98"/>
      <c r="J41" s="98"/>
      <c r="K41" s="98"/>
    </row>
    <row r="42" spans="1:11" x14ac:dyDescent="0.2">
      <c r="A42" s="97"/>
      <c r="B42" s="97"/>
      <c r="C42" s="97"/>
      <c r="D42" s="97"/>
      <c r="E42" s="97"/>
      <c r="F42" s="97"/>
      <c r="G42" s="97"/>
      <c r="I42" s="98"/>
      <c r="J42" s="98"/>
      <c r="K42" s="98"/>
    </row>
    <row r="43" spans="1:11" x14ac:dyDescent="0.2">
      <c r="A43" s="97"/>
      <c r="B43" s="97"/>
      <c r="C43" s="97"/>
      <c r="D43" s="97"/>
      <c r="E43" s="97"/>
      <c r="F43" s="97"/>
      <c r="G43" s="97"/>
      <c r="I43" s="98"/>
      <c r="J43" s="98"/>
      <c r="K43" s="98"/>
    </row>
    <row r="44" spans="1:11" x14ac:dyDescent="0.2">
      <c r="A44" s="97"/>
      <c r="B44" s="97"/>
      <c r="C44" s="97"/>
      <c r="D44" s="97"/>
      <c r="E44" s="97"/>
      <c r="F44" s="97"/>
      <c r="G44" s="97"/>
      <c r="I44" s="98"/>
      <c r="J44" s="98"/>
      <c r="K44" s="98"/>
    </row>
    <row r="45" spans="1:11" x14ac:dyDescent="0.2">
      <c r="A45" s="97"/>
      <c r="B45" s="97"/>
      <c r="C45" s="97"/>
      <c r="D45" s="97"/>
      <c r="E45" s="97"/>
      <c r="F45" s="97"/>
      <c r="G45" s="97"/>
      <c r="I45" s="98"/>
      <c r="J45" s="98"/>
      <c r="K45" s="98"/>
    </row>
    <row r="46" spans="1:11" x14ac:dyDescent="0.2">
      <c r="A46" s="97"/>
      <c r="B46" s="97"/>
      <c r="C46" s="97"/>
      <c r="D46" s="97"/>
      <c r="E46" s="97"/>
      <c r="F46" s="97"/>
      <c r="G46" s="97"/>
      <c r="I46" s="98"/>
      <c r="J46" s="98"/>
      <c r="K46" s="98"/>
    </row>
    <row r="47" spans="1:11" x14ac:dyDescent="0.2">
      <c r="A47" s="97"/>
      <c r="B47" s="97"/>
      <c r="C47" s="97"/>
      <c r="D47" s="97"/>
      <c r="E47" s="97"/>
      <c r="F47" s="97"/>
      <c r="G47" s="97"/>
      <c r="I47" s="98"/>
      <c r="J47" s="98"/>
      <c r="K47" s="98"/>
    </row>
    <row r="48" spans="1:11" x14ac:dyDescent="0.2">
      <c r="A48" s="97"/>
      <c r="B48" s="97"/>
      <c r="C48" s="97"/>
      <c r="D48" s="97"/>
      <c r="E48" s="97"/>
      <c r="F48" s="97"/>
      <c r="G48" s="97"/>
      <c r="I48" s="98"/>
      <c r="J48" s="98"/>
      <c r="K48" s="98"/>
    </row>
    <row r="49" spans="1:11" x14ac:dyDescent="0.2">
      <c r="A49" s="97"/>
      <c r="B49" s="97"/>
      <c r="C49" s="97"/>
      <c r="D49" s="97"/>
      <c r="E49" s="97"/>
      <c r="F49" s="97"/>
      <c r="G49" s="97"/>
      <c r="I49" s="98"/>
      <c r="J49" s="98"/>
      <c r="K49" s="98"/>
    </row>
    <row r="50" spans="1:11" x14ac:dyDescent="0.2">
      <c r="A50" s="97"/>
      <c r="B50" s="97"/>
      <c r="C50" s="97"/>
      <c r="D50" s="97"/>
      <c r="E50" s="97"/>
      <c r="F50" s="97"/>
      <c r="G50" s="97"/>
      <c r="I50" s="98"/>
      <c r="J50" s="98"/>
      <c r="K50" s="98"/>
    </row>
    <row r="51" spans="1:11" x14ac:dyDescent="0.2">
      <c r="A51" s="97"/>
      <c r="B51" s="97"/>
      <c r="C51" s="97"/>
      <c r="D51" s="97"/>
      <c r="E51" s="97"/>
      <c r="F51" s="97"/>
      <c r="G51" s="97"/>
      <c r="I51" s="98"/>
      <c r="J51" s="98"/>
      <c r="K51" s="98"/>
    </row>
    <row r="52" spans="1:11" x14ac:dyDescent="0.2">
      <c r="A52" s="97"/>
      <c r="B52" s="97"/>
      <c r="C52" s="97"/>
      <c r="D52" s="97"/>
      <c r="E52" s="97"/>
      <c r="F52" s="97"/>
      <c r="G52" s="97"/>
      <c r="I52" s="98"/>
      <c r="J52" s="98"/>
      <c r="K52" s="98"/>
    </row>
    <row r="53" spans="1:11" x14ac:dyDescent="0.2">
      <c r="A53" s="97"/>
      <c r="B53" s="97"/>
      <c r="C53" s="97"/>
      <c r="D53" s="97"/>
      <c r="E53" s="97"/>
      <c r="F53" s="97"/>
      <c r="G53" s="97"/>
      <c r="I53" s="98"/>
      <c r="J53" s="98"/>
      <c r="K53" s="98"/>
    </row>
    <row r="54" spans="1:11" x14ac:dyDescent="0.2">
      <c r="A54" s="97"/>
      <c r="B54" s="97"/>
      <c r="C54" s="97"/>
      <c r="D54" s="97"/>
      <c r="E54" s="97"/>
      <c r="F54" s="97"/>
      <c r="G54" s="97"/>
      <c r="I54" s="98"/>
      <c r="J54" s="98"/>
      <c r="K54" s="98"/>
    </row>
    <row r="55" spans="1:11" x14ac:dyDescent="0.2">
      <c r="A55" s="97"/>
      <c r="B55" s="97"/>
      <c r="C55" s="97"/>
      <c r="D55" s="97"/>
      <c r="E55" s="97"/>
      <c r="F55" s="97"/>
      <c r="G55" s="97"/>
      <c r="I55" s="98"/>
      <c r="J55" s="98"/>
      <c r="K55" s="98"/>
    </row>
    <row r="56" spans="1:11" x14ac:dyDescent="0.2">
      <c r="A56" s="97"/>
      <c r="B56" s="97"/>
      <c r="C56" s="97"/>
      <c r="D56" s="97"/>
      <c r="E56" s="97"/>
      <c r="F56" s="97"/>
      <c r="G56" s="97"/>
      <c r="I56" s="98"/>
      <c r="J56" s="98"/>
      <c r="K56" s="98"/>
    </row>
    <row r="57" spans="1:11" x14ac:dyDescent="0.2">
      <c r="A57" s="97"/>
      <c r="B57" s="97"/>
      <c r="C57" s="97"/>
      <c r="D57" s="97"/>
      <c r="E57" s="97"/>
      <c r="F57" s="97"/>
      <c r="G57" s="97"/>
      <c r="I57" s="98"/>
      <c r="J57" s="98"/>
      <c r="K57" s="98"/>
    </row>
    <row r="58" spans="1:11" x14ac:dyDescent="0.2">
      <c r="A58" s="97"/>
      <c r="B58" s="97"/>
      <c r="C58" s="97"/>
      <c r="D58" s="97"/>
      <c r="E58" s="97"/>
      <c r="F58" s="97"/>
      <c r="G58" s="97"/>
      <c r="I58" s="98"/>
      <c r="J58" s="98"/>
      <c r="K58" s="98"/>
    </row>
    <row r="59" spans="1:11" x14ac:dyDescent="0.2">
      <c r="A59" s="97"/>
      <c r="B59" s="97"/>
      <c r="C59" s="97"/>
      <c r="D59" s="97"/>
      <c r="E59" s="97"/>
      <c r="F59" s="97"/>
      <c r="G59" s="97"/>
      <c r="I59" s="98"/>
      <c r="J59" s="98"/>
      <c r="K59" s="98"/>
    </row>
    <row r="60" spans="1:11" x14ac:dyDescent="0.2">
      <c r="A60" s="97"/>
      <c r="B60" s="97"/>
      <c r="C60" s="97"/>
      <c r="D60" s="97"/>
      <c r="E60" s="97"/>
      <c r="F60" s="97"/>
      <c r="G60" s="97"/>
      <c r="I60" s="98"/>
      <c r="J60" s="98"/>
      <c r="K60" s="98"/>
    </row>
    <row r="61" spans="1:11" x14ac:dyDescent="0.2">
      <c r="A61" s="97"/>
      <c r="B61" s="97"/>
      <c r="C61" s="97"/>
      <c r="D61" s="97"/>
      <c r="E61" s="97"/>
      <c r="F61" s="97"/>
      <c r="G61" s="97"/>
      <c r="I61" s="98"/>
      <c r="J61" s="98"/>
      <c r="K61" s="98"/>
    </row>
    <row r="62" spans="1:11" x14ac:dyDescent="0.2">
      <c r="A62" s="97"/>
      <c r="B62" s="97"/>
      <c r="C62" s="97"/>
      <c r="D62" s="97"/>
      <c r="E62" s="97"/>
      <c r="F62" s="97"/>
      <c r="G62" s="97"/>
      <c r="I62" s="98"/>
      <c r="J62" s="98"/>
      <c r="K62" s="98"/>
    </row>
    <row r="63" spans="1:11" x14ac:dyDescent="0.2">
      <c r="A63" s="97"/>
      <c r="B63" s="97"/>
      <c r="C63" s="97"/>
      <c r="D63" s="97"/>
      <c r="E63" s="97"/>
      <c r="F63" s="97"/>
      <c r="G63" s="97"/>
      <c r="I63" s="98"/>
      <c r="J63" s="98"/>
      <c r="K63" s="98"/>
    </row>
    <row r="64" spans="1:11" x14ac:dyDescent="0.2">
      <c r="A64" s="97"/>
      <c r="B64" s="97"/>
      <c r="C64" s="97"/>
      <c r="D64" s="97"/>
      <c r="E64" s="97"/>
      <c r="F64" s="97"/>
      <c r="G64" s="97"/>
      <c r="I64" s="98"/>
      <c r="J64" s="98"/>
      <c r="K64" s="98"/>
    </row>
    <row r="65" spans="1:11" x14ac:dyDescent="0.2">
      <c r="A65" s="97"/>
      <c r="B65" s="97"/>
      <c r="C65" s="97"/>
      <c r="D65" s="97"/>
      <c r="E65" s="97"/>
      <c r="F65" s="97"/>
      <c r="G65" s="97"/>
      <c r="I65" s="98"/>
      <c r="J65" s="98"/>
      <c r="K65" s="98"/>
    </row>
    <row r="66" spans="1:11" x14ac:dyDescent="0.2">
      <c r="A66" s="97"/>
      <c r="B66" s="97"/>
      <c r="C66" s="97"/>
      <c r="D66" s="97"/>
      <c r="E66" s="97"/>
      <c r="F66" s="97"/>
      <c r="G66" s="97"/>
      <c r="I66" s="98"/>
      <c r="J66" s="98"/>
      <c r="K66" s="98"/>
    </row>
    <row r="67" spans="1:11" x14ac:dyDescent="0.2">
      <c r="A67" s="97"/>
      <c r="B67" s="97"/>
      <c r="C67" s="97"/>
      <c r="D67" s="97"/>
      <c r="E67" s="97"/>
      <c r="F67" s="97"/>
      <c r="G67" s="97"/>
      <c r="I67" s="98"/>
      <c r="J67" s="98"/>
      <c r="K67" s="98"/>
    </row>
    <row r="68" spans="1:11" x14ac:dyDescent="0.2">
      <c r="A68" s="97"/>
      <c r="B68" s="97"/>
      <c r="C68" s="97"/>
      <c r="D68" s="97"/>
      <c r="E68" s="97"/>
      <c r="F68" s="97"/>
      <c r="G68" s="97"/>
      <c r="I68" s="98"/>
      <c r="J68" s="98"/>
      <c r="K68" s="98"/>
    </row>
    <row r="69" spans="1:11" x14ac:dyDescent="0.2">
      <c r="A69" s="97"/>
      <c r="B69" s="97"/>
      <c r="C69" s="97"/>
      <c r="D69" s="97"/>
      <c r="E69" s="97"/>
      <c r="F69" s="97"/>
      <c r="G69" s="97"/>
      <c r="I69" s="98"/>
      <c r="J69" s="98"/>
      <c r="K69" s="98"/>
    </row>
    <row r="70" spans="1:11" x14ac:dyDescent="0.2">
      <c r="A70" s="97"/>
      <c r="B70" s="97"/>
      <c r="C70" s="97"/>
      <c r="D70" s="97"/>
      <c r="E70" s="97"/>
      <c r="F70" s="97"/>
      <c r="G70" s="97"/>
      <c r="I70" s="98"/>
      <c r="J70" s="98"/>
      <c r="K70" s="98"/>
    </row>
    <row r="71" spans="1:11" x14ac:dyDescent="0.2">
      <c r="A71" s="97"/>
      <c r="B71" s="97"/>
      <c r="C71" s="97"/>
      <c r="D71" s="97"/>
      <c r="E71" s="97"/>
      <c r="F71" s="97"/>
      <c r="G71" s="97"/>
      <c r="I71" s="98"/>
      <c r="J71" s="98"/>
      <c r="K71" s="98"/>
    </row>
    <row r="72" spans="1:11" x14ac:dyDescent="0.2">
      <c r="A72" s="97"/>
      <c r="B72" s="97"/>
      <c r="C72" s="97"/>
      <c r="D72" s="97"/>
      <c r="E72" s="97"/>
      <c r="F72" s="97"/>
      <c r="G72" s="97"/>
      <c r="I72" s="98"/>
      <c r="J72" s="98"/>
      <c r="K72" s="98"/>
    </row>
    <row r="73" spans="1:11" x14ac:dyDescent="0.2">
      <c r="A73" s="97"/>
      <c r="B73" s="97"/>
      <c r="C73" s="97"/>
      <c r="D73" s="97"/>
      <c r="E73" s="97"/>
      <c r="F73" s="97"/>
      <c r="G73" s="97"/>
      <c r="I73" s="98"/>
      <c r="J73" s="98"/>
      <c r="K73" s="98"/>
    </row>
    <row r="74" spans="1:11" x14ac:dyDescent="0.2">
      <c r="A74" s="97"/>
      <c r="B74" s="97"/>
      <c r="C74" s="97"/>
      <c r="D74" s="97"/>
      <c r="E74" s="97"/>
      <c r="F74" s="97"/>
      <c r="G74" s="97"/>
      <c r="I74" s="98"/>
      <c r="J74" s="98"/>
      <c r="K74" s="98"/>
    </row>
    <row r="75" spans="1:11" x14ac:dyDescent="0.2">
      <c r="A75" s="97"/>
      <c r="B75" s="97"/>
      <c r="C75" s="97"/>
      <c r="D75" s="97"/>
      <c r="E75" s="97"/>
      <c r="F75" s="97"/>
      <c r="G75" s="97"/>
      <c r="I75" s="98"/>
      <c r="J75" s="98"/>
      <c r="K75" s="98"/>
    </row>
    <row r="76" spans="1:11" x14ac:dyDescent="0.2">
      <c r="A76" s="97"/>
      <c r="B76" s="97"/>
      <c r="C76" s="97"/>
      <c r="D76" s="97"/>
      <c r="E76" s="97"/>
      <c r="F76" s="97"/>
      <c r="G76" s="97"/>
      <c r="I76" s="98"/>
      <c r="J76" s="98"/>
      <c r="K76" s="98"/>
    </row>
    <row r="77" spans="1:11" x14ac:dyDescent="0.2">
      <c r="A77" s="97"/>
      <c r="B77" s="97"/>
      <c r="C77" s="97"/>
      <c r="D77" s="97"/>
      <c r="E77" s="97"/>
      <c r="F77" s="97"/>
      <c r="G77" s="97"/>
      <c r="I77" s="98"/>
      <c r="J77" s="98"/>
      <c r="K77" s="98"/>
    </row>
    <row r="78" spans="1:11" x14ac:dyDescent="0.2">
      <c r="A78" s="97"/>
      <c r="B78" s="97"/>
      <c r="C78" s="97"/>
      <c r="D78" s="97"/>
      <c r="E78" s="97"/>
      <c r="F78" s="97"/>
      <c r="G78" s="97"/>
      <c r="I78" s="98"/>
      <c r="J78" s="98"/>
      <c r="K78" s="98"/>
    </row>
    <row r="79" spans="1:11" x14ac:dyDescent="0.2">
      <c r="A79" s="97"/>
      <c r="B79" s="97"/>
      <c r="C79" s="97"/>
      <c r="D79" s="97"/>
      <c r="E79" s="97"/>
      <c r="F79" s="97"/>
      <c r="G79" s="97"/>
      <c r="I79" s="98"/>
      <c r="J79" s="98"/>
      <c r="K79" s="98"/>
    </row>
    <row r="80" spans="1:11" x14ac:dyDescent="0.2">
      <c r="A80" s="97"/>
      <c r="B80" s="97"/>
      <c r="C80" s="97"/>
      <c r="D80" s="97"/>
      <c r="E80" s="97"/>
      <c r="F80" s="97"/>
      <c r="G80" s="97"/>
      <c r="I80" s="98"/>
      <c r="J80" s="98"/>
      <c r="K80" s="98"/>
    </row>
    <row r="81" spans="1:11" x14ac:dyDescent="0.2">
      <c r="A81" s="97"/>
      <c r="B81" s="97"/>
      <c r="C81" s="97"/>
      <c r="D81" s="97"/>
      <c r="E81" s="97"/>
      <c r="F81" s="97"/>
      <c r="G81" s="97"/>
      <c r="I81" s="98"/>
      <c r="J81" s="98"/>
      <c r="K81" s="98"/>
    </row>
    <row r="82" spans="1:11" x14ac:dyDescent="0.2">
      <c r="A82" s="97"/>
      <c r="B82" s="97"/>
      <c r="C82" s="97"/>
      <c r="D82" s="97"/>
      <c r="E82" s="97"/>
      <c r="F82" s="97"/>
      <c r="G82" s="97"/>
      <c r="I82" s="98"/>
      <c r="J82" s="98"/>
      <c r="K82" s="98"/>
    </row>
    <row r="83" spans="1:11" x14ac:dyDescent="0.2">
      <c r="A83" s="97"/>
      <c r="B83" s="97"/>
      <c r="C83" s="97"/>
      <c r="D83" s="97"/>
      <c r="E83" s="97"/>
      <c r="F83" s="97"/>
      <c r="G83" s="97"/>
      <c r="I83" s="98"/>
      <c r="J83" s="98"/>
      <c r="K83" s="98"/>
    </row>
    <row r="84" spans="1:11" x14ac:dyDescent="0.2">
      <c r="A84" s="97"/>
      <c r="B84" s="97"/>
      <c r="C84" s="97"/>
      <c r="D84" s="97"/>
      <c r="E84" s="97"/>
      <c r="F84" s="97"/>
      <c r="G84" s="97"/>
      <c r="I84" s="98"/>
      <c r="J84" s="98"/>
      <c r="K84" s="98"/>
    </row>
    <row r="85" spans="1:11" x14ac:dyDescent="0.2">
      <c r="A85" s="97"/>
      <c r="B85" s="97"/>
      <c r="C85" s="97"/>
      <c r="D85" s="97"/>
      <c r="E85" s="97"/>
      <c r="F85" s="97"/>
      <c r="G85" s="97"/>
      <c r="I85" s="98"/>
      <c r="J85" s="98"/>
      <c r="K85" s="98"/>
    </row>
    <row r="86" spans="1:11" x14ac:dyDescent="0.2">
      <c r="A86" s="97"/>
      <c r="B86" s="97"/>
      <c r="C86" s="97"/>
      <c r="D86" s="97"/>
      <c r="E86" s="97"/>
      <c r="F86" s="97"/>
      <c r="G86" s="97"/>
      <c r="I86" s="98"/>
      <c r="J86" s="98"/>
      <c r="K86" s="98"/>
    </row>
    <row r="87" spans="1:11" x14ac:dyDescent="0.2">
      <c r="A87" s="97"/>
      <c r="B87" s="97"/>
      <c r="C87" s="97"/>
      <c r="D87" s="97"/>
      <c r="E87" s="97"/>
      <c r="F87" s="97"/>
      <c r="G87" s="97"/>
      <c r="I87" s="98"/>
      <c r="J87" s="98"/>
      <c r="K87" s="98"/>
    </row>
    <row r="88" spans="1:11" x14ac:dyDescent="0.2">
      <c r="A88" s="97"/>
      <c r="B88" s="97"/>
      <c r="C88" s="97"/>
      <c r="D88" s="97"/>
      <c r="E88" s="97"/>
      <c r="F88" s="97"/>
      <c r="G88" s="97"/>
      <c r="I88" s="98"/>
      <c r="J88" s="98"/>
      <c r="K88" s="98"/>
    </row>
    <row r="89" spans="1:11" x14ac:dyDescent="0.2">
      <c r="A89" s="97"/>
      <c r="B89" s="97"/>
      <c r="C89" s="97"/>
      <c r="D89" s="97"/>
      <c r="E89" s="97"/>
      <c r="F89" s="97"/>
      <c r="G89" s="97"/>
      <c r="I89" s="98"/>
      <c r="J89" s="98"/>
      <c r="K89" s="98"/>
    </row>
    <row r="90" spans="1:11" x14ac:dyDescent="0.2">
      <c r="A90" s="97"/>
      <c r="B90" s="97"/>
      <c r="C90" s="97"/>
      <c r="D90" s="97"/>
      <c r="E90" s="97"/>
      <c r="F90" s="97"/>
      <c r="G90" s="97"/>
      <c r="I90" s="98"/>
      <c r="J90" s="98"/>
      <c r="K90" s="98"/>
    </row>
    <row r="91" spans="1:11" x14ac:dyDescent="0.2">
      <c r="A91" s="97"/>
      <c r="B91" s="97"/>
      <c r="C91" s="97"/>
      <c r="D91" s="97"/>
      <c r="E91" s="97"/>
      <c r="F91" s="97"/>
      <c r="G91" s="97"/>
      <c r="I91" s="98"/>
      <c r="J91" s="98"/>
      <c r="K91" s="98"/>
    </row>
    <row r="92" spans="1:11" x14ac:dyDescent="0.2">
      <c r="A92" s="97"/>
      <c r="B92" s="97"/>
      <c r="C92" s="97"/>
      <c r="D92" s="97"/>
      <c r="E92" s="97"/>
      <c r="F92" s="97"/>
      <c r="G92" s="97"/>
      <c r="I92" s="98"/>
      <c r="J92" s="98"/>
      <c r="K92" s="98"/>
    </row>
    <row r="93" spans="1:11" x14ac:dyDescent="0.2">
      <c r="A93" s="97"/>
      <c r="B93" s="97"/>
      <c r="C93" s="97"/>
      <c r="D93" s="97"/>
      <c r="E93" s="97"/>
      <c r="F93" s="97"/>
      <c r="G93" s="97"/>
      <c r="I93" s="98"/>
      <c r="J93" s="98"/>
      <c r="K93" s="98"/>
    </row>
    <row r="94" spans="1:11" x14ac:dyDescent="0.2">
      <c r="A94" s="97"/>
      <c r="B94" s="97"/>
      <c r="C94" s="97"/>
      <c r="D94" s="97"/>
      <c r="E94" s="97"/>
      <c r="F94" s="97"/>
      <c r="G94" s="97"/>
      <c r="I94" s="98"/>
      <c r="J94" s="98"/>
      <c r="K94" s="98"/>
    </row>
    <row r="95" spans="1:11" x14ac:dyDescent="0.2">
      <c r="A95" s="97"/>
      <c r="B95" s="97"/>
      <c r="C95" s="97"/>
      <c r="D95" s="97"/>
      <c r="E95" s="97"/>
      <c r="F95" s="97"/>
      <c r="G95" s="97"/>
      <c r="I95" s="98"/>
      <c r="J95" s="98"/>
      <c r="K95" s="98"/>
    </row>
    <row r="96" spans="1:11" x14ac:dyDescent="0.2">
      <c r="A96" s="97"/>
      <c r="B96" s="97"/>
      <c r="C96" s="97"/>
      <c r="D96" s="97"/>
      <c r="E96" s="97"/>
      <c r="F96" s="97"/>
      <c r="G96" s="97"/>
      <c r="I96" s="98"/>
      <c r="J96" s="98"/>
      <c r="K96" s="98"/>
    </row>
    <row r="97" spans="1:11" x14ac:dyDescent="0.2">
      <c r="A97" s="97"/>
      <c r="B97" s="97"/>
      <c r="C97" s="97"/>
      <c r="D97" s="97"/>
      <c r="E97" s="97"/>
      <c r="F97" s="97"/>
      <c r="G97" s="97"/>
      <c r="I97" s="98"/>
      <c r="J97" s="98"/>
      <c r="K97" s="98"/>
    </row>
    <row r="98" spans="1:11" x14ac:dyDescent="0.2">
      <c r="A98" s="97"/>
      <c r="B98" s="97"/>
      <c r="C98" s="97"/>
      <c r="D98" s="97"/>
      <c r="E98" s="97"/>
      <c r="F98" s="97"/>
      <c r="G98" s="97"/>
      <c r="I98" s="98"/>
      <c r="J98" s="98"/>
      <c r="K98" s="98"/>
    </row>
    <row r="99" spans="1:11" x14ac:dyDescent="0.2">
      <c r="A99" s="97"/>
      <c r="B99" s="97"/>
      <c r="C99" s="97"/>
      <c r="D99" s="97"/>
      <c r="E99" s="97"/>
      <c r="F99" s="97"/>
      <c r="G99" s="97"/>
      <c r="I99" s="98"/>
      <c r="J99" s="98"/>
      <c r="K99" s="98"/>
    </row>
    <row r="100" spans="1:11" x14ac:dyDescent="0.2">
      <c r="A100" s="97"/>
      <c r="B100" s="97"/>
      <c r="C100" s="97"/>
      <c r="D100" s="97"/>
      <c r="E100" s="97"/>
      <c r="F100" s="97"/>
      <c r="G100" s="97"/>
      <c r="I100" s="98"/>
      <c r="J100" s="98"/>
      <c r="K100" s="98"/>
    </row>
    <row r="101" spans="1:11" x14ac:dyDescent="0.2">
      <c r="A101" s="97"/>
      <c r="B101" s="97"/>
      <c r="C101" s="97"/>
      <c r="D101" s="97"/>
      <c r="E101" s="97"/>
      <c r="F101" s="97"/>
      <c r="G101" s="97"/>
      <c r="I101" s="98"/>
      <c r="J101" s="98"/>
      <c r="K101" s="98"/>
    </row>
    <row r="102" spans="1:11" x14ac:dyDescent="0.2">
      <c r="A102" s="97"/>
      <c r="B102" s="97"/>
      <c r="C102" s="97"/>
      <c r="D102" s="97"/>
      <c r="E102" s="97"/>
      <c r="F102" s="97"/>
      <c r="G102" s="97"/>
      <c r="I102" s="98"/>
      <c r="J102" s="98"/>
      <c r="K102" s="98"/>
    </row>
    <row r="103" spans="1:11" x14ac:dyDescent="0.2">
      <c r="A103" s="97"/>
      <c r="B103" s="97"/>
      <c r="C103" s="97"/>
      <c r="D103" s="97"/>
      <c r="E103" s="97"/>
      <c r="F103" s="97"/>
      <c r="G103" s="97"/>
      <c r="I103" s="98"/>
      <c r="J103" s="98"/>
      <c r="K103" s="98"/>
    </row>
    <row r="104" spans="1:11" x14ac:dyDescent="0.2">
      <c r="A104" s="97"/>
      <c r="B104" s="97"/>
      <c r="C104" s="97"/>
      <c r="D104" s="97"/>
      <c r="E104" s="97"/>
      <c r="F104" s="97"/>
      <c r="G104" s="97"/>
      <c r="I104" s="98"/>
      <c r="J104" s="98"/>
      <c r="K104" s="98"/>
    </row>
    <row r="105" spans="1:11" x14ac:dyDescent="0.2">
      <c r="A105" s="97"/>
      <c r="B105" s="97"/>
      <c r="C105" s="97"/>
      <c r="D105" s="97"/>
      <c r="E105" s="97"/>
      <c r="F105" s="97"/>
      <c r="G105" s="97"/>
      <c r="I105" s="98"/>
      <c r="J105" s="98"/>
      <c r="K105" s="98"/>
    </row>
    <row r="106" spans="1:11" x14ac:dyDescent="0.2">
      <c r="A106" s="97"/>
      <c r="B106" s="97"/>
      <c r="C106" s="97"/>
      <c r="D106" s="97"/>
      <c r="E106" s="97"/>
      <c r="F106" s="97"/>
      <c r="G106" s="97"/>
      <c r="I106" s="98"/>
      <c r="J106" s="98"/>
      <c r="K106" s="98"/>
    </row>
    <row r="107" spans="1:11" x14ac:dyDescent="0.2">
      <c r="A107" s="97"/>
      <c r="B107" s="97"/>
      <c r="C107" s="97"/>
      <c r="D107" s="97"/>
      <c r="E107" s="97"/>
      <c r="F107" s="97"/>
      <c r="G107" s="97"/>
      <c r="I107" s="98"/>
      <c r="J107" s="98"/>
      <c r="K107" s="98"/>
    </row>
    <row r="108" spans="1:11" x14ac:dyDescent="0.2">
      <c r="I108" s="98"/>
      <c r="J108" s="98"/>
      <c r="K108" s="98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892-93CD-5B46-91F9-80316854D00F}">
  <dimension ref="A1:T22"/>
  <sheetViews>
    <sheetView topLeftCell="A3" zoomScale="161" workbookViewId="0">
      <selection activeCell="C15" sqref="C15"/>
    </sheetView>
  </sheetViews>
  <sheetFormatPr baseColWidth="10" defaultColWidth="8.83203125" defaultRowHeight="15" x14ac:dyDescent="0.2"/>
  <cols>
    <col min="1" max="1" width="9.33203125" style="83" customWidth="1"/>
    <col min="2" max="2" width="11.1640625" customWidth="1"/>
    <col min="3" max="3" width="9.6640625" customWidth="1"/>
    <col min="4" max="4" width="17.5" customWidth="1"/>
    <col min="5" max="5" width="13" customWidth="1"/>
    <col min="6" max="6" width="11.5" customWidth="1"/>
    <col min="7" max="7" width="10.5" customWidth="1"/>
    <col min="12" max="12" width="12" bestFit="1" customWidth="1"/>
    <col min="13" max="13" width="10.5" bestFit="1" customWidth="1"/>
  </cols>
  <sheetData>
    <row r="1" spans="1:20" s="100" customFormat="1" x14ac:dyDescent="0.2">
      <c r="A1" s="102">
        <v>1</v>
      </c>
      <c r="B1" s="177" t="s">
        <v>197</v>
      </c>
    </row>
    <row r="2" spans="1:20" x14ac:dyDescent="0.2">
      <c r="A2" s="106"/>
      <c r="B2" s="83" t="s">
        <v>195</v>
      </c>
      <c r="C2" s="83" t="s">
        <v>191</v>
      </c>
    </row>
    <row r="3" spans="1:20" x14ac:dyDescent="0.2">
      <c r="B3" s="83" t="s">
        <v>196</v>
      </c>
      <c r="C3" s="83" t="s">
        <v>180</v>
      </c>
      <c r="E3" s="105"/>
      <c r="G3" s="83"/>
    </row>
    <row r="4" spans="1:20" x14ac:dyDescent="0.2">
      <c r="B4" s="83" t="s">
        <v>203</v>
      </c>
      <c r="C4" s="83">
        <v>3</v>
      </c>
      <c r="D4" t="s">
        <v>206</v>
      </c>
      <c r="E4" s="105"/>
      <c r="G4" s="83"/>
    </row>
    <row r="5" spans="1:20" ht="17" x14ac:dyDescent="0.25">
      <c r="B5" s="83" t="s">
        <v>53</v>
      </c>
      <c r="C5" s="83">
        <v>1164</v>
      </c>
      <c r="D5" t="s">
        <v>207</v>
      </c>
      <c r="E5" s="82"/>
      <c r="G5" s="127"/>
      <c r="J5" s="83"/>
      <c r="K5" s="83"/>
    </row>
    <row r="6" spans="1:20" ht="17" x14ac:dyDescent="0.25">
      <c r="B6" s="83" t="s">
        <v>200</v>
      </c>
      <c r="C6" s="84">
        <v>1088</v>
      </c>
      <c r="D6" s="179" t="s">
        <v>198</v>
      </c>
      <c r="E6" s="82"/>
      <c r="K6" s="87"/>
      <c r="M6" s="130"/>
    </row>
    <row r="7" spans="1:20" x14ac:dyDescent="0.2">
      <c r="B7" s="83" t="s">
        <v>201</v>
      </c>
      <c r="C7" s="178">
        <v>0.9</v>
      </c>
      <c r="D7" t="s">
        <v>202</v>
      </c>
      <c r="E7" s="82"/>
      <c r="G7" s="37"/>
      <c r="K7" s="83"/>
    </row>
    <row r="9" spans="1:20" s="100" customFormat="1" x14ac:dyDescent="0.2">
      <c r="A9" s="102">
        <v>2</v>
      </c>
      <c r="B9" s="177" t="s">
        <v>210</v>
      </c>
    </row>
    <row r="10" spans="1:20" x14ac:dyDescent="0.2">
      <c r="B10" s="83" t="s">
        <v>199</v>
      </c>
      <c r="C10" s="83" t="s">
        <v>191</v>
      </c>
      <c r="N10" s="37"/>
      <c r="T10" s="129"/>
    </row>
    <row r="11" spans="1:20" x14ac:dyDescent="0.2">
      <c r="B11" s="83" t="s">
        <v>196</v>
      </c>
      <c r="C11" s="83" t="s">
        <v>193</v>
      </c>
      <c r="D11" s="83"/>
      <c r="L11" s="129"/>
    </row>
    <row r="12" spans="1:20" x14ac:dyDescent="0.2">
      <c r="B12" s="83" t="s">
        <v>203</v>
      </c>
      <c r="C12" s="83">
        <v>3</v>
      </c>
      <c r="D12" t="s">
        <v>208</v>
      </c>
      <c r="L12" s="129"/>
    </row>
    <row r="13" spans="1:20" x14ac:dyDescent="0.2">
      <c r="B13" s="37" t="s">
        <v>211</v>
      </c>
      <c r="C13" s="175">
        <v>0.43</v>
      </c>
      <c r="D13" s="174">
        <v>0.86</v>
      </c>
    </row>
    <row r="14" spans="1:20" x14ac:dyDescent="0.2">
      <c r="B14" s="37" t="s">
        <v>212</v>
      </c>
      <c r="C14" s="175">
        <v>0.28000000000000003</v>
      </c>
      <c r="D14" s="174">
        <v>0.125</v>
      </c>
      <c r="E14" s="123"/>
      <c r="F14" s="104"/>
    </row>
    <row r="15" spans="1:20" x14ac:dyDescent="0.2">
      <c r="B15" s="37" t="s">
        <v>213</v>
      </c>
      <c r="C15" s="175">
        <v>0.06</v>
      </c>
      <c r="D15" s="174">
        <v>1.4999999999999999E-2</v>
      </c>
      <c r="E15" s="123"/>
      <c r="F15" s="104"/>
      <c r="M15" s="150"/>
    </row>
    <row r="16" spans="1:20" x14ac:dyDescent="0.2">
      <c r="D16" s="180"/>
      <c r="E16" s="154"/>
      <c r="L16" s="116"/>
      <c r="M16" s="152"/>
      <c r="O16" s="116"/>
      <c r="P16" s="152"/>
    </row>
    <row r="17" spans="1:5" s="100" customFormat="1" x14ac:dyDescent="0.2">
      <c r="A17" s="102">
        <v>3</v>
      </c>
      <c r="B17" s="177" t="s">
        <v>214</v>
      </c>
    </row>
    <row r="18" spans="1:5" x14ac:dyDescent="0.2">
      <c r="B18" s="83" t="s">
        <v>199</v>
      </c>
      <c r="C18" s="83" t="s">
        <v>204</v>
      </c>
    </row>
    <row r="19" spans="1:5" x14ac:dyDescent="0.2">
      <c r="B19" s="83" t="s">
        <v>196</v>
      </c>
      <c r="C19" s="83" t="s">
        <v>193</v>
      </c>
      <c r="D19" s="83"/>
      <c r="E19" s="83"/>
    </row>
    <row r="20" spans="1:5" x14ac:dyDescent="0.2">
      <c r="B20" s="83" t="s">
        <v>203</v>
      </c>
      <c r="C20" s="83">
        <v>2</v>
      </c>
      <c r="D20" t="s">
        <v>208</v>
      </c>
    </row>
    <row r="21" spans="1:5" x14ac:dyDescent="0.2">
      <c r="B21" s="37" t="s">
        <v>205</v>
      </c>
      <c r="C21" s="178">
        <v>0.25</v>
      </c>
      <c r="D21" s="174">
        <v>0.2</v>
      </c>
    </row>
    <row r="22" spans="1:5" x14ac:dyDescent="0.2">
      <c r="B22" s="37" t="s">
        <v>209</v>
      </c>
      <c r="C22" s="178">
        <v>0</v>
      </c>
      <c r="D22" s="174">
        <v>0.8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C4C-D2B1-BA44-8974-3D77537ECCC0}">
  <dimension ref="A1:U14"/>
  <sheetViews>
    <sheetView topLeftCell="A2" zoomScale="150" workbookViewId="0">
      <selection activeCell="A11" sqref="A11"/>
    </sheetView>
  </sheetViews>
  <sheetFormatPr baseColWidth="10" defaultRowHeight="15" x14ac:dyDescent="0.2"/>
  <cols>
    <col min="1" max="1" width="15.1640625" customWidth="1"/>
    <col min="2" max="21" width="12.6640625" bestFit="1" customWidth="1"/>
  </cols>
  <sheetData>
    <row r="1" spans="1:21" x14ac:dyDescent="0.2">
      <c r="B1" s="37" t="str" cm="1">
        <f t="array" ref="B1:C1">'Financial model'!G6:H6</f>
        <v>Risk Free Rate:</v>
      </c>
      <c r="C1" s="174">
        <v>2.7900000000000001E-2</v>
      </c>
    </row>
    <row r="5" spans="1:21" x14ac:dyDescent="0.2">
      <c r="B5" s="173" t="s">
        <v>190</v>
      </c>
    </row>
    <row r="6" spans="1:21" x14ac:dyDescent="0.2">
      <c r="B6" s="172" t="s">
        <v>56</v>
      </c>
      <c r="C6" s="83" t="s">
        <v>191</v>
      </c>
      <c r="D6" s="83" t="s">
        <v>180</v>
      </c>
      <c r="E6" s="83">
        <v>3</v>
      </c>
      <c r="F6" s="37">
        <v>1164</v>
      </c>
      <c r="G6" s="37">
        <v>1088</v>
      </c>
      <c r="H6" s="176">
        <v>0.9</v>
      </c>
    </row>
    <row r="7" spans="1:21" x14ac:dyDescent="0.2">
      <c r="B7" s="172" t="s">
        <v>194</v>
      </c>
      <c r="C7" s="83" t="s">
        <v>191</v>
      </c>
      <c r="D7" s="83" t="s">
        <v>193</v>
      </c>
      <c r="E7" s="83">
        <v>3</v>
      </c>
      <c r="F7" s="175">
        <f>'Financial model'!E21</f>
        <v>0.43361286372646013</v>
      </c>
      <c r="G7" s="175">
        <v>0.28000000000000003</v>
      </c>
      <c r="H7" s="175">
        <v>0.06</v>
      </c>
      <c r="I7" s="171">
        <v>0.86499999999999999</v>
      </c>
      <c r="J7" s="1">
        <v>0.12</v>
      </c>
      <c r="K7" s="171">
        <v>1.4999999999999999E-2</v>
      </c>
    </row>
    <row r="8" spans="1:21" x14ac:dyDescent="0.2">
      <c r="B8" s="172" t="s">
        <v>108</v>
      </c>
      <c r="C8" s="83" t="s">
        <v>192</v>
      </c>
      <c r="D8" s="83" t="s">
        <v>193</v>
      </c>
      <c r="E8" s="83">
        <v>2</v>
      </c>
      <c r="F8">
        <v>1</v>
      </c>
      <c r="G8">
        <v>1.25</v>
      </c>
      <c r="H8" s="83">
        <v>0.8</v>
      </c>
      <c r="I8" s="83">
        <v>0.2</v>
      </c>
    </row>
    <row r="10" spans="1:21" x14ac:dyDescent="0.2">
      <c r="A10" t="s">
        <v>215</v>
      </c>
    </row>
    <row r="11" spans="1:21" x14ac:dyDescent="0.2">
      <c r="A11" s="37" t="str">
        <f>'Financial model'!B17</f>
        <v>Year</v>
      </c>
      <c r="B11" s="37">
        <f>'Financial model'!E17</f>
        <v>1</v>
      </c>
      <c r="C11" s="37">
        <f>'Financial model'!F17</f>
        <v>2</v>
      </c>
      <c r="D11" s="37">
        <f>'Financial model'!G17</f>
        <v>3</v>
      </c>
      <c r="E11" s="37">
        <f>'Financial model'!H17</f>
        <v>4</v>
      </c>
      <c r="F11" s="37">
        <f>'Financial model'!I17</f>
        <v>5</v>
      </c>
      <c r="G11" s="37">
        <f>'Financial model'!J17</f>
        <v>6</v>
      </c>
      <c r="H11" s="37">
        <f>'Financial model'!K17</f>
        <v>7</v>
      </c>
      <c r="I11" s="37">
        <f>'Financial model'!L17</f>
        <v>8</v>
      </c>
      <c r="J11" s="37">
        <f>'Financial model'!M17</f>
        <v>9</v>
      </c>
      <c r="K11" s="37">
        <f>'Financial model'!N17</f>
        <v>10</v>
      </c>
      <c r="L11" s="37">
        <f>'Financial model'!O17</f>
        <v>11</v>
      </c>
      <c r="M11" s="37">
        <f>'Financial model'!P17</f>
        <v>12</v>
      </c>
      <c r="N11" s="37">
        <f>'Financial model'!Q17</f>
        <v>13</v>
      </c>
      <c r="O11" s="37">
        <f>'Financial model'!R17</f>
        <v>14</v>
      </c>
      <c r="P11" s="37">
        <f>'Financial model'!S17</f>
        <v>15</v>
      </c>
      <c r="Q11" s="37">
        <f>'Financial model'!T17</f>
        <v>16</v>
      </c>
      <c r="R11" s="37">
        <f>'Financial model'!U17</f>
        <v>17</v>
      </c>
      <c r="S11" s="37">
        <f>'Financial model'!V17</f>
        <v>18</v>
      </c>
      <c r="T11" s="37">
        <f>'Financial model'!W17</f>
        <v>19</v>
      </c>
      <c r="U11" s="37">
        <f>'Financial model'!X17</f>
        <v>20</v>
      </c>
    </row>
    <row r="12" spans="1:21" x14ac:dyDescent="0.2">
      <c r="A12" s="37" t="str">
        <f>'Financial model'!B22</f>
        <v>Revenues</v>
      </c>
      <c r="B12" s="167">
        <f>'Financial model'!E22</f>
        <v>2003846.9211544001</v>
      </c>
      <c r="C12" s="167">
        <f>'Financial model'!F22</f>
        <v>2045727.3218065265</v>
      </c>
      <c r="D12" s="167">
        <f>'Financial model'!G22</f>
        <v>2088483.0228322835</v>
      </c>
      <c r="E12" s="167">
        <f>'Financial model'!H22</f>
        <v>2132132.3180094785</v>
      </c>
      <c r="F12" s="167">
        <f>'Financial model'!I22</f>
        <v>2176693.8834558753</v>
      </c>
      <c r="G12" s="167">
        <f>'Financial model'!J22</f>
        <v>2222186.7856201036</v>
      </c>
      <c r="H12" s="167">
        <f>'Financial model'!K22</f>
        <v>2268630.4894395629</v>
      </c>
      <c r="I12" s="167">
        <f>'Financial model'!L22</f>
        <v>2316044.8666688502</v>
      </c>
      <c r="J12" s="167">
        <f>'Financial model'!M22</f>
        <v>2364450.2043822291</v>
      </c>
      <c r="K12" s="167">
        <f>'Financial model'!N22</f>
        <v>2413867.2136538168</v>
      </c>
      <c r="L12" s="167">
        <f>'Financial model'!O22</f>
        <v>2464317.0384191815</v>
      </c>
      <c r="M12" s="167">
        <f>'Financial model'!P22</f>
        <v>2515821.2645221422</v>
      </c>
      <c r="N12" s="167">
        <f>'Financial model'!Q22</f>
        <v>2568401.9289506553</v>
      </c>
      <c r="O12" s="167">
        <f>'Financial model'!R22</f>
        <v>2622081.5292657232</v>
      </c>
      <c r="P12" s="167">
        <f>'Financial model'!S22</f>
        <v>2676883.0332273771</v>
      </c>
      <c r="Q12" s="167">
        <f>'Financial model'!T22</f>
        <v>2732829.888621829</v>
      </c>
      <c r="R12" s="167">
        <f>'Financial model'!U22</f>
        <v>2789946.0332940244</v>
      </c>
      <c r="S12" s="167">
        <f>'Financial model'!V22</f>
        <v>2848255.9053898701</v>
      </c>
      <c r="T12" s="167">
        <f>'Financial model'!W22</f>
        <v>2907784.4538125182</v>
      </c>
      <c r="U12" s="167">
        <f>'Financial model'!X22</f>
        <v>2968557.1488971985</v>
      </c>
    </row>
    <row r="13" spans="1:21" x14ac:dyDescent="0.2">
      <c r="A13" s="37" t="str">
        <f>'Financial model'!B24</f>
        <v>Maintenance</v>
      </c>
      <c r="B13" s="167">
        <f>'Financial model'!E24</f>
        <v>125053.89749999999</v>
      </c>
      <c r="C13" s="167">
        <f>'Financial model'!F24</f>
        <v>128180.24493749999</v>
      </c>
      <c r="D13" s="167">
        <f>'Financial model'!G24</f>
        <v>131384.75106093747</v>
      </c>
      <c r="E13" s="167">
        <f>'Financial model'!H24</f>
        <v>134669.36983746089</v>
      </c>
      <c r="F13" s="167">
        <f>'Financial model'!I24</f>
        <v>138036.1040833974</v>
      </c>
      <c r="G13" s="167">
        <f>'Financial model'!J24</f>
        <v>141487.00668548231</v>
      </c>
      <c r="H13" s="167">
        <f>'Financial model'!K24</f>
        <v>145024.18185261937</v>
      </c>
      <c r="I13" s="167">
        <f>'Financial model'!L24</f>
        <v>148649.78639893484</v>
      </c>
      <c r="J13" s="167">
        <f>'Financial model'!M24</f>
        <v>152366.03105890821</v>
      </c>
      <c r="K13" s="167">
        <f>'Financial model'!N24</f>
        <v>156175.18183538091</v>
      </c>
      <c r="L13" s="167">
        <f>'Financial model'!O24</f>
        <v>160079.5613812654</v>
      </c>
      <c r="M13" s="167">
        <f>'Financial model'!P24</f>
        <v>164081.55041579701</v>
      </c>
      <c r="N13" s="167">
        <f>'Financial model'!Q24</f>
        <v>168183.58917619192</v>
      </c>
      <c r="O13" s="167">
        <f>'Financial model'!R24</f>
        <v>172388.17890559669</v>
      </c>
      <c r="P13" s="167">
        <f>'Financial model'!S24</f>
        <v>176697.88337823658</v>
      </c>
      <c r="Q13" s="167">
        <f>'Financial model'!T24</f>
        <v>181115.33046269248</v>
      </c>
      <c r="R13" s="167">
        <f>'Financial model'!U24</f>
        <v>185643.21372425978</v>
      </c>
      <c r="S13" s="167">
        <f>'Financial model'!V24</f>
        <v>190284.29406736625</v>
      </c>
      <c r="T13" s="167">
        <f>'Financial model'!W24</f>
        <v>195041.40141905038</v>
      </c>
      <c r="U13" s="167">
        <f>'Financial model'!X24</f>
        <v>199917.43645452661</v>
      </c>
    </row>
    <row r="14" spans="1:21" x14ac:dyDescent="0.2">
      <c r="A14" s="37" t="str">
        <f>'Financial model'!B36</f>
        <v xml:space="preserve">Free cash </v>
      </c>
      <c r="B14" s="182">
        <f>'Financial model'!E36</f>
        <v>1465759.2853404691</v>
      </c>
      <c r="C14" s="182">
        <f>'Financial model'!F36</f>
        <v>1487023.9317277572</v>
      </c>
      <c r="D14" s="182">
        <f>'Financial model'!G36</f>
        <v>1508650.0242608914</v>
      </c>
      <c r="E14" s="182">
        <f>'Financial model'!H36</f>
        <v>1530641.4219264511</v>
      </c>
      <c r="F14" s="182">
        <f>'Financial model'!I36</f>
        <v>1553001.8909522002</v>
      </c>
      <c r="G14" s="182">
        <f>'Financial model'!J36</f>
        <v>1575735.0944816046</v>
      </c>
      <c r="H14" s="182">
        <f>'Financial model'!K36</f>
        <v>1598844.5816202911</v>
      </c>
      <c r="I14" s="182">
        <f>'Financial model'!L36</f>
        <v>1622333.7758209095</v>
      </c>
      <c r="J14" s="182">
        <f>'Financial model'!M36</f>
        <v>1646205.9625710887</v>
      </c>
      <c r="K14" s="182">
        <f>'Financial model'!N36</f>
        <v>1670464.2763474262</v>
      </c>
      <c r="L14" s="182">
        <f>'Financial model'!O36</f>
        <v>1695111.6867965166</v>
      </c>
      <c r="M14" s="182">
        <f>'Financial model'!P36</f>
        <v>1720150.9841020457</v>
      </c>
      <c r="N14" s="182">
        <f>'Financial model'!Q36</f>
        <v>1745584.7634948846</v>
      </c>
      <c r="O14" s="182">
        <f>'Financial model'!R36</f>
        <v>1771415.4088609258</v>
      </c>
      <c r="P14" s="182">
        <f>'Financial model'!S36</f>
        <v>1797645.0753990822</v>
      </c>
      <c r="Q14" s="182">
        <f>'Financial model'!T36</f>
        <v>1824275.671279446</v>
      </c>
      <c r="R14" s="182">
        <f>'Financial model'!U36</f>
        <v>1851308.8382490808</v>
      </c>
      <c r="S14" s="182">
        <f>'Financial model'!V36</f>
        <v>1878745.9311302118</v>
      </c>
      <c r="T14" s="182">
        <f>'Financial model'!W36</f>
        <v>1906587.9961527856</v>
      </c>
      <c r="U14" s="182">
        <f>'Financial model'!X36</f>
        <v>1934835.7480604341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53"/>
  <sheetViews>
    <sheetView topLeftCell="A23" zoomScale="219" workbookViewId="0">
      <selection activeCell="D13" sqref="D13"/>
    </sheetView>
  </sheetViews>
  <sheetFormatPr baseColWidth="10" defaultColWidth="8.83203125" defaultRowHeight="15" x14ac:dyDescent="0.2"/>
  <cols>
    <col min="1" max="1" width="7.5" style="83" customWidth="1"/>
    <col min="3" max="3" width="9.6640625" customWidth="1"/>
    <col min="4" max="4" width="17.5" customWidth="1"/>
    <col min="5" max="5" width="13" customWidth="1"/>
    <col min="6" max="6" width="11.5" customWidth="1"/>
    <col min="7" max="7" width="10.5" customWidth="1"/>
    <col min="12" max="12" width="12" bestFit="1" customWidth="1"/>
    <col min="13" max="13" width="10.5" bestFit="1" customWidth="1"/>
  </cols>
  <sheetData>
    <row r="1" spans="1:13" s="100" customFormat="1" x14ac:dyDescent="0.2">
      <c r="A1" s="102">
        <v>1</v>
      </c>
      <c r="B1" s="101" t="s">
        <v>57</v>
      </c>
    </row>
    <row r="2" spans="1:13" x14ac:dyDescent="0.2">
      <c r="A2" s="106" t="s">
        <v>82</v>
      </c>
    </row>
    <row r="3" spans="1:13" x14ac:dyDescent="0.2">
      <c r="C3" t="s">
        <v>51</v>
      </c>
      <c r="D3" s="86">
        <v>1.06985</v>
      </c>
      <c r="E3" s="105"/>
      <c r="G3" s="83"/>
    </row>
    <row r="4" spans="1:13" ht="17" x14ac:dyDescent="0.25">
      <c r="C4" s="83" t="s">
        <v>53</v>
      </c>
      <c r="D4" s="81">
        <v>1164</v>
      </c>
      <c r="E4" s="82"/>
      <c r="G4" s="127"/>
      <c r="J4" s="83"/>
      <c r="K4" s="83"/>
    </row>
    <row r="5" spans="1:13" ht="17" x14ac:dyDescent="0.25">
      <c r="C5" s="83" t="s">
        <v>54</v>
      </c>
      <c r="D5" s="82">
        <f>D4/D3</f>
        <v>1088.002991073515</v>
      </c>
      <c r="E5" s="82"/>
      <c r="K5" s="87"/>
      <c r="M5" s="130"/>
    </row>
    <row r="6" spans="1:13" ht="17" x14ac:dyDescent="0.25">
      <c r="C6" s="83" t="s">
        <v>143</v>
      </c>
      <c r="D6" s="84">
        <f>D4-D11</f>
        <v>1117.2631252799154</v>
      </c>
      <c r="E6" s="82"/>
      <c r="G6" s="37"/>
      <c r="K6" s="83"/>
    </row>
    <row r="7" spans="1:13" ht="18" x14ac:dyDescent="0.25">
      <c r="C7" s="85" t="s">
        <v>52</v>
      </c>
      <c r="D7" s="82">
        <f>NORMSINV(0.1)</f>
        <v>-1.2815515655446006</v>
      </c>
      <c r="E7" s="82"/>
      <c r="F7" s="131"/>
      <c r="G7" s="37"/>
    </row>
    <row r="8" spans="1:13" x14ac:dyDescent="0.2">
      <c r="C8" s="85" t="s">
        <v>50</v>
      </c>
      <c r="D8" s="81">
        <f>(D4-D5)/-D7</f>
        <v>59.30078115443586</v>
      </c>
      <c r="G8" s="132"/>
    </row>
    <row r="9" spans="1:13" ht="17" x14ac:dyDescent="0.25">
      <c r="C9" s="37" t="s">
        <v>150</v>
      </c>
      <c r="D9" s="125">
        <f>D8/D4</f>
        <v>5.0945688277006754E-2</v>
      </c>
    </row>
    <row r="10" spans="1:13" x14ac:dyDescent="0.2">
      <c r="C10" t="s">
        <v>66</v>
      </c>
      <c r="D10" s="125">
        <f>'CG of Radiation Loss'!E10</f>
        <v>0.78813253063848887</v>
      </c>
      <c r="E10" s="168"/>
      <c r="F10" s="166"/>
    </row>
    <row r="11" spans="1:13" ht="17" x14ac:dyDescent="0.25">
      <c r="C11" s="83" t="s">
        <v>144</v>
      </c>
      <c r="D11" s="81">
        <f>D10*D8</f>
        <v>46.736874720084742</v>
      </c>
      <c r="E11" t="s">
        <v>119</v>
      </c>
    </row>
    <row r="12" spans="1:13" x14ac:dyDescent="0.2">
      <c r="C12" s="37" t="s">
        <v>60</v>
      </c>
      <c r="D12" s="126">
        <f>(D11/D4)/2</f>
        <v>2.0075977113438462E-2</v>
      </c>
      <c r="E12" t="s">
        <v>139</v>
      </c>
    </row>
    <row r="13" spans="1:13" x14ac:dyDescent="0.2">
      <c r="C13" s="116" t="s">
        <v>55</v>
      </c>
      <c r="D13" s="120">
        <f>D12*'Financial model'!E22</f>
        <v>40229.184927929862</v>
      </c>
      <c r="E13" t="s">
        <v>120</v>
      </c>
    </row>
    <row r="14" spans="1:13" x14ac:dyDescent="0.2">
      <c r="E14" t="s">
        <v>121</v>
      </c>
    </row>
    <row r="16" spans="1:13" s="100" customFormat="1" x14ac:dyDescent="0.2">
      <c r="A16" s="102">
        <v>2</v>
      </c>
      <c r="B16" s="101" t="s">
        <v>112</v>
      </c>
    </row>
    <row r="17" spans="1:20" x14ac:dyDescent="0.2">
      <c r="D17" t="s">
        <v>58</v>
      </c>
      <c r="N17" s="37"/>
      <c r="T17" s="129" t="s">
        <v>127</v>
      </c>
    </row>
    <row r="18" spans="1:20" x14ac:dyDescent="0.2">
      <c r="D18" s="37" t="s">
        <v>145</v>
      </c>
      <c r="E18" s="82">
        <f>'Financial model'!E21</f>
        <v>0.43361286372646013</v>
      </c>
      <c r="L18" s="129" t="s">
        <v>125</v>
      </c>
    </row>
    <row r="19" spans="1:20" x14ac:dyDescent="0.2">
      <c r="D19" s="37" t="s">
        <v>146</v>
      </c>
      <c r="E19" s="82">
        <v>0.28000000000000003</v>
      </c>
      <c r="F19" s="104" t="s">
        <v>122</v>
      </c>
      <c r="L19" s="129"/>
    </row>
    <row r="20" spans="1:20" x14ac:dyDescent="0.2">
      <c r="D20" s="37" t="s">
        <v>147</v>
      </c>
      <c r="E20" s="82">
        <v>0.06</v>
      </c>
      <c r="F20" s="104" t="s">
        <v>129</v>
      </c>
    </row>
    <row r="21" spans="1:20" x14ac:dyDescent="0.2">
      <c r="D21" s="88" t="s">
        <v>81</v>
      </c>
      <c r="E21" s="123">
        <v>0.12</v>
      </c>
      <c r="F21" s="104" t="s">
        <v>130</v>
      </c>
    </row>
    <row r="22" spans="1:20" x14ac:dyDescent="0.2">
      <c r="D22" s="88" t="s">
        <v>128</v>
      </c>
      <c r="E22" s="123">
        <v>1.4999999999999999E-2</v>
      </c>
      <c r="F22" s="104" t="s">
        <v>148</v>
      </c>
      <c r="M22" s="150"/>
    </row>
    <row r="23" spans="1:20" ht="18" x14ac:dyDescent="0.25">
      <c r="K23" s="150" t="s">
        <v>155</v>
      </c>
      <c r="L23" s="150" t="s">
        <v>156</v>
      </c>
      <c r="M23" s="150" t="s">
        <v>159</v>
      </c>
      <c r="N23" s="83" t="s">
        <v>157</v>
      </c>
      <c r="O23" s="83" t="s">
        <v>158</v>
      </c>
      <c r="P23" s="150" t="s">
        <v>160</v>
      </c>
      <c r="Q23" s="83" t="s">
        <v>161</v>
      </c>
    </row>
    <row r="24" spans="1:20" x14ac:dyDescent="0.2">
      <c r="D24" s="37" t="s">
        <v>151</v>
      </c>
      <c r="E24" s="155">
        <f>P27</f>
        <v>2.4037736603072114E-2</v>
      </c>
      <c r="K24" s="82">
        <f>E18</f>
        <v>0.43361286372646013</v>
      </c>
      <c r="L24" s="125">
        <f>1-L25-L26</f>
        <v>0.86499999999999999</v>
      </c>
      <c r="M24" s="82">
        <f>E18*L24</f>
        <v>0.37507512712338803</v>
      </c>
      <c r="N24">
        <f>(K24-$M$27)^2*L24</f>
        <v>4.998080555638502E-4</v>
      </c>
      <c r="O24" s="82">
        <f>$E$18-E18</f>
        <v>0</v>
      </c>
      <c r="P24" s="131">
        <f>L24*O24</f>
        <v>0</v>
      </c>
      <c r="Q24" s="131">
        <f xml:space="preserve"> (O24-$P$27)^2*L24</f>
        <v>4.9980805556385205E-4</v>
      </c>
    </row>
    <row r="25" spans="1:20" x14ac:dyDescent="0.2">
      <c r="D25" s="37" t="s">
        <v>152</v>
      </c>
      <c r="E25" s="155">
        <f>P28</f>
        <v>6.5936448390847557E-2</v>
      </c>
      <c r="K25" s="82">
        <f>E19</f>
        <v>0.28000000000000003</v>
      </c>
      <c r="L25" s="125">
        <f>E21</f>
        <v>0.12</v>
      </c>
      <c r="M25" s="83">
        <f>E19*L25</f>
        <v>3.3600000000000005E-2</v>
      </c>
      <c r="N25">
        <f>(K25-$M$27)^2*L25</f>
        <v>2.0147656282850602E-3</v>
      </c>
      <c r="O25" s="82">
        <f>$E$18-E19</f>
        <v>0.1536128637264601</v>
      </c>
      <c r="P25" s="131">
        <f>L25*O25</f>
        <v>1.8433543647175213E-2</v>
      </c>
      <c r="Q25" s="131">
        <f xml:space="preserve"> (O25-$P$27)^2*L25</f>
        <v>2.0147656282850585E-3</v>
      </c>
      <c r="R25" s="181"/>
    </row>
    <row r="26" spans="1:20" x14ac:dyDescent="0.2">
      <c r="D26" s="37" t="s">
        <v>153</v>
      </c>
      <c r="E26" s="126">
        <f>E24/E18</f>
        <v>5.5435939783917601E-2</v>
      </c>
      <c r="K26" s="82">
        <f>E20</f>
        <v>0.06</v>
      </c>
      <c r="L26" s="125">
        <f>E22</f>
        <v>1.4999999999999999E-2</v>
      </c>
      <c r="M26" s="83">
        <f>E20*L26</f>
        <v>8.9999999999999998E-4</v>
      </c>
      <c r="N26">
        <f>(K26-$M$27)^2*L26</f>
        <v>1.8330415425499937E-3</v>
      </c>
      <c r="O26" s="82">
        <f>$E$18-E20</f>
        <v>0.37361286372646013</v>
      </c>
      <c r="P26" s="131">
        <f>L26*O26</f>
        <v>5.6041929558969016E-3</v>
      </c>
      <c r="Q26" s="131">
        <f xml:space="preserve"> (O26-$P$27)^2*L26</f>
        <v>1.8330415425499933E-3</v>
      </c>
    </row>
    <row r="27" spans="1:20" x14ac:dyDescent="0.2">
      <c r="D27" s="37" t="s">
        <v>154</v>
      </c>
      <c r="E27" s="125">
        <f>E25/E18</f>
        <v>0.15206294348417401</v>
      </c>
      <c r="L27" s="116" t="s">
        <v>134</v>
      </c>
      <c r="M27" s="95">
        <f>SUM(M24:M26)</f>
        <v>0.40957512712338806</v>
      </c>
      <c r="N27" s="95">
        <f>(SUM(N24:N26))</f>
        <v>4.347615226398904E-3</v>
      </c>
      <c r="O27" s="116" t="s">
        <v>134</v>
      </c>
      <c r="P27" s="95">
        <f>SUM(P24:P26)</f>
        <v>2.4037736603072114E-2</v>
      </c>
      <c r="Q27" s="95">
        <f>(SUM(Q24:Q26))</f>
        <v>4.347615226398904E-3</v>
      </c>
    </row>
    <row r="28" spans="1:20" x14ac:dyDescent="0.2">
      <c r="D28" s="37" t="s">
        <v>149</v>
      </c>
      <c r="E28" s="96">
        <f>E27/E26</f>
        <v>2.743038975742027</v>
      </c>
      <c r="L28" s="151" t="s">
        <v>50</v>
      </c>
      <c r="M28" s="95">
        <f>SQRT(N27)</f>
        <v>6.5936448390847557E-2</v>
      </c>
      <c r="O28" s="151" t="s">
        <v>50</v>
      </c>
      <c r="P28" s="95">
        <f>SQRT(Q27)</f>
        <v>6.5936448390847557E-2</v>
      </c>
    </row>
    <row r="29" spans="1:20" x14ac:dyDescent="0.2">
      <c r="D29" s="116" t="s">
        <v>55</v>
      </c>
      <c r="E29" s="154">
        <f>E26</f>
        <v>5.5435939783917601E-2</v>
      </c>
      <c r="F29" t="s">
        <v>163</v>
      </c>
      <c r="L29" s="116" t="s">
        <v>162</v>
      </c>
      <c r="M29" s="152">
        <f>M28/M27</f>
        <v>0.1609874331333202</v>
      </c>
      <c r="O29" s="116" t="s">
        <v>162</v>
      </c>
      <c r="P29" s="152">
        <f>P28/P27</f>
        <v>2.7430389757420266</v>
      </c>
    </row>
    <row r="30" spans="1:20" x14ac:dyDescent="0.2">
      <c r="D30" s="116"/>
      <c r="E30" s="154"/>
      <c r="L30" s="116"/>
      <c r="M30" s="152"/>
      <c r="O30" s="116"/>
      <c r="P30" s="152"/>
    </row>
    <row r="31" spans="1:20" s="100" customFormat="1" x14ac:dyDescent="0.2">
      <c r="A31" s="102">
        <v>3</v>
      </c>
      <c r="B31" s="101" t="s">
        <v>103</v>
      </c>
    </row>
    <row r="32" spans="1:20" x14ac:dyDescent="0.2">
      <c r="D32" t="s">
        <v>188</v>
      </c>
    </row>
    <row r="33" spans="1:17" x14ac:dyDescent="0.2">
      <c r="D33" s="37"/>
      <c r="E33" s="83"/>
    </row>
    <row r="34" spans="1:17" x14ac:dyDescent="0.2">
      <c r="D34" s="37" t="s">
        <v>105</v>
      </c>
      <c r="E34" s="103">
        <v>0.25</v>
      </c>
      <c r="F34" s="104" t="s">
        <v>126</v>
      </c>
    </row>
    <row r="35" spans="1:17" x14ac:dyDescent="0.2">
      <c r="D35" s="37" t="s">
        <v>106</v>
      </c>
      <c r="E35" s="103">
        <v>0.2</v>
      </c>
      <c r="F35" s="104" t="s">
        <v>107</v>
      </c>
    </row>
    <row r="36" spans="1:17" ht="18" x14ac:dyDescent="0.25">
      <c r="D36" s="37" t="s">
        <v>59</v>
      </c>
      <c r="E36" s="89">
        <f>E34*E35</f>
        <v>0.05</v>
      </c>
      <c r="K36" s="150" t="s">
        <v>165</v>
      </c>
      <c r="L36" s="150" t="s">
        <v>156</v>
      </c>
      <c r="M36" s="150" t="s">
        <v>166</v>
      </c>
      <c r="N36" s="83" t="s">
        <v>167</v>
      </c>
      <c r="O36" s="83" t="s">
        <v>158</v>
      </c>
      <c r="P36" s="150" t="s">
        <v>160</v>
      </c>
      <c r="Q36" s="83" t="s">
        <v>161</v>
      </c>
    </row>
    <row r="37" spans="1:17" x14ac:dyDescent="0.2">
      <c r="K37">
        <v>1</v>
      </c>
      <c r="L37" s="1">
        <f>1-L38</f>
        <v>0.8</v>
      </c>
      <c r="M37">
        <f>L37*K37</f>
        <v>0.8</v>
      </c>
      <c r="N37">
        <f>(K37-$M$39)^2*L37</f>
        <v>2.0000000000000035E-3</v>
      </c>
      <c r="O37">
        <v>0</v>
      </c>
      <c r="P37">
        <f>O37*L37</f>
        <v>0</v>
      </c>
      <c r="Q37" s="131">
        <f xml:space="preserve"> (O37-$P$39)^2*L37</f>
        <v>2.0000000000000005E-3</v>
      </c>
    </row>
    <row r="38" spans="1:17" x14ac:dyDescent="0.2">
      <c r="D38" s="116" t="s">
        <v>55</v>
      </c>
      <c r="E38" s="120">
        <f>E36*'Financial model'!E24</f>
        <v>6252.6948750000001</v>
      </c>
      <c r="K38" s="1">
        <f>K37+E34</f>
        <v>1.25</v>
      </c>
      <c r="L38" s="1">
        <f>E35</f>
        <v>0.2</v>
      </c>
      <c r="M38">
        <f>L38*K38</f>
        <v>0.25</v>
      </c>
      <c r="N38">
        <f>(K38-$M$39)^2*L38</f>
        <v>7.9999999999999967E-3</v>
      </c>
      <c r="O38">
        <f>K38-K37</f>
        <v>0.25</v>
      </c>
      <c r="P38">
        <f>O38*L38</f>
        <v>0.05</v>
      </c>
      <c r="Q38" s="131">
        <f xml:space="preserve"> (O38-$P$39)^2*L38</f>
        <v>8.0000000000000019E-3</v>
      </c>
    </row>
    <row r="39" spans="1:17" x14ac:dyDescent="0.2">
      <c r="L39" s="116" t="s">
        <v>134</v>
      </c>
      <c r="M39">
        <f>SUM(M37:M38)</f>
        <v>1.05</v>
      </c>
      <c r="N39">
        <f>SUM(N37:N38)</f>
        <v>0.01</v>
      </c>
      <c r="P39">
        <f>SUM(P37:P38)</f>
        <v>0.05</v>
      </c>
      <c r="Q39">
        <f>SUM(Q37:Q38)</f>
        <v>1.0000000000000002E-2</v>
      </c>
    </row>
    <row r="40" spans="1:17" x14ac:dyDescent="0.2">
      <c r="L40" s="151" t="s">
        <v>50</v>
      </c>
      <c r="M40" s="148">
        <f>N39^0.5</f>
        <v>0.1</v>
      </c>
      <c r="P40" s="148">
        <f>Q39^0.5</f>
        <v>0.1</v>
      </c>
    </row>
    <row r="41" spans="1:17" x14ac:dyDescent="0.2">
      <c r="L41" s="116" t="s">
        <v>162</v>
      </c>
      <c r="M41" s="149">
        <f>M40/M39</f>
        <v>9.5238095238095233E-2</v>
      </c>
      <c r="P41">
        <f>P40/P39</f>
        <v>2</v>
      </c>
    </row>
    <row r="42" spans="1:17" s="100" customFormat="1" x14ac:dyDescent="0.2">
      <c r="A42" s="102">
        <v>6</v>
      </c>
      <c r="B42" s="101" t="s">
        <v>98</v>
      </c>
    </row>
    <row r="43" spans="1:17" x14ac:dyDescent="0.2">
      <c r="A43" s="106" t="s">
        <v>82</v>
      </c>
    </row>
    <row r="44" spans="1:17" x14ac:dyDescent="0.2">
      <c r="C44" t="s">
        <v>111</v>
      </c>
      <c r="D44" s="86">
        <v>1.07</v>
      </c>
      <c r="E44" s="83" t="s">
        <v>131</v>
      </c>
    </row>
    <row r="45" spans="1:17" ht="17" x14ac:dyDescent="0.25">
      <c r="C45" s="83" t="s">
        <v>53</v>
      </c>
      <c r="D45" s="83">
        <v>4000</v>
      </c>
      <c r="E45" s="82">
        <f>STANDARDIZE(D45,$D$45,$D$49)</f>
        <v>0</v>
      </c>
      <c r="K45" s="87"/>
    </row>
    <row r="46" spans="1:17" ht="17" x14ac:dyDescent="0.25">
      <c r="C46" s="83" t="s">
        <v>54</v>
      </c>
      <c r="D46" s="84">
        <f>D45*D44</f>
        <v>4280</v>
      </c>
      <c r="E46" s="82">
        <f>STANDARDIZE(D46,$D$45,$D$49)</f>
        <v>1.2815515655446006</v>
      </c>
      <c r="K46" s="83"/>
    </row>
    <row r="47" spans="1:17" ht="17" x14ac:dyDescent="0.25">
      <c r="C47" s="83" t="s">
        <v>143</v>
      </c>
      <c r="D47" s="84">
        <f>D45-D51</f>
        <v>3827.804737232716</v>
      </c>
      <c r="E47" s="82">
        <f>STANDARDIZE(D47,$D$45,$D$49)</f>
        <v>-0.7881325306384882</v>
      </c>
    </row>
    <row r="48" spans="1:17" ht="18" x14ac:dyDescent="0.25">
      <c r="C48" s="85" t="s">
        <v>52</v>
      </c>
      <c r="D48" s="82">
        <f>NORMSINV(0.1)</f>
        <v>-1.2815515655446006</v>
      </c>
    </row>
    <row r="49" spans="3:4" x14ac:dyDescent="0.2">
      <c r="C49" s="85" t="s">
        <v>50</v>
      </c>
      <c r="D49" s="81">
        <f>(D45-D46)/D48</f>
        <v>218.48516090026612</v>
      </c>
    </row>
    <row r="50" spans="3:4" x14ac:dyDescent="0.2">
      <c r="C50" t="s">
        <v>66</v>
      </c>
      <c r="D50" s="96">
        <f>D10</f>
        <v>0.78813253063848887</v>
      </c>
    </row>
    <row r="51" spans="3:4" ht="17" x14ac:dyDescent="0.25">
      <c r="C51" s="83" t="s">
        <v>118</v>
      </c>
      <c r="D51" s="84">
        <f>D50*D49</f>
        <v>172.19526276728416</v>
      </c>
    </row>
    <row r="52" spans="3:4" x14ac:dyDescent="0.2">
      <c r="C52" s="37" t="s">
        <v>99</v>
      </c>
      <c r="D52" s="89">
        <f>(D51/D45)/2</f>
        <v>2.1524407845910521E-2</v>
      </c>
    </row>
    <row r="53" spans="3:4" x14ac:dyDescent="0.2">
      <c r="C53" s="116" t="s">
        <v>55</v>
      </c>
      <c r="D53" s="120">
        <f>D52*'Financial model'!E26</f>
        <v>307.62412485836455</v>
      </c>
    </row>
  </sheetData>
  <phoneticPr fontId="23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G18"/>
  <sheetViews>
    <sheetView workbookViewId="0">
      <selection activeCell="E12" sqref="E12"/>
    </sheetView>
  </sheetViews>
  <sheetFormatPr baseColWidth="10" defaultColWidth="8.83203125" defaultRowHeight="15" x14ac:dyDescent="0.2"/>
  <sheetData>
    <row r="3" spans="3:7" x14ac:dyDescent="0.2">
      <c r="E3" t="s">
        <v>173</v>
      </c>
      <c r="F3" t="s">
        <v>174</v>
      </c>
    </row>
    <row r="4" spans="3:7" x14ac:dyDescent="0.2">
      <c r="D4" t="s">
        <v>175</v>
      </c>
      <c r="E4">
        <v>13.7</v>
      </c>
      <c r="F4">
        <v>12.8</v>
      </c>
    </row>
    <row r="5" spans="3:7" x14ac:dyDescent="0.2">
      <c r="D5" t="s">
        <v>175</v>
      </c>
      <c r="E5">
        <v>13.7</v>
      </c>
      <c r="F5">
        <v>17.5</v>
      </c>
      <c r="G5" t="s">
        <v>177</v>
      </c>
    </row>
    <row r="6" spans="3:7" x14ac:dyDescent="0.2">
      <c r="D6" t="s">
        <v>176</v>
      </c>
      <c r="E6">
        <v>16</v>
      </c>
      <c r="F6">
        <v>24</v>
      </c>
      <c r="G6" s="1"/>
    </row>
    <row r="8" spans="3:7" x14ac:dyDescent="0.2">
      <c r="E8">
        <v>0</v>
      </c>
      <c r="F8">
        <v>0</v>
      </c>
    </row>
    <row r="9" spans="3:7" x14ac:dyDescent="0.2">
      <c r="E9">
        <v>25</v>
      </c>
      <c r="F9">
        <v>25</v>
      </c>
    </row>
    <row r="11" spans="3:7" x14ac:dyDescent="0.2">
      <c r="C11" t="s">
        <v>179</v>
      </c>
      <c r="D11">
        <v>14</v>
      </c>
    </row>
    <row r="12" spans="3:7" x14ac:dyDescent="0.2">
      <c r="E12" t="s">
        <v>173</v>
      </c>
      <c r="F12" t="s">
        <v>174</v>
      </c>
    </row>
    <row r="13" spans="3:7" x14ac:dyDescent="0.2">
      <c r="D13" t="s">
        <v>175</v>
      </c>
      <c r="E13">
        <f>E4-$D$11</f>
        <v>-0.30000000000000071</v>
      </c>
      <c r="F13">
        <f t="shared" ref="E13:F15" si="0">F4-$D$11</f>
        <v>-1.1999999999999993</v>
      </c>
    </row>
    <row r="14" spans="3:7" x14ac:dyDescent="0.2">
      <c r="D14" t="s">
        <v>175</v>
      </c>
      <c r="E14">
        <f t="shared" si="0"/>
        <v>-0.30000000000000071</v>
      </c>
      <c r="F14">
        <f t="shared" si="0"/>
        <v>3.5</v>
      </c>
    </row>
    <row r="15" spans="3:7" x14ac:dyDescent="0.2">
      <c r="D15" t="s">
        <v>176</v>
      </c>
      <c r="E15">
        <f t="shared" si="0"/>
        <v>2</v>
      </c>
      <c r="F15">
        <f t="shared" si="0"/>
        <v>10</v>
      </c>
    </row>
    <row r="17" spans="5:6" x14ac:dyDescent="0.2">
      <c r="E17">
        <v>-5</v>
      </c>
      <c r="F17">
        <v>-5</v>
      </c>
    </row>
    <row r="18" spans="5:6" x14ac:dyDescent="0.2">
      <c r="E18">
        <v>15</v>
      </c>
      <c r="F18">
        <v>15</v>
      </c>
    </row>
  </sheetData>
  <phoneticPr fontId="2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2:2" x14ac:dyDescent="0.2">
      <c r="B1" s="87" t="s">
        <v>123</v>
      </c>
    </row>
  </sheetData>
  <phoneticPr fontId="2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220"/>
  <sheetViews>
    <sheetView zoomScale="132" workbookViewId="0">
      <selection activeCell="P23" sqref="P23"/>
    </sheetView>
  </sheetViews>
  <sheetFormatPr baseColWidth="10" defaultColWidth="8.83203125" defaultRowHeight="15" outlineLevelRow="1" x14ac:dyDescent="0.2"/>
  <cols>
    <col min="1" max="1" width="7.5" style="83" customWidth="1"/>
    <col min="2" max="2" width="12.5" bestFit="1" customWidth="1"/>
    <col min="3" max="3" width="9.6640625" customWidth="1"/>
    <col min="4" max="4" width="13" customWidth="1"/>
    <col min="5" max="5" width="11.5" customWidth="1"/>
    <col min="6" max="6" width="12.33203125" customWidth="1"/>
    <col min="13" max="13" width="10.5" bestFit="1" customWidth="1"/>
  </cols>
  <sheetData>
    <row r="1" spans="1:14" x14ac:dyDescent="0.2">
      <c r="A1" s="106" t="s">
        <v>132</v>
      </c>
    </row>
    <row r="2" spans="1:14" x14ac:dyDescent="0.2">
      <c r="D2" s="83"/>
      <c r="I2">
        <f>AVERAGE(I5:I220)</f>
        <v>9.3516063483452497E-2</v>
      </c>
    </row>
    <row r="3" spans="1:14" x14ac:dyDescent="0.2">
      <c r="C3" s="83"/>
      <c r="D3" s="82"/>
      <c r="F3" s="127"/>
      <c r="I3" s="83" t="s">
        <v>131</v>
      </c>
      <c r="J3" s="83" t="s">
        <v>116</v>
      </c>
      <c r="K3" s="83" t="s">
        <v>117</v>
      </c>
    </row>
    <row r="4" spans="1:14" x14ac:dyDescent="0.2">
      <c r="C4" s="83"/>
      <c r="D4" s="82"/>
      <c r="I4" t="s">
        <v>65</v>
      </c>
      <c r="J4" s="95">
        <f>SUM(J6:J221)</f>
        <v>-0.49999996164918142</v>
      </c>
      <c r="K4" s="87">
        <f>SUM(K6:K220)</f>
        <v>0.39898362338229565</v>
      </c>
      <c r="M4" s="124">
        <f>B7</f>
        <v>-0.79796730796999016</v>
      </c>
      <c r="N4">
        <v>0</v>
      </c>
    </row>
    <row r="5" spans="1:14" x14ac:dyDescent="0.2">
      <c r="C5" s="83"/>
      <c r="D5" s="82"/>
      <c r="F5" s="37" t="s">
        <v>133</v>
      </c>
      <c r="G5">
        <v>-2.5000000000000001E-2</v>
      </c>
      <c r="H5">
        <v>0</v>
      </c>
      <c r="I5">
        <f>(1/($G$7*SQRTPI(2)))*EXP(-0.5*((H5-$G$6)/$G$7)^2)</f>
        <v>0.3989422804014327</v>
      </c>
      <c r="J5" s="83" t="s">
        <v>64</v>
      </c>
      <c r="K5" s="83" t="s">
        <v>63</v>
      </c>
      <c r="M5" s="124">
        <f>M4</f>
        <v>-0.79796730796999016</v>
      </c>
      <c r="N5">
        <f>I5</f>
        <v>0.3989422804014327</v>
      </c>
    </row>
    <row r="6" spans="1:14" x14ac:dyDescent="0.2">
      <c r="B6" t="s">
        <v>142</v>
      </c>
      <c r="C6" s="85"/>
      <c r="E6" s="131"/>
      <c r="F6" s="37" t="s">
        <v>134</v>
      </c>
      <c r="G6">
        <v>0</v>
      </c>
      <c r="H6">
        <f t="shared" ref="H6:H69" si="0">H5+$G$5</f>
        <v>-2.5000000000000001E-2</v>
      </c>
      <c r="I6">
        <f t="shared" ref="I6:I69" si="1">(1/($G$7*SQRTPI(2)))*EXP(-0.5*((H6-$G$6)/$G$7)^2)</f>
        <v>0.3988176304163818</v>
      </c>
      <c r="J6">
        <f t="shared" ref="J6:J13" si="2">AVERAGE(I5:I6)*(H6-H5)</f>
        <v>-9.9719988852226826E-3</v>
      </c>
      <c r="K6">
        <f>AVERAGE(I5:I6)*(H6-H5)*(H6+H5)/2</f>
        <v>1.2464998606528355E-4</v>
      </c>
      <c r="L6">
        <f>($B$7-H6)^2*I6</f>
        <v>0.23828494331913566</v>
      </c>
    </row>
    <row r="7" spans="1:14" x14ac:dyDescent="0.2">
      <c r="B7" s="147">
        <f>K4/J4</f>
        <v>-0.79796730796999016</v>
      </c>
      <c r="F7" s="132" t="s">
        <v>50</v>
      </c>
      <c r="G7">
        <v>1</v>
      </c>
      <c r="H7">
        <f t="shared" si="0"/>
        <v>-0.05</v>
      </c>
      <c r="I7">
        <f t="shared" si="1"/>
        <v>0.39844391409476404</v>
      </c>
      <c r="J7">
        <f t="shared" si="2"/>
        <v>-9.965769306389323E-3</v>
      </c>
      <c r="K7">
        <f>AVERAGE(I6:I7)*(H7-H6)*(H7+H6)/2</f>
        <v>3.7371634898959965E-4</v>
      </c>
      <c r="L7">
        <f t="shared" ref="L7:L70" si="3">($B$7-H7)^2*I7</f>
        <v>0.22291147733068764</v>
      </c>
    </row>
    <row r="8" spans="1:14" x14ac:dyDescent="0.2">
      <c r="B8" t="s">
        <v>140</v>
      </c>
      <c r="C8" s="37"/>
      <c r="H8">
        <f t="shared" si="0"/>
        <v>-7.5000000000000011E-2</v>
      </c>
      <c r="I8">
        <f t="shared" si="1"/>
        <v>0.39782183160749712</v>
      </c>
      <c r="J8">
        <f t="shared" si="2"/>
        <v>-9.9533218212782687E-3</v>
      </c>
      <c r="K8">
        <f t="shared" ref="K8:K69" si="4">AVERAGE(I7:I8)*(H8-H7)*(H8+H7)/2</f>
        <v>6.2208261382989179E-4</v>
      </c>
      <c r="L8">
        <f t="shared" si="3"/>
        <v>0.20793420253722456</v>
      </c>
    </row>
    <row r="9" spans="1:14" x14ac:dyDescent="0.2">
      <c r="B9" t="s">
        <v>164</v>
      </c>
      <c r="C9" s="148">
        <f>SUM(L6:L220)^0.5</f>
        <v>2.6724305596598001</v>
      </c>
      <c r="D9" t="s">
        <v>186</v>
      </c>
      <c r="H9">
        <f t="shared" si="0"/>
        <v>-0.1</v>
      </c>
      <c r="I9">
        <f t="shared" si="1"/>
        <v>0.39695254747701181</v>
      </c>
      <c r="J9">
        <f t="shared" si="2"/>
        <v>-9.9346797385563602E-3</v>
      </c>
      <c r="K9">
        <f t="shared" si="4"/>
        <v>8.6928447712368161E-4</v>
      </c>
      <c r="L9">
        <f t="shared" si="3"/>
        <v>0.19337875321554651</v>
      </c>
    </row>
    <row r="10" spans="1:14" x14ac:dyDescent="0.2">
      <c r="B10" t="s">
        <v>141</v>
      </c>
      <c r="C10" s="83"/>
      <c r="E10" s="148">
        <f>-SUM(J6:J37)+0.5</f>
        <v>0.78813253063848887</v>
      </c>
      <c r="H10">
        <f t="shared" si="0"/>
        <v>-0.125</v>
      </c>
      <c r="I10">
        <f t="shared" si="1"/>
        <v>0.39583768694474952</v>
      </c>
      <c r="J10">
        <f t="shared" si="2"/>
        <v>-9.9098779302720149E-3</v>
      </c>
      <c r="K10">
        <f t="shared" si="4"/>
        <v>1.1148612671556017E-3</v>
      </c>
      <c r="L10">
        <f t="shared" si="3"/>
        <v>0.17926894990052775</v>
      </c>
    </row>
    <row r="11" spans="1:14" x14ac:dyDescent="0.2">
      <c r="C11" s="37"/>
      <c r="H11">
        <f t="shared" si="0"/>
        <v>-0.15</v>
      </c>
      <c r="I11">
        <f t="shared" si="1"/>
        <v>0.39447933090788895</v>
      </c>
      <c r="J11">
        <f t="shared" si="2"/>
        <v>-9.8789627231579778E-3</v>
      </c>
      <c r="K11">
        <f>AVERAGE(I10:I11)*(H11-H10)*(H11+H10)/2</f>
        <v>1.3583573744342221E-3</v>
      </c>
      <c r="L11">
        <f t="shared" si="3"/>
        <v>0.1656267357433123</v>
      </c>
    </row>
    <row r="12" spans="1:14" x14ac:dyDescent="0.2">
      <c r="C12" s="87"/>
      <c r="H12">
        <f t="shared" si="0"/>
        <v>-0.17499999999999999</v>
      </c>
      <c r="I12">
        <f t="shared" si="1"/>
        <v>0.39288000944737927</v>
      </c>
      <c r="J12">
        <f t="shared" si="2"/>
        <v>-9.8419917544408514E-3</v>
      </c>
      <c r="K12">
        <f t="shared" si="4"/>
        <v>1.5993236600966381E-3</v>
      </c>
      <c r="L12">
        <f t="shared" si="3"/>
        <v>0.15247212192655615</v>
      </c>
    </row>
    <row r="13" spans="1:14" x14ac:dyDescent="0.2">
      <c r="H13">
        <f t="shared" si="0"/>
        <v>-0.19999999999999998</v>
      </c>
      <c r="I13">
        <f t="shared" si="1"/>
        <v>0.39104269397545588</v>
      </c>
      <c r="J13">
        <f t="shared" si="2"/>
        <v>-9.7990337927854367E-3</v>
      </c>
      <c r="K13">
        <f>AVERAGE(I12:I13)*(H13-H12)*(H13+H12)/2</f>
        <v>1.8373188361472694E-3</v>
      </c>
      <c r="L13">
        <f t="shared" si="3"/>
        <v>0.13982314231486723</v>
      </c>
    </row>
    <row r="14" spans="1:14" x14ac:dyDescent="0.2">
      <c r="H14">
        <f t="shared" si="0"/>
        <v>-0.22499999999999998</v>
      </c>
      <c r="I14">
        <f t="shared" si="1"/>
        <v>0.38897078803674945</v>
      </c>
      <c r="J14">
        <f t="shared" ref="J14:J70" si="5">AVERAGE(I13:I14)*(H14-H13)</f>
        <v>-9.7501685251525638E-3</v>
      </c>
      <c r="K14">
        <f t="shared" si="4"/>
        <v>2.0719108115949195E-3</v>
      </c>
      <c r="L14">
        <f t="shared" si="3"/>
        <v>0.1276958174646397</v>
      </c>
    </row>
    <row r="15" spans="1:14" x14ac:dyDescent="0.2">
      <c r="H15">
        <f t="shared" si="0"/>
        <v>-0.24999999999999997</v>
      </c>
      <c r="I15">
        <f t="shared" si="1"/>
        <v>0.38666811680284924</v>
      </c>
      <c r="J15">
        <f t="shared" si="5"/>
        <v>-9.6954863104949801E-3</v>
      </c>
      <c r="K15">
        <f t="shared" si="4"/>
        <v>2.3026779987425578E-3</v>
      </c>
      <c r="L15">
        <f t="shared" si="3"/>
        <v>0.11610412806323818</v>
      </c>
    </row>
    <row r="16" spans="1:14" x14ac:dyDescent="0.2">
      <c r="H16">
        <f t="shared" si="0"/>
        <v>-0.27499999999999997</v>
      </c>
      <c r="I16">
        <f t="shared" si="1"/>
        <v>0.38413891530570476</v>
      </c>
      <c r="J16">
        <f t="shared" si="5"/>
        <v>-9.6350879013569236E-3</v>
      </c>
      <c r="K16">
        <f t="shared" si="4"/>
        <v>2.5292105741061919E-3</v>
      </c>
      <c r="L16">
        <f t="shared" si="3"/>
        <v>0.10505999781333912</v>
      </c>
    </row>
    <row r="17" spans="8:16" x14ac:dyDescent="0.2">
      <c r="H17">
        <f t="shared" si="0"/>
        <v>-0.3</v>
      </c>
      <c r="I17">
        <f t="shared" si="1"/>
        <v>0.38138781546052414</v>
      </c>
      <c r="J17">
        <f t="shared" si="5"/>
        <v>-9.56908413457787E-3</v>
      </c>
      <c r="K17">
        <f t="shared" si="4"/>
        <v>2.7511116886911372E-3</v>
      </c>
      <c r="L17">
        <f t="shared" si="3"/>
        <v>9.4573285724546444E-2</v>
      </c>
    </row>
    <row r="18" spans="8:16" x14ac:dyDescent="0.2">
      <c r="H18">
        <f t="shared" si="0"/>
        <v>-0.32500000000000001</v>
      </c>
      <c r="I18">
        <f t="shared" si="1"/>
        <v>0.37841983193381945</v>
      </c>
      <c r="J18">
        <f t="shared" si="5"/>
        <v>-9.4975955924293028E-3</v>
      </c>
      <c r="K18">
        <f t="shared" si="4"/>
        <v>2.9679986226341572E-3</v>
      </c>
      <c r="L18">
        <f t="shared" si="3"/>
        <v>8.4651787721538002E-2</v>
      </c>
    </row>
    <row r="19" spans="8:16" x14ac:dyDescent="0.2">
      <c r="H19">
        <f t="shared" si="0"/>
        <v>-0.35000000000000003</v>
      </c>
      <c r="I19">
        <f t="shared" si="1"/>
        <v>0.37524034691693792</v>
      </c>
      <c r="J19">
        <f t="shared" si="5"/>
        <v>-9.4207522356344747E-3</v>
      </c>
      <c r="K19">
        <f t="shared" si="4"/>
        <v>3.1795038795266353E-3</v>
      </c>
      <c r="L19">
        <f t="shared" si="3"/>
        <v>7.5301247426322923E-2</v>
      </c>
      <c r="N19">
        <v>48</v>
      </c>
    </row>
    <row r="20" spans="8:16" x14ac:dyDescent="0.2">
      <c r="H20">
        <f t="shared" si="0"/>
        <v>-0.37500000000000006</v>
      </c>
      <c r="I20">
        <f t="shared" si="1"/>
        <v>0.37185509386976895</v>
      </c>
      <c r="J20">
        <f t="shared" si="5"/>
        <v>-9.3386930098338441E-3</v>
      </c>
      <c r="K20">
        <f t="shared" si="4"/>
        <v>3.3852762160647689E-3</v>
      </c>
      <c r="L20">
        <f t="shared" si="3"/>
        <v>6.6525375922037666E-2</v>
      </c>
      <c r="N20">
        <f>1/(1+0.1)^N19</f>
        <v>1.0307447048195742E-2</v>
      </c>
      <c r="P20" s="1">
        <v>0.38</v>
      </c>
    </row>
    <row r="21" spans="8:16" x14ac:dyDescent="0.2">
      <c r="H21">
        <f t="shared" si="0"/>
        <v>-0.40000000000000008</v>
      </c>
      <c r="I21">
        <f t="shared" si="1"/>
        <v>0.36827014030332333</v>
      </c>
      <c r="J21">
        <f t="shared" si="5"/>
        <v>-9.2515654271636619E-3</v>
      </c>
      <c r="K21">
        <f t="shared" si="4"/>
        <v>3.5849816030259197E-3</v>
      </c>
      <c r="L21">
        <f t="shared" si="3"/>
        <v>5.832588025741435E-2</v>
      </c>
      <c r="P21" s="1">
        <v>0.15</v>
      </c>
    </row>
    <row r="22" spans="8:16" x14ac:dyDescent="0.2">
      <c r="H22">
        <f t="shared" si="0"/>
        <v>-0.4250000000000001</v>
      </c>
      <c r="I22">
        <f t="shared" si="1"/>
        <v>0.36449186967350644</v>
      </c>
      <c r="J22">
        <f t="shared" si="5"/>
        <v>-9.1595251247103791E-3</v>
      </c>
      <c r="K22">
        <f t="shared" si="4"/>
        <v>3.7783041139430322E-3</v>
      </c>
      <c r="L22">
        <f t="shared" si="3"/>
        <v>5.0702500404923086E-2</v>
      </c>
      <c r="P22" s="1">
        <v>0.06</v>
      </c>
    </row>
    <row r="23" spans="8:16" x14ac:dyDescent="0.2">
      <c r="H23">
        <f t="shared" si="0"/>
        <v>-0.45000000000000012</v>
      </c>
      <c r="I23">
        <f t="shared" si="1"/>
        <v>0.36052696246164795</v>
      </c>
      <c r="J23">
        <f t="shared" si="5"/>
        <v>-9.0627354016894375E-3</v>
      </c>
      <c r="K23">
        <f t="shared" si="4"/>
        <v>3.96494673823913E-3</v>
      </c>
      <c r="L23">
        <f t="shared" si="3"/>
        <v>4.365305434191516E-2</v>
      </c>
      <c r="P23" s="171">
        <v>2.1999999999999999E-2</v>
      </c>
    </row>
    <row r="24" spans="8:16" x14ac:dyDescent="0.2">
      <c r="H24">
        <f t="shared" si="0"/>
        <v>-0.47500000000000014</v>
      </c>
      <c r="I24">
        <f t="shared" si="1"/>
        <v>0.35638237652018323</v>
      </c>
      <c r="J24">
        <f t="shared" si="5"/>
        <v>-8.9613667372728974E-3</v>
      </c>
      <c r="K24">
        <f t="shared" si="4"/>
        <v>4.1446321159887166E-3</v>
      </c>
      <c r="L24">
        <f t="shared" si="3"/>
        <v>3.7173490883141619E-2</v>
      </c>
    </row>
    <row r="25" spans="8:16" x14ac:dyDescent="0.2">
      <c r="H25">
        <f t="shared" si="0"/>
        <v>-0.50000000000000011</v>
      </c>
      <c r="I25">
        <f t="shared" si="1"/>
        <v>0.35206532676429947</v>
      </c>
      <c r="J25">
        <f t="shared" si="5"/>
        <v>-8.8555962910560216E-3</v>
      </c>
      <c r="K25">
        <f t="shared" si="4"/>
        <v>4.3171031918898123E-3</v>
      </c>
      <c r="L25">
        <f t="shared" si="3"/>
        <v>3.1257949855037381E-2</v>
      </c>
    </row>
    <row r="26" spans="8:16" x14ac:dyDescent="0.2">
      <c r="H26">
        <f t="shared" si="0"/>
        <v>-0.52500000000000013</v>
      </c>
      <c r="I26">
        <f t="shared" si="1"/>
        <v>0.34758326429234804</v>
      </c>
      <c r="J26">
        <f t="shared" si="5"/>
        <v>-8.7456073882081001E-3</v>
      </c>
      <c r="K26">
        <f t="shared" si="4"/>
        <v>4.4821237864566526E-3</v>
      </c>
      <c r="L26">
        <f t="shared" si="3"/>
        <v>2.5898829167361626E-2</v>
      </c>
    </row>
    <row r="27" spans="8:16" x14ac:dyDescent="0.2">
      <c r="H27">
        <f t="shared" si="0"/>
        <v>-0.55000000000000016</v>
      </c>
      <c r="I27">
        <f t="shared" si="1"/>
        <v>0.3429438550193839</v>
      </c>
      <c r="J27">
        <f t="shared" si="5"/>
        <v>-8.6315889913966565E-3</v>
      </c>
      <c r="K27">
        <f t="shared" si="4"/>
        <v>4.6394790828757039E-3</v>
      </c>
      <c r="L27">
        <f t="shared" si="3"/>
        <v>2.108685830636307E-2</v>
      </c>
    </row>
    <row r="28" spans="8:16" x14ac:dyDescent="0.2">
      <c r="H28">
        <f t="shared" si="0"/>
        <v>-0.57500000000000018</v>
      </c>
      <c r="I28">
        <f t="shared" si="1"/>
        <v>0.33815495790931138</v>
      </c>
      <c r="J28">
        <f t="shared" si="5"/>
        <v>-8.5137351616086984E-3</v>
      </c>
      <c r="K28">
        <f t="shared" si="4"/>
        <v>4.7889760284048951E-3</v>
      </c>
      <c r="L28">
        <f t="shared" si="3"/>
        <v>1.6811177745755346E-2</v>
      </c>
    </row>
    <row r="29" spans="8:16" outlineLevel="1" x14ac:dyDescent="0.2">
      <c r="H29">
        <f t="shared" si="0"/>
        <v>-0.6000000000000002</v>
      </c>
      <c r="I29">
        <f t="shared" si="1"/>
        <v>0.33322460289179962</v>
      </c>
      <c r="J29">
        <f t="shared" si="5"/>
        <v>-8.3922445100138958E-3</v>
      </c>
      <c r="K29">
        <f t="shared" si="4"/>
        <v>4.9304436496331646E-3</v>
      </c>
      <c r="L29">
        <f t="shared" si="3"/>
        <v>1.305942374757792E-2</v>
      </c>
    </row>
    <row r="30" spans="8:16" outlineLevel="1" x14ac:dyDescent="0.2">
      <c r="H30">
        <f t="shared" si="0"/>
        <v>-0.62500000000000022</v>
      </c>
      <c r="I30">
        <f t="shared" si="1"/>
        <v>0.32816096855037502</v>
      </c>
      <c r="J30">
        <f t="shared" si="5"/>
        <v>-8.2673196430271892E-3</v>
      </c>
      <c r="K30">
        <f t="shared" si="4"/>
        <v>5.0637332813541552E-3</v>
      </c>
      <c r="L30">
        <f t="shared" si="3"/>
        <v>9.817818004584122E-3</v>
      </c>
    </row>
    <row r="31" spans="8:16" outlineLevel="1" x14ac:dyDescent="0.2">
      <c r="H31">
        <f t="shared" si="0"/>
        <v>-0.65000000000000024</v>
      </c>
      <c r="I31">
        <f t="shared" si="1"/>
        <v>0.32297235966791427</v>
      </c>
      <c r="J31">
        <f t="shared" si="5"/>
        <v>-8.1391666027286237E-3</v>
      </c>
      <c r="K31">
        <f t="shared" si="4"/>
        <v>5.1887187092394989E-3</v>
      </c>
      <c r="L31">
        <f t="shared" si="3"/>
        <v>7.0712615592146751E-3</v>
      </c>
    </row>
    <row r="32" spans="8:16" outlineLevel="1" x14ac:dyDescent="0.2">
      <c r="H32">
        <f t="shared" si="0"/>
        <v>-0.67500000000000027</v>
      </c>
      <c r="I32">
        <f t="shared" si="1"/>
        <v>0.31766718471514821</v>
      </c>
      <c r="J32">
        <f t="shared" si="5"/>
        <v>-8.0079943047882875E-3</v>
      </c>
      <c r="K32">
        <f t="shared" si="4"/>
        <v>5.3052962269222433E-3</v>
      </c>
      <c r="L32">
        <f t="shared" si="3"/>
        <v>4.8034324215248218E-3</v>
      </c>
    </row>
    <row r="33" spans="8:12" outlineLevel="1" x14ac:dyDescent="0.2">
      <c r="H33">
        <f t="shared" si="0"/>
        <v>-0.70000000000000029</v>
      </c>
      <c r="I33">
        <f t="shared" si="1"/>
        <v>0.31225393336676122</v>
      </c>
      <c r="J33">
        <f t="shared" si="5"/>
        <v>-7.8740139760238755E-3</v>
      </c>
      <c r="K33">
        <f t="shared" si="4"/>
        <v>5.4133846085164163E-3</v>
      </c>
      <c r="L33">
        <f t="shared" si="3"/>
        <v>2.9968862996494045E-3</v>
      </c>
    </row>
    <row r="34" spans="8:12" outlineLevel="1" x14ac:dyDescent="0.2">
      <c r="H34">
        <f t="shared" si="0"/>
        <v>-0.72500000000000031</v>
      </c>
      <c r="I34">
        <f t="shared" si="1"/>
        <v>0.30674115412823993</v>
      </c>
      <c r="J34">
        <f t="shared" si="5"/>
        <v>-7.737438593687522E-3</v>
      </c>
      <c r="K34">
        <f t="shared" si="4"/>
        <v>5.512924998002362E-3</v>
      </c>
      <c r="L34">
        <f t="shared" si="3"/>
        <v>1.6331598514964219E-3</v>
      </c>
    </row>
    <row r="35" spans="8:12" outlineLevel="1" x14ac:dyDescent="0.2">
      <c r="H35">
        <f t="shared" si="0"/>
        <v>-0.75000000000000033</v>
      </c>
      <c r="I35">
        <f t="shared" si="1"/>
        <v>0.30113743215480432</v>
      </c>
      <c r="J35">
        <f t="shared" si="5"/>
        <v>-7.5984823285380598E-3</v>
      </c>
      <c r="K35">
        <f t="shared" si="4"/>
        <v>5.6038807172968212E-3</v>
      </c>
      <c r="L35">
        <f t="shared" si="3"/>
        <v>6.928758653099266E-4</v>
      </c>
    </row>
    <row r="36" spans="8:12" outlineLevel="1" x14ac:dyDescent="0.2">
      <c r="H36">
        <f t="shared" si="0"/>
        <v>-0.77500000000000036</v>
      </c>
      <c r="I36">
        <f t="shared" si="1"/>
        <v>0.29545136734156291</v>
      </c>
      <c r="J36">
        <f t="shared" si="5"/>
        <v>-7.4573599937045971E-3</v>
      </c>
      <c r="K36">
        <f t="shared" si="4"/>
        <v>5.6862369951997584E-3</v>
      </c>
      <c r="L36">
        <f t="shared" si="3"/>
        <v>1.558497794643844E-4</v>
      </c>
    </row>
    <row r="37" spans="8:12" outlineLevel="1" x14ac:dyDescent="0.2">
      <c r="H37">
        <f t="shared" si="0"/>
        <v>-0.80000000000000038</v>
      </c>
      <c r="I37">
        <f t="shared" si="1"/>
        <v>0.28969155276148267</v>
      </c>
      <c r="J37">
        <f t="shared" si="5"/>
        <v>-7.3142865012880759E-3</v>
      </c>
      <c r="K37">
        <f t="shared" si="4"/>
        <v>5.7600006197643617E-3</v>
      </c>
      <c r="L37">
        <f t="shared" si="3"/>
        <v>1.1969582440930738E-6</v>
      </c>
    </row>
    <row r="38" spans="8:12" outlineLevel="1" x14ac:dyDescent="0.2">
      <c r="H38">
        <f t="shared" si="0"/>
        <v>-0.8250000000000004</v>
      </c>
      <c r="I38">
        <f t="shared" si="1"/>
        <v>0.28386655352488721</v>
      </c>
      <c r="J38">
        <f t="shared" si="5"/>
        <v>-7.1694763285796307E-3</v>
      </c>
      <c r="K38">
        <f t="shared" si="4"/>
        <v>5.8251995169709527E-3</v>
      </c>
      <c r="L38">
        <f t="shared" si="3"/>
        <v>2.0744015029724991E-4</v>
      </c>
    </row>
    <row r="39" spans="8:12" outlineLevel="1" x14ac:dyDescent="0.2">
      <c r="H39">
        <f t="shared" si="0"/>
        <v>-0.85000000000000042</v>
      </c>
      <c r="I39">
        <f t="shared" si="1"/>
        <v>0.27798488613099637</v>
      </c>
      <c r="J39">
        <f t="shared" si="5"/>
        <v>-7.023142995698551E-3</v>
      </c>
      <c r="K39">
        <f t="shared" si="4"/>
        <v>5.8818822588975386E-3</v>
      </c>
      <c r="L39">
        <f t="shared" si="3"/>
        <v>7.5261656978473329E-4</v>
      </c>
    </row>
    <row r="40" spans="8:12" outlineLevel="1" x14ac:dyDescent="0.2">
      <c r="H40">
        <f t="shared" si="0"/>
        <v>-0.87500000000000044</v>
      </c>
      <c r="I40">
        <f t="shared" si="1"/>
        <v>0.27205499837854341</v>
      </c>
      <c r="J40">
        <f t="shared" si="5"/>
        <v>-6.8754985563692535E-3</v>
      </c>
      <c r="K40">
        <f t="shared" si="4"/>
        <v>5.9301175048684842E-3</v>
      </c>
      <c r="L40">
        <f t="shared" si="3"/>
        <v>1.6143840567966869E-3</v>
      </c>
    </row>
    <row r="41" spans="8:12" outlineLevel="1" x14ac:dyDescent="0.2">
      <c r="H41">
        <f t="shared" si="0"/>
        <v>-0.90000000000000047</v>
      </c>
      <c r="I41">
        <f t="shared" si="1"/>
        <v>0.26608524989875476</v>
      </c>
      <c r="J41">
        <f t="shared" si="5"/>
        <v>-6.7267531034662324E-3</v>
      </c>
      <c r="K41">
        <f t="shared" si="4"/>
        <v>5.9699933793262838E-3</v>
      </c>
      <c r="L41">
        <f t="shared" si="3"/>
        <v>2.7701257931931626E-3</v>
      </c>
    </row>
    <row r="42" spans="8:12" outlineLevel="1" x14ac:dyDescent="0.2">
      <c r="H42">
        <f t="shared" si="0"/>
        <v>-0.92500000000000049</v>
      </c>
      <c r="I42">
        <f t="shared" si="1"/>
        <v>0.26008389336999554</v>
      </c>
      <c r="J42">
        <f t="shared" si="5"/>
        <v>-6.5771142908593845E-3</v>
      </c>
      <c r="K42">
        <f t="shared" si="4"/>
        <v>6.0016167904091916E-3</v>
      </c>
      <c r="L42">
        <f t="shared" si="3"/>
        <v>4.197053072427819E-3</v>
      </c>
    </row>
    <row r="43" spans="8:12" outlineLevel="1" x14ac:dyDescent="0.2">
      <c r="H43">
        <f t="shared" si="0"/>
        <v>-0.95000000000000051</v>
      </c>
      <c r="I43">
        <f t="shared" si="1"/>
        <v>0.25405905646918892</v>
      </c>
      <c r="J43">
        <f t="shared" si="5"/>
        <v>-6.4267868729898118E-3</v>
      </c>
      <c r="K43">
        <f t="shared" si="4"/>
        <v>6.0251126934279513E-3</v>
      </c>
      <c r="L43">
        <f t="shared" si="3"/>
        <v>5.8723056469092818E-3</v>
      </c>
    </row>
    <row r="44" spans="8:12" outlineLevel="1" x14ac:dyDescent="0.2">
      <c r="H44">
        <f t="shared" si="0"/>
        <v>-0.97500000000000053</v>
      </c>
      <c r="I44">
        <f t="shared" si="1"/>
        <v>0.24801872461073701</v>
      </c>
      <c r="J44">
        <f t="shared" si="5"/>
        <v>-6.2759722634990796E-3</v>
      </c>
      <c r="K44">
        <f t="shared" si="4"/>
        <v>6.040623303617868E-3</v>
      </c>
      <c r="L44">
        <f t="shared" si="3"/>
        <v>7.7730492038026507E-3</v>
      </c>
    </row>
    <row r="45" spans="8:12" outlineLevel="1" x14ac:dyDescent="0.2">
      <c r="H45">
        <f t="shared" si="0"/>
        <v>-1.0000000000000004</v>
      </c>
      <c r="I45">
        <f t="shared" si="1"/>
        <v>0.24197072451914328</v>
      </c>
      <c r="J45">
        <f t="shared" si="5"/>
        <v>-6.1248681141234818E-3</v>
      </c>
      <c r="K45">
        <f t="shared" si="4"/>
        <v>6.0483072626969416E-3</v>
      </c>
      <c r="L45">
        <f t="shared" si="3"/>
        <v>9.8765695496216763E-3</v>
      </c>
    </row>
    <row r="46" spans="8:12" outlineLevel="1" x14ac:dyDescent="0.2">
      <c r="H46">
        <f t="shared" si="0"/>
        <v>-1.0250000000000004</v>
      </c>
      <c r="I46">
        <f t="shared" si="1"/>
        <v>0.23592270867687243</v>
      </c>
      <c r="J46">
        <f t="shared" si="5"/>
        <v>-5.9736679149501757E-3</v>
      </c>
      <c r="K46">
        <f t="shared" si="4"/>
        <v>6.0483387638870555E-3</v>
      </c>
      <c r="L46">
        <f t="shared" si="3"/>
        <v>1.2160363115248951E-2</v>
      </c>
    </row>
    <row r="47" spans="8:12" outlineLevel="1" x14ac:dyDescent="0.2">
      <c r="H47">
        <f t="shared" si="0"/>
        <v>-1.0500000000000003</v>
      </c>
      <c r="I47">
        <f t="shared" si="1"/>
        <v>0.22988214068423296</v>
      </c>
      <c r="J47">
        <f t="shared" si="5"/>
        <v>-5.8225606170137969E-3</v>
      </c>
      <c r="K47">
        <f t="shared" si="4"/>
        <v>6.0409066401518165E-3</v>
      </c>
      <c r="L47">
        <f t="shared" si="3"/>
        <v>1.4602223425878783E-2</v>
      </c>
    </row>
    <row r="48" spans="8:12" outlineLevel="1" x14ac:dyDescent="0.2">
      <c r="H48">
        <f t="shared" si="0"/>
        <v>-1.0750000000000002</v>
      </c>
      <c r="I48">
        <f t="shared" si="1"/>
        <v>0.22385628156323945</v>
      </c>
      <c r="J48">
        <f t="shared" si="5"/>
        <v>-5.671730278093385E-3</v>
      </c>
      <c r="K48">
        <f t="shared" si="4"/>
        <v>6.026213420474223E-3</v>
      </c>
      <c r="L48">
        <f t="shared" si="3"/>
        <v>1.7180323214532649E-2</v>
      </c>
    </row>
    <row r="49" spans="8:12" outlineLevel="1" x14ac:dyDescent="0.2">
      <c r="H49">
        <f t="shared" si="0"/>
        <v>-1.1000000000000001</v>
      </c>
      <c r="I49">
        <f t="shared" si="1"/>
        <v>0.21785217703255053</v>
      </c>
      <c r="J49">
        <f t="shared" si="5"/>
        <v>-5.5213557324473557E-3</v>
      </c>
      <c r="K49">
        <f t="shared" si="4"/>
        <v>6.0044743590365003E-3</v>
      </c>
      <c r="L49">
        <f t="shared" si="3"/>
        <v>1.9873291892975556E-2</v>
      </c>
    </row>
    <row r="50" spans="8:12" outlineLevel="1" x14ac:dyDescent="0.2">
      <c r="H50">
        <f t="shared" si="0"/>
        <v>-1.125</v>
      </c>
      <c r="I50">
        <f t="shared" si="1"/>
        <v>0.21187664577569948</v>
      </c>
      <c r="J50">
        <f t="shared" si="5"/>
        <v>-5.3716102851031058E-3</v>
      </c>
      <c r="K50">
        <f t="shared" si="4"/>
        <v>5.9759164421772058E-3</v>
      </c>
      <c r="L50">
        <f t="shared" si="3"/>
        <v>2.2660288129787928E-2</v>
      </c>
    </row>
    <row r="51" spans="8:12" outlineLevel="1" x14ac:dyDescent="0.2">
      <c r="H51">
        <f t="shared" si="0"/>
        <v>-1.1499999999999999</v>
      </c>
      <c r="I51">
        <f t="shared" si="1"/>
        <v>0.20593626871997478</v>
      </c>
      <c r="J51">
        <f t="shared" si="5"/>
        <v>-5.2226614311959097E-3</v>
      </c>
      <c r="K51">
        <f t="shared" si="4"/>
        <v>5.9407773779853474E-3</v>
      </c>
      <c r="L51">
        <f t="shared" si="3"/>
        <v>2.552106732175069E-2</v>
      </c>
    </row>
    <row r="52" spans="8:12" outlineLevel="1" x14ac:dyDescent="0.2">
      <c r="H52">
        <f t="shared" si="0"/>
        <v>-1.1749999999999998</v>
      </c>
      <c r="I52">
        <f t="shared" si="1"/>
        <v>0.20003737933848778</v>
      </c>
      <c r="J52">
        <f t="shared" si="5"/>
        <v>-5.0746706007307645E-3</v>
      </c>
      <c r="K52">
        <f t="shared" si="4"/>
        <v>5.899304573349513E-3</v>
      </c>
      <c r="L52">
        <f t="shared" si="3"/>
        <v>2.8436043781311968E-2</v>
      </c>
    </row>
    <row r="53" spans="8:12" outlineLevel="1" x14ac:dyDescent="0.2">
      <c r="H53">
        <f t="shared" si="0"/>
        <v>-1.1999999999999997</v>
      </c>
      <c r="I53">
        <f t="shared" si="1"/>
        <v>0.19418605498321304</v>
      </c>
      <c r="J53">
        <f t="shared" si="5"/>
        <v>-4.927792929021243E-3</v>
      </c>
      <c r="K53">
        <f t="shared" si="4"/>
        <v>5.8517541032127246E-3</v>
      </c>
      <c r="L53">
        <f t="shared" si="3"/>
        <v>3.1386347499462071E-2</v>
      </c>
    </row>
    <row r="54" spans="8:12" outlineLevel="1" x14ac:dyDescent="0.2">
      <c r="H54">
        <f t="shared" si="0"/>
        <v>-1.2249999999999996</v>
      </c>
      <c r="I54">
        <f t="shared" si="1"/>
        <v>0.1883881092521264</v>
      </c>
      <c r="J54">
        <f t="shared" si="5"/>
        <v>-4.782177052941726E-3</v>
      </c>
      <c r="K54">
        <f t="shared" si="4"/>
        <v>5.7983896766918416E-3</v>
      </c>
      <c r="L54">
        <f t="shared" si="3"/>
        <v>3.435387537959611E-2</v>
      </c>
    </row>
    <row r="55" spans="8:12" outlineLevel="1" x14ac:dyDescent="0.2">
      <c r="H55">
        <f t="shared" si="0"/>
        <v>-1.2499999999999996</v>
      </c>
      <c r="I55">
        <f t="shared" si="1"/>
        <v>0.182649085389022</v>
      </c>
      <c r="J55">
        <f t="shared" si="5"/>
        <v>-4.6379649330143382E-3</v>
      </c>
      <c r="K55">
        <f t="shared" si="4"/>
        <v>5.739481604605242E-3</v>
      </c>
      <c r="L55">
        <f t="shared" si="3"/>
        <v>3.7321336873648574E-2</v>
      </c>
    </row>
    <row r="56" spans="8:12" outlineLevel="1" x14ac:dyDescent="0.2">
      <c r="H56">
        <f t="shared" si="0"/>
        <v>-1.2749999999999995</v>
      </c>
      <c r="I56">
        <f t="shared" si="1"/>
        <v>0.17697425071017983</v>
      </c>
      <c r="J56">
        <f t="shared" si="5"/>
        <v>-4.4952917012400073E-3</v>
      </c>
      <c r="K56">
        <f t="shared" si="4"/>
        <v>5.6753057728155072E-3</v>
      </c>
      <c r="L56">
        <f t="shared" si="3"/>
        <v>4.0272293986710464E-2</v>
      </c>
    </row>
    <row r="57" spans="8:12" outlineLevel="1" x14ac:dyDescent="0.2">
      <c r="H57">
        <f t="shared" si="0"/>
        <v>-1.2999999999999994</v>
      </c>
      <c r="I57">
        <f t="shared" si="1"/>
        <v>0.17136859204780749</v>
      </c>
      <c r="J57">
        <f t="shared" si="5"/>
        <v>-4.3542855344748258E-3</v>
      </c>
      <c r="K57">
        <f t="shared" si="4"/>
        <v>5.6061426256363359E-3</v>
      </c>
      <c r="L57">
        <f t="shared" si="3"/>
        <v>4.3191195650271567E-2</v>
      </c>
    </row>
    <row r="58" spans="8:12" outlineLevel="1" x14ac:dyDescent="0.2">
      <c r="H58">
        <f t="shared" si="0"/>
        <v>-1.3249999999999993</v>
      </c>
      <c r="I58">
        <f t="shared" si="1"/>
        <v>0.16583681219610488</v>
      </c>
      <c r="J58">
        <f t="shared" si="5"/>
        <v>-4.21506755304889E-3</v>
      </c>
      <c r="K58">
        <f t="shared" si="4"/>
        <v>5.5322761633766655E-3</v>
      </c>
      <c r="L58">
        <f t="shared" si="3"/>
        <v>4.6063406496964374E-2</v>
      </c>
    </row>
    <row r="59" spans="8:12" outlineLevel="1" x14ac:dyDescent="0.2">
      <c r="H59">
        <f t="shared" si="0"/>
        <v>-1.3499999999999992</v>
      </c>
      <c r="I59">
        <f t="shared" si="1"/>
        <v>0.16038332734191976</v>
      </c>
      <c r="J59">
        <f t="shared" si="5"/>
        <v>-4.0777517442252935E-3</v>
      </c>
      <c r="K59">
        <f t="shared" si="4"/>
        <v>5.4539929579013272E-3</v>
      </c>
      <c r="L59">
        <f t="shared" si="3"/>
        <v>4.8875230101036671E-2</v>
      </c>
    </row>
    <row r="60" spans="8:12" outlineLevel="1" x14ac:dyDescent="0.2">
      <c r="H60">
        <f t="shared" si="0"/>
        <v>-1.3749999999999991</v>
      </c>
      <c r="I60">
        <f t="shared" si="1"/>
        <v>0.15501226545829339</v>
      </c>
      <c r="J60">
        <f t="shared" si="5"/>
        <v>-3.9424449100026503E-3</v>
      </c>
      <c r="K60">
        <f t="shared" si="4"/>
        <v>5.3715811898786079E-3</v>
      </c>
      <c r="L60">
        <f t="shared" si="3"/>
        <v>5.1613926778578213E-2</v>
      </c>
    </row>
    <row r="61" spans="8:12" outlineLevel="1" x14ac:dyDescent="0.2">
      <c r="H61">
        <f t="shared" si="0"/>
        <v>-1.399999999999999</v>
      </c>
      <c r="I61">
        <f t="shared" si="1"/>
        <v>0.14972746563574507</v>
      </c>
      <c r="J61">
        <f t="shared" si="5"/>
        <v>-3.8092466386754672E-3</v>
      </c>
      <c r="K61">
        <f t="shared" si="4"/>
        <v>5.2853297111622073E-3</v>
      </c>
      <c r="L61">
        <f t="shared" si="3"/>
        <v>5.4267726069619458E-2</v>
      </c>
    </row>
    <row r="62" spans="8:12" outlineLevel="1" x14ac:dyDescent="0.2">
      <c r="H62">
        <f t="shared" si="0"/>
        <v>-1.4249999999999989</v>
      </c>
      <c r="I62">
        <f t="shared" si="1"/>
        <v>0.14453247832293309</v>
      </c>
      <c r="J62">
        <f t="shared" si="5"/>
        <v>-3.6782492994834638E-3</v>
      </c>
      <c r="K62">
        <f t="shared" si="4"/>
        <v>5.1955271355203893E-3</v>
      </c>
      <c r="L62">
        <f t="shared" si="3"/>
        <v>5.6825834050476864E-2</v>
      </c>
    </row>
    <row r="63" spans="8:12" outlineLevel="1" x14ac:dyDescent="0.2">
      <c r="H63">
        <f t="shared" si="0"/>
        <v>-1.4499999999999988</v>
      </c>
      <c r="I63">
        <f t="shared" si="1"/>
        <v>0.13943056644536053</v>
      </c>
      <c r="J63">
        <f t="shared" si="5"/>
        <v>-3.5495380596036572E-3</v>
      </c>
      <c r="K63">
        <f t="shared" si="4"/>
        <v>5.1024609606802529E-3</v>
      </c>
      <c r="L63">
        <f t="shared" si="3"/>
        <v>5.9278435649021702E-2</v>
      </c>
    </row>
    <row r="64" spans="8:12" outlineLevel="1" x14ac:dyDescent="0.2">
      <c r="H64">
        <f t="shared" si="0"/>
        <v>-1.4749999999999988</v>
      </c>
      <c r="I64">
        <f t="shared" si="1"/>
        <v>0.13442470736807935</v>
      </c>
      <c r="J64">
        <f t="shared" si="5"/>
        <v>-3.4231909226679863E-3</v>
      </c>
      <c r="K64">
        <f t="shared" si="4"/>
        <v>5.0064167244019261E-3</v>
      </c>
      <c r="L64">
        <f t="shared" si="3"/>
        <v>6.1616692157805332E-2</v>
      </c>
    </row>
    <row r="65" spans="8:12" outlineLevel="1" x14ac:dyDescent="0.2">
      <c r="H65">
        <f t="shared" si="0"/>
        <v>-1.4999999999999987</v>
      </c>
      <c r="I65">
        <f t="shared" si="1"/>
        <v>0.12951759566589199</v>
      </c>
      <c r="J65">
        <f t="shared" si="5"/>
        <v>-3.2992787879246306E-3</v>
      </c>
      <c r="K65">
        <f t="shared" si="4"/>
        <v>4.9076771970378835E-3</v>
      </c>
      <c r="L65">
        <f t="shared" si="3"/>
        <v>6.3832734160104904E-2</v>
      </c>
    </row>
    <row r="66" spans="8:12" outlineLevel="1" x14ac:dyDescent="0.2">
      <c r="H66">
        <f t="shared" si="0"/>
        <v>-1.5249999999999986</v>
      </c>
      <c r="I66">
        <f t="shared" si="1"/>
        <v>0.12471164666235747</v>
      </c>
      <c r="J66">
        <f t="shared" si="5"/>
        <v>-3.177865529103107E-3</v>
      </c>
      <c r="K66">
        <f t="shared" si="4"/>
        <v>4.8065216127684447E-3</v>
      </c>
      <c r="L66">
        <f t="shared" si="3"/>
        <v>6.5919650101902497E-2</v>
      </c>
    </row>
    <row r="67" spans="8:12" outlineLevel="1" x14ac:dyDescent="0.2">
      <c r="H67">
        <f t="shared" si="0"/>
        <v>-1.5499999999999985</v>
      </c>
      <c r="I67">
        <f t="shared" si="1"/>
        <v>0.12000900069698586</v>
      </c>
      <c r="J67">
        <f t="shared" si="5"/>
        <v>-3.0590080919917812E-3</v>
      </c>
      <c r="K67">
        <f t="shared" si="4"/>
        <v>4.7032249414373593E-3</v>
      </c>
      <c r="L67">
        <f t="shared" si="3"/>
        <v>6.7871470758539665E-2</v>
      </c>
    </row>
    <row r="68" spans="8:12" outlineLevel="1" x14ac:dyDescent="0.2">
      <c r="H68">
        <f t="shared" si="0"/>
        <v>-1.5749999999999984</v>
      </c>
      <c r="I68">
        <f t="shared" si="1"/>
        <v>0.11541152807835028</v>
      </c>
      <c r="J68">
        <f t="shared" si="5"/>
        <v>-2.9427566096916912E-3</v>
      </c>
      <c r="K68">
        <f t="shared" si="4"/>
        <v>4.5980572026432633E-3</v>
      </c>
      <c r="L68">
        <f t="shared" si="3"/>
        <v>6.9683149858276949E-2</v>
      </c>
    </row>
    <row r="69" spans="8:12" outlineLevel="1" x14ac:dyDescent="0.2">
      <c r="H69">
        <f t="shared" si="0"/>
        <v>-1.5999999999999983</v>
      </c>
      <c r="I69">
        <f t="shared" si="1"/>
        <v>0.11092083467945585</v>
      </c>
      <c r="J69">
        <f t="shared" si="5"/>
        <v>-2.8291545344725664E-3</v>
      </c>
      <c r="K69">
        <f t="shared" si="4"/>
        <v>4.4912828234751944E-3</v>
      </c>
      <c r="L69">
        <f t="shared" si="3"/>
        <v>7.1350541136231863E-2</v>
      </c>
    </row>
    <row r="70" spans="8:12" outlineLevel="1" x14ac:dyDescent="0.2">
      <c r="H70">
        <f t="shared" ref="H70:H133" si="6">H69+$G$5</f>
        <v>-1.6249999999999982</v>
      </c>
      <c r="I70">
        <f t="shared" ref="I70:I133" si="7">(1/($G$7*SQRTPI(2)))*EXP(-0.5*((H70-$G$6)/$G$7)^2)</f>
        <v>0.10653826813058538</v>
      </c>
      <c r="J70">
        <f t="shared" si="5"/>
        <v>-2.7182387851255054E-3</v>
      </c>
      <c r="K70">
        <f t="shared" ref="K70:K124" si="8">AVERAGE(I69:I70)*(H70-H69)*(H70+H69)/2</f>
        <v>4.3831600410148726E-3</v>
      </c>
      <c r="L70">
        <f t="shared" si="3"/>
        <v>7.2870372101183856E-2</v>
      </c>
    </row>
    <row r="71" spans="8:12" outlineLevel="1" x14ac:dyDescent="0.2">
      <c r="H71">
        <f t="shared" si="6"/>
        <v>-1.6499999999999981</v>
      </c>
      <c r="I71">
        <f t="shared" si="7"/>
        <v>0.10226492456397832</v>
      </c>
      <c r="J71">
        <f t="shared" ref="J71:J124" si="9">AVERAGE(I70:I71)*(H71-H70)</f>
        <v>-2.6100399086820369E-3</v>
      </c>
      <c r="K71">
        <f t="shared" si="8"/>
        <v>4.2739403504668304E-3</v>
      </c>
      <c r="L71">
        <f t="shared" ref="L71:L134" si="10">($B$7-H71)^2*I71</f>
        <v>7.424021480455005E-2</v>
      </c>
    </row>
    <row r="72" spans="8:12" outlineLevel="1" x14ac:dyDescent="0.2">
      <c r="H72">
        <f t="shared" si="6"/>
        <v>-1.674999999999998</v>
      </c>
      <c r="I72">
        <f t="shared" si="7"/>
        <v>9.8101655864098136E-2</v>
      </c>
      <c r="J72">
        <f t="shared" si="9"/>
        <v>-2.5045822553509465E-3</v>
      </c>
      <c r="K72">
        <f t="shared" si="8"/>
        <v>4.1638679995209442E-3</v>
      </c>
      <c r="L72">
        <f t="shared" si="10"/>
        <v>7.5458453905500364E-2</v>
      </c>
    </row>
    <row r="73" spans="8:12" outlineLevel="1" x14ac:dyDescent="0.2">
      <c r="H73">
        <f t="shared" si="6"/>
        <v>-1.699999999999998</v>
      </c>
      <c r="I73">
        <f t="shared" si="7"/>
        <v>9.4049077376887252E-2</v>
      </c>
      <c r="J73">
        <f t="shared" si="9"/>
        <v>-2.4018841655123087E-3</v>
      </c>
      <c r="K73">
        <f t="shared" si="8"/>
        <v>4.0531795293020159E-3</v>
      </c>
      <c r="L73">
        <f t="shared" si="10"/>
        <v>7.6524252328750403E-2</v>
      </c>
    </row>
    <row r="74" spans="8:12" outlineLevel="1" x14ac:dyDescent="0.2">
      <c r="H74">
        <f t="shared" si="6"/>
        <v>-1.7249999999999979</v>
      </c>
      <c r="I74">
        <f t="shared" si="7"/>
        <v>9.0107576031298431E-2</v>
      </c>
      <c r="J74">
        <f t="shared" si="9"/>
        <v>-2.3019581676023129E-3</v>
      </c>
      <c r="K74">
        <f t="shared" si="8"/>
        <v>3.9421033620189562E-3</v>
      </c>
      <c r="L74">
        <f t="shared" si="10"/>
        <v>7.7437514812124283E-2</v>
      </c>
    </row>
    <row r="75" spans="8:12" outlineLevel="1" x14ac:dyDescent="0.2">
      <c r="H75">
        <f t="shared" si="6"/>
        <v>-1.7499999999999978</v>
      </c>
      <c r="I75">
        <f t="shared" si="7"/>
        <v>8.6277318826511851E-2</v>
      </c>
      <c r="J75">
        <f t="shared" si="9"/>
        <v>-2.2048111857226205E-3</v>
      </c>
      <c r="K75">
        <f t="shared" si="8"/>
        <v>3.8308594351930485E-3</v>
      </c>
      <c r="L75">
        <f t="shared" si="10"/>
        <v>7.8198849639598791E-2</v>
      </c>
    </row>
    <row r="76" spans="8:12" outlineLevel="1" x14ac:dyDescent="0.2">
      <c r="H76">
        <f t="shared" si="6"/>
        <v>-1.7749999999999977</v>
      </c>
      <c r="I76">
        <f t="shared" si="7"/>
        <v>8.2558261638591951E-2</v>
      </c>
      <c r="J76">
        <f t="shared" si="9"/>
        <v>-2.11044475581379E-3</v>
      </c>
      <c r="K76">
        <f t="shared" si="8"/>
        <v>3.7196588821217999E-3</v>
      </c>
      <c r="L76">
        <f t="shared" si="10"/>
        <v>7.8809528852323271E-2</v>
      </c>
    </row>
    <row r="77" spans="8:12" outlineLevel="1" x14ac:dyDescent="0.2">
      <c r="H77">
        <f t="shared" si="6"/>
        <v>-1.7999999999999976</v>
      </c>
      <c r="I77">
        <f t="shared" si="7"/>
        <v>7.895015830089451E-2</v>
      </c>
      <c r="J77">
        <f t="shared" si="9"/>
        <v>-2.0188552492435732E-3</v>
      </c>
      <c r="K77">
        <f t="shared" si="8"/>
        <v>3.6087037580228823E-3</v>
      </c>
      <c r="L77">
        <f t="shared" si="10"/>
        <v>7.927144722516305E-2</v>
      </c>
    </row>
    <row r="78" spans="8:12" outlineLevel="1" x14ac:dyDescent="0.2">
      <c r="H78">
        <f t="shared" si="6"/>
        <v>-1.8249999999999975</v>
      </c>
      <c r="I78">
        <f t="shared" si="7"/>
        <v>7.5452569913290551E-2</v>
      </c>
      <c r="J78">
        <f t="shared" si="9"/>
        <v>-1.9300341026773063E-3</v>
      </c>
      <c r="K78">
        <f t="shared" si="8"/>
        <v>3.4981868111026129E-3</v>
      </c>
      <c r="L78">
        <f t="shared" si="10"/>
        <v>7.9587080289750561E-2</v>
      </c>
    </row>
    <row r="79" spans="8:12" outlineLevel="1" x14ac:dyDescent="0.2">
      <c r="H79">
        <f t="shared" si="6"/>
        <v>-1.8499999999999974</v>
      </c>
      <c r="I79">
        <f t="shared" si="7"/>
        <v>7.2064874336218332E-2</v>
      </c>
      <c r="J79">
        <f t="shared" si="9"/>
        <v>-1.8439680531188544E-3</v>
      </c>
      <c r="K79">
        <f t="shared" si="8"/>
        <v>3.3882912976058903E-3</v>
      </c>
      <c r="L79">
        <f t="shared" si="10"/>
        <v>7.9759441676970952E-2</v>
      </c>
    </row>
    <row r="80" spans="8:12" outlineLevel="1" x14ac:dyDescent="0.2">
      <c r="H80">
        <f t="shared" si="6"/>
        <v>-1.8749999999999973</v>
      </c>
      <c r="I80">
        <f t="shared" si="7"/>
        <v>6.8786275826692236E-2</v>
      </c>
      <c r="J80">
        <f t="shared" si="9"/>
        <v>-1.7606393770363757E-3</v>
      </c>
      <c r="K80">
        <f t="shared" si="8"/>
        <v>3.2791908397302449E-3</v>
      </c>
      <c r="L80">
        <f t="shared" si="10"/>
        <v>7.9792040042383716E-2</v>
      </c>
    </row>
    <row r="81" spans="8:12" outlineLevel="1" x14ac:dyDescent="0.2">
      <c r="H81">
        <f t="shared" si="6"/>
        <v>-1.8999999999999972</v>
      </c>
      <c r="I81">
        <f t="shared" si="7"/>
        <v>6.5615814774676942E-2</v>
      </c>
      <c r="J81">
        <f t="shared" si="9"/>
        <v>-1.6800261325171087E-3</v>
      </c>
      <c r="K81">
        <f t="shared" si="8"/>
        <v>3.1710493251260381E-3</v>
      </c>
      <c r="L81">
        <f t="shared" si="10"/>
        <v>7.9688835827419868E-2</v>
      </c>
    </row>
    <row r="82" spans="8:12" outlineLevel="1" x14ac:dyDescent="0.2">
      <c r="H82">
        <f t="shared" si="6"/>
        <v>-1.9249999999999972</v>
      </c>
      <c r="I82">
        <f t="shared" si="7"/>
        <v>6.2552377499660333E-2</v>
      </c>
      <c r="J82">
        <f t="shared" si="9"/>
        <v>-1.6021024034292104E-3</v>
      </c>
      <c r="K82">
        <f t="shared" si="8"/>
        <v>3.0640208465583605E-3</v>
      </c>
      <c r="L82">
        <f t="shared" si="10"/>
        <v>7.9454198097431913E-2</v>
      </c>
    </row>
    <row r="83" spans="8:12" outlineLevel="1" x14ac:dyDescent="0.2">
      <c r="H83">
        <f t="shared" si="6"/>
        <v>-1.9499999999999971</v>
      </c>
      <c r="I83">
        <f t="shared" si="7"/>
        <v>5.9594706068816408E-2</v>
      </c>
      <c r="J83">
        <f t="shared" si="9"/>
        <v>-1.5268385446059538E-3</v>
      </c>
      <c r="K83">
        <f t="shared" si="8"/>
        <v>2.9582496801740313E-3</v>
      </c>
      <c r="L83">
        <f t="shared" si="10"/>
        <v>7.9092861684944976E-2</v>
      </c>
    </row>
    <row r="84" spans="8:12" outlineLevel="1" x14ac:dyDescent="0.2">
      <c r="H84">
        <f t="shared" si="6"/>
        <v>-1.974999999999997</v>
      </c>
      <c r="I84">
        <f t="shared" si="7"/>
        <v>5.674140809982435E-2</v>
      </c>
      <c r="J84">
        <f t="shared" si="9"/>
        <v>-1.4542014271080044E-3</v>
      </c>
      <c r="K84">
        <f t="shared" si="8"/>
        <v>2.8538703006994542E-3</v>
      </c>
      <c r="L84">
        <f t="shared" si="10"/>
        <v>7.8609884852900394E-2</v>
      </c>
    </row>
    <row r="85" spans="8:12" outlineLevel="1" x14ac:dyDescent="0.2">
      <c r="H85">
        <f t="shared" si="6"/>
        <v>-1.9999999999999969</v>
      </c>
      <c r="I85">
        <f t="shared" si="7"/>
        <v>5.3990966513188389E-2</v>
      </c>
      <c r="J85">
        <f t="shared" si="9"/>
        <v>-1.3841546826626543E-3</v>
      </c>
      <c r="K85">
        <f t="shared" si="8"/>
        <v>2.7510074317920212E-3</v>
      </c>
      <c r="L85">
        <f t="shared" si="10"/>
        <v>7.8010607678435304E-2</v>
      </c>
    </row>
    <row r="86" spans="8:12" outlineLevel="1" x14ac:dyDescent="0.2">
      <c r="H86">
        <f t="shared" si="6"/>
        <v>-2.0249999999999968</v>
      </c>
      <c r="I86">
        <f t="shared" si="7"/>
        <v>5.1341749200769796E-2</v>
      </c>
      <c r="J86">
        <f t="shared" si="9"/>
        <v>-1.3166589464244727E-3</v>
      </c>
      <c r="K86">
        <f t="shared" si="8"/>
        <v>2.6497761296792469E-3</v>
      </c>
      <c r="L86">
        <f t="shared" si="10"/>
        <v>7.7300611342935616E-2</v>
      </c>
    </row>
    <row r="87" spans="8:12" outlineLevel="1" x14ac:dyDescent="0.2">
      <c r="H87">
        <f t="shared" si="6"/>
        <v>-2.0499999999999967</v>
      </c>
      <c r="I87">
        <f t="shared" si="7"/>
        <v>4.8792018579183097E-2</v>
      </c>
      <c r="J87">
        <f t="shared" si="9"/>
        <v>-1.2516720972494068E-3</v>
      </c>
      <c r="K87">
        <f t="shared" si="8"/>
        <v>2.5502818981456626E-3</v>
      </c>
      <c r="L87">
        <f t="shared" si="10"/>
        <v>7.6485678498870419E-2</v>
      </c>
    </row>
    <row r="88" spans="8:12" outlineLevel="1" x14ac:dyDescent="0.2">
      <c r="H88">
        <f t="shared" si="6"/>
        <v>-2.0749999999999966</v>
      </c>
      <c r="I88">
        <f t="shared" si="7"/>
        <v>4.6339940998709563E-2</v>
      </c>
      <c r="J88">
        <f t="shared" si="9"/>
        <v>-1.1891494947236542E-3</v>
      </c>
      <c r="K88">
        <f t="shared" si="8"/>
        <v>2.4526208328675327E-3</v>
      </c>
      <c r="L88">
        <f t="shared" si="10"/>
        <v>7.5571754868389435E-2</v>
      </c>
    </row>
    <row r="89" spans="8:12" outlineLevel="1" x14ac:dyDescent="0.2">
      <c r="H89">
        <f t="shared" si="6"/>
        <v>-2.0999999999999965</v>
      </c>
      <c r="I89">
        <f t="shared" si="7"/>
        <v>4.3983595980427524E-2</v>
      </c>
      <c r="J89">
        <f t="shared" si="9"/>
        <v>-1.1290442122392096E-3</v>
      </c>
      <c r="K89">
        <f t="shared" si="8"/>
        <v>2.3568797930493463E-3</v>
      </c>
      <c r="L89">
        <f t="shared" si="10"/>
        <v>7.4564912212968015E-2</v>
      </c>
    </row>
    <row r="90" spans="8:12" outlineLevel="1" x14ac:dyDescent="0.2">
      <c r="H90">
        <f t="shared" si="6"/>
        <v>-2.1249999999999964</v>
      </c>
      <c r="I90">
        <f t="shared" si="7"/>
        <v>4.1720985256338924E-2</v>
      </c>
      <c r="J90">
        <f t="shared" si="9"/>
        <v>-1.0713072654595767E-3</v>
      </c>
      <c r="K90">
        <f t="shared" si="8"/>
        <v>2.2631365982833519E-3</v>
      </c>
      <c r="L90">
        <f t="shared" si="10"/>
        <v>7.3471312797634539E-2</v>
      </c>
    </row>
    <row r="91" spans="8:12" outlineLevel="1" x14ac:dyDescent="0.2">
      <c r="H91">
        <f t="shared" si="6"/>
        <v>-2.1499999999999964</v>
      </c>
      <c r="I91">
        <f t="shared" si="7"/>
        <v>3.9550041589370519E-2</v>
      </c>
      <c r="J91">
        <f t="shared" si="9"/>
        <v>-1.0158878355713645E-3</v>
      </c>
      <c r="K91">
        <f t="shared" si="8"/>
        <v>2.1714602485337882E-3</v>
      </c>
      <c r="L91">
        <f t="shared" si="10"/>
        <v>7.22971754576264E-2</v>
      </c>
    </row>
    <row r="92" spans="8:12" outlineLevel="1" x14ac:dyDescent="0.2">
      <c r="H92">
        <f t="shared" si="6"/>
        <v>-2.1749999999999963</v>
      </c>
      <c r="I92">
        <f t="shared" si="7"/>
        <v>3.7468637352234081E-2</v>
      </c>
      <c r="J92">
        <f t="shared" si="9"/>
        <v>-9.6273348677005418E-4</v>
      </c>
      <c r="K92">
        <f t="shared" si="8"/>
        <v>2.0819111651402384E-3</v>
      </c>
      <c r="L92">
        <f t="shared" si="10"/>
        <v>7.1048743359798494E-2</v>
      </c>
    </row>
    <row r="93" spans="8:12" outlineLevel="1" x14ac:dyDescent="0.2">
      <c r="H93">
        <f t="shared" si="6"/>
        <v>-2.1999999999999962</v>
      </c>
      <c r="I93">
        <f t="shared" si="7"/>
        <v>3.5474592846231737E-2</v>
      </c>
      <c r="J93">
        <f t="shared" si="9"/>
        <v>-9.117903774808196E-4</v>
      </c>
      <c r="K93">
        <f t="shared" si="8"/>
        <v>1.9945414507392895E-3</v>
      </c>
      <c r="L93">
        <f t="shared" si="10"/>
        <v>6.9732253535855007E-2</v>
      </c>
    </row>
    <row r="94" spans="8:12" outlineLevel="1" x14ac:dyDescent="0.2">
      <c r="H94">
        <f t="shared" si="6"/>
        <v>-2.2249999999999961</v>
      </c>
      <c r="I94">
        <f t="shared" si="7"/>
        <v>3.3565684343177839E-2</v>
      </c>
      <c r="J94">
        <f t="shared" si="9"/>
        <v>-8.6300346486761672E-4</v>
      </c>
      <c r="K94">
        <f t="shared" si="8"/>
        <v>1.9093951660195984E-3</v>
      </c>
      <c r="L94">
        <f t="shared" si="10"/>
        <v>6.8353908249579556E-2</v>
      </c>
    </row>
    <row r="95" spans="8:12" outlineLevel="1" x14ac:dyDescent="0.2">
      <c r="H95">
        <f t="shared" si="6"/>
        <v>-2.249999999999996</v>
      </c>
      <c r="I95">
        <f t="shared" si="7"/>
        <v>3.1739651835667702E-2</v>
      </c>
      <c r="J95">
        <f t="shared" si="9"/>
        <v>-8.1631670223556634E-4</v>
      </c>
      <c r="K95">
        <f t="shared" si="8"/>
        <v>1.8265086212520766E-3</v>
      </c>
      <c r="L95">
        <f t="shared" si="10"/>
        <v>6.6919848245788047E-2</v>
      </c>
    </row>
    <row r="96" spans="8:12" outlineLevel="1" x14ac:dyDescent="0.2">
      <c r="H96">
        <f t="shared" si="6"/>
        <v>-2.2749999999999959</v>
      </c>
      <c r="I96">
        <f t="shared" si="7"/>
        <v>2.9994206482945578E-2</v>
      </c>
      <c r="J96">
        <f t="shared" si="9"/>
        <v>-7.7167322898266319E-4</v>
      </c>
      <c r="K96">
        <f t="shared" si="8"/>
        <v>1.7459106805732723E-3</v>
      </c>
      <c r="L96">
        <f t="shared" si="10"/>
        <v>6.5436127914796735E-2</v>
      </c>
    </row>
    <row r="97" spans="1:12" outlineLevel="1" x14ac:dyDescent="0.2">
      <c r="H97">
        <f t="shared" si="6"/>
        <v>-2.2999999999999958</v>
      </c>
      <c r="I97">
        <f t="shared" si="7"/>
        <v>2.8327037741601453E-2</v>
      </c>
      <c r="J97">
        <f t="shared" si="9"/>
        <v>-7.2901555280683531E-4</v>
      </c>
      <c r="K97">
        <f t="shared" si="8"/>
        <v>1.6676230770456329E-3</v>
      </c>
      <c r="L97">
        <f t="shared" si="10"/>
        <v>6.390869239285582E-2</v>
      </c>
    </row>
    <row r="98" spans="1:12" outlineLevel="1" x14ac:dyDescent="0.2">
      <c r="H98">
        <f t="shared" si="6"/>
        <v>-2.3249999999999957</v>
      </c>
      <c r="I98">
        <f t="shared" si="7"/>
        <v>2.6735820172248501E-2</v>
      </c>
      <c r="J98">
        <f t="shared" si="9"/>
        <v>-6.8828572392312193E-4</v>
      </c>
      <c r="K98">
        <f t="shared" si="8"/>
        <v>1.5916607365722164E-3</v>
      </c>
      <c r="L98">
        <f t="shared" si="10"/>
        <v>6.2343356606301817E-2</v>
      </c>
    </row>
    <row r="99" spans="1:12" outlineLevel="1" x14ac:dyDescent="0.2">
      <c r="H99">
        <f t="shared" si="6"/>
        <v>-2.3499999999999956</v>
      </c>
      <c r="I99">
        <f t="shared" si="7"/>
        <v>2.5218219915194649E-2</v>
      </c>
      <c r="J99">
        <f t="shared" si="9"/>
        <v>-6.494255010930371E-4</v>
      </c>
      <c r="K99">
        <f t="shared" si="8"/>
        <v>1.5180321088049716E-3</v>
      </c>
      <c r="L99">
        <f t="shared" si="10"/>
        <v>6.0745786255187333E-2</v>
      </c>
    </row>
    <row r="100" spans="1:12" outlineLevel="1" x14ac:dyDescent="0.2">
      <c r="H100">
        <f t="shared" si="6"/>
        <v>-2.3749999999999956</v>
      </c>
      <c r="I100">
        <f t="shared" si="7"/>
        <v>2.3771900829914056E-2</v>
      </c>
      <c r="J100">
        <f t="shared" si="9"/>
        <v>-6.1237650931385669E-4</v>
      </c>
      <c r="K100">
        <f t="shared" si="8"/>
        <v>1.4467395032539837E-3</v>
      </c>
      <c r="L100">
        <f t="shared" si="10"/>
        <v>5.9121480720890705E-2</v>
      </c>
    </row>
    <row r="101" spans="1:12" outlineLevel="1" x14ac:dyDescent="0.2">
      <c r="H101">
        <f t="shared" si="6"/>
        <v>-2.3999999999999955</v>
      </c>
      <c r="I101">
        <f t="shared" si="7"/>
        <v>2.2394530294843142E-2</v>
      </c>
      <c r="J101">
        <f t="shared" si="9"/>
        <v>-5.7708038905946292E-4</v>
      </c>
      <c r="K101">
        <f t="shared" si="8"/>
        <v>1.3777794288794653E-3</v>
      </c>
      <c r="L101">
        <f t="shared" si="10"/>
        <v>5.7475757871732147E-2</v>
      </c>
    </row>
    <row r="102" spans="1:12" outlineLevel="1" x14ac:dyDescent="0.2">
      <c r="H102">
        <f t="shared" si="6"/>
        <v>-2.4249999999999954</v>
      </c>
      <c r="I102">
        <f t="shared" si="7"/>
        <v>2.1083784665664341E-2</v>
      </c>
      <c r="J102">
        <f t="shared" si="9"/>
        <v>-5.4347893700634157E-4</v>
      </c>
      <c r="K102">
        <f t="shared" si="8"/>
        <v>1.3111429355277965E-3</v>
      </c>
      <c r="L102">
        <f t="shared" si="10"/>
        <v>5.581374073094892E-2</v>
      </c>
    </row>
    <row r="103" spans="1:12" outlineLevel="1" x14ac:dyDescent="0.2">
      <c r="H103">
        <f t="shared" si="6"/>
        <v>-2.4499999999999953</v>
      </c>
      <c r="I103">
        <f t="shared" si="7"/>
        <v>1.9837354391795549E-2</v>
      </c>
      <c r="J103">
        <f t="shared" si="9"/>
        <v>-5.115142382182468E-4</v>
      </c>
      <c r="K103">
        <f t="shared" si="8"/>
        <v>1.2468159556569742E-3</v>
      </c>
      <c r="L103">
        <f t="shared" si="10"/>
        <v>5.4140345962532373E-2</v>
      </c>
    </row>
    <row r="104" spans="1:12" outlineLevel="1" x14ac:dyDescent="0.2">
      <c r="H104">
        <f t="shared" si="6"/>
        <v>-2.4749999999999952</v>
      </c>
      <c r="I104">
        <f t="shared" si="7"/>
        <v>1.8652948792270131E-2</v>
      </c>
      <c r="J104">
        <f t="shared" si="9"/>
        <v>-4.811287898008193E-4</v>
      </c>
      <c r="K104">
        <f t="shared" si="8"/>
        <v>1.1847796448845151E-3</v>
      </c>
      <c r="L104">
        <f t="shared" si="10"/>
        <v>5.2460274122414351E-2</v>
      </c>
    </row>
    <row r="105" spans="1:12" outlineLevel="1" x14ac:dyDescent="0.2">
      <c r="H105">
        <f t="shared" si="6"/>
        <v>-2.4999999999999951</v>
      </c>
      <c r="I105">
        <f t="shared" si="7"/>
        <v>1.7528300493568749E-2</v>
      </c>
      <c r="J105">
        <f t="shared" si="9"/>
        <v>-4.5226561607298438E-4</v>
      </c>
      <c r="K105">
        <f t="shared" si="8"/>
        <v>1.1250107199815465E-3</v>
      </c>
      <c r="L105">
        <f t="shared" si="10"/>
        <v>5.0778001615315801E-2</v>
      </c>
    </row>
    <row r="106" spans="1:12" x14ac:dyDescent="0.2">
      <c r="H106">
        <f t="shared" si="6"/>
        <v>-2.524999999999995</v>
      </c>
      <c r="I106">
        <f t="shared" si="7"/>
        <v>1.6461169533247475E-2</v>
      </c>
      <c r="J106">
        <f t="shared" si="9"/>
        <v>-4.248683753352013E-4</v>
      </c>
      <c r="K106">
        <f t="shared" si="8"/>
        <v>1.0674817930296911E-3</v>
      </c>
      <c r="L106">
        <f t="shared" si="10"/>
        <v>4.9097774291233048E-2</v>
      </c>
    </row>
    <row r="107" spans="1:12" x14ac:dyDescent="0.2">
      <c r="A107" s="106"/>
      <c r="H107">
        <f t="shared" si="6"/>
        <v>-2.5499999999999949</v>
      </c>
      <c r="I107">
        <f t="shared" si="7"/>
        <v>1.5449347134395374E-2</v>
      </c>
      <c r="J107">
        <f t="shared" si="9"/>
        <v>-3.9888145834553423E-4</v>
      </c>
      <c r="K107">
        <f t="shared" si="8"/>
        <v>1.0121617005517912E-3</v>
      </c>
      <c r="L107">
        <f t="shared" si="10"/>
        <v>4.7423602610029238E-2</v>
      </c>
    </row>
    <row r="108" spans="1:12" x14ac:dyDescent="0.2">
      <c r="A108" s="105"/>
      <c r="H108">
        <f t="shared" si="6"/>
        <v>-2.5749999999999948</v>
      </c>
      <c r="I108">
        <f t="shared" si="7"/>
        <v>1.4490659157048637E-2</v>
      </c>
      <c r="J108">
        <f t="shared" si="9"/>
        <v>-3.7425007864304885E-4</v>
      </c>
      <c r="K108">
        <f t="shared" si="8"/>
        <v>9.5901582652281072E-4</v>
      </c>
      <c r="L108">
        <f t="shared" si="10"/>
        <v>4.5759258297908473E-2</v>
      </c>
    </row>
    <row r="109" spans="1:12" ht="16" x14ac:dyDescent="0.2">
      <c r="A109"/>
      <c r="B109" s="107"/>
      <c r="H109">
        <f t="shared" si="6"/>
        <v>-2.5999999999999948</v>
      </c>
      <c r="I109">
        <f t="shared" si="7"/>
        <v>1.3582969233685802E-2</v>
      </c>
      <c r="J109">
        <f t="shared" si="9"/>
        <v>-3.5092035488417929E-4</v>
      </c>
      <c r="K109">
        <f t="shared" si="8"/>
        <v>9.0800641826281213E-4</v>
      </c>
      <c r="L109">
        <f t="shared" si="10"/>
        <v>4.4108272415653731E-2</v>
      </c>
    </row>
    <row r="110" spans="1:12" x14ac:dyDescent="0.2">
      <c r="A110"/>
      <c r="B110" s="134"/>
      <c r="D110" s="135"/>
      <c r="E110" s="136"/>
      <c r="H110">
        <f t="shared" si="6"/>
        <v>-2.6249999999999947</v>
      </c>
      <c r="I110">
        <f t="shared" si="7"/>
        <v>1.2724181596831608E-2</v>
      </c>
      <c r="J110">
        <f t="shared" si="9"/>
        <v>-3.2883938538146647E-4</v>
      </c>
      <c r="K110">
        <f t="shared" si="8"/>
        <v>8.5909289430907937E-4</v>
      </c>
      <c r="L110">
        <f t="shared" si="10"/>
        <v>4.2473934755388937E-2</v>
      </c>
    </row>
    <row r="111" spans="1:12" x14ac:dyDescent="0.2">
      <c r="A111"/>
      <c r="E111" s="146"/>
      <c r="H111">
        <f t="shared" si="6"/>
        <v>-2.6499999999999946</v>
      </c>
      <c r="I111">
        <f t="shared" si="7"/>
        <v>1.1912243607605349E-2</v>
      </c>
      <c r="J111">
        <f t="shared" si="9"/>
        <v>-3.0795531505546089E-4</v>
      </c>
      <c r="K111">
        <f t="shared" si="8"/>
        <v>8.1223214345877651E-4</v>
      </c>
      <c r="L111">
        <f t="shared" si="10"/>
        <v>4.0859294480247277E-2</v>
      </c>
    </row>
    <row r="112" spans="1:12" x14ac:dyDescent="0.2">
      <c r="A112"/>
      <c r="H112">
        <f t="shared" si="6"/>
        <v>-2.6749999999999945</v>
      </c>
      <c r="I112">
        <f t="shared" si="7"/>
        <v>1.1145147994764971E-2</v>
      </c>
      <c r="J112">
        <f t="shared" si="9"/>
        <v>-2.88217395029628E-4</v>
      </c>
      <c r="K112">
        <f t="shared" si="8"/>
        <v>7.6737881426638293E-4</v>
      </c>
      <c r="L112">
        <f t="shared" si="10"/>
        <v>3.9267161919662383E-2</v>
      </c>
    </row>
    <row r="113" spans="1:12" x14ac:dyDescent="0.2">
      <c r="A113"/>
      <c r="C113" s="137"/>
      <c r="H113">
        <f t="shared" si="6"/>
        <v>-2.6999999999999944</v>
      </c>
      <c r="I113">
        <f t="shared" si="7"/>
        <v>1.0420934814422753E-2</v>
      </c>
      <c r="J113">
        <f t="shared" si="9"/>
        <v>-2.695760351148456E-4</v>
      </c>
      <c r="K113">
        <f t="shared" si="8"/>
        <v>7.2448559437114613E-4</v>
      </c>
      <c r="L113">
        <f t="shared" si="10"/>
        <v>3.7700111432010401E-2</v>
      </c>
    </row>
    <row r="114" spans="1:12" x14ac:dyDescent="0.2">
      <c r="A114"/>
      <c r="C114" s="138"/>
      <c r="E114" s="127"/>
      <c r="H114">
        <f t="shared" si="6"/>
        <v>-2.7249999999999943</v>
      </c>
      <c r="I114">
        <f t="shared" si="7"/>
        <v>9.7376931411441506E-3</v>
      </c>
      <c r="J114">
        <f t="shared" si="9"/>
        <v>-2.5198284944458535E-4</v>
      </c>
      <c r="K114">
        <f t="shared" si="8"/>
        <v>6.8350347911843624E-4</v>
      </c>
      <c r="L114">
        <f t="shared" si="10"/>
        <v>3.6160485245980749E-2</v>
      </c>
    </row>
    <row r="115" spans="1:12" x14ac:dyDescent="0.2">
      <c r="A115"/>
      <c r="C115" s="139"/>
      <c r="D115" s="128"/>
      <c r="E115" s="140"/>
      <c r="H115">
        <f t="shared" si="6"/>
        <v>-2.7499999999999942</v>
      </c>
      <c r="I115">
        <f t="shared" si="7"/>
        <v>9.0935625015911986E-3</v>
      </c>
      <c r="J115">
        <f t="shared" si="9"/>
        <v>-2.3539069553419104E-4</v>
      </c>
      <c r="K115">
        <f t="shared" si="8"/>
        <v>6.4438202902484664E-4</v>
      </c>
      <c r="L115">
        <f t="shared" si="10"/>
        <v>3.4650398192300702E-2</v>
      </c>
    </row>
    <row r="116" spans="1:12" x14ac:dyDescent="0.2">
      <c r="A116"/>
      <c r="C116" s="141"/>
      <c r="E116" s="142"/>
      <c r="H116">
        <f t="shared" si="6"/>
        <v>-2.7749999999999941</v>
      </c>
      <c r="I116">
        <f t="shared" si="7"/>
        <v>8.4867340622388557E-3</v>
      </c>
      <c r="J116">
        <f t="shared" si="9"/>
        <v>-2.1975370704787489E-4</v>
      </c>
      <c r="K116">
        <f t="shared" si="8"/>
        <v>6.0706961571975308E-4</v>
      </c>
      <c r="L116">
        <f t="shared" si="10"/>
        <v>3.3171743238243151E-2</v>
      </c>
    </row>
    <row r="117" spans="1:12" x14ac:dyDescent="0.2">
      <c r="A117"/>
      <c r="H117">
        <f t="shared" si="6"/>
        <v>-2.799999999999994</v>
      </c>
      <c r="I117">
        <f t="shared" si="7"/>
        <v>7.9154515829800935E-3</v>
      </c>
      <c r="J117">
        <f t="shared" si="9"/>
        <v>-2.0502732056523613E-4</v>
      </c>
      <c r="K117">
        <f t="shared" si="8"/>
        <v>5.7151365607559452E-4</v>
      </c>
      <c r="L117">
        <f t="shared" si="10"/>
        <v>3.172619773866163E-2</v>
      </c>
    </row>
    <row r="118" spans="1:12" x14ac:dyDescent="0.2">
      <c r="A118"/>
      <c r="C118" s="143"/>
      <c r="H118">
        <f t="shared" si="6"/>
        <v>-2.824999999999994</v>
      </c>
      <c r="I118">
        <f t="shared" si="7"/>
        <v>7.3780121486469175E-3</v>
      </c>
      <c r="J118">
        <f t="shared" si="9"/>
        <v>-1.9116829664533695E-4</v>
      </c>
      <c r="K118">
        <f t="shared" si="8"/>
        <v>5.3766083431500903E-4</v>
      </c>
      <c r="L118">
        <f t="shared" si="10"/>
        <v>3.0315230319079921E-2</v>
      </c>
    </row>
    <row r="119" spans="1:12" x14ac:dyDescent="0.2">
      <c r="A119"/>
      <c r="H119">
        <f t="shared" si="6"/>
        <v>-2.8499999999999939</v>
      </c>
      <c r="I119">
        <f t="shared" si="7"/>
        <v>6.8727666906140926E-3</v>
      </c>
      <c r="J119">
        <f t="shared" si="9"/>
        <v>-1.78134735490762E-4</v>
      </c>
      <c r="K119">
        <f t="shared" si="8"/>
        <v>5.0545731195503609E-4</v>
      </c>
      <c r="L119">
        <f t="shared" si="10"/>
        <v>2.8940108308568618E-2</v>
      </c>
    </row>
    <row r="120" spans="1:12" x14ac:dyDescent="0.2">
      <c r="A120"/>
      <c r="B120" s="135"/>
      <c r="C120" s="144"/>
      <c r="H120">
        <f t="shared" si="6"/>
        <v>-2.8749999999999938</v>
      </c>
      <c r="I120">
        <f t="shared" si="7"/>
        <v>6.3981203107236701E-3</v>
      </c>
      <c r="J120">
        <f t="shared" si="9"/>
        <v>-1.6588608751672143E-4</v>
      </c>
      <c r="K120">
        <f t="shared" si="8"/>
        <v>4.7484892551661402E-4</v>
      </c>
      <c r="L120">
        <f t="shared" si="10"/>
        <v>2.760190564272396E-2</v>
      </c>
    </row>
    <row r="121" spans="1:12" x14ac:dyDescent="0.2">
      <c r="A121"/>
      <c r="B121" s="83"/>
      <c r="C121" s="138"/>
      <c r="H121">
        <f t="shared" si="6"/>
        <v>-2.8999999999999937</v>
      </c>
      <c r="I121">
        <f t="shared" si="7"/>
        <v>5.9525324197759648E-3</v>
      </c>
      <c r="J121">
        <f t="shared" si="9"/>
        <v>-1.543831591312449E-4</v>
      </c>
      <c r="K121">
        <f t="shared" si="8"/>
        <v>4.4578137199146874E-4</v>
      </c>
      <c r="L121">
        <f t="shared" si="10"/>
        <v>2.6301511159978707E-2</v>
      </c>
    </row>
    <row r="122" spans="1:12" x14ac:dyDescent="0.2">
      <c r="A122"/>
      <c r="B122" s="83"/>
      <c r="C122" s="138"/>
      <c r="H122">
        <f t="shared" si="6"/>
        <v>-2.9249999999999936</v>
      </c>
      <c r="I122">
        <f t="shared" si="7"/>
        <v>5.5345167027806052E-3</v>
      </c>
      <c r="J122">
        <f t="shared" si="9"/>
        <v>-1.4358811403195662E-4</v>
      </c>
      <c r="K122">
        <f t="shared" si="8"/>
        <v>4.1820038211807267E-4</v>
      </c>
      <c r="L122">
        <f t="shared" si="10"/>
        <v>2.5039637217678507E-2</v>
      </c>
    </row>
    <row r="123" spans="1:12" x14ac:dyDescent="0.2">
      <c r="A123"/>
      <c r="B123" s="83"/>
      <c r="C123" s="138"/>
      <c r="H123">
        <f t="shared" si="6"/>
        <v>-2.9499999999999935</v>
      </c>
      <c r="I123">
        <f t="shared" si="7"/>
        <v>5.1426409230540399E-3</v>
      </c>
      <c r="J123">
        <f t="shared" si="9"/>
        <v>-1.3346447032293259E-4</v>
      </c>
      <c r="K123">
        <f t="shared" si="8"/>
        <v>3.9205188157361362E-4</v>
      </c>
      <c r="L123">
        <f t="shared" si="10"/>
        <v>2.3816828557805848E-2</v>
      </c>
    </row>
    <row r="124" spans="1:12" x14ac:dyDescent="0.2">
      <c r="A124"/>
      <c r="B124" s="145"/>
      <c r="C124" s="138"/>
      <c r="H124">
        <f t="shared" si="6"/>
        <v>-2.9749999999999934</v>
      </c>
      <c r="I124">
        <f t="shared" si="7"/>
        <v>4.7755265770916518E-3</v>
      </c>
      <c r="J124">
        <f t="shared" si="9"/>
        <v>-1.239770937518207E-4</v>
      </c>
      <c r="K124">
        <f t="shared" si="8"/>
        <v>3.6728214023976801E-4</v>
      </c>
      <c r="L124">
        <f t="shared" si="10"/>
        <v>2.2633471355884675E-2</v>
      </c>
    </row>
    <row r="125" spans="1:12" x14ac:dyDescent="0.2">
      <c r="A125"/>
      <c r="H125">
        <f t="shared" si="6"/>
        <v>-2.9999999999999933</v>
      </c>
      <c r="I125">
        <f t="shared" si="7"/>
        <v>4.4318484119380934E-3</v>
      </c>
      <c r="J125">
        <f t="shared" ref="J125:J172" si="11">AVERAGE(I124:I125)*(H125-H124)</f>
        <v>-1.1509218736287139E-4</v>
      </c>
      <c r="K125">
        <f t="shared" ref="K125:K172" si="12">AVERAGE(I124:I125)*(H125-H124)*(H125+H124)/2</f>
        <v>3.4383790974657754E-4</v>
      </c>
      <c r="L125">
        <f t="shared" si="10"/>
        <v>2.148980239041369E-2</v>
      </c>
    </row>
    <row r="126" spans="1:12" x14ac:dyDescent="0.2">
      <c r="C126" s="83"/>
      <c r="D126" s="82"/>
      <c r="H126">
        <f t="shared" si="6"/>
        <v>-3.0249999999999932</v>
      </c>
      <c r="I126">
        <f t="shared" si="7"/>
        <v>4.1103338165326443E-3</v>
      </c>
      <c r="J126">
        <f t="shared" si="11"/>
        <v>-1.0677727785588385E-4</v>
      </c>
      <c r="K126">
        <f t="shared" si="12"/>
        <v>3.2166654954084937E-4</v>
      </c>
      <c r="L126">
        <f t="shared" si="10"/>
        <v>2.0385918274114165E-2</v>
      </c>
    </row>
    <row r="127" spans="1:12" x14ac:dyDescent="0.2">
      <c r="C127" s="83"/>
      <c r="D127" s="82"/>
      <c r="H127">
        <f t="shared" si="6"/>
        <v>-3.0499999999999932</v>
      </c>
      <c r="I127">
        <f t="shared" si="7"/>
        <v>3.809762098221888E-3</v>
      </c>
      <c r="J127">
        <f t="shared" si="11"/>
        <v>-9.9001198934431302E-5</v>
      </c>
      <c r="K127">
        <f t="shared" si="12"/>
        <v>3.0071614176333444E-4</v>
      </c>
      <c r="L127">
        <f t="shared" si="10"/>
        <v>1.9321784692303563E-2</v>
      </c>
    </row>
    <row r="128" spans="1:12" x14ac:dyDescent="0.2">
      <c r="C128" s="83"/>
      <c r="D128" s="82"/>
      <c r="H128">
        <f t="shared" si="6"/>
        <v>-3.0749999999999931</v>
      </c>
      <c r="I128">
        <f t="shared" si="7"/>
        <v>3.528963655313837E-3</v>
      </c>
      <c r="J128">
        <f t="shared" si="11"/>
        <v>-9.1734071919196238E-5</v>
      </c>
      <c r="K128">
        <f t="shared" si="12"/>
        <v>2.8093559525253781E-4</v>
      </c>
      <c r="L128">
        <f t="shared" si="10"/>
        <v>1.8297245597784173E-2</v>
      </c>
    </row>
    <row r="129" spans="3:12" x14ac:dyDescent="0.2">
      <c r="C129" s="85"/>
      <c r="H129">
        <f t="shared" si="6"/>
        <v>-3.099999999999993</v>
      </c>
      <c r="I129">
        <f t="shared" si="7"/>
        <v>3.2668190561999911E-3</v>
      </c>
      <c r="J129">
        <f t="shared" si="11"/>
        <v>-8.4947283893922556E-5</v>
      </c>
      <c r="K129">
        <f t="shared" si="12"/>
        <v>2.622747390224853E-4</v>
      </c>
      <c r="L129">
        <f t="shared" si="10"/>
        <v>1.731203231573283E-2</v>
      </c>
    </row>
    <row r="130" spans="3:12" x14ac:dyDescent="0.2">
      <c r="C130" s="85"/>
      <c r="H130">
        <f t="shared" si="6"/>
        <v>-3.1249999999999929</v>
      </c>
      <c r="I130">
        <f t="shared" si="7"/>
        <v>3.0222580351988233E-3</v>
      </c>
      <c r="J130">
        <f t="shared" si="11"/>
        <v>-7.8613463642484906E-5</v>
      </c>
      <c r="K130">
        <f t="shared" si="12"/>
        <v>2.4468440558723372E-4</v>
      </c>
      <c r="L130">
        <f t="shared" si="10"/>
        <v>1.636577251616541E-2</v>
      </c>
    </row>
    <row r="131" spans="3:12" x14ac:dyDescent="0.2">
      <c r="H131">
        <f t="shared" si="6"/>
        <v>-3.1499999999999928</v>
      </c>
      <c r="I131">
        <f t="shared" si="7"/>
        <v>2.7942584148795092E-3</v>
      </c>
      <c r="J131">
        <f t="shared" si="11"/>
        <v>-7.2706455625978899E-5</v>
      </c>
      <c r="K131">
        <f t="shared" si="12"/>
        <v>2.281165045265083E-4</v>
      </c>
      <c r="L131">
        <f t="shared" si="10"/>
        <v>1.5457999015597641E-2</v>
      </c>
    </row>
    <row r="132" spans="3:12" x14ac:dyDescent="0.2">
      <c r="C132" s="83"/>
      <c r="H132">
        <f t="shared" si="6"/>
        <v>-3.1749999999999927</v>
      </c>
      <c r="I132">
        <f t="shared" si="7"/>
        <v>2.5818449642122775E-3</v>
      </c>
      <c r="J132">
        <f t="shared" si="11"/>
        <v>-6.7201292238647096E-5</v>
      </c>
      <c r="K132">
        <f t="shared" si="12"/>
        <v>2.1252408670472094E-4</v>
      </c>
      <c r="L132">
        <f t="shared" si="10"/>
        <v>1.4588158373509059E-2</v>
      </c>
    </row>
    <row r="133" spans="3:12" x14ac:dyDescent="0.2">
      <c r="C133" s="37"/>
      <c r="H133">
        <f t="shared" si="6"/>
        <v>-3.1999999999999926</v>
      </c>
      <c r="I133">
        <f t="shared" si="7"/>
        <v>2.3840882014648994E-3</v>
      </c>
      <c r="J133">
        <f t="shared" si="11"/>
        <v>-6.2074164570964497E-5</v>
      </c>
      <c r="K133">
        <f t="shared" si="12"/>
        <v>1.978613995699489E-4</v>
      </c>
      <c r="L133">
        <f t="shared" si="10"/>
        <v>1.3755619253113912E-2</v>
      </c>
    </row>
    <row r="134" spans="3:12" x14ac:dyDescent="0.2">
      <c r="C134" s="87"/>
      <c r="H134">
        <f t="shared" ref="H134:H197" si="13">H133+$G$5</f>
        <v>-3.2249999999999925</v>
      </c>
      <c r="I134">
        <f t="shared" ref="I134:I197" si="14">(1/($G$7*SQRTPI(2)))*EXP(-0.5*((H134-$G$6)/$G$7)^2)</f>
        <v>2.200103150327184E-3</v>
      </c>
      <c r="J134">
        <f t="shared" si="11"/>
        <v>-5.7302391897400831E-5</v>
      </c>
      <c r="K134">
        <f t="shared" si="12"/>
        <v>1.8408393397039972E-4</v>
      </c>
      <c r="L134">
        <f t="shared" si="10"/>
        <v>1.2959680519733589E-2</v>
      </c>
    </row>
    <row r="135" spans="3:12" x14ac:dyDescent="0.2">
      <c r="H135">
        <f t="shared" si="13"/>
        <v>-3.2499999999999925</v>
      </c>
      <c r="I135">
        <f t="shared" si="14"/>
        <v>2.0290480572998184E-3</v>
      </c>
      <c r="J135">
        <f t="shared" si="11"/>
        <v>-5.2864390095337347E-5</v>
      </c>
      <c r="K135">
        <f t="shared" si="12"/>
        <v>1.7114846293365428E-4</v>
      </c>
      <c r="L135">
        <f t="shared" ref="L135:L198" si="15">($B$7-H135)^2*I135</f>
        <v>1.219957905372914E-2</v>
      </c>
    </row>
    <row r="136" spans="3:12" x14ac:dyDescent="0.2">
      <c r="H136">
        <f t="shared" si="13"/>
        <v>-3.2749999999999924</v>
      </c>
      <c r="I136">
        <f t="shared" si="14"/>
        <v>1.8701230779336968E-3</v>
      </c>
      <c r="J136">
        <f t="shared" si="11"/>
        <v>-4.873963919041877E-5</v>
      </c>
      <c r="K136">
        <f t="shared" si="12"/>
        <v>1.5901307285874085E-4</v>
      </c>
      <c r="L136">
        <f t="shared" si="15"/>
        <v>1.1474497258475533E-2</v>
      </c>
    </row>
    <row r="137" spans="3:12" x14ac:dyDescent="0.2">
      <c r="H137">
        <f t="shared" si="13"/>
        <v>-3.2999999999999923</v>
      </c>
      <c r="I137">
        <f t="shared" si="14"/>
        <v>1.7225689390537239E-3</v>
      </c>
      <c r="J137">
        <f t="shared" si="11"/>
        <v>-4.4908650212342597E-5</v>
      </c>
      <c r="K137">
        <f t="shared" si="12"/>
        <v>1.4763718757307596E-4</v>
      </c>
      <c r="L137">
        <f t="shared" si="15"/>
        <v>1.0783570247227378E-2</v>
      </c>
    </row>
    <row r="138" spans="3:12" x14ac:dyDescent="0.2">
      <c r="H138">
        <f t="shared" si="13"/>
        <v>-3.3249999999999922</v>
      </c>
      <c r="I138">
        <f t="shared" si="14"/>
        <v>1.5856655836494979E-3</v>
      </c>
      <c r="J138">
        <f t="shared" si="11"/>
        <v>-4.1352931533790128E-5</v>
      </c>
      <c r="K138">
        <f t="shared" si="12"/>
        <v>1.3698158570567945E-4</v>
      </c>
      <c r="L138">
        <f t="shared" si="15"/>
        <v>1.0125892695927251E-2</v>
      </c>
    </row>
    <row r="139" spans="3:12" x14ac:dyDescent="0.2">
      <c r="H139">
        <f t="shared" si="13"/>
        <v>-3.3499999999999921</v>
      </c>
      <c r="I139">
        <f t="shared" si="14"/>
        <v>1.4587308046667849E-3</v>
      </c>
      <c r="J139">
        <f t="shared" si="11"/>
        <v>-3.8054954853953398E-5</v>
      </c>
      <c r="K139">
        <f t="shared" si="12"/>
        <v>1.2700841182506918E-4</v>
      </c>
      <c r="L139">
        <f t="shared" si="15"/>
        <v>9.5005253520343974E-3</v>
      </c>
    </row>
    <row r="140" spans="3:12" x14ac:dyDescent="0.2">
      <c r="H140">
        <f t="shared" si="13"/>
        <v>-3.374999999999992</v>
      </c>
      <c r="I140">
        <f t="shared" si="14"/>
        <v>1.3411188734904135E-3</v>
      </c>
      <c r="J140">
        <f t="shared" si="11"/>
        <v>-3.4998120976964855E-5</v>
      </c>
      <c r="K140">
        <f t="shared" si="12"/>
        <v>1.1768118178504404E-4</v>
      </c>
      <c r="L140">
        <f t="shared" si="15"/>
        <v>8.9065011922957651E-3</v>
      </c>
    </row>
    <row r="141" spans="3:12" x14ac:dyDescent="0.2">
      <c r="H141">
        <f t="shared" si="13"/>
        <v>-3.3999999999999919</v>
      </c>
      <c r="I141">
        <f t="shared" si="14"/>
        <v>1.2322191684730527E-3</v>
      </c>
      <c r="J141">
        <f t="shared" si="11"/>
        <v>-3.2166725524543211E-5</v>
      </c>
      <c r="K141">
        <f t="shared" si="12"/>
        <v>1.0896478271438988E-4</v>
      </c>
      <c r="L141">
        <f t="shared" si="15"/>
        <v>8.3428312250378982E-3</v>
      </c>
    </row>
    <row r="142" spans="3:12" x14ac:dyDescent="0.2">
      <c r="H142">
        <f t="shared" si="13"/>
        <v>-3.4249999999999918</v>
      </c>
      <c r="I142">
        <f t="shared" si="14"/>
        <v>1.1314548084372395E-3</v>
      </c>
      <c r="J142">
        <f t="shared" si="11"/>
        <v>-2.9545924711378551E-5</v>
      </c>
      <c r="K142">
        <f t="shared" si="12"/>
        <v>1.0082546807757905E-4</v>
      </c>
      <c r="L142">
        <f t="shared" si="15"/>
        <v>7.80850993502451E-3</v>
      </c>
    </row>
    <row r="143" spans="3:12" x14ac:dyDescent="0.2">
      <c r="H143">
        <f t="shared" si="13"/>
        <v>-3.4499999999999917</v>
      </c>
      <c r="I143">
        <f t="shared" si="14"/>
        <v>1.0382812956614409E-3</v>
      </c>
      <c r="J143">
        <f t="shared" si="11"/>
        <v>-2.7121701301233408E-5</v>
      </c>
      <c r="K143">
        <f t="shared" si="12"/>
        <v>9.3230848222989622E-5</v>
      </c>
      <c r="L143">
        <f t="shared" si="15"/>
        <v>7.3025203711987573E-3</v>
      </c>
    </row>
    <row r="144" spans="3:12" x14ac:dyDescent="0.2">
      <c r="H144">
        <f t="shared" si="13"/>
        <v>-3.4749999999999917</v>
      </c>
      <c r="I144">
        <f t="shared" si="14"/>
        <v>9.5218517245629732E-4</v>
      </c>
      <c r="J144">
        <f t="shared" si="11"/>
        <v>-2.488083085147164E-5</v>
      </c>
      <c r="K144">
        <f t="shared" si="12"/>
        <v>8.6149876823220345E-5</v>
      </c>
      <c r="L144">
        <f t="shared" si="15"/>
        <v>6.8238388797109981E-3</v>
      </c>
    </row>
    <row r="145" spans="8:12" x14ac:dyDescent="0.2">
      <c r="H145">
        <f t="shared" si="13"/>
        <v>-3.4999999999999916</v>
      </c>
      <c r="I145">
        <f t="shared" si="14"/>
        <v>8.7268269504578574E-4</v>
      </c>
      <c r="J145">
        <f t="shared" si="11"/>
        <v>-2.2810848343775958E-5</v>
      </c>
      <c r="K145">
        <f t="shared" si="12"/>
        <v>7.9552833598918463E-5</v>
      </c>
      <c r="L145">
        <f t="shared" si="15"/>
        <v>6.3714394865246032E-3</v>
      </c>
    </row>
    <row r="146" spans="8:12" x14ac:dyDescent="0.2">
      <c r="H146">
        <f t="shared" si="13"/>
        <v>-3.5249999999999915</v>
      </c>
      <c r="I146">
        <f t="shared" si="14"/>
        <v>7.9931852809077817E-4</v>
      </c>
      <c r="J146">
        <f t="shared" si="11"/>
        <v>-2.0900015289206973E-5</v>
      </c>
      <c r="K146">
        <f t="shared" si="12"/>
        <v>7.3411303703339311E-5</v>
      </c>
      <c r="L146">
        <f t="shared" si="15"/>
        <v>5.9442979355959448E-3</v>
      </c>
    </row>
    <row r="147" spans="8:12" x14ac:dyDescent="0.2">
      <c r="H147">
        <f t="shared" si="13"/>
        <v>-3.5499999999999914</v>
      </c>
      <c r="I147">
        <f t="shared" si="14"/>
        <v>7.3166446283033301E-4</v>
      </c>
      <c r="J147">
        <f t="shared" si="11"/>
        <v>-1.9137287386513821E-5</v>
      </c>
      <c r="K147">
        <f t="shared" si="12"/>
        <v>6.7698154129792481E-5</v>
      </c>
      <c r="L147">
        <f t="shared" si="15"/>
        <v>5.5413953901448775E-3</v>
      </c>
    </row>
    <row r="148" spans="8:12" x14ac:dyDescent="0.2">
      <c r="H148">
        <f t="shared" si="13"/>
        <v>-3.5749999999999913</v>
      </c>
      <c r="I148">
        <f t="shared" si="14"/>
        <v>6.6931816146967825E-4</v>
      </c>
      <c r="J148">
        <f t="shared" si="11"/>
        <v>-1.7512282803750078E-5</v>
      </c>
      <c r="K148">
        <f t="shared" si="12"/>
        <v>6.2387507488359493E-5</v>
      </c>
      <c r="L148">
        <f t="shared" si="15"/>
        <v>5.1617218058734775E-3</v>
      </c>
    </row>
    <row r="149" spans="8:12" x14ac:dyDescent="0.2">
      <c r="H149">
        <f t="shared" si="13"/>
        <v>-3.5999999999999912</v>
      </c>
      <c r="I149">
        <f t="shared" si="14"/>
        <v>6.1190193011379141E-4</v>
      </c>
      <c r="J149">
        <f t="shared" si="11"/>
        <v>-1.6015251144793311E-5</v>
      </c>
      <c r="K149">
        <f t="shared" si="12"/>
        <v>5.745471348194587E-5</v>
      </c>
      <c r="L149">
        <f t="shared" si="15"/>
        <v>4.8042789861594054E-3</v>
      </c>
    </row>
    <row r="150" spans="8:12" x14ac:dyDescent="0.2">
      <c r="H150">
        <f t="shared" si="13"/>
        <v>-3.6249999999999911</v>
      </c>
      <c r="I150">
        <f t="shared" si="14"/>
        <v>5.5906152223218276E-4</v>
      </c>
      <c r="J150">
        <f t="shared" si="11"/>
        <v>-1.4637043154324626E-5</v>
      </c>
      <c r="K150">
        <f t="shared" si="12"/>
        <v>5.2876318394997575E-5</v>
      </c>
      <c r="L150">
        <f t="shared" si="15"/>
        <v>4.4680833302531801E-3</v>
      </c>
    </row>
    <row r="151" spans="8:12" x14ac:dyDescent="0.2">
      <c r="H151">
        <f t="shared" si="13"/>
        <v>-3.649999999999991</v>
      </c>
      <c r="I151">
        <f t="shared" si="14"/>
        <v>5.104649743442024E-4</v>
      </c>
      <c r="J151">
        <f t="shared" si="11"/>
        <v>-1.3369081207204767E-5</v>
      </c>
      <c r="K151">
        <f t="shared" si="12"/>
        <v>4.8630032891207228E-5</v>
      </c>
      <c r="L151">
        <f t="shared" si="15"/>
        <v>4.1521682863529764E-3</v>
      </c>
    </row>
    <row r="152" spans="8:12" x14ac:dyDescent="0.2">
      <c r="H152">
        <f t="shared" si="13"/>
        <v>-3.6749999999999909</v>
      </c>
      <c r="I152">
        <f t="shared" si="14"/>
        <v>4.6580147533505236E-4</v>
      </c>
      <c r="J152">
        <f t="shared" si="11"/>
        <v>-1.2203330620990641E-5</v>
      </c>
      <c r="K152">
        <f t="shared" si="12"/>
        <v>4.4694698399378107E-5</v>
      </c>
      <c r="L152">
        <f t="shared" si="15"/>
        <v>3.8555865221242482E-3</v>
      </c>
    </row>
    <row r="153" spans="8:12" x14ac:dyDescent="0.2">
      <c r="H153">
        <f t="shared" si="13"/>
        <v>-3.6999999999999909</v>
      </c>
      <c r="I153">
        <f t="shared" si="14"/>
        <v>4.2478027055076613E-4</v>
      </c>
      <c r="J153">
        <f t="shared" si="11"/>
        <v>-1.1132271823572692E-5</v>
      </c>
      <c r="K153">
        <f t="shared" si="12"/>
        <v>4.1050252349424202E-5</v>
      </c>
      <c r="L153">
        <f t="shared" si="15"/>
        <v>3.5774118257833444E-3</v>
      </c>
    </row>
    <row r="154" spans="8:12" x14ac:dyDescent="0.2">
      <c r="H154">
        <f t="shared" si="13"/>
        <v>-3.7249999999999908</v>
      </c>
      <c r="I154">
        <f t="shared" si="14"/>
        <v>3.8712960157560243E-4</v>
      </c>
      <c r="J154">
        <f t="shared" si="11"/>
        <v>-1.014887340157957E-5</v>
      </c>
      <c r="K154">
        <f t="shared" si="12"/>
        <v>3.7677692503364059E-5</v>
      </c>
      <c r="L154">
        <f t="shared" si="15"/>
        <v>3.3167407512824771E-3</v>
      </c>
    </row>
    <row r="155" spans="8:12" x14ac:dyDescent="0.2">
      <c r="H155">
        <f t="shared" si="13"/>
        <v>-3.7499999999999907</v>
      </c>
      <c r="I155">
        <f t="shared" si="14"/>
        <v>3.525956823674576E-4</v>
      </c>
      <c r="J155">
        <f t="shared" si="11"/>
        <v>-9.2465660492882179E-6</v>
      </c>
      <c r="K155">
        <f t="shared" si="12"/>
        <v>3.4559040609214632E-5</v>
      </c>
      <c r="L155">
        <f t="shared" si="15"/>
        <v>3.0726940214274765E-3</v>
      </c>
    </row>
    <row r="156" spans="8:12" x14ac:dyDescent="0.2">
      <c r="H156">
        <f t="shared" si="13"/>
        <v>-3.7749999999999906</v>
      </c>
      <c r="I156">
        <f t="shared" si="14"/>
        <v>3.2094171221575197E-4</v>
      </c>
      <c r="J156">
        <f t="shared" si="11"/>
        <v>-8.4192174322900888E-6</v>
      </c>
      <c r="K156">
        <f t="shared" si="12"/>
        <v>3.1677305588991376E-5</v>
      </c>
      <c r="L156">
        <f t="shared" si="15"/>
        <v>2.8444177029384138E-3</v>
      </c>
    </row>
    <row r="157" spans="8:12" x14ac:dyDescent="0.2">
      <c r="H157">
        <f t="shared" si="13"/>
        <v>-3.7999999999999905</v>
      </c>
      <c r="I157">
        <f t="shared" si="14"/>
        <v>2.9194692579147063E-4</v>
      </c>
      <c r="J157">
        <f t="shared" si="11"/>
        <v>-7.6611079750902556E-6</v>
      </c>
      <c r="K157">
        <f t="shared" si="12"/>
        <v>2.9016446455654274E-5</v>
      </c>
      <c r="L157">
        <f t="shared" si="15"/>
        <v>2.6310841675357493E-3</v>
      </c>
    </row>
    <row r="158" spans="8:12" x14ac:dyDescent="0.2">
      <c r="H158">
        <f t="shared" si="13"/>
        <v>-3.8249999999999904</v>
      </c>
      <c r="I158">
        <f t="shared" si="14"/>
        <v>2.6540568038023818E-4</v>
      </c>
      <c r="J158">
        <f t="shared" si="11"/>
        <v>-6.966907577146336E-6</v>
      </c>
      <c r="K158">
        <f t="shared" si="12"/>
        <v>2.6561335137870338E-5</v>
      </c>
      <c r="L158">
        <f t="shared" si="15"/>
        <v>2.431892853110313E-3</v>
      </c>
    </row>
    <row r="159" spans="8:12" x14ac:dyDescent="0.2">
      <c r="H159">
        <f t="shared" si="13"/>
        <v>-3.8499999999999903</v>
      </c>
      <c r="I159">
        <f t="shared" si="14"/>
        <v>2.4112658022600245E-4</v>
      </c>
      <c r="J159">
        <f t="shared" si="11"/>
        <v>-6.3316532575779857E-6</v>
      </c>
      <c r="K159">
        <f t="shared" si="12"/>
        <v>2.429771937595546E-5</v>
      </c>
      <c r="L159">
        <f t="shared" si="15"/>
        <v>2.2460708389229508E-3</v>
      </c>
    </row>
    <row r="160" spans="8:12" x14ac:dyDescent="0.2">
      <c r="H160">
        <f t="shared" si="13"/>
        <v>-3.8749999999999902</v>
      </c>
      <c r="I160">
        <f t="shared" si="14"/>
        <v>2.1893163776462047E-4</v>
      </c>
      <c r="J160">
        <f t="shared" si="11"/>
        <v>-5.7507277248827659E-6</v>
      </c>
      <c r="K160">
        <f t="shared" si="12"/>
        <v>2.2212185837359627E-5</v>
      </c>
      <c r="L160">
        <f t="shared" si="15"/>
        <v>2.0728732485883802E-3</v>
      </c>
    </row>
    <row r="161" spans="8:12" x14ac:dyDescent="0.2">
      <c r="H161">
        <f t="shared" si="13"/>
        <v>-3.8999999999999901</v>
      </c>
      <c r="I161">
        <f t="shared" si="14"/>
        <v>1.9865547139278028E-4</v>
      </c>
      <c r="J161">
        <f t="shared" si="11"/>
        <v>-5.219838864467491E-6</v>
      </c>
      <c r="K161">
        <f t="shared" si="12"/>
        <v>2.0292123585617321E-5</v>
      </c>
      <c r="L161">
        <f t="shared" si="15"/>
        <v>1.9115834943358024E-3</v>
      </c>
    </row>
    <row r="162" spans="8:12" x14ac:dyDescent="0.2">
      <c r="H162">
        <f t="shared" si="13"/>
        <v>-3.9249999999999901</v>
      </c>
      <c r="I162">
        <f t="shared" si="14"/>
        <v>1.8014453929769567E-4</v>
      </c>
      <c r="J162">
        <f t="shared" si="11"/>
        <v>-4.7350001336309328E-6</v>
      </c>
      <c r="K162">
        <f t="shared" si="12"/>
        <v>1.8525688022830975E-5</v>
      </c>
      <c r="L162">
        <f t="shared" si="15"/>
        <v>1.7615133757149023E-3</v>
      </c>
    </row>
    <row r="163" spans="8:12" x14ac:dyDescent="0.2">
      <c r="H163">
        <f t="shared" si="13"/>
        <v>-3.94999999999999</v>
      </c>
      <c r="I163">
        <f t="shared" si="14"/>
        <v>1.6325640876624852E-4</v>
      </c>
      <c r="J163">
        <f t="shared" si="11"/>
        <v>-4.292511850799287E-6</v>
      </c>
      <c r="K163">
        <f t="shared" si="12"/>
        <v>1.6901765412522151E-5</v>
      </c>
      <c r="L163">
        <f t="shared" si="15"/>
        <v>1.6220030455379097E-3</v>
      </c>
    </row>
    <row r="164" spans="8:12" x14ac:dyDescent="0.2">
      <c r="H164">
        <f t="shared" si="13"/>
        <v>-3.9749999999999899</v>
      </c>
      <c r="I164">
        <f t="shared" si="14"/>
        <v>1.4785906029807951E-4</v>
      </c>
      <c r="J164">
        <f t="shared" si="11"/>
        <v>-3.8889433633040865E-6</v>
      </c>
      <c r="K164">
        <f t="shared" si="12"/>
        <v>1.5409938077092402E-5</v>
      </c>
      <c r="L164">
        <f t="shared" si="15"/>
        <v>1.4924208554241351E-3</v>
      </c>
    </row>
    <row r="165" spans="8:12" x14ac:dyDescent="0.2">
      <c r="H165">
        <f t="shared" si="13"/>
        <v>-3.9999999999999898</v>
      </c>
      <c r="I165">
        <f t="shared" si="14"/>
        <v>1.3383022576489084E-4</v>
      </c>
      <c r="J165">
        <f t="shared" si="11"/>
        <v>-3.5211160757871168E-6</v>
      </c>
      <c r="K165">
        <f t="shared" si="12"/>
        <v>1.4040450352201094E-5</v>
      </c>
      <c r="L165">
        <f t="shared" si="15"/>
        <v>1.372163092850172E-3</v>
      </c>
    </row>
    <row r="166" spans="8:12" x14ac:dyDescent="0.2">
      <c r="H166">
        <f t="shared" si="13"/>
        <v>-4.0249999999999897</v>
      </c>
      <c r="I166">
        <f t="shared" si="14"/>
        <v>1.2105675978724956E-4</v>
      </c>
      <c r="J166">
        <f t="shared" si="11"/>
        <v>-3.1860873194017436E-6</v>
      </c>
      <c r="K166">
        <f t="shared" si="12"/>
        <v>1.2784175369099462E-5</v>
      </c>
      <c r="L166">
        <f t="shared" si="15"/>
        <v>1.2606536211136894E-3</v>
      </c>
    </row>
    <row r="167" spans="8:12" x14ac:dyDescent="0.2">
      <c r="H167">
        <f t="shared" si="13"/>
        <v>-4.0499999999999901</v>
      </c>
      <c r="I167">
        <f t="shared" si="14"/>
        <v>1.0943404343980503E-4</v>
      </c>
      <c r="J167">
        <f t="shared" si="11"/>
        <v>-2.8811350403382231E-6</v>
      </c>
      <c r="K167">
        <f t="shared" si="12"/>
        <v>1.1632582725365547E-5</v>
      </c>
      <c r="L167">
        <f t="shared" si="15"/>
        <v>1.157343433097978E-3</v>
      </c>
    </row>
    <row r="168" spans="8:12" x14ac:dyDescent="0.2">
      <c r="H168">
        <f t="shared" si="13"/>
        <v>-4.0749999999999904</v>
      </c>
      <c r="I168">
        <f t="shared" si="14"/>
        <v>9.8865419345373052E-5</v>
      </c>
      <c r="J168">
        <f t="shared" si="11"/>
        <v>-2.6037432848147632E-6</v>
      </c>
      <c r="K168">
        <f t="shared" si="12"/>
        <v>1.0577707094559951E-5</v>
      </c>
      <c r="L168">
        <f t="shared" si="15"/>
        <v>1.0617101291841495E-3</v>
      </c>
    </row>
    <row r="169" spans="8:12" x14ac:dyDescent="0.2">
      <c r="H169">
        <f t="shared" si="13"/>
        <v>-4.0999999999999908</v>
      </c>
      <c r="I169">
        <f t="shared" si="14"/>
        <v>8.9261657177136262E-5</v>
      </c>
      <c r="J169">
        <f t="shared" si="11"/>
        <v>-2.3515884565313998E-6</v>
      </c>
      <c r="K169">
        <f t="shared" si="12"/>
        <v>9.6121178160720741E-6</v>
      </c>
      <c r="L169">
        <f t="shared" si="15"/>
        <v>9.7325732910387051E-4</v>
      </c>
    </row>
    <row r="170" spans="8:12" x14ac:dyDescent="0.2">
      <c r="H170">
        <f t="shared" si="13"/>
        <v>-4.1249999999999911</v>
      </c>
      <c r="I170">
        <f t="shared" si="14"/>
        <v>8.054044855559715E-5</v>
      </c>
      <c r="J170">
        <f t="shared" si="11"/>
        <v>-2.122526321659198E-6</v>
      </c>
      <c r="K170">
        <f t="shared" si="12"/>
        <v>8.728889497823432E-6</v>
      </c>
      <c r="L170">
        <f t="shared" si="15"/>
        <v>8.9151402696281657E-4</v>
      </c>
    </row>
    <row r="171" spans="8:12" x14ac:dyDescent="0.2">
      <c r="H171">
        <f t="shared" si="13"/>
        <v>-4.1499999999999915</v>
      </c>
      <c r="I171">
        <f t="shared" si="14"/>
        <v>7.2625930302255048E-5</v>
      </c>
      <c r="J171">
        <f t="shared" si="11"/>
        <v>-1.9145797357231795E-6</v>
      </c>
      <c r="K171">
        <f t="shared" si="12"/>
        <v>7.9215736565546379E-6</v>
      </c>
      <c r="L171">
        <f t="shared" si="15"/>
        <v>8.1603389809852391E-4</v>
      </c>
    </row>
    <row r="172" spans="8:12" x14ac:dyDescent="0.2">
      <c r="H172">
        <f t="shared" si="13"/>
        <v>-4.1749999999999918</v>
      </c>
      <c r="I172">
        <f t="shared" si="14"/>
        <v>6.5448234994622991E-5</v>
      </c>
      <c r="J172">
        <f t="shared" si="11"/>
        <v>-1.7259270662109999E-6</v>
      </c>
      <c r="K172">
        <f t="shared" si="12"/>
        <v>7.1841714131032729E-6</v>
      </c>
      <c r="L172">
        <f t="shared" si="15"/>
        <v>7.4639456587020513E-4</v>
      </c>
    </row>
    <row r="173" spans="8:12" x14ac:dyDescent="0.2">
      <c r="H173">
        <f t="shared" si="13"/>
        <v>-4.1999999999999922</v>
      </c>
      <c r="I173">
        <f t="shared" si="14"/>
        <v>5.894306775654184E-5</v>
      </c>
      <c r="J173">
        <f t="shared" ref="J173:J220" si="16">AVERAGE(I172:I173)*(H173-H172)</f>
        <v>-1.5548912843895825E-6</v>
      </c>
      <c r="K173">
        <f t="shared" ref="K173:K220" si="17">AVERAGE(I172:I173)*(H173-H172)*(H173+H172)/2</f>
        <v>6.511107253381364E-6</v>
      </c>
      <c r="L173">
        <f t="shared" si="15"/>
        <v>6.8219683591632296E-4</v>
      </c>
    </row>
    <row r="174" spans="8:12" x14ac:dyDescent="0.2">
      <c r="H174">
        <f t="shared" si="13"/>
        <v>-4.2249999999999925</v>
      </c>
      <c r="I174">
        <f t="shared" si="14"/>
        <v>5.305130821319595E-5</v>
      </c>
      <c r="J174">
        <f t="shared" si="16"/>
        <v>-1.3999296996217423E-6</v>
      </c>
      <c r="K174">
        <f t="shared" si="17"/>
        <v>5.897203859656579E-6</v>
      </c>
      <c r="L174">
        <f t="shared" si="15"/>
        <v>6.2306390486176915E-4</v>
      </c>
    </row>
    <row r="175" spans="8:12" x14ac:dyDescent="0.2">
      <c r="H175">
        <f t="shared" si="13"/>
        <v>-4.2499999999999929</v>
      </c>
      <c r="I175">
        <f t="shared" si="14"/>
        <v>4.7718636541206395E-5</v>
      </c>
      <c r="J175">
        <f t="shared" si="16"/>
        <v>-1.2596243094300473E-6</v>
      </c>
      <c r="K175">
        <f t="shared" si="17"/>
        <v>5.337658011209816E-6</v>
      </c>
      <c r="L175">
        <f t="shared" si="15"/>
        <v>5.6864054991337322E-4</v>
      </c>
    </row>
    <row r="176" spans="8:12" x14ac:dyDescent="0.2">
      <c r="H176">
        <f t="shared" si="13"/>
        <v>-4.2749999999999932</v>
      </c>
      <c r="I176">
        <f t="shared" si="14"/>
        <v>4.2895182550128498E-5</v>
      </c>
      <c r="J176">
        <f t="shared" si="16"/>
        <v>-1.1326727386417024E-6</v>
      </c>
      <c r="K176">
        <f t="shared" si="17"/>
        <v>4.8280175484602488E-6</v>
      </c>
      <c r="L176">
        <f t="shared" si="15"/>
        <v>5.1859230525287453E-4</v>
      </c>
    </row>
    <row r="177" spans="8:12" x14ac:dyDescent="0.2">
      <c r="H177">
        <f t="shared" si="13"/>
        <v>-4.2999999999999936</v>
      </c>
      <c r="I177">
        <f t="shared" si="14"/>
        <v>3.8535196742088159E-5</v>
      </c>
      <c r="J177">
        <f t="shared" si="16"/>
        <v>-1.0178797411527227E-6</v>
      </c>
      <c r="K177">
        <f t="shared" si="17"/>
        <v>4.3641593901922917E-6</v>
      </c>
      <c r="L177">
        <f t="shared" si="15"/>
        <v>4.7260463062277313E-4</v>
      </c>
    </row>
    <row r="178" spans="8:12" x14ac:dyDescent="0.2">
      <c r="H178">
        <f t="shared" si="13"/>
        <v>-4.324999999999994</v>
      </c>
      <c r="I178">
        <f t="shared" si="14"/>
        <v>3.4596742310649857E-5</v>
      </c>
      <c r="J178">
        <f t="shared" si="16"/>
        <v>-9.1414923815923812E-7</v>
      </c>
      <c r="K178">
        <f t="shared" si="17"/>
        <v>3.9422685895617089E-6</v>
      </c>
      <c r="L178">
        <f t="shared" si="15"/>
        <v>4.3038207700449538E-4</v>
      </c>
    </row>
    <row r="179" spans="8:12" x14ac:dyDescent="0.2">
      <c r="H179">
        <f t="shared" si="13"/>
        <v>-4.3499999999999943</v>
      </c>
      <c r="I179">
        <f t="shared" si="14"/>
        <v>3.1041407057850985E-5</v>
      </c>
      <c r="J179">
        <f t="shared" si="16"/>
        <v>-8.2047686710627221E-7</v>
      </c>
      <c r="K179">
        <f t="shared" si="17"/>
        <v>3.558818411073451E-6</v>
      </c>
      <c r="L179">
        <f t="shared" si="15"/>
        <v>3.9164745381175669E-4</v>
      </c>
    </row>
    <row r="180" spans="8:12" x14ac:dyDescent="0.2">
      <c r="H180">
        <f t="shared" si="13"/>
        <v>-4.3749999999999947</v>
      </c>
      <c r="I180">
        <f t="shared" si="14"/>
        <v>2.7834034229215523E-5</v>
      </c>
      <c r="J180">
        <f t="shared" si="16"/>
        <v>-7.3594301608834182E-7</v>
      </c>
      <c r="K180">
        <f t="shared" si="17"/>
        <v>3.2105514076853871E-6</v>
      </c>
      <c r="L180">
        <f t="shared" si="15"/>
        <v>3.561410015661723E-4</v>
      </c>
    </row>
    <row r="181" spans="8:12" x14ac:dyDescent="0.2">
      <c r="H181">
        <f t="shared" si="13"/>
        <v>-4.399999999999995</v>
      </c>
      <c r="I181">
        <f t="shared" si="14"/>
        <v>2.4942471290054108E-5</v>
      </c>
      <c r="J181">
        <f t="shared" si="16"/>
        <v>-6.5970631899087974E-7</v>
      </c>
      <c r="K181">
        <f t="shared" si="17"/>
        <v>2.8944614745724814E-6</v>
      </c>
      <c r="L181">
        <f t="shared" si="15"/>
        <v>3.2361957358804358E-4</v>
      </c>
    </row>
    <row r="182" spans="8:12" x14ac:dyDescent="0.2">
      <c r="H182">
        <f t="shared" si="13"/>
        <v>-4.4249999999999954</v>
      </c>
      <c r="I182">
        <f t="shared" si="14"/>
        <v>2.2337335692076468E-5</v>
      </c>
      <c r="J182">
        <f t="shared" si="16"/>
        <v>-5.9099758727664061E-7</v>
      </c>
      <c r="K182">
        <f t="shared" si="17"/>
        <v>2.607776853858174E-6</v>
      </c>
      <c r="L182">
        <f t="shared" si="15"/>
        <v>2.9385582982360798E-4</v>
      </c>
    </row>
    <row r="183" spans="8:12" x14ac:dyDescent="0.2">
      <c r="H183">
        <f t="shared" si="13"/>
        <v>-4.4499999999999957</v>
      </c>
      <c r="I183">
        <f t="shared" si="14"/>
        <v>1.9991796706923181E-5</v>
      </c>
      <c r="J183">
        <f t="shared" si="16"/>
        <v>-5.2911415498750313E-7</v>
      </c>
      <c r="K183">
        <f t="shared" si="17"/>
        <v>2.3479440627570429E-6</v>
      </c>
      <c r="L183">
        <f t="shared" si="15"/>
        <v>2.6663744554139822E-4</v>
      </c>
    </row>
    <row r="184" spans="8:12" x14ac:dyDescent="0.2">
      <c r="H184">
        <f t="shared" si="13"/>
        <v>-4.4749999999999961</v>
      </c>
      <c r="I184">
        <f t="shared" si="14"/>
        <v>1.7881372432324655E-5</v>
      </c>
      <c r="J184">
        <f t="shared" si="16"/>
        <v>-4.734146142406047E-7</v>
      </c>
      <c r="K184">
        <f t="shared" si="17"/>
        <v>2.1126127160486966E-6</v>
      </c>
      <c r="L184">
        <f t="shared" si="15"/>
        <v>2.4176633726496027E-4</v>
      </c>
    </row>
    <row r="185" spans="8:12" x14ac:dyDescent="0.2">
      <c r="H185">
        <f t="shared" si="13"/>
        <v>-4.4999999999999964</v>
      </c>
      <c r="I185">
        <f t="shared" si="14"/>
        <v>1.5983741106905729E-5</v>
      </c>
      <c r="J185">
        <f t="shared" si="16"/>
        <v>-4.2331391924038586E-7</v>
      </c>
      <c r="K185">
        <f t="shared" si="17"/>
        <v>1.8996212125912299E-6</v>
      </c>
      <c r="L185">
        <f t="shared" si="15"/>
        <v>2.1905790796711744E-4</v>
      </c>
    </row>
    <row r="186" spans="8:12" x14ac:dyDescent="0.2">
      <c r="H186">
        <f t="shared" si="13"/>
        <v>-4.5249999999999968</v>
      </c>
      <c r="I186">
        <f t="shared" si="14"/>
        <v>1.4278565900888E-5</v>
      </c>
      <c r="J186">
        <f t="shared" si="16"/>
        <v>-3.7827883759742699E-7</v>
      </c>
      <c r="K186">
        <f t="shared" si="17"/>
        <v>1.7069832546583881E-6</v>
      </c>
      <c r="L186">
        <f t="shared" si="15"/>
        <v>1.9834031323215896E-4</v>
      </c>
    </row>
    <row r="187" spans="8:12" x14ac:dyDescent="0.2">
      <c r="H187">
        <f t="shared" si="13"/>
        <v>-4.5499999999999972</v>
      </c>
      <c r="I187">
        <f t="shared" si="14"/>
        <v>1.2747332381833601E-5</v>
      </c>
      <c r="J187">
        <f t="shared" si="16"/>
        <v>-3.3782372853402485E-7</v>
      </c>
      <c r="K187">
        <f t="shared" si="17"/>
        <v>1.5328751682231367E-6</v>
      </c>
      <c r="L187">
        <f t="shared" si="15"/>
        <v>1.794537497964562E-4</v>
      </c>
    </row>
    <row r="188" spans="8:12" x14ac:dyDescent="0.2">
      <c r="H188">
        <f t="shared" si="13"/>
        <v>-4.5749999999999975</v>
      </c>
      <c r="I188">
        <f t="shared" si="14"/>
        <v>1.1373197886886796E-5</v>
      </c>
      <c r="J188">
        <f t="shared" si="16"/>
        <v>-3.0150662835900925E-7</v>
      </c>
      <c r="K188">
        <f t="shared" si="17"/>
        <v>1.3756239918879788E-6</v>
      </c>
      <c r="L188">
        <f t="shared" si="15"/>
        <v>1.6224976760470251E-4</v>
      </c>
    </row>
    <row r="189" spans="8:12" x14ac:dyDescent="0.2">
      <c r="H189">
        <f t="shared" si="13"/>
        <v>-4.5999999999999979</v>
      </c>
      <c r="I189">
        <f t="shared" si="14"/>
        <v>1.014085206548685E-5</v>
      </c>
      <c r="J189">
        <f t="shared" si="16"/>
        <v>-2.6892562440467441E-7</v>
      </c>
      <c r="K189">
        <f t="shared" si="17"/>
        <v>1.2336963019564433E-6</v>
      </c>
      <c r="L189">
        <f t="shared" si="15"/>
        <v>1.4659060626767638E-4</v>
      </c>
    </row>
    <row r="190" spans="8:12" x14ac:dyDescent="0.2">
      <c r="H190">
        <f t="shared" si="13"/>
        <v>-4.6249999999999982</v>
      </c>
      <c r="I190">
        <f t="shared" si="14"/>
        <v>9.036387889051453E-6</v>
      </c>
      <c r="J190">
        <f t="shared" si="16"/>
        <v>-2.3971549943173223E-7</v>
      </c>
      <c r="K190">
        <f t="shared" si="17"/>
        <v>1.1056877411288644E-6</v>
      </c>
      <c r="L190">
        <f t="shared" si="15"/>
        <v>1.3234855657749656E-4</v>
      </c>
    </row>
    <row r="191" spans="8:12" x14ac:dyDescent="0.2">
      <c r="H191">
        <f t="shared" si="13"/>
        <v>-4.6499999999999986</v>
      </c>
      <c r="I191">
        <f t="shared" si="14"/>
        <v>8.0471824564923511E-6</v>
      </c>
      <c r="J191">
        <f t="shared" si="16"/>
        <v>-2.1354462931930056E-7</v>
      </c>
      <c r="K191">
        <f t="shared" si="17"/>
        <v>9.9031321846825607E-7</v>
      </c>
      <c r="L191">
        <f t="shared" si="15"/>
        <v>1.1940534752705688E-4</v>
      </c>
    </row>
    <row r="192" spans="8:12" x14ac:dyDescent="0.2">
      <c r="H192">
        <f t="shared" si="13"/>
        <v>-4.6749999999999989</v>
      </c>
      <c r="I192">
        <f t="shared" si="14"/>
        <v>7.1617869564679648E-6</v>
      </c>
      <c r="J192">
        <f t="shared" si="16"/>
        <v>-1.9011211766200665E-7</v>
      </c>
      <c r="K192">
        <f t="shared" si="17"/>
        <v>8.8639774859910575E-7</v>
      </c>
      <c r="L192">
        <f t="shared" si="15"/>
        <v>1.0765155909086932E-4</v>
      </c>
    </row>
    <row r="193" spans="8:12" x14ac:dyDescent="0.2">
      <c r="H193">
        <f t="shared" si="13"/>
        <v>-4.6999999999999993</v>
      </c>
      <c r="I193">
        <f t="shared" si="14"/>
        <v>6.3698251788671238E-6</v>
      </c>
      <c r="J193">
        <f t="shared" si="16"/>
        <v>-1.6914515169169101E-7</v>
      </c>
      <c r="K193">
        <f t="shared" si="17"/>
        <v>7.9286789855480148E-7</v>
      </c>
      <c r="L193">
        <f t="shared" si="15"/>
        <v>9.6986060854061952E-5</v>
      </c>
    </row>
    <row r="194" spans="8:12" x14ac:dyDescent="0.2">
      <c r="H194">
        <f t="shared" si="13"/>
        <v>-4.7249999999999996</v>
      </c>
      <c r="I194">
        <f t="shared" si="14"/>
        <v>5.6618999990348584E-6</v>
      </c>
      <c r="J194">
        <f t="shared" si="16"/>
        <v>-1.5039656472377689E-7</v>
      </c>
      <c r="K194">
        <f t="shared" si="17"/>
        <v>7.0874381126079857E-7</v>
      </c>
      <c r="L194">
        <f t="shared" si="15"/>
        <v>8.7315476423850241E-5</v>
      </c>
    </row>
    <row r="195" spans="8:12" x14ac:dyDescent="0.2">
      <c r="H195">
        <f t="shared" si="13"/>
        <v>-4.75</v>
      </c>
      <c r="I195">
        <f t="shared" si="14"/>
        <v>5.0295072885924454E-6</v>
      </c>
      <c r="J195">
        <f t="shared" si="16"/>
        <v>-1.3364259109534319E-7</v>
      </c>
      <c r="K195">
        <f t="shared" si="17"/>
        <v>6.3313177531418833E-7</v>
      </c>
      <c r="L195">
        <f t="shared" si="15"/>
        <v>7.8553673422472522E-5</v>
      </c>
    </row>
    <row r="196" spans="8:12" x14ac:dyDescent="0.2">
      <c r="H196">
        <f t="shared" si="13"/>
        <v>-4.7750000000000004</v>
      </c>
      <c r="I196">
        <f t="shared" si="14"/>
        <v>4.4649567362846312E-6</v>
      </c>
      <c r="J196">
        <f t="shared" si="16"/>
        <v>-1.1868080031096515E-7</v>
      </c>
      <c r="K196">
        <f t="shared" si="17"/>
        <v>5.6521731148097158E-7</v>
      </c>
      <c r="L196">
        <f t="shared" si="15"/>
        <v>7.0621278741409173E-5</v>
      </c>
    </row>
    <row r="197" spans="8:12" x14ac:dyDescent="0.2">
      <c r="H197">
        <f t="shared" si="13"/>
        <v>-4.8000000000000007</v>
      </c>
      <c r="I197">
        <f t="shared" si="14"/>
        <v>3.9612990910320609E-6</v>
      </c>
      <c r="J197">
        <f t="shared" si="16"/>
        <v>-1.0532819784146013E-7</v>
      </c>
      <c r="K197">
        <f t="shared" si="17"/>
        <v>5.0425874716599045E-7</v>
      </c>
      <c r="L197">
        <f t="shared" si="15"/>
        <v>6.3445218632681322E-5</v>
      </c>
    </row>
    <row r="198" spans="8:12" x14ac:dyDescent="0.2">
      <c r="H198">
        <f t="shared" ref="H198:H220" si="18">H197+$G$5</f>
        <v>-4.8250000000000011</v>
      </c>
      <c r="I198">
        <f t="shared" ref="I198:I220" si="19">(1/($G$7*SQRTPI(2)))*EXP(-0.5*((H198-$G$6)/$G$7)^2)</f>
        <v>3.5122593672182655E-6</v>
      </c>
      <c r="J198">
        <f t="shared" si="16"/>
        <v>-9.3419480728130398E-8</v>
      </c>
      <c r="K198">
        <f t="shared" si="17"/>
        <v>4.4958125100412761E-7</v>
      </c>
      <c r="L198">
        <f t="shared" si="15"/>
        <v>5.6958283123189002E-5</v>
      </c>
    </row>
    <row r="199" spans="8:12" x14ac:dyDescent="0.2">
      <c r="H199">
        <f t="shared" si="18"/>
        <v>-4.8500000000000014</v>
      </c>
      <c r="I199">
        <f t="shared" si="19"/>
        <v>3.1121755791489169E-6</v>
      </c>
      <c r="J199">
        <f t="shared" si="16"/>
        <v>-8.2805436829590963E-8</v>
      </c>
      <c r="K199">
        <f t="shared" si="17"/>
        <v>4.0057130066314638E-7</v>
      </c>
      <c r="L199">
        <f t="shared" ref="L199:L220" si="20">($B$7-H199)^2*I199</f>
        <v>5.1098714161407404E-5</v>
      </c>
    </row>
    <row r="200" spans="8:12" x14ac:dyDescent="0.2">
      <c r="H200">
        <f t="shared" si="18"/>
        <v>-4.8750000000000018</v>
      </c>
      <c r="I200">
        <f t="shared" si="19"/>
        <v>2.755942597549948E-6</v>
      </c>
      <c r="J200">
        <f t="shared" si="16"/>
        <v>-7.335147720873686E-8</v>
      </c>
      <c r="K200">
        <f t="shared" si="17"/>
        <v>3.5667155792748309E-7</v>
      </c>
      <c r="L200">
        <f t="shared" si="20"/>
        <v>4.580981684135431E-5</v>
      </c>
    </row>
    <row r="201" spans="8:12" x14ac:dyDescent="0.2">
      <c r="H201">
        <f t="shared" si="18"/>
        <v>-4.9000000000000021</v>
      </c>
      <c r="I201">
        <f t="shared" si="19"/>
        <v>2.4389607458933348E-6</v>
      </c>
      <c r="J201">
        <f t="shared" si="16"/>
        <v>-6.4936291793041959E-8</v>
      </c>
      <c r="K201">
        <f t="shared" si="17"/>
        <v>3.1737612613849272E-7</v>
      </c>
      <c r="L201">
        <f t="shared" si="20"/>
        <v>4.1039592995626396E-5</v>
      </c>
    </row>
    <row r="202" spans="8:12" x14ac:dyDescent="0.2">
      <c r="H202">
        <f t="shared" si="18"/>
        <v>-4.9250000000000025</v>
      </c>
      <c r="I202">
        <f t="shared" si="19"/>
        <v>2.1570887782364207E-6</v>
      </c>
      <c r="J202">
        <f t="shared" si="16"/>
        <v>-5.7450619051622758E-8</v>
      </c>
      <c r="K202">
        <f t="shared" si="17"/>
        <v>2.8222616609109693E-7</v>
      </c>
      <c r="L202">
        <f t="shared" si="20"/>
        <v>3.6740396406550377E-5</v>
      </c>
    </row>
    <row r="203" spans="8:12" x14ac:dyDescent="0.2">
      <c r="H203">
        <f t="shared" si="18"/>
        <v>-4.9500000000000028</v>
      </c>
      <c r="I203">
        <f t="shared" si="19"/>
        <v>1.9066009031227839E-6</v>
      </c>
      <c r="J203">
        <f t="shared" si="16"/>
        <v>-5.0796121016990775E-8</v>
      </c>
      <c r="K203">
        <f t="shared" si="17"/>
        <v>2.5080584752139211E-7</v>
      </c>
      <c r="L203">
        <f t="shared" si="20"/>
        <v>3.2868608851215692E-5</v>
      </c>
    </row>
    <row r="204" spans="8:12" x14ac:dyDescent="0.2">
      <c r="H204">
        <f t="shared" si="18"/>
        <v>-4.9750000000000032</v>
      </c>
      <c r="I204">
        <f t="shared" si="19"/>
        <v>1.6841475399168487E-6</v>
      </c>
      <c r="J204">
        <f t="shared" si="16"/>
        <v>-4.4884355537996044E-8</v>
      </c>
      <c r="K204">
        <f t="shared" si="17"/>
        <v>2.2273861435730552E-7</v>
      </c>
      <c r="L204">
        <f t="shared" si="20"/>
        <v>2.9384336171488713E-5</v>
      </c>
    </row>
    <row r="205" spans="8:12" x14ac:dyDescent="0.2">
      <c r="H205">
        <f t="shared" si="18"/>
        <v>-5.0000000000000036</v>
      </c>
      <c r="I205">
        <f t="shared" si="19"/>
        <v>1.4867195147342714E-6</v>
      </c>
      <c r="J205">
        <f t="shared" si="16"/>
        <v>-3.9635838183139561E-8</v>
      </c>
      <c r="K205">
        <f t="shared" si="17"/>
        <v>1.9768374293840869E-7</v>
      </c>
      <c r="L205">
        <f t="shared" si="20"/>
        <v>2.62511235432262E-5</v>
      </c>
    </row>
    <row r="206" spans="8:12" x14ac:dyDescent="0.2">
      <c r="H206">
        <f t="shared" si="18"/>
        <v>-5.0250000000000039</v>
      </c>
      <c r="I206">
        <f t="shared" si="19"/>
        <v>1.3116154228950171E-6</v>
      </c>
      <c r="J206">
        <f t="shared" si="16"/>
        <v>-3.4979186720366606E-8</v>
      </c>
      <c r="K206">
        <f t="shared" si="17"/>
        <v>1.7533317343583775E-7</v>
      </c>
      <c r="L206">
        <f t="shared" si="20"/>
        <v>2.3435689109026303E-5</v>
      </c>
    </row>
    <row r="207" spans="8:12" x14ac:dyDescent="0.2">
      <c r="H207">
        <f t="shared" si="18"/>
        <v>-5.0500000000000043</v>
      </c>
      <c r="I207">
        <f t="shared" si="19"/>
        <v>1.1564119035797567E-6</v>
      </c>
      <c r="J207">
        <f t="shared" si="16"/>
        <v>-3.0850341580935113E-8</v>
      </c>
      <c r="K207">
        <f t="shared" si="17"/>
        <v>1.5540859571396076E-7</v>
      </c>
      <c r="L207">
        <f t="shared" si="20"/>
        <v>2.090767513522319E-5</v>
      </c>
    </row>
    <row r="208" spans="8:12" x14ac:dyDescent="0.2">
      <c r="H208">
        <f t="shared" si="18"/>
        <v>-5.0750000000000046</v>
      </c>
      <c r="I208">
        <f t="shared" si="19"/>
        <v>1.0189365901318526E-6</v>
      </c>
      <c r="J208">
        <f t="shared" si="16"/>
        <v>-2.7191856171395499E-8</v>
      </c>
      <c r="K208">
        <f t="shared" si="17"/>
        <v>1.3765877186768982E-7</v>
      </c>
      <c r="L208">
        <f t="shared" si="20"/>
        <v>1.8639415855752258E-5</v>
      </c>
    </row>
    <row r="209" spans="8:12" x14ac:dyDescent="0.2">
      <c r="H209">
        <f t="shared" si="18"/>
        <v>-5.100000000000005</v>
      </c>
      <c r="I209">
        <f t="shared" si="19"/>
        <v>8.9724351623830992E-7</v>
      </c>
      <c r="J209">
        <f t="shared" si="16"/>
        <v>-2.3952251329627374E-8</v>
      </c>
      <c r="K209">
        <f t="shared" si="17"/>
        <v>1.2185707863947938E-7</v>
      </c>
      <c r="L209">
        <f t="shared" si="20"/>
        <v>1.6605721172312397E-5</v>
      </c>
    </row>
    <row r="210" spans="8:12" x14ac:dyDescent="0.2">
      <c r="H210">
        <f t="shared" si="18"/>
        <v>-5.1250000000000053</v>
      </c>
      <c r="I210">
        <f t="shared" si="19"/>
        <v>7.8959077406937827E-7</v>
      </c>
      <c r="J210">
        <f t="shared" si="16"/>
        <v>-2.1085428628846403E-8</v>
      </c>
      <c r="K210">
        <f t="shared" si="17"/>
        <v>1.0779925386497734E-7</v>
      </c>
      <c r="L210">
        <f t="shared" si="20"/>
        <v>1.4783675391316925E-5</v>
      </c>
    </row>
    <row r="211" spans="8:12" x14ac:dyDescent="0.2">
      <c r="H211">
        <f t="shared" si="18"/>
        <v>-5.1500000000000057</v>
      </c>
      <c r="I211">
        <f t="shared" si="19"/>
        <v>6.944202353855154E-7</v>
      </c>
      <c r="J211">
        <f t="shared" si="16"/>
        <v>-1.8550137618186434E-8</v>
      </c>
      <c r="K211">
        <f t="shared" si="17"/>
        <v>9.5301332013432911E-8</v>
      </c>
      <c r="L211">
        <f t="shared" si="20"/>
        <v>1.3152450192871723E-5</v>
      </c>
    </row>
    <row r="212" spans="8:12" x14ac:dyDescent="0.2">
      <c r="H212">
        <f t="shared" si="18"/>
        <v>-5.175000000000006</v>
      </c>
      <c r="I212">
        <f t="shared" si="19"/>
        <v>6.1033916066226792E-7</v>
      </c>
      <c r="J212">
        <f t="shared" si="16"/>
        <v>-1.6309492450597522E-8</v>
      </c>
      <c r="K212">
        <f t="shared" si="17"/>
        <v>8.4197754776209801E-8</v>
      </c>
      <c r="L212">
        <f t="shared" si="20"/>
        <v>1.1693131044913574E-5</v>
      </c>
    </row>
    <row r="213" spans="8:12" x14ac:dyDescent="0.2">
      <c r="H213">
        <f t="shared" si="18"/>
        <v>-5.2000000000000064</v>
      </c>
      <c r="I213">
        <f t="shared" si="19"/>
        <v>5.361035344697443E-7</v>
      </c>
      <c r="J213">
        <f t="shared" si="16"/>
        <v>-1.4330533689150358E-8</v>
      </c>
      <c r="K213">
        <f t="shared" si="17"/>
        <v>7.4339643512467577E-8</v>
      </c>
      <c r="L213">
        <f t="shared" si="20"/>
        <v>1.0388556296186277E-5</v>
      </c>
    </row>
    <row r="214" spans="8:12" x14ac:dyDescent="0.2">
      <c r="H214">
        <f t="shared" si="18"/>
        <v>-5.2250000000000068</v>
      </c>
      <c r="I214">
        <f t="shared" si="19"/>
        <v>4.7060297770665687E-7</v>
      </c>
      <c r="J214">
        <f t="shared" si="16"/>
        <v>-1.2583831402205192E-8</v>
      </c>
      <c r="K214">
        <f t="shared" si="17"/>
        <v>6.5593221183994646E-8</v>
      </c>
      <c r="L214">
        <f t="shared" si="20"/>
        <v>9.2231682044726176E-6</v>
      </c>
    </row>
    <row r="215" spans="8:12" x14ac:dyDescent="0.2">
      <c r="H215">
        <f t="shared" si="18"/>
        <v>-5.2500000000000071</v>
      </c>
      <c r="I215">
        <f t="shared" si="19"/>
        <v>4.1284709886298449E-7</v>
      </c>
      <c r="J215">
        <f t="shared" si="16"/>
        <v>-1.1043125957120673E-8</v>
      </c>
      <c r="K215">
        <f t="shared" si="17"/>
        <v>5.78383722004196E-8</v>
      </c>
      <c r="L215">
        <f t="shared" si="20"/>
        <v>8.1828751810176468E-6</v>
      </c>
    </row>
    <row r="216" spans="8:12" x14ac:dyDescent="0.2">
      <c r="H216">
        <f t="shared" si="18"/>
        <v>-5.2750000000000075</v>
      </c>
      <c r="I216">
        <f t="shared" si="19"/>
        <v>3.6195315730454275E-7</v>
      </c>
      <c r="J216">
        <f t="shared" si="16"/>
        <v>-9.6850032020942291E-9</v>
      </c>
      <c r="K216">
        <f t="shared" si="17"/>
        <v>5.0967329351020953E-8</v>
      </c>
      <c r="L216">
        <f t="shared" si="20"/>
        <v>7.2549245579961216E-6</v>
      </c>
    </row>
    <row r="217" spans="8:12" x14ac:dyDescent="0.2">
      <c r="H217">
        <f t="shared" si="18"/>
        <v>-5.3000000000000078</v>
      </c>
      <c r="I217">
        <f t="shared" si="19"/>
        <v>3.1713492167158462E-7</v>
      </c>
      <c r="J217">
        <f t="shared" si="16"/>
        <v>-8.4886009872017136E-9</v>
      </c>
      <c r="K217">
        <f t="shared" si="17"/>
        <v>4.4883477719829128E-8</v>
      </c>
      <c r="L217">
        <f t="shared" si="20"/>
        <v>6.4277852128488564E-6</v>
      </c>
    </row>
    <row r="218" spans="8:12" x14ac:dyDescent="0.2">
      <c r="H218">
        <f t="shared" si="18"/>
        <v>-5.3250000000000082</v>
      </c>
      <c r="I218">
        <f t="shared" si="19"/>
        <v>2.7769261589659089E-7</v>
      </c>
      <c r="J218">
        <f t="shared" si="16"/>
        <v>-7.4353442196023001E-9</v>
      </c>
      <c r="K218">
        <f t="shared" si="17"/>
        <v>3.9500266166637277E-8</v>
      </c>
      <c r="L218">
        <f t="shared" si="20"/>
        <v>5.6910394110307356E-6</v>
      </c>
    </row>
    <row r="219" spans="8:12" x14ac:dyDescent="0.2">
      <c r="H219">
        <f t="shared" si="18"/>
        <v>-5.3500000000000085</v>
      </c>
      <c r="I219">
        <f t="shared" si="19"/>
        <v>2.4300385410804185E-7</v>
      </c>
      <c r="J219">
        <f t="shared" si="16"/>
        <v>-6.508705875058001E-9</v>
      </c>
      <c r="K219">
        <f t="shared" si="17"/>
        <v>3.4740217608122135E-8</v>
      </c>
      <c r="L219">
        <f t="shared" si="20"/>
        <v>5.0352832569013592E-6</v>
      </c>
    </row>
    <row r="220" spans="8:12" x14ac:dyDescent="0.2">
      <c r="H220">
        <f t="shared" si="18"/>
        <v>-5.3750000000000089</v>
      </c>
      <c r="I220">
        <f t="shared" si="19"/>
        <v>2.1251547383101861E-7</v>
      </c>
      <c r="J220">
        <f t="shared" si="16"/>
        <v>-5.6939915992383364E-9</v>
      </c>
      <c r="K220">
        <f t="shared" si="17"/>
        <v>3.0534029950915629E-8</v>
      </c>
      <c r="L220">
        <f t="shared" si="20"/>
        <v>4.4520351708993332E-6</v>
      </c>
    </row>
  </sheetData>
  <phoneticPr fontId="23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U1015"/>
  <sheetViews>
    <sheetView workbookViewId="0">
      <selection activeCell="U12" sqref="U12"/>
    </sheetView>
  </sheetViews>
  <sheetFormatPr baseColWidth="10" defaultColWidth="8.83203125" defaultRowHeight="15" x14ac:dyDescent="0.2"/>
  <cols>
    <col min="2" max="2" width="12.1640625" customWidth="1"/>
    <col min="15" max="15" width="14.5" customWidth="1"/>
    <col min="17" max="17" width="12" customWidth="1"/>
    <col min="18" max="18" width="15" customWidth="1"/>
    <col min="21" max="21" width="12.6640625" bestFit="1" customWidth="1"/>
  </cols>
  <sheetData>
    <row r="2" spans="2:21" ht="16" thickBot="1" x14ac:dyDescent="0.25"/>
    <row r="3" spans="2:21" x14ac:dyDescent="0.2">
      <c r="B3" s="160" t="s">
        <v>180</v>
      </c>
    </row>
    <row r="4" spans="2:21" x14ac:dyDescent="0.2">
      <c r="B4" s="161" t="s">
        <v>181</v>
      </c>
    </row>
    <row r="5" spans="2:21" x14ac:dyDescent="0.2">
      <c r="B5" s="161">
        <f>'Risk Valuation'!D4</f>
        <v>1164</v>
      </c>
    </row>
    <row r="6" spans="2:21" x14ac:dyDescent="0.2">
      <c r="B6" s="161" t="s">
        <v>182</v>
      </c>
    </row>
    <row r="7" spans="2:21" x14ac:dyDescent="0.2">
      <c r="B7" s="161">
        <f>'Risk Valuation'!D8</f>
        <v>59.30078115443586</v>
      </c>
    </row>
    <row r="8" spans="2:21" x14ac:dyDescent="0.2">
      <c r="B8" s="161" t="s">
        <v>183</v>
      </c>
    </row>
    <row r="9" spans="2:21" x14ac:dyDescent="0.2">
      <c r="B9" s="162">
        <f ca="1">NORMINV(B11,B5,B7)</f>
        <v>1155.893881744593</v>
      </c>
    </row>
    <row r="10" spans="2:21" x14ac:dyDescent="0.2">
      <c r="B10" s="163" t="s">
        <v>184</v>
      </c>
      <c r="U10" s="187">
        <f>SUM(U12:U31)*'Risk Valuation'!E26</f>
        <v>1236407.646863058</v>
      </c>
    </row>
    <row r="11" spans="2:21" ht="16" thickBot="1" x14ac:dyDescent="0.25">
      <c r="B11" s="164">
        <f ca="1">RAND()</f>
        <v>0.44563595442062731</v>
      </c>
      <c r="U11" s="171">
        <f>'Financial model'!H6+'Risk Valuation'!E26</f>
        <v>8.3335939783917595E-2</v>
      </c>
    </row>
    <row r="12" spans="2:21" x14ac:dyDescent="0.2">
      <c r="B12" s="165"/>
      <c r="R12" s="186">
        <f>NPV(0*2.8%,R13:R32)</f>
        <v>20621724</v>
      </c>
      <c r="S12">
        <v>1</v>
      </c>
      <c r="T12">
        <v>2003846.9211544001</v>
      </c>
      <c r="U12">
        <f>T12/(1+$U$11)^S12</f>
        <v>1849700.4000015804</v>
      </c>
    </row>
    <row r="13" spans="2:21" ht="16" x14ac:dyDescent="0.2">
      <c r="B13" s="165"/>
      <c r="L13" s="183">
        <v>0</v>
      </c>
      <c r="M13" s="184">
        <v>1</v>
      </c>
      <c r="N13" s="185">
        <v>17463</v>
      </c>
      <c r="O13" s="185">
        <v>1328568</v>
      </c>
      <c r="P13" s="185">
        <v>6253</v>
      </c>
      <c r="Q13" s="185">
        <v>1352284</v>
      </c>
      <c r="R13" s="185">
        <v>563786</v>
      </c>
      <c r="S13">
        <v>2</v>
      </c>
      <c r="T13">
        <v>2045727.3218065265</v>
      </c>
      <c r="U13">
        <f t="shared" ref="U13:U31" si="0">T13/(1+$U$11)^S13</f>
        <v>1743096.5492922403</v>
      </c>
    </row>
    <row r="14" spans="2:21" ht="16" x14ac:dyDescent="0.2">
      <c r="B14">
        <v>1</v>
      </c>
      <c r="L14" s="183">
        <v>1</v>
      </c>
      <c r="M14" s="184">
        <v>2</v>
      </c>
      <c r="N14" s="185">
        <v>17828</v>
      </c>
      <c r="O14" s="185">
        <v>1319701</v>
      </c>
      <c r="P14" s="185">
        <v>6409</v>
      </c>
      <c r="Q14" s="185">
        <v>1343938</v>
      </c>
      <c r="R14" s="185">
        <v>590617</v>
      </c>
      <c r="S14">
        <v>3</v>
      </c>
      <c r="T14">
        <v>2088483.0228322835</v>
      </c>
      <c r="U14">
        <f t="shared" si="0"/>
        <v>1642636.602204293</v>
      </c>
    </row>
    <row r="15" spans="2:21" ht="16" x14ac:dyDescent="0.2">
      <c r="B15" t="s">
        <v>185</v>
      </c>
      <c r="C15">
        <f ca="1">PM_Trials</f>
        <v>1155.893881744593</v>
      </c>
      <c r="L15" s="183">
        <v>2</v>
      </c>
      <c r="M15" s="184">
        <v>3</v>
      </c>
      <c r="N15" s="185">
        <v>18201</v>
      </c>
      <c r="O15" s="185">
        <v>1307617</v>
      </c>
      <c r="P15" s="185">
        <v>6569</v>
      </c>
      <c r="Q15" s="185">
        <v>1332387</v>
      </c>
      <c r="R15" s="185">
        <v>619948</v>
      </c>
      <c r="S15">
        <v>4</v>
      </c>
      <c r="T15">
        <v>2132132.3180094785</v>
      </c>
      <c r="U15">
        <f t="shared" si="0"/>
        <v>1547966.4669159332</v>
      </c>
    </row>
    <row r="16" spans="2:21" ht="16" x14ac:dyDescent="0.2">
      <c r="B16">
        <v>1</v>
      </c>
      <c r="C16">
        <f t="dataTable" ref="C16:C1015" dt2D="0" dtr="0" r1="B14" ca="1"/>
        <v>1203.3120406216478</v>
      </c>
      <c r="L16" s="183">
        <v>3</v>
      </c>
      <c r="M16" s="184">
        <v>4</v>
      </c>
      <c r="N16" s="185">
        <v>18581</v>
      </c>
      <c r="O16" s="185">
        <v>1291997</v>
      </c>
      <c r="P16" s="185">
        <v>6733</v>
      </c>
      <c r="Q16" s="185">
        <v>1317312</v>
      </c>
      <c r="R16" s="185">
        <v>651994</v>
      </c>
      <c r="S16">
        <v>5</v>
      </c>
      <c r="T16">
        <v>2176693.8834558753</v>
      </c>
      <c r="U16">
        <f t="shared" si="0"/>
        <v>1458752.4589922549</v>
      </c>
    </row>
    <row r="17" spans="2:21" ht="16" x14ac:dyDescent="0.2">
      <c r="B17">
        <v>2</v>
      </c>
      <c r="C17">
        <v>1102.0049365932421</v>
      </c>
      <c r="L17" s="183">
        <v>4</v>
      </c>
      <c r="M17" s="184">
        <v>5</v>
      </c>
      <c r="N17" s="185">
        <v>18970</v>
      </c>
      <c r="O17" s="185">
        <v>1272496</v>
      </c>
      <c r="P17" s="185">
        <v>6902</v>
      </c>
      <c r="Q17" s="185">
        <v>1298367</v>
      </c>
      <c r="R17" s="185">
        <v>686991</v>
      </c>
      <c r="S17">
        <v>6</v>
      </c>
      <c r="T17">
        <v>2222186.7856201036</v>
      </c>
      <c r="U17">
        <f t="shared" si="0"/>
        <v>1374680.1252455798</v>
      </c>
    </row>
    <row r="18" spans="2:21" ht="16" x14ac:dyDescent="0.2">
      <c r="B18">
        <v>3</v>
      </c>
      <c r="C18">
        <v>1187.2684579665613</v>
      </c>
      <c r="L18" s="183">
        <v>5</v>
      </c>
      <c r="M18" s="184">
        <v>6</v>
      </c>
      <c r="N18" s="185">
        <v>19366</v>
      </c>
      <c r="O18" s="185">
        <v>1248738</v>
      </c>
      <c r="P18" s="185">
        <v>7074</v>
      </c>
      <c r="Q18" s="185">
        <v>1275179</v>
      </c>
      <c r="R18" s="185">
        <v>725191</v>
      </c>
      <c r="S18">
        <v>7</v>
      </c>
      <c r="T18">
        <v>2268630.4894395629</v>
      </c>
      <c r="U18">
        <f t="shared" si="0"/>
        <v>1295453.1353802742</v>
      </c>
    </row>
    <row r="19" spans="2:21" ht="16" x14ac:dyDescent="0.2">
      <c r="B19">
        <v>4</v>
      </c>
      <c r="C19">
        <v>1111.2347048555421</v>
      </c>
      <c r="L19" s="183">
        <v>6</v>
      </c>
      <c r="M19" s="184">
        <v>7</v>
      </c>
      <c r="N19" s="185">
        <v>19771</v>
      </c>
      <c r="O19" s="185">
        <v>1220317</v>
      </c>
      <c r="P19" s="185">
        <v>7251</v>
      </c>
      <c r="Q19" s="185">
        <v>1247339</v>
      </c>
      <c r="R19" s="185">
        <v>766870</v>
      </c>
      <c r="S19">
        <v>8</v>
      </c>
      <c r="T19">
        <v>2316044.8666688502</v>
      </c>
      <c r="U19">
        <f t="shared" si="0"/>
        <v>1220792.2375154598</v>
      </c>
    </row>
    <row r="20" spans="2:21" ht="16" x14ac:dyDescent="0.2">
      <c r="B20">
        <v>5</v>
      </c>
      <c r="C20">
        <v>1132.8388694651981</v>
      </c>
      <c r="L20" s="183">
        <v>7</v>
      </c>
      <c r="M20" s="184">
        <v>8</v>
      </c>
      <c r="N20" s="185">
        <v>20184</v>
      </c>
      <c r="O20" s="185">
        <v>1186788</v>
      </c>
      <c r="P20" s="185">
        <v>7432</v>
      </c>
      <c r="Q20" s="185">
        <v>1214405</v>
      </c>
      <c r="R20" s="185">
        <v>812326</v>
      </c>
      <c r="S20">
        <v>9</v>
      </c>
      <c r="T20">
        <v>2364450.2043822291</v>
      </c>
      <c r="U20">
        <f t="shared" si="0"/>
        <v>1150434.2739041056</v>
      </c>
    </row>
    <row r="21" spans="2:21" ht="16" x14ac:dyDescent="0.2">
      <c r="B21">
        <v>6</v>
      </c>
      <c r="C21">
        <v>1118.3160772165475</v>
      </c>
      <c r="L21" s="183">
        <v>8</v>
      </c>
      <c r="M21" s="184">
        <v>9</v>
      </c>
      <c r="N21" s="185">
        <v>20606</v>
      </c>
      <c r="O21" s="185">
        <v>1147673</v>
      </c>
      <c r="P21" s="185">
        <v>7618</v>
      </c>
      <c r="Q21" s="185">
        <v>1175898</v>
      </c>
      <c r="R21" s="185">
        <v>861882</v>
      </c>
      <c r="S21">
        <v>10</v>
      </c>
      <c r="T21">
        <v>2413867.2136538168</v>
      </c>
      <c r="U21">
        <f t="shared" si="0"/>
        <v>1084131.2533792267</v>
      </c>
    </row>
    <row r="22" spans="2:21" ht="16" x14ac:dyDescent="0.2">
      <c r="B22">
        <v>7</v>
      </c>
      <c r="C22">
        <v>1190.1155215041119</v>
      </c>
      <c r="L22" s="183">
        <v>9</v>
      </c>
      <c r="M22" s="184">
        <v>10</v>
      </c>
      <c r="N22" s="185">
        <v>21037</v>
      </c>
      <c r="O22" s="185">
        <v>1102451</v>
      </c>
      <c r="P22" s="185">
        <v>7809</v>
      </c>
      <c r="Q22" s="185">
        <v>1131296</v>
      </c>
      <c r="R22" s="185">
        <v>915890</v>
      </c>
      <c r="S22">
        <v>11</v>
      </c>
      <c r="T22">
        <v>2464317.0384191815</v>
      </c>
      <c r="U22">
        <f t="shared" si="0"/>
        <v>1021649.4772578238</v>
      </c>
    </row>
    <row r="23" spans="2:21" ht="16" x14ac:dyDescent="0.2">
      <c r="B23">
        <v>8</v>
      </c>
      <c r="C23">
        <v>1262.7177188861654</v>
      </c>
      <c r="L23" s="183">
        <v>10</v>
      </c>
      <c r="M23" s="184">
        <v>11</v>
      </c>
      <c r="N23" s="185">
        <v>21476</v>
      </c>
      <c r="O23" s="185">
        <v>1050554</v>
      </c>
      <c r="P23" s="185">
        <v>8004</v>
      </c>
      <c r="Q23" s="185">
        <v>1080035</v>
      </c>
      <c r="R23" s="185">
        <v>974729</v>
      </c>
      <c r="S23">
        <v>12</v>
      </c>
      <c r="T23">
        <v>2515821.2645221422</v>
      </c>
      <c r="U23">
        <f t="shared" si="0"/>
        <v>962768.71562162857</v>
      </c>
    </row>
    <row r="24" spans="2:21" ht="16" x14ac:dyDescent="0.2">
      <c r="B24">
        <v>9</v>
      </c>
      <c r="C24">
        <v>1181.5317452663351</v>
      </c>
      <c r="L24" s="183">
        <v>11</v>
      </c>
      <c r="M24" s="184">
        <v>12</v>
      </c>
      <c r="N24" s="185">
        <v>21925</v>
      </c>
      <c r="O24" s="185">
        <v>991371</v>
      </c>
      <c r="P24" s="185">
        <v>8204</v>
      </c>
      <c r="Q24" s="185">
        <v>1021500</v>
      </c>
      <c r="R24" s="185">
        <v>1038810</v>
      </c>
      <c r="S24">
        <v>13</v>
      </c>
      <c r="T24">
        <v>2568401.9289506553</v>
      </c>
      <c r="U24">
        <f t="shared" si="0"/>
        <v>907281.43107129657</v>
      </c>
    </row>
    <row r="25" spans="2:21" ht="16" x14ac:dyDescent="0.2">
      <c r="B25">
        <v>10</v>
      </c>
      <c r="C25">
        <v>1180.4551348755433</v>
      </c>
      <c r="L25" s="183">
        <v>12</v>
      </c>
      <c r="M25" s="184">
        <v>13</v>
      </c>
      <c r="N25" s="185">
        <v>22383</v>
      </c>
      <c r="O25" s="185">
        <v>924235</v>
      </c>
      <c r="P25" s="185">
        <v>8409</v>
      </c>
      <c r="Q25" s="185">
        <v>955028</v>
      </c>
      <c r="R25" s="185">
        <v>1108581</v>
      </c>
      <c r="S25">
        <v>14</v>
      </c>
      <c r="T25">
        <v>2622081.5292657232</v>
      </c>
      <c r="U25">
        <f t="shared" si="0"/>
        <v>854992.047217999</v>
      </c>
    </row>
    <row r="26" spans="2:21" ht="16" x14ac:dyDescent="0.2">
      <c r="B26">
        <v>11</v>
      </c>
      <c r="C26">
        <v>1222.7825358303503</v>
      </c>
      <c r="L26" s="183">
        <v>13</v>
      </c>
      <c r="M26" s="184">
        <v>14</v>
      </c>
      <c r="N26" s="185">
        <v>22851</v>
      </c>
      <c r="O26" s="185">
        <v>848424</v>
      </c>
      <c r="P26" s="185">
        <v>8619</v>
      </c>
      <c r="Q26" s="185">
        <v>879895</v>
      </c>
      <c r="R26" s="185">
        <v>1184525</v>
      </c>
      <c r="S26">
        <v>15</v>
      </c>
      <c r="T26">
        <v>2676883.0332273771</v>
      </c>
      <c r="U26">
        <f t="shared" si="0"/>
        <v>805716.25933406805</v>
      </c>
    </row>
    <row r="27" spans="2:21" ht="16" x14ac:dyDescent="0.2">
      <c r="B27">
        <v>12</v>
      </c>
      <c r="C27">
        <v>1219.8208904214005</v>
      </c>
      <c r="L27" s="183">
        <v>14</v>
      </c>
      <c r="M27" s="184">
        <v>15</v>
      </c>
      <c r="N27" s="185">
        <v>23329</v>
      </c>
      <c r="O27" s="185">
        <v>763156</v>
      </c>
      <c r="P27" s="185">
        <v>8835</v>
      </c>
      <c r="Q27" s="185">
        <v>795319</v>
      </c>
      <c r="R27" s="185">
        <v>1267167</v>
      </c>
      <c r="S27">
        <v>16</v>
      </c>
      <c r="T27">
        <v>2732829.888621829</v>
      </c>
      <c r="U27">
        <f t="shared" si="0"/>
        <v>759280.38473293628</v>
      </c>
    </row>
    <row r="28" spans="2:21" ht="16" x14ac:dyDescent="0.2">
      <c r="B28">
        <v>13</v>
      </c>
      <c r="C28">
        <v>1112.8449956816837</v>
      </c>
      <c r="L28" s="183">
        <v>15</v>
      </c>
      <c r="M28" s="184">
        <v>16</v>
      </c>
      <c r="N28" s="185">
        <v>23816</v>
      </c>
      <c r="O28" s="185">
        <v>667580</v>
      </c>
      <c r="P28" s="185">
        <v>9056</v>
      </c>
      <c r="Q28" s="185">
        <v>700452</v>
      </c>
      <c r="R28" s="185">
        <v>1357074</v>
      </c>
      <c r="S28">
        <v>17</v>
      </c>
      <c r="T28">
        <v>2789946.0332940244</v>
      </c>
      <c r="U28">
        <f t="shared" si="0"/>
        <v>715520.75058865489</v>
      </c>
    </row>
    <row r="29" spans="2:21" ht="16" x14ac:dyDescent="0.2">
      <c r="B29">
        <v>14</v>
      </c>
      <c r="C29">
        <v>1218.3086503638119</v>
      </c>
      <c r="L29" s="183">
        <v>16</v>
      </c>
      <c r="M29" s="184">
        <v>17</v>
      </c>
      <c r="N29" s="185">
        <v>24314</v>
      </c>
      <c r="O29" s="185">
        <v>560776</v>
      </c>
      <c r="P29" s="185">
        <v>9282</v>
      </c>
      <c r="Q29" s="185">
        <v>594372</v>
      </c>
      <c r="R29" s="185">
        <v>1454863</v>
      </c>
      <c r="S29">
        <v>18</v>
      </c>
      <c r="T29">
        <v>2848255.9053898701</v>
      </c>
      <c r="U29">
        <f t="shared" si="0"/>
        <v>674283.1170372311</v>
      </c>
    </row>
    <row r="30" spans="2:21" ht="16" x14ac:dyDescent="0.2">
      <c r="B30">
        <v>15</v>
      </c>
      <c r="C30">
        <v>1165.9023666037788</v>
      </c>
      <c r="L30" s="183">
        <v>17</v>
      </c>
      <c r="M30" s="184">
        <v>18</v>
      </c>
      <c r="N30" s="185">
        <v>24822</v>
      </c>
      <c r="O30" s="185">
        <v>441745</v>
      </c>
      <c r="P30" s="185">
        <v>9514</v>
      </c>
      <c r="Q30" s="185">
        <v>476082</v>
      </c>
      <c r="R30" s="185">
        <v>1561200</v>
      </c>
      <c r="S30">
        <v>19</v>
      </c>
      <c r="T30">
        <v>2907784.4538125182</v>
      </c>
      <c r="U30">
        <f t="shared" si="0"/>
        <v>635422.13352638588</v>
      </c>
    </row>
    <row r="31" spans="2:21" ht="16" x14ac:dyDescent="0.2">
      <c r="B31">
        <v>16</v>
      </c>
      <c r="C31">
        <v>1221.099135481026</v>
      </c>
      <c r="L31" s="183">
        <v>18</v>
      </c>
      <c r="M31" s="184">
        <v>19</v>
      </c>
      <c r="N31" s="185">
        <v>25341</v>
      </c>
      <c r="O31" s="185">
        <v>309404</v>
      </c>
      <c r="P31" s="185">
        <v>9752</v>
      </c>
      <c r="Q31" s="185">
        <v>344498</v>
      </c>
      <c r="R31" s="185">
        <v>1676808</v>
      </c>
      <c r="S31">
        <v>20</v>
      </c>
      <c r="T31">
        <v>2968557.1488971985</v>
      </c>
      <c r="U31">
        <f t="shared" si="0"/>
        <v>598800.82649752893</v>
      </c>
    </row>
    <row r="32" spans="2:21" ht="16" x14ac:dyDescent="0.2">
      <c r="B32">
        <v>17</v>
      </c>
      <c r="C32">
        <v>1219.3846935835563</v>
      </c>
      <c r="L32" s="183">
        <v>19</v>
      </c>
      <c r="M32" s="184">
        <v>20</v>
      </c>
      <c r="N32" s="185">
        <v>25871</v>
      </c>
      <c r="O32" s="185">
        <v>162580</v>
      </c>
      <c r="P32" s="185">
        <v>9996</v>
      </c>
      <c r="Q32" s="185">
        <v>198447</v>
      </c>
      <c r="R32" s="185">
        <v>1802472</v>
      </c>
    </row>
    <row r="33" spans="2:3" x14ac:dyDescent="0.2">
      <c r="B33">
        <v>18</v>
      </c>
      <c r="C33">
        <v>1242.7114853759283</v>
      </c>
    </row>
    <row r="34" spans="2:3" x14ac:dyDescent="0.2">
      <c r="B34">
        <v>19</v>
      </c>
      <c r="C34">
        <v>1030.0917258950776</v>
      </c>
    </row>
    <row r="35" spans="2:3" x14ac:dyDescent="0.2">
      <c r="B35">
        <v>20</v>
      </c>
      <c r="C35">
        <v>1084.7636890246717</v>
      </c>
    </row>
    <row r="36" spans="2:3" x14ac:dyDescent="0.2">
      <c r="B36">
        <v>21</v>
      </c>
      <c r="C36">
        <v>1214.8759017518528</v>
      </c>
    </row>
    <row r="37" spans="2:3" x14ac:dyDescent="0.2">
      <c r="B37">
        <v>22</v>
      </c>
      <c r="C37">
        <v>1191.9029859399304</v>
      </c>
    </row>
    <row r="38" spans="2:3" x14ac:dyDescent="0.2">
      <c r="B38">
        <v>23</v>
      </c>
      <c r="C38">
        <v>1089.9768940338047</v>
      </c>
    </row>
    <row r="39" spans="2:3" x14ac:dyDescent="0.2">
      <c r="B39">
        <v>24</v>
      </c>
      <c r="C39">
        <v>1154.0329871448191</v>
      </c>
    </row>
    <row r="40" spans="2:3" x14ac:dyDescent="0.2">
      <c r="B40">
        <v>25</v>
      </c>
      <c r="C40">
        <v>1296.2204006399572</v>
      </c>
    </row>
    <row r="41" spans="2:3" x14ac:dyDescent="0.2">
      <c r="B41">
        <v>26</v>
      </c>
      <c r="C41">
        <v>1113.0468319041006</v>
      </c>
    </row>
    <row r="42" spans="2:3" x14ac:dyDescent="0.2">
      <c r="B42">
        <v>27</v>
      </c>
      <c r="C42">
        <v>1201.576892957911</v>
      </c>
    </row>
    <row r="43" spans="2:3" x14ac:dyDescent="0.2">
      <c r="B43">
        <v>28</v>
      </c>
      <c r="C43">
        <v>1168.1462193758998</v>
      </c>
    </row>
    <row r="44" spans="2:3" x14ac:dyDescent="0.2">
      <c r="B44">
        <v>29</v>
      </c>
      <c r="C44">
        <v>1175.5822495855371</v>
      </c>
    </row>
    <row r="45" spans="2:3" x14ac:dyDescent="0.2">
      <c r="B45">
        <v>30</v>
      </c>
      <c r="C45">
        <v>1272.7989773058448</v>
      </c>
    </row>
    <row r="46" spans="2:3" x14ac:dyDescent="0.2">
      <c r="B46">
        <v>31</v>
      </c>
      <c r="C46">
        <v>1265.7595102807397</v>
      </c>
    </row>
    <row r="47" spans="2:3" x14ac:dyDescent="0.2">
      <c r="B47">
        <v>32</v>
      </c>
      <c r="C47">
        <v>1129.6300380345938</v>
      </c>
    </row>
    <row r="48" spans="2:3" x14ac:dyDescent="0.2">
      <c r="B48">
        <v>33</v>
      </c>
      <c r="C48">
        <v>1167.0088957242742</v>
      </c>
    </row>
    <row r="49" spans="2:3" x14ac:dyDescent="0.2">
      <c r="B49">
        <v>34</v>
      </c>
      <c r="C49">
        <v>1158.6266055247049</v>
      </c>
    </row>
    <row r="50" spans="2:3" x14ac:dyDescent="0.2">
      <c r="B50">
        <v>35</v>
      </c>
      <c r="C50">
        <v>1151.749315486454</v>
      </c>
    </row>
    <row r="51" spans="2:3" x14ac:dyDescent="0.2">
      <c r="B51">
        <v>36</v>
      </c>
      <c r="C51">
        <v>1084.2287181889167</v>
      </c>
    </row>
    <row r="52" spans="2:3" x14ac:dyDescent="0.2">
      <c r="B52">
        <v>37</v>
      </c>
      <c r="C52">
        <v>1127.6483771453059</v>
      </c>
    </row>
    <row r="53" spans="2:3" x14ac:dyDescent="0.2">
      <c r="B53">
        <v>38</v>
      </c>
      <c r="C53">
        <v>1235.967494925753</v>
      </c>
    </row>
    <row r="54" spans="2:3" x14ac:dyDescent="0.2">
      <c r="B54">
        <v>39</v>
      </c>
      <c r="C54">
        <v>1123.7534995663141</v>
      </c>
    </row>
    <row r="55" spans="2:3" x14ac:dyDescent="0.2">
      <c r="B55">
        <v>40</v>
      </c>
      <c r="C55">
        <v>1213.5900889148227</v>
      </c>
    </row>
    <row r="56" spans="2:3" x14ac:dyDescent="0.2">
      <c r="B56">
        <v>41</v>
      </c>
      <c r="C56">
        <v>1211.8946159505774</v>
      </c>
    </row>
    <row r="57" spans="2:3" x14ac:dyDescent="0.2">
      <c r="B57">
        <v>42</v>
      </c>
      <c r="C57">
        <v>1124.7420266696708</v>
      </c>
    </row>
    <row r="58" spans="2:3" x14ac:dyDescent="0.2">
      <c r="B58">
        <v>43</v>
      </c>
      <c r="C58">
        <v>1168.5593655090654</v>
      </c>
    </row>
    <row r="59" spans="2:3" x14ac:dyDescent="0.2">
      <c r="B59">
        <v>44</v>
      </c>
      <c r="C59">
        <v>1064.3075945402168</v>
      </c>
    </row>
    <row r="60" spans="2:3" x14ac:dyDescent="0.2">
      <c r="B60">
        <v>45</v>
      </c>
      <c r="C60">
        <v>1188.2036077766957</v>
      </c>
    </row>
    <row r="61" spans="2:3" x14ac:dyDescent="0.2">
      <c r="B61">
        <v>46</v>
      </c>
      <c r="C61">
        <v>1208.4185762980337</v>
      </c>
    </row>
    <row r="62" spans="2:3" x14ac:dyDescent="0.2">
      <c r="B62">
        <v>47</v>
      </c>
      <c r="C62">
        <v>1210.4224720674706</v>
      </c>
    </row>
    <row r="63" spans="2:3" x14ac:dyDescent="0.2">
      <c r="B63">
        <v>48</v>
      </c>
      <c r="C63">
        <v>1247.8678234225515</v>
      </c>
    </row>
    <row r="64" spans="2:3" x14ac:dyDescent="0.2">
      <c r="B64">
        <v>49</v>
      </c>
      <c r="C64">
        <v>1239.6303645000728</v>
      </c>
    </row>
    <row r="65" spans="2:3" x14ac:dyDescent="0.2">
      <c r="B65">
        <v>50</v>
      </c>
      <c r="C65">
        <v>1181.6598186313424</v>
      </c>
    </row>
    <row r="66" spans="2:3" x14ac:dyDescent="0.2">
      <c r="B66">
        <v>51</v>
      </c>
      <c r="C66">
        <v>1146.445304693118</v>
      </c>
    </row>
    <row r="67" spans="2:3" x14ac:dyDescent="0.2">
      <c r="B67">
        <v>52</v>
      </c>
      <c r="C67">
        <v>1079.8344389914371</v>
      </c>
    </row>
    <row r="68" spans="2:3" x14ac:dyDescent="0.2">
      <c r="B68">
        <v>53</v>
      </c>
      <c r="C68">
        <v>1260.6276564994341</v>
      </c>
    </row>
    <row r="69" spans="2:3" x14ac:dyDescent="0.2">
      <c r="B69">
        <v>54</v>
      </c>
      <c r="C69">
        <v>1169.3587812038488</v>
      </c>
    </row>
    <row r="70" spans="2:3" x14ac:dyDescent="0.2">
      <c r="B70">
        <v>55</v>
      </c>
      <c r="C70">
        <v>1135.859510879548</v>
      </c>
    </row>
    <row r="71" spans="2:3" x14ac:dyDescent="0.2">
      <c r="B71">
        <v>56</v>
      </c>
      <c r="C71">
        <v>968.99157892112055</v>
      </c>
    </row>
    <row r="72" spans="2:3" x14ac:dyDescent="0.2">
      <c r="B72">
        <v>57</v>
      </c>
      <c r="C72">
        <v>1206.6645932294543</v>
      </c>
    </row>
    <row r="73" spans="2:3" x14ac:dyDescent="0.2">
      <c r="B73">
        <v>58</v>
      </c>
      <c r="C73">
        <v>1098.648622068516</v>
      </c>
    </row>
    <row r="74" spans="2:3" x14ac:dyDescent="0.2">
      <c r="B74">
        <v>59</v>
      </c>
      <c r="C74">
        <v>1123.3948012374817</v>
      </c>
    </row>
    <row r="75" spans="2:3" x14ac:dyDescent="0.2">
      <c r="B75">
        <v>60</v>
      </c>
      <c r="C75">
        <v>1237.8813897995483</v>
      </c>
    </row>
    <row r="76" spans="2:3" x14ac:dyDescent="0.2">
      <c r="B76">
        <v>61</v>
      </c>
      <c r="C76">
        <v>1128.781990831249</v>
      </c>
    </row>
    <row r="77" spans="2:3" x14ac:dyDescent="0.2">
      <c r="B77">
        <v>62</v>
      </c>
      <c r="C77">
        <v>1165.4110862431792</v>
      </c>
    </row>
    <row r="78" spans="2:3" x14ac:dyDescent="0.2">
      <c r="B78">
        <v>63</v>
      </c>
      <c r="C78">
        <v>1178.6878862474455</v>
      </c>
    </row>
    <row r="79" spans="2:3" x14ac:dyDescent="0.2">
      <c r="B79">
        <v>64</v>
      </c>
      <c r="C79">
        <v>1081.4754183202981</v>
      </c>
    </row>
    <row r="80" spans="2:3" x14ac:dyDescent="0.2">
      <c r="B80">
        <v>65</v>
      </c>
      <c r="C80">
        <v>1111.0367655497105</v>
      </c>
    </row>
    <row r="81" spans="2:3" x14ac:dyDescent="0.2">
      <c r="B81">
        <v>66</v>
      </c>
      <c r="C81">
        <v>1229.1932930379423</v>
      </c>
    </row>
    <row r="82" spans="2:3" x14ac:dyDescent="0.2">
      <c r="B82">
        <v>67</v>
      </c>
      <c r="C82">
        <v>1168.614145929603</v>
      </c>
    </row>
    <row r="83" spans="2:3" x14ac:dyDescent="0.2">
      <c r="B83">
        <v>68</v>
      </c>
      <c r="C83">
        <v>1095.8311931532057</v>
      </c>
    </row>
    <row r="84" spans="2:3" x14ac:dyDescent="0.2">
      <c r="B84">
        <v>69</v>
      </c>
      <c r="C84">
        <v>1283.9982871676855</v>
      </c>
    </row>
    <row r="85" spans="2:3" x14ac:dyDescent="0.2">
      <c r="B85">
        <v>70</v>
      </c>
      <c r="C85">
        <v>1141.151452259744</v>
      </c>
    </row>
    <row r="86" spans="2:3" x14ac:dyDescent="0.2">
      <c r="B86">
        <v>71</v>
      </c>
      <c r="C86">
        <v>1156.4833238305059</v>
      </c>
    </row>
    <row r="87" spans="2:3" x14ac:dyDescent="0.2">
      <c r="B87">
        <v>72</v>
      </c>
      <c r="C87">
        <v>1112.409979560282</v>
      </c>
    </row>
    <row r="88" spans="2:3" x14ac:dyDescent="0.2">
      <c r="B88">
        <v>73</v>
      </c>
      <c r="C88">
        <v>1163.4318583881575</v>
      </c>
    </row>
    <row r="89" spans="2:3" x14ac:dyDescent="0.2">
      <c r="B89">
        <v>74</v>
      </c>
      <c r="C89">
        <v>1184.275158186399</v>
      </c>
    </row>
    <row r="90" spans="2:3" x14ac:dyDescent="0.2">
      <c r="B90">
        <v>75</v>
      </c>
      <c r="C90">
        <v>1146.18830439557</v>
      </c>
    </row>
    <row r="91" spans="2:3" x14ac:dyDescent="0.2">
      <c r="B91">
        <v>76</v>
      </c>
      <c r="C91">
        <v>1148.4152727397504</v>
      </c>
    </row>
    <row r="92" spans="2:3" x14ac:dyDescent="0.2">
      <c r="B92">
        <v>77</v>
      </c>
      <c r="C92">
        <v>1225.6491428760919</v>
      </c>
    </row>
    <row r="93" spans="2:3" x14ac:dyDescent="0.2">
      <c r="B93">
        <v>78</v>
      </c>
      <c r="C93">
        <v>1214.4159594927069</v>
      </c>
    </row>
    <row r="94" spans="2:3" x14ac:dyDescent="0.2">
      <c r="B94">
        <v>79</v>
      </c>
      <c r="C94">
        <v>1150.5438953038545</v>
      </c>
    </row>
    <row r="95" spans="2:3" x14ac:dyDescent="0.2">
      <c r="B95">
        <v>80</v>
      </c>
      <c r="C95">
        <v>1234.5715611611347</v>
      </c>
    </row>
    <row r="96" spans="2:3" x14ac:dyDescent="0.2">
      <c r="B96">
        <v>81</v>
      </c>
      <c r="C96">
        <v>1125.7164419187629</v>
      </c>
    </row>
    <row r="97" spans="2:3" x14ac:dyDescent="0.2">
      <c r="B97">
        <v>82</v>
      </c>
      <c r="C97">
        <v>1086.4665589005651</v>
      </c>
    </row>
    <row r="98" spans="2:3" x14ac:dyDescent="0.2">
      <c r="B98">
        <v>83</v>
      </c>
      <c r="C98">
        <v>1176.0054045616916</v>
      </c>
    </row>
    <row r="99" spans="2:3" x14ac:dyDescent="0.2">
      <c r="B99">
        <v>84</v>
      </c>
      <c r="C99">
        <v>1206.8827560950301</v>
      </c>
    </row>
    <row r="100" spans="2:3" x14ac:dyDescent="0.2">
      <c r="B100">
        <v>85</v>
      </c>
      <c r="C100">
        <v>1069.912965140235</v>
      </c>
    </row>
    <row r="101" spans="2:3" x14ac:dyDescent="0.2">
      <c r="B101">
        <v>86</v>
      </c>
      <c r="C101">
        <v>1038.7710885036158</v>
      </c>
    </row>
    <row r="102" spans="2:3" x14ac:dyDescent="0.2">
      <c r="B102">
        <v>87</v>
      </c>
      <c r="C102">
        <v>1197.2695926824088</v>
      </c>
    </row>
    <row r="103" spans="2:3" x14ac:dyDescent="0.2">
      <c r="B103">
        <v>88</v>
      </c>
      <c r="C103">
        <v>1224.1346913959751</v>
      </c>
    </row>
    <row r="104" spans="2:3" x14ac:dyDescent="0.2">
      <c r="B104">
        <v>89</v>
      </c>
      <c r="C104">
        <v>1218.8874117997032</v>
      </c>
    </row>
    <row r="105" spans="2:3" x14ac:dyDescent="0.2">
      <c r="B105">
        <v>90</v>
      </c>
      <c r="C105">
        <v>1192.7702511276666</v>
      </c>
    </row>
    <row r="106" spans="2:3" x14ac:dyDescent="0.2">
      <c r="B106">
        <v>91</v>
      </c>
      <c r="C106">
        <v>1187.0353655956228</v>
      </c>
    </row>
    <row r="107" spans="2:3" x14ac:dyDescent="0.2">
      <c r="B107">
        <v>92</v>
      </c>
      <c r="C107">
        <v>1075.6156375072501</v>
      </c>
    </row>
    <row r="108" spans="2:3" x14ac:dyDescent="0.2">
      <c r="B108">
        <v>93</v>
      </c>
      <c r="C108">
        <v>1197.1336886377383</v>
      </c>
    </row>
    <row r="109" spans="2:3" x14ac:dyDescent="0.2">
      <c r="B109">
        <v>94</v>
      </c>
      <c r="C109">
        <v>1058.6937966103376</v>
      </c>
    </row>
    <row r="110" spans="2:3" x14ac:dyDescent="0.2">
      <c r="B110">
        <v>95</v>
      </c>
      <c r="C110">
        <v>1152.9685394801911</v>
      </c>
    </row>
    <row r="111" spans="2:3" x14ac:dyDescent="0.2">
      <c r="B111">
        <v>96</v>
      </c>
      <c r="C111">
        <v>1139.654074425863</v>
      </c>
    </row>
    <row r="112" spans="2:3" x14ac:dyDescent="0.2">
      <c r="B112">
        <v>97</v>
      </c>
      <c r="C112">
        <v>1223.6172779297378</v>
      </c>
    </row>
    <row r="113" spans="2:3" x14ac:dyDescent="0.2">
      <c r="B113">
        <v>98</v>
      </c>
      <c r="C113">
        <v>1204.8834369817891</v>
      </c>
    </row>
    <row r="114" spans="2:3" x14ac:dyDescent="0.2">
      <c r="B114">
        <v>99</v>
      </c>
      <c r="C114">
        <v>1183.58262405557</v>
      </c>
    </row>
    <row r="115" spans="2:3" x14ac:dyDescent="0.2">
      <c r="B115">
        <v>100</v>
      </c>
      <c r="C115">
        <v>1153.0324764203028</v>
      </c>
    </row>
    <row r="116" spans="2:3" x14ac:dyDescent="0.2">
      <c r="B116">
        <v>101</v>
      </c>
      <c r="C116">
        <v>1130.7286803685124</v>
      </c>
    </row>
    <row r="117" spans="2:3" x14ac:dyDescent="0.2">
      <c r="B117">
        <v>102</v>
      </c>
      <c r="C117">
        <v>1207.2735088455681</v>
      </c>
    </row>
    <row r="118" spans="2:3" x14ac:dyDescent="0.2">
      <c r="B118">
        <v>103</v>
      </c>
      <c r="C118">
        <v>1133.0381168218642</v>
      </c>
    </row>
    <row r="119" spans="2:3" x14ac:dyDescent="0.2">
      <c r="B119">
        <v>104</v>
      </c>
      <c r="C119">
        <v>1178.2684859571368</v>
      </c>
    </row>
    <row r="120" spans="2:3" x14ac:dyDescent="0.2">
      <c r="B120">
        <v>105</v>
      </c>
      <c r="C120">
        <v>1087.2457306042352</v>
      </c>
    </row>
    <row r="121" spans="2:3" x14ac:dyDescent="0.2">
      <c r="B121">
        <v>106</v>
      </c>
      <c r="C121">
        <v>1227.9468529711569</v>
      </c>
    </row>
    <row r="122" spans="2:3" x14ac:dyDescent="0.2">
      <c r="B122">
        <v>107</v>
      </c>
      <c r="C122">
        <v>1239.6280941251798</v>
      </c>
    </row>
    <row r="123" spans="2:3" x14ac:dyDescent="0.2">
      <c r="B123">
        <v>108</v>
      </c>
      <c r="C123">
        <v>1132.2296282692905</v>
      </c>
    </row>
    <row r="124" spans="2:3" x14ac:dyDescent="0.2">
      <c r="B124">
        <v>109</v>
      </c>
      <c r="C124">
        <v>1143.4357724683634</v>
      </c>
    </row>
    <row r="125" spans="2:3" x14ac:dyDescent="0.2">
      <c r="B125">
        <v>110</v>
      </c>
      <c r="C125">
        <v>1090.4712000491379</v>
      </c>
    </row>
    <row r="126" spans="2:3" x14ac:dyDescent="0.2">
      <c r="B126">
        <v>111</v>
      </c>
      <c r="C126">
        <v>1168.0034138771721</v>
      </c>
    </row>
    <row r="127" spans="2:3" x14ac:dyDescent="0.2">
      <c r="B127">
        <v>112</v>
      </c>
      <c r="C127">
        <v>1179.3885093592294</v>
      </c>
    </row>
    <row r="128" spans="2:3" x14ac:dyDescent="0.2">
      <c r="B128">
        <v>113</v>
      </c>
      <c r="C128">
        <v>1184.135751212181</v>
      </c>
    </row>
    <row r="129" spans="2:3" x14ac:dyDescent="0.2">
      <c r="B129">
        <v>114</v>
      </c>
      <c r="C129">
        <v>1152.2029671743323</v>
      </c>
    </row>
    <row r="130" spans="2:3" x14ac:dyDescent="0.2">
      <c r="B130">
        <v>115</v>
      </c>
      <c r="C130">
        <v>1138.0521829175102</v>
      </c>
    </row>
    <row r="131" spans="2:3" x14ac:dyDescent="0.2">
      <c r="B131">
        <v>116</v>
      </c>
      <c r="C131">
        <v>1141.3974399305241</v>
      </c>
    </row>
    <row r="132" spans="2:3" x14ac:dyDescent="0.2">
      <c r="B132">
        <v>117</v>
      </c>
      <c r="C132">
        <v>1284.7650811038316</v>
      </c>
    </row>
    <row r="133" spans="2:3" x14ac:dyDescent="0.2">
      <c r="B133">
        <v>118</v>
      </c>
      <c r="C133">
        <v>1267.365007485879</v>
      </c>
    </row>
    <row r="134" spans="2:3" x14ac:dyDescent="0.2">
      <c r="B134">
        <v>119</v>
      </c>
      <c r="C134">
        <v>1214.0024486049087</v>
      </c>
    </row>
    <row r="135" spans="2:3" x14ac:dyDescent="0.2">
      <c r="B135">
        <v>120</v>
      </c>
      <c r="C135">
        <v>1127.9130602468167</v>
      </c>
    </row>
    <row r="136" spans="2:3" x14ac:dyDescent="0.2">
      <c r="B136">
        <v>121</v>
      </c>
      <c r="C136">
        <v>972.00188831611035</v>
      </c>
    </row>
    <row r="137" spans="2:3" x14ac:dyDescent="0.2">
      <c r="B137">
        <v>122</v>
      </c>
      <c r="C137">
        <v>1160.2304720997531</v>
      </c>
    </row>
    <row r="138" spans="2:3" x14ac:dyDescent="0.2">
      <c r="B138">
        <v>123</v>
      </c>
      <c r="C138">
        <v>1144.852358609812</v>
      </c>
    </row>
    <row r="139" spans="2:3" x14ac:dyDescent="0.2">
      <c r="B139">
        <v>124</v>
      </c>
      <c r="C139">
        <v>1191.6416997400859</v>
      </c>
    </row>
    <row r="140" spans="2:3" x14ac:dyDescent="0.2">
      <c r="B140">
        <v>125</v>
      </c>
      <c r="C140">
        <v>1083.246513280174</v>
      </c>
    </row>
    <row r="141" spans="2:3" x14ac:dyDescent="0.2">
      <c r="B141">
        <v>126</v>
      </c>
      <c r="C141">
        <v>1215.9465821883875</v>
      </c>
    </row>
    <row r="142" spans="2:3" x14ac:dyDescent="0.2">
      <c r="B142">
        <v>127</v>
      </c>
      <c r="C142">
        <v>1300.7620143008253</v>
      </c>
    </row>
    <row r="143" spans="2:3" x14ac:dyDescent="0.2">
      <c r="B143">
        <v>128</v>
      </c>
      <c r="C143">
        <v>1205.2164958460442</v>
      </c>
    </row>
    <row r="144" spans="2:3" x14ac:dyDescent="0.2">
      <c r="B144">
        <v>129</v>
      </c>
      <c r="C144">
        <v>1277.1392200357209</v>
      </c>
    </row>
    <row r="145" spans="2:3" x14ac:dyDescent="0.2">
      <c r="B145">
        <v>130</v>
      </c>
      <c r="C145">
        <v>1106.5975372727778</v>
      </c>
    </row>
    <row r="146" spans="2:3" x14ac:dyDescent="0.2">
      <c r="B146">
        <v>131</v>
      </c>
      <c r="C146">
        <v>1145.5185599936515</v>
      </c>
    </row>
    <row r="147" spans="2:3" x14ac:dyDescent="0.2">
      <c r="B147">
        <v>132</v>
      </c>
      <c r="C147">
        <v>1190.2676230307977</v>
      </c>
    </row>
    <row r="148" spans="2:3" x14ac:dyDescent="0.2">
      <c r="B148">
        <v>133</v>
      </c>
      <c r="C148">
        <v>1171.5443251205811</v>
      </c>
    </row>
    <row r="149" spans="2:3" x14ac:dyDescent="0.2">
      <c r="B149">
        <v>134</v>
      </c>
      <c r="C149">
        <v>1164.3794874263328</v>
      </c>
    </row>
    <row r="150" spans="2:3" x14ac:dyDescent="0.2">
      <c r="B150">
        <v>135</v>
      </c>
      <c r="C150">
        <v>1211.3003547647675</v>
      </c>
    </row>
    <row r="151" spans="2:3" x14ac:dyDescent="0.2">
      <c r="B151">
        <v>136</v>
      </c>
      <c r="C151">
        <v>1115.7835371402332</v>
      </c>
    </row>
    <row r="152" spans="2:3" x14ac:dyDescent="0.2">
      <c r="B152">
        <v>137</v>
      </c>
      <c r="C152">
        <v>1257.1358278571627</v>
      </c>
    </row>
    <row r="153" spans="2:3" x14ac:dyDescent="0.2">
      <c r="B153">
        <v>138</v>
      </c>
      <c r="C153">
        <v>1165.7516233275328</v>
      </c>
    </row>
    <row r="154" spans="2:3" x14ac:dyDescent="0.2">
      <c r="B154">
        <v>139</v>
      </c>
      <c r="C154">
        <v>1086.2421028412352</v>
      </c>
    </row>
    <row r="155" spans="2:3" x14ac:dyDescent="0.2">
      <c r="B155">
        <v>140</v>
      </c>
      <c r="C155">
        <v>1271.8738383354023</v>
      </c>
    </row>
    <row r="156" spans="2:3" x14ac:dyDescent="0.2">
      <c r="B156">
        <v>141</v>
      </c>
      <c r="C156">
        <v>1194.6210065490989</v>
      </c>
    </row>
    <row r="157" spans="2:3" x14ac:dyDescent="0.2">
      <c r="B157">
        <v>142</v>
      </c>
      <c r="C157">
        <v>1207.3167107509905</v>
      </c>
    </row>
    <row r="158" spans="2:3" x14ac:dyDescent="0.2">
      <c r="B158">
        <v>143</v>
      </c>
      <c r="C158">
        <v>1178.7341990329594</v>
      </c>
    </row>
    <row r="159" spans="2:3" x14ac:dyDescent="0.2">
      <c r="B159">
        <v>144</v>
      </c>
      <c r="C159">
        <v>1300.1666681170691</v>
      </c>
    </row>
    <row r="160" spans="2:3" x14ac:dyDescent="0.2">
      <c r="B160">
        <v>145</v>
      </c>
      <c r="C160">
        <v>1226.1022091233838</v>
      </c>
    </row>
    <row r="161" spans="2:3" x14ac:dyDescent="0.2">
      <c r="B161">
        <v>146</v>
      </c>
      <c r="C161">
        <v>1172.3084184304953</v>
      </c>
    </row>
    <row r="162" spans="2:3" x14ac:dyDescent="0.2">
      <c r="B162">
        <v>147</v>
      </c>
      <c r="C162">
        <v>1132.0050541205694</v>
      </c>
    </row>
    <row r="163" spans="2:3" x14ac:dyDescent="0.2">
      <c r="B163">
        <v>148</v>
      </c>
      <c r="C163">
        <v>1190.4063557607276</v>
      </c>
    </row>
    <row r="164" spans="2:3" x14ac:dyDescent="0.2">
      <c r="B164">
        <v>149</v>
      </c>
      <c r="C164">
        <v>1118.104989179772</v>
      </c>
    </row>
    <row r="165" spans="2:3" x14ac:dyDescent="0.2">
      <c r="B165">
        <v>150</v>
      </c>
      <c r="C165">
        <v>1226.49422508359</v>
      </c>
    </row>
    <row r="166" spans="2:3" x14ac:dyDescent="0.2">
      <c r="B166">
        <v>151</v>
      </c>
      <c r="C166">
        <v>1230.873748164302</v>
      </c>
    </row>
    <row r="167" spans="2:3" x14ac:dyDescent="0.2">
      <c r="B167">
        <v>152</v>
      </c>
      <c r="C167">
        <v>1201.2537821314997</v>
      </c>
    </row>
    <row r="168" spans="2:3" x14ac:dyDescent="0.2">
      <c r="B168">
        <v>153</v>
      </c>
      <c r="C168">
        <v>1170.5832475498037</v>
      </c>
    </row>
    <row r="169" spans="2:3" x14ac:dyDescent="0.2">
      <c r="B169">
        <v>154</v>
      </c>
      <c r="C169">
        <v>1165.7911992722372</v>
      </c>
    </row>
    <row r="170" spans="2:3" x14ac:dyDescent="0.2">
      <c r="B170">
        <v>155</v>
      </c>
      <c r="C170">
        <v>1069.0467123299018</v>
      </c>
    </row>
    <row r="171" spans="2:3" x14ac:dyDescent="0.2">
      <c r="B171">
        <v>156</v>
      </c>
      <c r="C171">
        <v>1122.9056656950756</v>
      </c>
    </row>
    <row r="172" spans="2:3" x14ac:dyDescent="0.2">
      <c r="B172">
        <v>157</v>
      </c>
      <c r="C172">
        <v>1267.3749033562226</v>
      </c>
    </row>
    <row r="173" spans="2:3" x14ac:dyDescent="0.2">
      <c r="B173">
        <v>158</v>
      </c>
      <c r="C173">
        <v>1292.6954346693392</v>
      </c>
    </row>
    <row r="174" spans="2:3" x14ac:dyDescent="0.2">
      <c r="B174">
        <v>159</v>
      </c>
      <c r="C174">
        <v>1104.5791373573854</v>
      </c>
    </row>
    <row r="175" spans="2:3" x14ac:dyDescent="0.2">
      <c r="B175">
        <v>160</v>
      </c>
      <c r="C175">
        <v>1191.3376713510017</v>
      </c>
    </row>
    <row r="176" spans="2:3" x14ac:dyDescent="0.2">
      <c r="B176">
        <v>161</v>
      </c>
      <c r="C176">
        <v>1203.0562555086105</v>
      </c>
    </row>
    <row r="177" spans="2:3" x14ac:dyDescent="0.2">
      <c r="B177">
        <v>162</v>
      </c>
      <c r="C177">
        <v>1193.4381090057009</v>
      </c>
    </row>
    <row r="178" spans="2:3" x14ac:dyDescent="0.2">
      <c r="B178">
        <v>163</v>
      </c>
      <c r="C178">
        <v>1193.4106596494169</v>
      </c>
    </row>
    <row r="179" spans="2:3" x14ac:dyDescent="0.2">
      <c r="B179">
        <v>164</v>
      </c>
      <c r="C179">
        <v>1057.8645376698742</v>
      </c>
    </row>
    <row r="180" spans="2:3" x14ac:dyDescent="0.2">
      <c r="B180">
        <v>165</v>
      </c>
      <c r="C180">
        <v>1115.2524932163174</v>
      </c>
    </row>
    <row r="181" spans="2:3" x14ac:dyDescent="0.2">
      <c r="B181">
        <v>166</v>
      </c>
      <c r="C181">
        <v>1073.7453155849666</v>
      </c>
    </row>
    <row r="182" spans="2:3" x14ac:dyDescent="0.2">
      <c r="B182">
        <v>167</v>
      </c>
      <c r="C182">
        <v>1146.6025218727777</v>
      </c>
    </row>
    <row r="183" spans="2:3" x14ac:dyDescent="0.2">
      <c r="B183">
        <v>168</v>
      </c>
      <c r="C183">
        <v>1214.3258285077313</v>
      </c>
    </row>
    <row r="184" spans="2:3" x14ac:dyDescent="0.2">
      <c r="B184">
        <v>169</v>
      </c>
      <c r="C184">
        <v>1161.1922717527116</v>
      </c>
    </row>
    <row r="185" spans="2:3" x14ac:dyDescent="0.2">
      <c r="B185">
        <v>170</v>
      </c>
      <c r="C185">
        <v>1160.7437276142271</v>
      </c>
    </row>
    <row r="186" spans="2:3" x14ac:dyDescent="0.2">
      <c r="B186">
        <v>171</v>
      </c>
      <c r="C186">
        <v>1175.1432279467706</v>
      </c>
    </row>
    <row r="187" spans="2:3" x14ac:dyDescent="0.2">
      <c r="B187">
        <v>172</v>
      </c>
      <c r="C187">
        <v>1128.4647797907214</v>
      </c>
    </row>
    <row r="188" spans="2:3" x14ac:dyDescent="0.2">
      <c r="B188">
        <v>173</v>
      </c>
      <c r="C188">
        <v>1190.32532708496</v>
      </c>
    </row>
    <row r="189" spans="2:3" x14ac:dyDescent="0.2">
      <c r="B189">
        <v>174</v>
      </c>
      <c r="C189">
        <v>1137.6241585077694</v>
      </c>
    </row>
    <row r="190" spans="2:3" x14ac:dyDescent="0.2">
      <c r="B190">
        <v>175</v>
      </c>
      <c r="C190">
        <v>1078.4090338552255</v>
      </c>
    </row>
    <row r="191" spans="2:3" x14ac:dyDescent="0.2">
      <c r="B191">
        <v>176</v>
      </c>
      <c r="C191">
        <v>1158.5769311125555</v>
      </c>
    </row>
    <row r="192" spans="2:3" x14ac:dyDescent="0.2">
      <c r="B192">
        <v>177</v>
      </c>
      <c r="C192">
        <v>1301.4110769234667</v>
      </c>
    </row>
    <row r="193" spans="2:3" x14ac:dyDescent="0.2">
      <c r="B193">
        <v>178</v>
      </c>
      <c r="C193">
        <v>1030.6921782253528</v>
      </c>
    </row>
    <row r="194" spans="2:3" x14ac:dyDescent="0.2">
      <c r="B194">
        <v>179</v>
      </c>
      <c r="C194">
        <v>1252.430319008475</v>
      </c>
    </row>
    <row r="195" spans="2:3" x14ac:dyDescent="0.2">
      <c r="B195">
        <v>180</v>
      </c>
      <c r="C195">
        <v>1231.3560372157538</v>
      </c>
    </row>
    <row r="196" spans="2:3" x14ac:dyDescent="0.2">
      <c r="B196">
        <v>181</v>
      </c>
      <c r="C196">
        <v>1157.2452855901658</v>
      </c>
    </row>
    <row r="197" spans="2:3" x14ac:dyDescent="0.2">
      <c r="B197">
        <v>182</v>
      </c>
      <c r="C197">
        <v>1162.8789952074824</v>
      </c>
    </row>
    <row r="198" spans="2:3" x14ac:dyDescent="0.2">
      <c r="B198">
        <v>183</v>
      </c>
      <c r="C198">
        <v>1125.5131910310263</v>
      </c>
    </row>
    <row r="199" spans="2:3" x14ac:dyDescent="0.2">
      <c r="B199">
        <v>184</v>
      </c>
      <c r="C199">
        <v>1211.0343087942697</v>
      </c>
    </row>
    <row r="200" spans="2:3" x14ac:dyDescent="0.2">
      <c r="B200">
        <v>185</v>
      </c>
      <c r="C200">
        <v>1038.1959210109339</v>
      </c>
    </row>
    <row r="201" spans="2:3" x14ac:dyDescent="0.2">
      <c r="B201">
        <v>186</v>
      </c>
      <c r="C201">
        <v>1191.0955094855242</v>
      </c>
    </row>
    <row r="202" spans="2:3" x14ac:dyDescent="0.2">
      <c r="B202">
        <v>187</v>
      </c>
      <c r="C202">
        <v>1124.9024970928467</v>
      </c>
    </row>
    <row r="203" spans="2:3" x14ac:dyDescent="0.2">
      <c r="B203">
        <v>188</v>
      </c>
      <c r="C203">
        <v>1116.9697041211211</v>
      </c>
    </row>
    <row r="204" spans="2:3" x14ac:dyDescent="0.2">
      <c r="B204">
        <v>189</v>
      </c>
      <c r="C204">
        <v>1131.3666916189518</v>
      </c>
    </row>
    <row r="205" spans="2:3" x14ac:dyDescent="0.2">
      <c r="B205">
        <v>190</v>
      </c>
      <c r="C205">
        <v>1158.5816695244241</v>
      </c>
    </row>
    <row r="206" spans="2:3" x14ac:dyDescent="0.2">
      <c r="B206">
        <v>191</v>
      </c>
      <c r="C206">
        <v>1208.7392240971533</v>
      </c>
    </row>
    <row r="207" spans="2:3" x14ac:dyDescent="0.2">
      <c r="B207">
        <v>192</v>
      </c>
      <c r="C207">
        <v>1100.4672825260259</v>
      </c>
    </row>
    <row r="208" spans="2:3" x14ac:dyDescent="0.2">
      <c r="B208">
        <v>193</v>
      </c>
      <c r="C208">
        <v>1159.2298206476808</v>
      </c>
    </row>
    <row r="209" spans="2:3" x14ac:dyDescent="0.2">
      <c r="B209">
        <v>194</v>
      </c>
      <c r="C209">
        <v>1108.2172995187334</v>
      </c>
    </row>
    <row r="210" spans="2:3" x14ac:dyDescent="0.2">
      <c r="B210">
        <v>195</v>
      </c>
      <c r="C210">
        <v>1227.2421024528417</v>
      </c>
    </row>
    <row r="211" spans="2:3" x14ac:dyDescent="0.2">
      <c r="B211">
        <v>196</v>
      </c>
      <c r="C211">
        <v>1117.4566071809104</v>
      </c>
    </row>
    <row r="212" spans="2:3" x14ac:dyDescent="0.2">
      <c r="B212">
        <v>197</v>
      </c>
      <c r="C212">
        <v>1065.2521243080866</v>
      </c>
    </row>
    <row r="213" spans="2:3" x14ac:dyDescent="0.2">
      <c r="B213">
        <v>198</v>
      </c>
      <c r="C213">
        <v>998.41835531646018</v>
      </c>
    </row>
    <row r="214" spans="2:3" x14ac:dyDescent="0.2">
      <c r="B214">
        <v>199</v>
      </c>
      <c r="C214">
        <v>1193.1120339330519</v>
      </c>
    </row>
    <row r="215" spans="2:3" x14ac:dyDescent="0.2">
      <c r="B215">
        <v>200</v>
      </c>
      <c r="C215">
        <v>1171.9106524608503</v>
      </c>
    </row>
    <row r="216" spans="2:3" x14ac:dyDescent="0.2">
      <c r="B216">
        <v>201</v>
      </c>
      <c r="C216">
        <v>1273.7551004970169</v>
      </c>
    </row>
    <row r="217" spans="2:3" x14ac:dyDescent="0.2">
      <c r="B217">
        <v>202</v>
      </c>
      <c r="C217">
        <v>1156.1105858381452</v>
      </c>
    </row>
    <row r="218" spans="2:3" x14ac:dyDescent="0.2">
      <c r="B218">
        <v>203</v>
      </c>
      <c r="C218">
        <v>1252.5887827683009</v>
      </c>
    </row>
    <row r="219" spans="2:3" x14ac:dyDescent="0.2">
      <c r="B219">
        <v>204</v>
      </c>
      <c r="C219">
        <v>1211.7781510294931</v>
      </c>
    </row>
    <row r="220" spans="2:3" x14ac:dyDescent="0.2">
      <c r="B220">
        <v>205</v>
      </c>
      <c r="C220">
        <v>1048.313766343389</v>
      </c>
    </row>
    <row r="221" spans="2:3" x14ac:dyDescent="0.2">
      <c r="B221">
        <v>206</v>
      </c>
      <c r="C221">
        <v>1068.3161086624877</v>
      </c>
    </row>
    <row r="222" spans="2:3" x14ac:dyDescent="0.2">
      <c r="B222">
        <v>207</v>
      </c>
      <c r="C222">
        <v>1138.6110902160565</v>
      </c>
    </row>
    <row r="223" spans="2:3" x14ac:dyDescent="0.2">
      <c r="B223">
        <v>208</v>
      </c>
      <c r="C223">
        <v>1148.9932066219972</v>
      </c>
    </row>
    <row r="224" spans="2:3" x14ac:dyDescent="0.2">
      <c r="B224">
        <v>209</v>
      </c>
      <c r="C224">
        <v>1109.7102103602811</v>
      </c>
    </row>
    <row r="225" spans="2:3" x14ac:dyDescent="0.2">
      <c r="B225">
        <v>210</v>
      </c>
      <c r="C225">
        <v>1116.7571902904187</v>
      </c>
    </row>
    <row r="226" spans="2:3" x14ac:dyDescent="0.2">
      <c r="B226">
        <v>211</v>
      </c>
      <c r="C226">
        <v>1191.2425020634887</v>
      </c>
    </row>
    <row r="227" spans="2:3" x14ac:dyDescent="0.2">
      <c r="B227">
        <v>212</v>
      </c>
      <c r="C227">
        <v>1231.4996423957084</v>
      </c>
    </row>
    <row r="228" spans="2:3" x14ac:dyDescent="0.2">
      <c r="B228">
        <v>213</v>
      </c>
      <c r="C228">
        <v>1201.0268582219346</v>
      </c>
    </row>
    <row r="229" spans="2:3" x14ac:dyDescent="0.2">
      <c r="B229">
        <v>214</v>
      </c>
      <c r="C229">
        <v>1142.6394763769797</v>
      </c>
    </row>
    <row r="230" spans="2:3" x14ac:dyDescent="0.2">
      <c r="B230">
        <v>215</v>
      </c>
      <c r="C230">
        <v>1010.5383470431046</v>
      </c>
    </row>
    <row r="231" spans="2:3" x14ac:dyDescent="0.2">
      <c r="B231">
        <v>216</v>
      </c>
      <c r="C231">
        <v>1074.1098255454192</v>
      </c>
    </row>
    <row r="232" spans="2:3" x14ac:dyDescent="0.2">
      <c r="B232">
        <v>217</v>
      </c>
      <c r="C232">
        <v>1181.7061876137068</v>
      </c>
    </row>
    <row r="233" spans="2:3" x14ac:dyDescent="0.2">
      <c r="B233">
        <v>218</v>
      </c>
      <c r="C233">
        <v>1156.3382338695424</v>
      </c>
    </row>
    <row r="234" spans="2:3" x14ac:dyDescent="0.2">
      <c r="B234">
        <v>219</v>
      </c>
      <c r="C234">
        <v>1187.4654657756398</v>
      </c>
    </row>
    <row r="235" spans="2:3" x14ac:dyDescent="0.2">
      <c r="B235">
        <v>220</v>
      </c>
      <c r="C235">
        <v>1179.243431303863</v>
      </c>
    </row>
    <row r="236" spans="2:3" x14ac:dyDescent="0.2">
      <c r="B236">
        <v>221</v>
      </c>
      <c r="C236">
        <v>1135.6793578598877</v>
      </c>
    </row>
    <row r="237" spans="2:3" x14ac:dyDescent="0.2">
      <c r="B237">
        <v>222</v>
      </c>
      <c r="C237">
        <v>1280.0273506349006</v>
      </c>
    </row>
    <row r="238" spans="2:3" x14ac:dyDescent="0.2">
      <c r="B238">
        <v>223</v>
      </c>
      <c r="C238">
        <v>1190.5731613846813</v>
      </c>
    </row>
    <row r="239" spans="2:3" x14ac:dyDescent="0.2">
      <c r="B239">
        <v>224</v>
      </c>
      <c r="C239">
        <v>1171.3365773805331</v>
      </c>
    </row>
    <row r="240" spans="2:3" x14ac:dyDescent="0.2">
      <c r="B240">
        <v>225</v>
      </c>
      <c r="C240">
        <v>1208.200229094567</v>
      </c>
    </row>
    <row r="241" spans="2:3" x14ac:dyDescent="0.2">
      <c r="B241">
        <v>226</v>
      </c>
      <c r="C241">
        <v>1153.1104505527005</v>
      </c>
    </row>
    <row r="242" spans="2:3" x14ac:dyDescent="0.2">
      <c r="B242">
        <v>227</v>
      </c>
      <c r="C242">
        <v>1035.0831516235678</v>
      </c>
    </row>
    <row r="243" spans="2:3" x14ac:dyDescent="0.2">
      <c r="B243">
        <v>228</v>
      </c>
      <c r="C243">
        <v>1085.1340383990316</v>
      </c>
    </row>
    <row r="244" spans="2:3" x14ac:dyDescent="0.2">
      <c r="B244">
        <v>229</v>
      </c>
      <c r="C244">
        <v>1189.4350963843431</v>
      </c>
    </row>
    <row r="245" spans="2:3" x14ac:dyDescent="0.2">
      <c r="B245">
        <v>230</v>
      </c>
      <c r="C245">
        <v>1125.830255935125</v>
      </c>
    </row>
    <row r="246" spans="2:3" x14ac:dyDescent="0.2">
      <c r="B246">
        <v>231</v>
      </c>
      <c r="C246">
        <v>1197.9630754285029</v>
      </c>
    </row>
    <row r="247" spans="2:3" x14ac:dyDescent="0.2">
      <c r="B247">
        <v>232</v>
      </c>
      <c r="C247">
        <v>1158.6241809388439</v>
      </c>
    </row>
    <row r="248" spans="2:3" x14ac:dyDescent="0.2">
      <c r="B248">
        <v>233</v>
      </c>
      <c r="C248">
        <v>1196.4707928891664</v>
      </c>
    </row>
    <row r="249" spans="2:3" x14ac:dyDescent="0.2">
      <c r="B249">
        <v>234</v>
      </c>
      <c r="C249">
        <v>1180.2166700665252</v>
      </c>
    </row>
    <row r="250" spans="2:3" x14ac:dyDescent="0.2">
      <c r="B250">
        <v>235</v>
      </c>
      <c r="C250">
        <v>1194.8059773262546</v>
      </c>
    </row>
    <row r="251" spans="2:3" x14ac:dyDescent="0.2">
      <c r="B251">
        <v>236</v>
      </c>
      <c r="C251">
        <v>1116.2927884587416</v>
      </c>
    </row>
    <row r="252" spans="2:3" x14ac:dyDescent="0.2">
      <c r="B252">
        <v>237</v>
      </c>
      <c r="C252">
        <v>1237.9999839017116</v>
      </c>
    </row>
    <row r="253" spans="2:3" x14ac:dyDescent="0.2">
      <c r="B253">
        <v>238</v>
      </c>
      <c r="C253">
        <v>1255.3971303334174</v>
      </c>
    </row>
    <row r="254" spans="2:3" x14ac:dyDescent="0.2">
      <c r="B254">
        <v>239</v>
      </c>
      <c r="C254">
        <v>1034.7603347975207</v>
      </c>
    </row>
    <row r="255" spans="2:3" x14ac:dyDescent="0.2">
      <c r="B255">
        <v>240</v>
      </c>
      <c r="C255">
        <v>1135.0364263997785</v>
      </c>
    </row>
    <row r="256" spans="2:3" x14ac:dyDescent="0.2">
      <c r="B256">
        <v>241</v>
      </c>
      <c r="C256">
        <v>1145.0441897998392</v>
      </c>
    </row>
    <row r="257" spans="2:3" x14ac:dyDescent="0.2">
      <c r="B257">
        <v>242</v>
      </c>
      <c r="C257">
        <v>1091.1684125077638</v>
      </c>
    </row>
    <row r="258" spans="2:3" x14ac:dyDescent="0.2">
      <c r="B258">
        <v>243</v>
      </c>
      <c r="C258">
        <v>1154.4983862251224</v>
      </c>
    </row>
    <row r="259" spans="2:3" x14ac:dyDescent="0.2">
      <c r="B259">
        <v>244</v>
      </c>
      <c r="C259">
        <v>1164.1312568330729</v>
      </c>
    </row>
    <row r="260" spans="2:3" x14ac:dyDescent="0.2">
      <c r="B260">
        <v>245</v>
      </c>
      <c r="C260">
        <v>1219.6263731976235</v>
      </c>
    </row>
    <row r="261" spans="2:3" x14ac:dyDescent="0.2">
      <c r="B261">
        <v>246</v>
      </c>
      <c r="C261">
        <v>1209.9970117660393</v>
      </c>
    </row>
    <row r="262" spans="2:3" x14ac:dyDescent="0.2">
      <c r="B262">
        <v>247</v>
      </c>
      <c r="C262">
        <v>1173.2894005824569</v>
      </c>
    </row>
    <row r="263" spans="2:3" x14ac:dyDescent="0.2">
      <c r="B263">
        <v>248</v>
      </c>
      <c r="C263">
        <v>1186.6653090160044</v>
      </c>
    </row>
    <row r="264" spans="2:3" x14ac:dyDescent="0.2">
      <c r="B264">
        <v>249</v>
      </c>
      <c r="C264">
        <v>1131.4001656465916</v>
      </c>
    </row>
    <row r="265" spans="2:3" x14ac:dyDescent="0.2">
      <c r="B265">
        <v>250</v>
      </c>
      <c r="C265">
        <v>1030.1943567073449</v>
      </c>
    </row>
    <row r="266" spans="2:3" x14ac:dyDescent="0.2">
      <c r="B266">
        <v>251</v>
      </c>
      <c r="C266">
        <v>1122.161551531653</v>
      </c>
    </row>
    <row r="267" spans="2:3" x14ac:dyDescent="0.2">
      <c r="B267">
        <v>252</v>
      </c>
      <c r="C267">
        <v>1249.9721491139826</v>
      </c>
    </row>
    <row r="268" spans="2:3" x14ac:dyDescent="0.2">
      <c r="B268">
        <v>253</v>
      </c>
      <c r="C268">
        <v>1229.8289166787174</v>
      </c>
    </row>
    <row r="269" spans="2:3" x14ac:dyDescent="0.2">
      <c r="B269">
        <v>254</v>
      </c>
      <c r="C269">
        <v>1155.5152005354626</v>
      </c>
    </row>
    <row r="270" spans="2:3" x14ac:dyDescent="0.2">
      <c r="B270">
        <v>255</v>
      </c>
      <c r="C270">
        <v>1168.3383846627569</v>
      </c>
    </row>
    <row r="271" spans="2:3" x14ac:dyDescent="0.2">
      <c r="B271">
        <v>256</v>
      </c>
      <c r="C271">
        <v>1029.2729830876197</v>
      </c>
    </row>
    <row r="272" spans="2:3" x14ac:dyDescent="0.2">
      <c r="B272">
        <v>257</v>
      </c>
      <c r="C272">
        <v>1108.6899928920648</v>
      </c>
    </row>
    <row r="273" spans="2:3" x14ac:dyDescent="0.2">
      <c r="B273">
        <v>258</v>
      </c>
      <c r="C273">
        <v>1246.628637879629</v>
      </c>
    </row>
    <row r="274" spans="2:3" x14ac:dyDescent="0.2">
      <c r="B274">
        <v>259</v>
      </c>
      <c r="C274">
        <v>1248.9016505267925</v>
      </c>
    </row>
    <row r="275" spans="2:3" x14ac:dyDescent="0.2">
      <c r="B275">
        <v>260</v>
      </c>
      <c r="C275">
        <v>1175.4292198105734</v>
      </c>
    </row>
    <row r="276" spans="2:3" x14ac:dyDescent="0.2">
      <c r="B276">
        <v>261</v>
      </c>
      <c r="C276">
        <v>1157.2168468930563</v>
      </c>
    </row>
    <row r="277" spans="2:3" x14ac:dyDescent="0.2">
      <c r="B277">
        <v>262</v>
      </c>
      <c r="C277">
        <v>1179.0138174029944</v>
      </c>
    </row>
    <row r="278" spans="2:3" x14ac:dyDescent="0.2">
      <c r="B278">
        <v>263</v>
      </c>
      <c r="C278">
        <v>1077.8240730158259</v>
      </c>
    </row>
    <row r="279" spans="2:3" x14ac:dyDescent="0.2">
      <c r="B279">
        <v>264</v>
      </c>
      <c r="C279">
        <v>1021.1532210200835</v>
      </c>
    </row>
    <row r="280" spans="2:3" x14ac:dyDescent="0.2">
      <c r="B280">
        <v>265</v>
      </c>
      <c r="C280">
        <v>1199.4029696229077</v>
      </c>
    </row>
    <row r="281" spans="2:3" x14ac:dyDescent="0.2">
      <c r="B281">
        <v>266</v>
      </c>
      <c r="C281">
        <v>1180.2269494770255</v>
      </c>
    </row>
    <row r="282" spans="2:3" x14ac:dyDescent="0.2">
      <c r="B282">
        <v>267</v>
      </c>
      <c r="C282">
        <v>1167.7641874450105</v>
      </c>
    </row>
    <row r="283" spans="2:3" x14ac:dyDescent="0.2">
      <c r="B283">
        <v>268</v>
      </c>
      <c r="C283">
        <v>1127.216179404847</v>
      </c>
    </row>
    <row r="284" spans="2:3" x14ac:dyDescent="0.2">
      <c r="B284">
        <v>269</v>
      </c>
      <c r="C284">
        <v>1223.0363391965286</v>
      </c>
    </row>
    <row r="285" spans="2:3" x14ac:dyDescent="0.2">
      <c r="B285">
        <v>270</v>
      </c>
      <c r="C285">
        <v>1227.2841084048232</v>
      </c>
    </row>
    <row r="286" spans="2:3" x14ac:dyDescent="0.2">
      <c r="B286">
        <v>271</v>
      </c>
      <c r="C286">
        <v>1198.7403552579344</v>
      </c>
    </row>
    <row r="287" spans="2:3" x14ac:dyDescent="0.2">
      <c r="B287">
        <v>272</v>
      </c>
      <c r="C287">
        <v>1262.6655265270413</v>
      </c>
    </row>
    <row r="288" spans="2:3" x14ac:dyDescent="0.2">
      <c r="B288">
        <v>273</v>
      </c>
      <c r="C288">
        <v>1116.1154634988291</v>
      </c>
    </row>
    <row r="289" spans="2:3" x14ac:dyDescent="0.2">
      <c r="B289">
        <v>274</v>
      </c>
      <c r="C289">
        <v>1195.0476435728747</v>
      </c>
    </row>
    <row r="290" spans="2:3" x14ac:dyDescent="0.2">
      <c r="B290">
        <v>275</v>
      </c>
      <c r="C290">
        <v>1250.9348915436271</v>
      </c>
    </row>
    <row r="291" spans="2:3" x14ac:dyDescent="0.2">
      <c r="B291">
        <v>276</v>
      </c>
      <c r="C291">
        <v>1163.8122834389087</v>
      </c>
    </row>
    <row r="292" spans="2:3" x14ac:dyDescent="0.2">
      <c r="B292">
        <v>277</v>
      </c>
      <c r="C292">
        <v>1174.9865829402681</v>
      </c>
    </row>
    <row r="293" spans="2:3" x14ac:dyDescent="0.2">
      <c r="B293">
        <v>278</v>
      </c>
      <c r="C293">
        <v>1144.9149917779525</v>
      </c>
    </row>
    <row r="294" spans="2:3" x14ac:dyDescent="0.2">
      <c r="B294">
        <v>279</v>
      </c>
      <c r="C294">
        <v>1054.0000528179717</v>
      </c>
    </row>
    <row r="295" spans="2:3" x14ac:dyDescent="0.2">
      <c r="B295">
        <v>280</v>
      </c>
      <c r="C295">
        <v>1315.8910655956879</v>
      </c>
    </row>
    <row r="296" spans="2:3" x14ac:dyDescent="0.2">
      <c r="B296">
        <v>281</v>
      </c>
      <c r="C296">
        <v>1284.5387603025245</v>
      </c>
    </row>
    <row r="297" spans="2:3" x14ac:dyDescent="0.2">
      <c r="B297">
        <v>282</v>
      </c>
      <c r="C297">
        <v>1144.4657262560904</v>
      </c>
    </row>
    <row r="298" spans="2:3" x14ac:dyDescent="0.2">
      <c r="B298">
        <v>283</v>
      </c>
      <c r="C298">
        <v>1227.8449807811744</v>
      </c>
    </row>
    <row r="299" spans="2:3" x14ac:dyDescent="0.2">
      <c r="B299">
        <v>284</v>
      </c>
      <c r="C299">
        <v>1127.5041549008135</v>
      </c>
    </row>
    <row r="300" spans="2:3" x14ac:dyDescent="0.2">
      <c r="B300">
        <v>285</v>
      </c>
      <c r="C300">
        <v>1142.7926613448456</v>
      </c>
    </row>
    <row r="301" spans="2:3" x14ac:dyDescent="0.2">
      <c r="B301">
        <v>286</v>
      </c>
      <c r="C301">
        <v>1157.1511179578627</v>
      </c>
    </row>
    <row r="302" spans="2:3" x14ac:dyDescent="0.2">
      <c r="B302">
        <v>287</v>
      </c>
      <c r="C302">
        <v>1145.5583556591462</v>
      </c>
    </row>
    <row r="303" spans="2:3" x14ac:dyDescent="0.2">
      <c r="B303">
        <v>288</v>
      </c>
      <c r="C303">
        <v>1178.0607932430053</v>
      </c>
    </row>
    <row r="304" spans="2:3" x14ac:dyDescent="0.2">
      <c r="B304">
        <v>289</v>
      </c>
      <c r="C304">
        <v>1143.0840955730007</v>
      </c>
    </row>
    <row r="305" spans="2:3" x14ac:dyDescent="0.2">
      <c r="B305">
        <v>290</v>
      </c>
      <c r="C305">
        <v>1132.4576307862283</v>
      </c>
    </row>
    <row r="306" spans="2:3" x14ac:dyDescent="0.2">
      <c r="B306">
        <v>291</v>
      </c>
      <c r="C306">
        <v>1146.4336813216146</v>
      </c>
    </row>
    <row r="307" spans="2:3" x14ac:dyDescent="0.2">
      <c r="B307">
        <v>292</v>
      </c>
      <c r="C307">
        <v>1280.4324201935749</v>
      </c>
    </row>
    <row r="308" spans="2:3" x14ac:dyDescent="0.2">
      <c r="B308">
        <v>293</v>
      </c>
      <c r="C308">
        <v>1151.0459669505226</v>
      </c>
    </row>
    <row r="309" spans="2:3" x14ac:dyDescent="0.2">
      <c r="B309">
        <v>294</v>
      </c>
      <c r="C309">
        <v>1128.2546405372077</v>
      </c>
    </row>
    <row r="310" spans="2:3" x14ac:dyDescent="0.2">
      <c r="B310">
        <v>295</v>
      </c>
      <c r="C310">
        <v>1183.7880334479387</v>
      </c>
    </row>
    <row r="311" spans="2:3" x14ac:dyDescent="0.2">
      <c r="B311">
        <v>296</v>
      </c>
      <c r="C311">
        <v>1189.916192509856</v>
      </c>
    </row>
    <row r="312" spans="2:3" x14ac:dyDescent="0.2">
      <c r="B312">
        <v>297</v>
      </c>
      <c r="C312">
        <v>1233.0996417392435</v>
      </c>
    </row>
    <row r="313" spans="2:3" x14ac:dyDescent="0.2">
      <c r="B313">
        <v>298</v>
      </c>
      <c r="C313">
        <v>1180.4372776305365</v>
      </c>
    </row>
    <row r="314" spans="2:3" x14ac:dyDescent="0.2">
      <c r="B314">
        <v>299</v>
      </c>
      <c r="C314">
        <v>1125.409747233934</v>
      </c>
    </row>
    <row r="315" spans="2:3" x14ac:dyDescent="0.2">
      <c r="B315">
        <v>300</v>
      </c>
      <c r="C315">
        <v>1198.8181839953227</v>
      </c>
    </row>
    <row r="316" spans="2:3" x14ac:dyDescent="0.2">
      <c r="B316">
        <v>301</v>
      </c>
      <c r="C316">
        <v>1189.0288940382907</v>
      </c>
    </row>
    <row r="317" spans="2:3" x14ac:dyDescent="0.2">
      <c r="B317">
        <v>302</v>
      </c>
      <c r="C317">
        <v>1102.6769469226022</v>
      </c>
    </row>
    <row r="318" spans="2:3" x14ac:dyDescent="0.2">
      <c r="B318">
        <v>303</v>
      </c>
      <c r="C318">
        <v>1204.5339239371995</v>
      </c>
    </row>
    <row r="319" spans="2:3" x14ac:dyDescent="0.2">
      <c r="B319">
        <v>304</v>
      </c>
      <c r="C319">
        <v>1083.4615691219774</v>
      </c>
    </row>
    <row r="320" spans="2:3" x14ac:dyDescent="0.2">
      <c r="B320">
        <v>305</v>
      </c>
      <c r="C320">
        <v>1130.4286983173497</v>
      </c>
    </row>
    <row r="321" spans="2:3" x14ac:dyDescent="0.2">
      <c r="B321">
        <v>306</v>
      </c>
      <c r="C321">
        <v>1152.2198915012218</v>
      </c>
    </row>
    <row r="322" spans="2:3" x14ac:dyDescent="0.2">
      <c r="B322">
        <v>307</v>
      </c>
      <c r="C322">
        <v>1163.8986788389518</v>
      </c>
    </row>
    <row r="323" spans="2:3" x14ac:dyDescent="0.2">
      <c r="B323">
        <v>308</v>
      </c>
      <c r="C323">
        <v>1131.3762363861924</v>
      </c>
    </row>
    <row r="324" spans="2:3" x14ac:dyDescent="0.2">
      <c r="B324">
        <v>309</v>
      </c>
      <c r="C324">
        <v>1197.5117671215767</v>
      </c>
    </row>
    <row r="325" spans="2:3" x14ac:dyDescent="0.2">
      <c r="B325">
        <v>310</v>
      </c>
      <c r="C325">
        <v>1153.8838044761346</v>
      </c>
    </row>
    <row r="326" spans="2:3" x14ac:dyDescent="0.2">
      <c r="B326">
        <v>311</v>
      </c>
      <c r="C326">
        <v>1175.8737288056041</v>
      </c>
    </row>
    <row r="327" spans="2:3" x14ac:dyDescent="0.2">
      <c r="B327">
        <v>312</v>
      </c>
      <c r="C327">
        <v>1148.5749952572417</v>
      </c>
    </row>
    <row r="328" spans="2:3" x14ac:dyDescent="0.2">
      <c r="B328">
        <v>313</v>
      </c>
      <c r="C328">
        <v>1161.0442929364963</v>
      </c>
    </row>
    <row r="329" spans="2:3" x14ac:dyDescent="0.2">
      <c r="B329">
        <v>314</v>
      </c>
      <c r="C329">
        <v>1212.6703171901172</v>
      </c>
    </row>
    <row r="330" spans="2:3" x14ac:dyDescent="0.2">
      <c r="B330">
        <v>315</v>
      </c>
      <c r="C330">
        <v>1132.3056619734259</v>
      </c>
    </row>
    <row r="331" spans="2:3" x14ac:dyDescent="0.2">
      <c r="B331">
        <v>316</v>
      </c>
      <c r="C331">
        <v>1045.9087768998163</v>
      </c>
    </row>
    <row r="332" spans="2:3" x14ac:dyDescent="0.2">
      <c r="B332">
        <v>317</v>
      </c>
      <c r="C332">
        <v>1173.3742752349956</v>
      </c>
    </row>
    <row r="333" spans="2:3" x14ac:dyDescent="0.2">
      <c r="B333">
        <v>318</v>
      </c>
      <c r="C333">
        <v>1151.3164116221274</v>
      </c>
    </row>
    <row r="334" spans="2:3" x14ac:dyDescent="0.2">
      <c r="B334">
        <v>319</v>
      </c>
      <c r="C334">
        <v>1058.8113955851538</v>
      </c>
    </row>
    <row r="335" spans="2:3" x14ac:dyDescent="0.2">
      <c r="B335">
        <v>320</v>
      </c>
      <c r="C335">
        <v>1120.197064032272</v>
      </c>
    </row>
    <row r="336" spans="2:3" x14ac:dyDescent="0.2">
      <c r="B336">
        <v>321</v>
      </c>
      <c r="C336">
        <v>1269.0873485673412</v>
      </c>
    </row>
    <row r="337" spans="2:3" x14ac:dyDescent="0.2">
      <c r="B337">
        <v>322</v>
      </c>
      <c r="C337">
        <v>1139.6076599415537</v>
      </c>
    </row>
    <row r="338" spans="2:3" x14ac:dyDescent="0.2">
      <c r="B338">
        <v>323</v>
      </c>
      <c r="C338">
        <v>1309.6384542718661</v>
      </c>
    </row>
    <row r="339" spans="2:3" x14ac:dyDescent="0.2">
      <c r="B339">
        <v>324</v>
      </c>
      <c r="C339">
        <v>1027.3989490478714</v>
      </c>
    </row>
    <row r="340" spans="2:3" x14ac:dyDescent="0.2">
      <c r="B340">
        <v>325</v>
      </c>
      <c r="C340">
        <v>1290.9181728504395</v>
      </c>
    </row>
    <row r="341" spans="2:3" x14ac:dyDescent="0.2">
      <c r="B341">
        <v>326</v>
      </c>
      <c r="C341">
        <v>1143.9474147081214</v>
      </c>
    </row>
    <row r="342" spans="2:3" x14ac:dyDescent="0.2">
      <c r="B342">
        <v>327</v>
      </c>
      <c r="C342">
        <v>1116.2809167003945</v>
      </c>
    </row>
    <row r="343" spans="2:3" x14ac:dyDescent="0.2">
      <c r="B343">
        <v>328</v>
      </c>
      <c r="C343">
        <v>1217.2358580180176</v>
      </c>
    </row>
    <row r="344" spans="2:3" x14ac:dyDescent="0.2">
      <c r="B344">
        <v>329</v>
      </c>
      <c r="C344">
        <v>1108.7504987871782</v>
      </c>
    </row>
    <row r="345" spans="2:3" x14ac:dyDescent="0.2">
      <c r="B345">
        <v>330</v>
      </c>
      <c r="C345">
        <v>1137.1803279663122</v>
      </c>
    </row>
    <row r="346" spans="2:3" x14ac:dyDescent="0.2">
      <c r="B346">
        <v>331</v>
      </c>
      <c r="C346">
        <v>1149.478781509624</v>
      </c>
    </row>
    <row r="347" spans="2:3" x14ac:dyDescent="0.2">
      <c r="B347">
        <v>332</v>
      </c>
      <c r="C347">
        <v>1165.1825711680958</v>
      </c>
    </row>
    <row r="348" spans="2:3" x14ac:dyDescent="0.2">
      <c r="B348">
        <v>333</v>
      </c>
      <c r="C348">
        <v>1163.1622542131154</v>
      </c>
    </row>
    <row r="349" spans="2:3" x14ac:dyDescent="0.2">
      <c r="B349">
        <v>334</v>
      </c>
      <c r="C349">
        <v>1087.9408209399294</v>
      </c>
    </row>
    <row r="350" spans="2:3" x14ac:dyDescent="0.2">
      <c r="B350">
        <v>335</v>
      </c>
      <c r="C350">
        <v>1137.9274179237113</v>
      </c>
    </row>
    <row r="351" spans="2:3" x14ac:dyDescent="0.2">
      <c r="B351">
        <v>336</v>
      </c>
      <c r="C351">
        <v>1110.1944224346732</v>
      </c>
    </row>
    <row r="352" spans="2:3" x14ac:dyDescent="0.2">
      <c r="B352">
        <v>337</v>
      </c>
      <c r="C352">
        <v>1146.4459565655466</v>
      </c>
    </row>
    <row r="353" spans="2:3" x14ac:dyDescent="0.2">
      <c r="B353">
        <v>338</v>
      </c>
      <c r="C353">
        <v>1159.2784810650701</v>
      </c>
    </row>
    <row r="354" spans="2:3" x14ac:dyDescent="0.2">
      <c r="B354">
        <v>339</v>
      </c>
      <c r="C354">
        <v>1154.2891401756472</v>
      </c>
    </row>
    <row r="355" spans="2:3" x14ac:dyDescent="0.2">
      <c r="B355">
        <v>340</v>
      </c>
      <c r="C355">
        <v>1183.0999110130049</v>
      </c>
    </row>
    <row r="356" spans="2:3" x14ac:dyDescent="0.2">
      <c r="B356">
        <v>341</v>
      </c>
      <c r="C356">
        <v>1185.1060835723436</v>
      </c>
    </row>
    <row r="357" spans="2:3" x14ac:dyDescent="0.2">
      <c r="B357">
        <v>342</v>
      </c>
      <c r="C357">
        <v>1131.4808719901457</v>
      </c>
    </row>
    <row r="358" spans="2:3" x14ac:dyDescent="0.2">
      <c r="B358">
        <v>343</v>
      </c>
      <c r="C358">
        <v>1190.133453830327</v>
      </c>
    </row>
    <row r="359" spans="2:3" x14ac:dyDescent="0.2">
      <c r="B359">
        <v>344</v>
      </c>
      <c r="C359">
        <v>1298.7472962523077</v>
      </c>
    </row>
    <row r="360" spans="2:3" x14ac:dyDescent="0.2">
      <c r="B360">
        <v>345</v>
      </c>
      <c r="C360">
        <v>1282.7952036616946</v>
      </c>
    </row>
    <row r="361" spans="2:3" x14ac:dyDescent="0.2">
      <c r="B361">
        <v>346</v>
      </c>
      <c r="C361">
        <v>1233.1106613016591</v>
      </c>
    </row>
    <row r="362" spans="2:3" x14ac:dyDescent="0.2">
      <c r="B362">
        <v>347</v>
      </c>
      <c r="C362">
        <v>1181.6264440000041</v>
      </c>
    </row>
    <row r="363" spans="2:3" x14ac:dyDescent="0.2">
      <c r="B363">
        <v>348</v>
      </c>
      <c r="C363">
        <v>1129.524143588583</v>
      </c>
    </row>
    <row r="364" spans="2:3" x14ac:dyDescent="0.2">
      <c r="B364">
        <v>349</v>
      </c>
      <c r="C364">
        <v>1216.4939425833477</v>
      </c>
    </row>
    <row r="365" spans="2:3" x14ac:dyDescent="0.2">
      <c r="B365">
        <v>350</v>
      </c>
      <c r="C365">
        <v>1170.448556928691</v>
      </c>
    </row>
    <row r="366" spans="2:3" x14ac:dyDescent="0.2">
      <c r="B366">
        <v>351</v>
      </c>
      <c r="C366">
        <v>1156.3111668606409</v>
      </c>
    </row>
    <row r="367" spans="2:3" x14ac:dyDescent="0.2">
      <c r="B367">
        <v>352</v>
      </c>
      <c r="C367">
        <v>1291.6762117235542</v>
      </c>
    </row>
    <row r="368" spans="2:3" x14ac:dyDescent="0.2">
      <c r="B368">
        <v>353</v>
      </c>
      <c r="C368">
        <v>1200.786248322707</v>
      </c>
    </row>
    <row r="369" spans="2:3" x14ac:dyDescent="0.2">
      <c r="B369">
        <v>354</v>
      </c>
      <c r="C369">
        <v>1155.7799569456931</v>
      </c>
    </row>
    <row r="370" spans="2:3" x14ac:dyDescent="0.2">
      <c r="B370">
        <v>355</v>
      </c>
      <c r="C370">
        <v>1044.5113321646857</v>
      </c>
    </row>
    <row r="371" spans="2:3" x14ac:dyDescent="0.2">
      <c r="B371">
        <v>356</v>
      </c>
      <c r="C371">
        <v>1062.8746249860881</v>
      </c>
    </row>
    <row r="372" spans="2:3" x14ac:dyDescent="0.2">
      <c r="B372">
        <v>357</v>
      </c>
      <c r="C372">
        <v>1165.2248401216389</v>
      </c>
    </row>
    <row r="373" spans="2:3" x14ac:dyDescent="0.2">
      <c r="B373">
        <v>358</v>
      </c>
      <c r="C373">
        <v>1126.5818600323321</v>
      </c>
    </row>
    <row r="374" spans="2:3" x14ac:dyDescent="0.2">
      <c r="B374">
        <v>359</v>
      </c>
      <c r="C374">
        <v>1266.7673966247712</v>
      </c>
    </row>
    <row r="375" spans="2:3" x14ac:dyDescent="0.2">
      <c r="B375">
        <v>360</v>
      </c>
      <c r="C375">
        <v>1228.1368410884438</v>
      </c>
    </row>
    <row r="376" spans="2:3" x14ac:dyDescent="0.2">
      <c r="B376">
        <v>361</v>
      </c>
      <c r="C376">
        <v>1253.1247061597526</v>
      </c>
    </row>
    <row r="377" spans="2:3" x14ac:dyDescent="0.2">
      <c r="B377">
        <v>362</v>
      </c>
      <c r="C377">
        <v>1143.7544543212907</v>
      </c>
    </row>
    <row r="378" spans="2:3" x14ac:dyDescent="0.2">
      <c r="B378">
        <v>363</v>
      </c>
      <c r="C378">
        <v>1095.405544641043</v>
      </c>
    </row>
    <row r="379" spans="2:3" x14ac:dyDescent="0.2">
      <c r="B379">
        <v>364</v>
      </c>
      <c r="C379">
        <v>1119.6426586185678</v>
      </c>
    </row>
    <row r="380" spans="2:3" x14ac:dyDescent="0.2">
      <c r="B380">
        <v>365</v>
      </c>
      <c r="C380">
        <v>1112.7208076442548</v>
      </c>
    </row>
    <row r="381" spans="2:3" x14ac:dyDescent="0.2">
      <c r="B381">
        <v>366</v>
      </c>
      <c r="C381">
        <v>1051.5452143270497</v>
      </c>
    </row>
    <row r="382" spans="2:3" x14ac:dyDescent="0.2">
      <c r="B382">
        <v>367</v>
      </c>
      <c r="C382">
        <v>1169.3720624269583</v>
      </c>
    </row>
    <row r="383" spans="2:3" x14ac:dyDescent="0.2">
      <c r="B383">
        <v>368</v>
      </c>
      <c r="C383">
        <v>1268.6741414689391</v>
      </c>
    </row>
    <row r="384" spans="2:3" x14ac:dyDescent="0.2">
      <c r="B384">
        <v>369</v>
      </c>
      <c r="C384">
        <v>1280.3886051264101</v>
      </c>
    </row>
    <row r="385" spans="2:3" x14ac:dyDescent="0.2">
      <c r="B385">
        <v>370</v>
      </c>
      <c r="C385">
        <v>1225.4569437492926</v>
      </c>
    </row>
    <row r="386" spans="2:3" x14ac:dyDescent="0.2">
      <c r="B386">
        <v>371</v>
      </c>
      <c r="C386">
        <v>1138.6115572019851</v>
      </c>
    </row>
    <row r="387" spans="2:3" x14ac:dyDescent="0.2">
      <c r="B387">
        <v>372</v>
      </c>
      <c r="C387">
        <v>1235.2869857493799</v>
      </c>
    </row>
    <row r="388" spans="2:3" x14ac:dyDescent="0.2">
      <c r="B388">
        <v>373</v>
      </c>
      <c r="C388">
        <v>1064.9316130529346</v>
      </c>
    </row>
    <row r="389" spans="2:3" x14ac:dyDescent="0.2">
      <c r="B389">
        <v>374</v>
      </c>
      <c r="C389">
        <v>1215.3767641427917</v>
      </c>
    </row>
    <row r="390" spans="2:3" x14ac:dyDescent="0.2">
      <c r="B390">
        <v>375</v>
      </c>
      <c r="C390">
        <v>1090.2539575583739</v>
      </c>
    </row>
    <row r="391" spans="2:3" x14ac:dyDescent="0.2">
      <c r="B391">
        <v>376</v>
      </c>
      <c r="C391">
        <v>1150.0464670745232</v>
      </c>
    </row>
    <row r="392" spans="2:3" x14ac:dyDescent="0.2">
      <c r="B392">
        <v>377</v>
      </c>
      <c r="C392">
        <v>1220.4886609384077</v>
      </c>
    </row>
    <row r="393" spans="2:3" x14ac:dyDescent="0.2">
      <c r="B393">
        <v>378</v>
      </c>
      <c r="C393">
        <v>1221.9269318052195</v>
      </c>
    </row>
    <row r="394" spans="2:3" x14ac:dyDescent="0.2">
      <c r="B394">
        <v>379</v>
      </c>
      <c r="C394">
        <v>1262.3906551503148</v>
      </c>
    </row>
    <row r="395" spans="2:3" x14ac:dyDescent="0.2">
      <c r="B395">
        <v>380</v>
      </c>
      <c r="C395">
        <v>1161.3759405683631</v>
      </c>
    </row>
    <row r="396" spans="2:3" x14ac:dyDescent="0.2">
      <c r="B396">
        <v>381</v>
      </c>
      <c r="C396">
        <v>1063.9659081008895</v>
      </c>
    </row>
    <row r="397" spans="2:3" x14ac:dyDescent="0.2">
      <c r="B397">
        <v>382</v>
      </c>
      <c r="C397">
        <v>1099.9124033158694</v>
      </c>
    </row>
    <row r="398" spans="2:3" x14ac:dyDescent="0.2">
      <c r="B398">
        <v>383</v>
      </c>
      <c r="C398">
        <v>1135.4906182553591</v>
      </c>
    </row>
    <row r="399" spans="2:3" x14ac:dyDescent="0.2">
      <c r="B399">
        <v>384</v>
      </c>
      <c r="C399">
        <v>1105.3339779098958</v>
      </c>
    </row>
    <row r="400" spans="2:3" x14ac:dyDescent="0.2">
      <c r="B400">
        <v>385</v>
      </c>
      <c r="C400">
        <v>1186.5595821258526</v>
      </c>
    </row>
    <row r="401" spans="2:3" x14ac:dyDescent="0.2">
      <c r="B401">
        <v>386</v>
      </c>
      <c r="C401">
        <v>1116.2263196489187</v>
      </c>
    </row>
    <row r="402" spans="2:3" x14ac:dyDescent="0.2">
      <c r="B402">
        <v>387</v>
      </c>
      <c r="C402">
        <v>1213.1117765540444</v>
      </c>
    </row>
    <row r="403" spans="2:3" x14ac:dyDescent="0.2">
      <c r="B403">
        <v>388</v>
      </c>
      <c r="C403">
        <v>1228.3107793450586</v>
      </c>
    </row>
    <row r="404" spans="2:3" x14ac:dyDescent="0.2">
      <c r="B404">
        <v>389</v>
      </c>
      <c r="C404">
        <v>1110.6616811441193</v>
      </c>
    </row>
    <row r="405" spans="2:3" x14ac:dyDescent="0.2">
      <c r="B405">
        <v>390</v>
      </c>
      <c r="C405">
        <v>1141.0319271950234</v>
      </c>
    </row>
    <row r="406" spans="2:3" x14ac:dyDescent="0.2">
      <c r="B406">
        <v>391</v>
      </c>
      <c r="C406">
        <v>1250.7257020533875</v>
      </c>
    </row>
    <row r="407" spans="2:3" x14ac:dyDescent="0.2">
      <c r="B407">
        <v>392</v>
      </c>
      <c r="C407">
        <v>1186.301480024578</v>
      </c>
    </row>
    <row r="408" spans="2:3" x14ac:dyDescent="0.2">
      <c r="B408">
        <v>393</v>
      </c>
      <c r="C408">
        <v>1152.3811845705322</v>
      </c>
    </row>
    <row r="409" spans="2:3" x14ac:dyDescent="0.2">
      <c r="B409">
        <v>394</v>
      </c>
      <c r="C409">
        <v>1040.5927837094853</v>
      </c>
    </row>
    <row r="410" spans="2:3" x14ac:dyDescent="0.2">
      <c r="B410">
        <v>395</v>
      </c>
      <c r="C410">
        <v>1192.9961726886031</v>
      </c>
    </row>
    <row r="411" spans="2:3" x14ac:dyDescent="0.2">
      <c r="B411">
        <v>396</v>
      </c>
      <c r="C411">
        <v>1106.4987224550459</v>
      </c>
    </row>
    <row r="412" spans="2:3" x14ac:dyDescent="0.2">
      <c r="B412">
        <v>397</v>
      </c>
      <c r="C412">
        <v>1126.204731456721</v>
      </c>
    </row>
    <row r="413" spans="2:3" x14ac:dyDescent="0.2">
      <c r="B413">
        <v>398</v>
      </c>
      <c r="C413">
        <v>1168.0180708506023</v>
      </c>
    </row>
    <row r="414" spans="2:3" x14ac:dyDescent="0.2">
      <c r="B414">
        <v>399</v>
      </c>
      <c r="C414">
        <v>1183.6602850011488</v>
      </c>
    </row>
    <row r="415" spans="2:3" x14ac:dyDescent="0.2">
      <c r="B415">
        <v>400</v>
      </c>
      <c r="C415">
        <v>1264.2080837524575</v>
      </c>
    </row>
    <row r="416" spans="2:3" x14ac:dyDescent="0.2">
      <c r="B416">
        <v>401</v>
      </c>
      <c r="C416">
        <v>1269.5039502501647</v>
      </c>
    </row>
    <row r="417" spans="2:3" x14ac:dyDescent="0.2">
      <c r="B417">
        <v>402</v>
      </c>
      <c r="C417">
        <v>1219.7450108097298</v>
      </c>
    </row>
    <row r="418" spans="2:3" x14ac:dyDescent="0.2">
      <c r="B418">
        <v>403</v>
      </c>
      <c r="C418">
        <v>1120.6302463458198</v>
      </c>
    </row>
    <row r="419" spans="2:3" x14ac:dyDescent="0.2">
      <c r="B419">
        <v>404</v>
      </c>
      <c r="C419">
        <v>1135.4819612372282</v>
      </c>
    </row>
    <row r="420" spans="2:3" x14ac:dyDescent="0.2">
      <c r="B420">
        <v>405</v>
      </c>
      <c r="C420">
        <v>1200.7828259203166</v>
      </c>
    </row>
    <row r="421" spans="2:3" x14ac:dyDescent="0.2">
      <c r="B421">
        <v>406</v>
      </c>
      <c r="C421">
        <v>1155.0412872490335</v>
      </c>
    </row>
    <row r="422" spans="2:3" x14ac:dyDescent="0.2">
      <c r="B422">
        <v>407</v>
      </c>
      <c r="C422">
        <v>1308.5315509675936</v>
      </c>
    </row>
    <row r="423" spans="2:3" x14ac:dyDescent="0.2">
      <c r="B423">
        <v>408</v>
      </c>
      <c r="C423">
        <v>1182.6798157156263</v>
      </c>
    </row>
    <row r="424" spans="2:3" x14ac:dyDescent="0.2">
      <c r="B424">
        <v>409</v>
      </c>
      <c r="C424">
        <v>1158.3361272236646</v>
      </c>
    </row>
    <row r="425" spans="2:3" x14ac:dyDescent="0.2">
      <c r="B425">
        <v>410</v>
      </c>
      <c r="C425">
        <v>1112.7000147770741</v>
      </c>
    </row>
    <row r="426" spans="2:3" x14ac:dyDescent="0.2">
      <c r="B426">
        <v>411</v>
      </c>
      <c r="C426">
        <v>1105.7393013794263</v>
      </c>
    </row>
    <row r="427" spans="2:3" x14ac:dyDescent="0.2">
      <c r="B427">
        <v>412</v>
      </c>
      <c r="C427">
        <v>1203.4623095653856</v>
      </c>
    </row>
    <row r="428" spans="2:3" x14ac:dyDescent="0.2">
      <c r="B428">
        <v>413</v>
      </c>
      <c r="C428">
        <v>1188.9449565080768</v>
      </c>
    </row>
    <row r="429" spans="2:3" x14ac:dyDescent="0.2">
      <c r="B429">
        <v>414</v>
      </c>
      <c r="C429">
        <v>1235.9686598483938</v>
      </c>
    </row>
    <row r="430" spans="2:3" x14ac:dyDescent="0.2">
      <c r="B430">
        <v>415</v>
      </c>
      <c r="C430">
        <v>1117.3355386327348</v>
      </c>
    </row>
    <row r="431" spans="2:3" x14ac:dyDescent="0.2">
      <c r="B431">
        <v>416</v>
      </c>
      <c r="C431">
        <v>1158.3837691170061</v>
      </c>
    </row>
    <row r="432" spans="2:3" x14ac:dyDescent="0.2">
      <c r="B432">
        <v>417</v>
      </c>
      <c r="C432">
        <v>1071.2677195958702</v>
      </c>
    </row>
    <row r="433" spans="2:3" x14ac:dyDescent="0.2">
      <c r="B433">
        <v>418</v>
      </c>
      <c r="C433">
        <v>1142.6953915808574</v>
      </c>
    </row>
    <row r="434" spans="2:3" x14ac:dyDescent="0.2">
      <c r="B434">
        <v>419</v>
      </c>
      <c r="C434">
        <v>1087.426663757175</v>
      </c>
    </row>
    <row r="435" spans="2:3" x14ac:dyDescent="0.2">
      <c r="B435">
        <v>420</v>
      </c>
      <c r="C435">
        <v>1157.0791013382484</v>
      </c>
    </row>
    <row r="436" spans="2:3" x14ac:dyDescent="0.2">
      <c r="B436">
        <v>421</v>
      </c>
      <c r="C436">
        <v>1161.4155794287012</v>
      </c>
    </row>
    <row r="437" spans="2:3" x14ac:dyDescent="0.2">
      <c r="B437">
        <v>422</v>
      </c>
      <c r="C437">
        <v>1195.2420417303556</v>
      </c>
    </row>
    <row r="438" spans="2:3" x14ac:dyDescent="0.2">
      <c r="B438">
        <v>423</v>
      </c>
      <c r="C438">
        <v>1148.9258981518185</v>
      </c>
    </row>
    <row r="439" spans="2:3" x14ac:dyDescent="0.2">
      <c r="B439">
        <v>424</v>
      </c>
      <c r="C439">
        <v>1164.2145506709128</v>
      </c>
    </row>
    <row r="440" spans="2:3" x14ac:dyDescent="0.2">
      <c r="B440">
        <v>425</v>
      </c>
      <c r="C440">
        <v>1081.1078839335742</v>
      </c>
    </row>
    <row r="441" spans="2:3" x14ac:dyDescent="0.2">
      <c r="B441">
        <v>426</v>
      </c>
      <c r="C441">
        <v>1178.1418103275257</v>
      </c>
    </row>
    <row r="442" spans="2:3" x14ac:dyDescent="0.2">
      <c r="B442">
        <v>427</v>
      </c>
      <c r="C442">
        <v>1142.9509654581343</v>
      </c>
    </row>
    <row r="443" spans="2:3" x14ac:dyDescent="0.2">
      <c r="B443">
        <v>428</v>
      </c>
      <c r="C443">
        <v>1138.3501526146306</v>
      </c>
    </row>
    <row r="444" spans="2:3" x14ac:dyDescent="0.2">
      <c r="B444">
        <v>429</v>
      </c>
      <c r="C444">
        <v>1262.0821843522342</v>
      </c>
    </row>
    <row r="445" spans="2:3" x14ac:dyDescent="0.2">
      <c r="B445">
        <v>430</v>
      </c>
      <c r="C445">
        <v>1131.9027998420497</v>
      </c>
    </row>
    <row r="446" spans="2:3" x14ac:dyDescent="0.2">
      <c r="B446">
        <v>431</v>
      </c>
      <c r="C446">
        <v>1107.3624118706059</v>
      </c>
    </row>
    <row r="447" spans="2:3" x14ac:dyDescent="0.2">
      <c r="B447">
        <v>432</v>
      </c>
      <c r="C447">
        <v>1103.337031150201</v>
      </c>
    </row>
    <row r="448" spans="2:3" x14ac:dyDescent="0.2">
      <c r="B448">
        <v>433</v>
      </c>
      <c r="C448">
        <v>1234.287366898099</v>
      </c>
    </row>
    <row r="449" spans="2:3" x14ac:dyDescent="0.2">
      <c r="B449">
        <v>434</v>
      </c>
      <c r="C449">
        <v>1199.0534624007541</v>
      </c>
    </row>
    <row r="450" spans="2:3" x14ac:dyDescent="0.2">
      <c r="B450">
        <v>435</v>
      </c>
      <c r="C450">
        <v>1255.8241766562774</v>
      </c>
    </row>
    <row r="451" spans="2:3" x14ac:dyDescent="0.2">
      <c r="B451">
        <v>436</v>
      </c>
      <c r="C451">
        <v>1119.7981975241282</v>
      </c>
    </row>
    <row r="452" spans="2:3" x14ac:dyDescent="0.2">
      <c r="B452">
        <v>437</v>
      </c>
      <c r="C452">
        <v>1144.2096187040984</v>
      </c>
    </row>
    <row r="453" spans="2:3" x14ac:dyDescent="0.2">
      <c r="B453">
        <v>438</v>
      </c>
      <c r="C453">
        <v>1257.7202098940938</v>
      </c>
    </row>
    <row r="454" spans="2:3" x14ac:dyDescent="0.2">
      <c r="B454">
        <v>439</v>
      </c>
      <c r="C454">
        <v>1144.2770492428313</v>
      </c>
    </row>
    <row r="455" spans="2:3" x14ac:dyDescent="0.2">
      <c r="B455">
        <v>440</v>
      </c>
      <c r="C455">
        <v>1141.6840948626327</v>
      </c>
    </row>
    <row r="456" spans="2:3" x14ac:dyDescent="0.2">
      <c r="B456">
        <v>441</v>
      </c>
      <c r="C456">
        <v>1201.9069957286674</v>
      </c>
    </row>
    <row r="457" spans="2:3" x14ac:dyDescent="0.2">
      <c r="B457">
        <v>442</v>
      </c>
      <c r="C457">
        <v>1144.8204807069083</v>
      </c>
    </row>
    <row r="458" spans="2:3" x14ac:dyDescent="0.2">
      <c r="B458">
        <v>443</v>
      </c>
      <c r="C458">
        <v>1224.6645687811927</v>
      </c>
    </row>
    <row r="459" spans="2:3" x14ac:dyDescent="0.2">
      <c r="B459">
        <v>444</v>
      </c>
      <c r="C459">
        <v>1116.2699828758336</v>
      </c>
    </row>
    <row r="460" spans="2:3" x14ac:dyDescent="0.2">
      <c r="B460">
        <v>445</v>
      </c>
      <c r="C460">
        <v>1116.9017472156063</v>
      </c>
    </row>
    <row r="461" spans="2:3" x14ac:dyDescent="0.2">
      <c r="B461">
        <v>446</v>
      </c>
      <c r="C461">
        <v>1199.0287845477108</v>
      </c>
    </row>
    <row r="462" spans="2:3" x14ac:dyDescent="0.2">
      <c r="B462">
        <v>447</v>
      </c>
      <c r="C462">
        <v>1170.3283683235618</v>
      </c>
    </row>
    <row r="463" spans="2:3" x14ac:dyDescent="0.2">
      <c r="B463">
        <v>448</v>
      </c>
      <c r="C463">
        <v>1159.0304224908357</v>
      </c>
    </row>
    <row r="464" spans="2:3" x14ac:dyDescent="0.2">
      <c r="B464">
        <v>449</v>
      </c>
      <c r="C464">
        <v>1169.8465968812782</v>
      </c>
    </row>
    <row r="465" spans="2:3" x14ac:dyDescent="0.2">
      <c r="B465">
        <v>450</v>
      </c>
      <c r="C465">
        <v>1068.9172693090475</v>
      </c>
    </row>
    <row r="466" spans="2:3" x14ac:dyDescent="0.2">
      <c r="B466">
        <v>451</v>
      </c>
      <c r="C466">
        <v>1226.0645998284692</v>
      </c>
    </row>
    <row r="467" spans="2:3" x14ac:dyDescent="0.2">
      <c r="B467">
        <v>452</v>
      </c>
      <c r="C467">
        <v>1201.4532822607202</v>
      </c>
    </row>
    <row r="468" spans="2:3" x14ac:dyDescent="0.2">
      <c r="B468">
        <v>453</v>
      </c>
      <c r="C468">
        <v>1173.2724382094455</v>
      </c>
    </row>
    <row r="469" spans="2:3" x14ac:dyDescent="0.2">
      <c r="B469">
        <v>454</v>
      </c>
      <c r="C469">
        <v>1149.0314988367111</v>
      </c>
    </row>
    <row r="470" spans="2:3" x14ac:dyDescent="0.2">
      <c r="B470">
        <v>455</v>
      </c>
      <c r="C470">
        <v>1103.3252103029911</v>
      </c>
    </row>
    <row r="471" spans="2:3" x14ac:dyDescent="0.2">
      <c r="B471">
        <v>456</v>
      </c>
      <c r="C471">
        <v>1132.7018621036623</v>
      </c>
    </row>
    <row r="472" spans="2:3" x14ac:dyDescent="0.2">
      <c r="B472">
        <v>457</v>
      </c>
      <c r="C472">
        <v>1130.0433775179295</v>
      </c>
    </row>
    <row r="473" spans="2:3" x14ac:dyDescent="0.2">
      <c r="B473">
        <v>458</v>
      </c>
      <c r="C473">
        <v>1160.6891402824451</v>
      </c>
    </row>
    <row r="474" spans="2:3" x14ac:dyDescent="0.2">
      <c r="B474">
        <v>459</v>
      </c>
      <c r="C474">
        <v>1161.21978624141</v>
      </c>
    </row>
    <row r="475" spans="2:3" x14ac:dyDescent="0.2">
      <c r="B475">
        <v>460</v>
      </c>
      <c r="C475">
        <v>1243.4566122845922</v>
      </c>
    </row>
    <row r="476" spans="2:3" x14ac:dyDescent="0.2">
      <c r="B476">
        <v>461</v>
      </c>
      <c r="C476">
        <v>1231.3468120022067</v>
      </c>
    </row>
    <row r="477" spans="2:3" x14ac:dyDescent="0.2">
      <c r="B477">
        <v>462</v>
      </c>
      <c r="C477">
        <v>1165.4643619717663</v>
      </c>
    </row>
    <row r="478" spans="2:3" x14ac:dyDescent="0.2">
      <c r="B478">
        <v>463</v>
      </c>
      <c r="C478">
        <v>1179.6489472101885</v>
      </c>
    </row>
    <row r="479" spans="2:3" x14ac:dyDescent="0.2">
      <c r="B479">
        <v>464</v>
      </c>
      <c r="C479">
        <v>1119.2721807787611</v>
      </c>
    </row>
    <row r="480" spans="2:3" x14ac:dyDescent="0.2">
      <c r="B480">
        <v>465</v>
      </c>
      <c r="C480">
        <v>1174.1528083878566</v>
      </c>
    </row>
    <row r="481" spans="2:3" x14ac:dyDescent="0.2">
      <c r="B481">
        <v>466</v>
      </c>
      <c r="C481">
        <v>1076.5710030367368</v>
      </c>
    </row>
    <row r="482" spans="2:3" x14ac:dyDescent="0.2">
      <c r="B482">
        <v>467</v>
      </c>
      <c r="C482">
        <v>1216.6995646459602</v>
      </c>
    </row>
    <row r="483" spans="2:3" x14ac:dyDescent="0.2">
      <c r="B483">
        <v>468</v>
      </c>
      <c r="C483">
        <v>1194.0690791736129</v>
      </c>
    </row>
    <row r="484" spans="2:3" x14ac:dyDescent="0.2">
      <c r="B484">
        <v>469</v>
      </c>
      <c r="C484">
        <v>1130.6807352481421</v>
      </c>
    </row>
    <row r="485" spans="2:3" x14ac:dyDescent="0.2">
      <c r="B485">
        <v>470</v>
      </c>
      <c r="C485">
        <v>1150.7357027377438</v>
      </c>
    </row>
    <row r="486" spans="2:3" x14ac:dyDescent="0.2">
      <c r="B486">
        <v>471</v>
      </c>
      <c r="C486">
        <v>1224.432067131085</v>
      </c>
    </row>
    <row r="487" spans="2:3" x14ac:dyDescent="0.2">
      <c r="B487">
        <v>472</v>
      </c>
      <c r="C487">
        <v>1061.6280728831725</v>
      </c>
    </row>
    <row r="488" spans="2:3" x14ac:dyDescent="0.2">
      <c r="B488">
        <v>473</v>
      </c>
      <c r="C488">
        <v>1131.5134152642495</v>
      </c>
    </row>
    <row r="489" spans="2:3" x14ac:dyDescent="0.2">
      <c r="B489">
        <v>474</v>
      </c>
      <c r="C489">
        <v>1086.5257769020077</v>
      </c>
    </row>
    <row r="490" spans="2:3" x14ac:dyDescent="0.2">
      <c r="B490">
        <v>475</v>
      </c>
      <c r="C490">
        <v>1152.8144266254694</v>
      </c>
    </row>
    <row r="491" spans="2:3" x14ac:dyDescent="0.2">
      <c r="B491">
        <v>476</v>
      </c>
      <c r="C491">
        <v>1132.0916064359401</v>
      </c>
    </row>
    <row r="492" spans="2:3" x14ac:dyDescent="0.2">
      <c r="B492">
        <v>477</v>
      </c>
      <c r="C492">
        <v>1081.4323420952044</v>
      </c>
    </row>
    <row r="493" spans="2:3" x14ac:dyDescent="0.2">
      <c r="B493">
        <v>478</v>
      </c>
      <c r="C493">
        <v>1210.8185221639678</v>
      </c>
    </row>
    <row r="494" spans="2:3" x14ac:dyDescent="0.2">
      <c r="B494">
        <v>479</v>
      </c>
      <c r="C494">
        <v>1274.001445656321</v>
      </c>
    </row>
    <row r="495" spans="2:3" x14ac:dyDescent="0.2">
      <c r="B495">
        <v>480</v>
      </c>
      <c r="C495">
        <v>1137.4732026097779</v>
      </c>
    </row>
    <row r="496" spans="2:3" x14ac:dyDescent="0.2">
      <c r="B496">
        <v>481</v>
      </c>
      <c r="C496">
        <v>1134.7927720294981</v>
      </c>
    </row>
    <row r="497" spans="2:3" x14ac:dyDescent="0.2">
      <c r="B497">
        <v>482</v>
      </c>
      <c r="C497">
        <v>1148.0981627440058</v>
      </c>
    </row>
    <row r="498" spans="2:3" x14ac:dyDescent="0.2">
      <c r="B498">
        <v>483</v>
      </c>
      <c r="C498">
        <v>1118.0961788153609</v>
      </c>
    </row>
    <row r="499" spans="2:3" x14ac:dyDescent="0.2">
      <c r="B499">
        <v>484</v>
      </c>
      <c r="C499">
        <v>1235.2881670071165</v>
      </c>
    </row>
    <row r="500" spans="2:3" x14ac:dyDescent="0.2">
      <c r="B500">
        <v>485</v>
      </c>
      <c r="C500">
        <v>1157.1189877137558</v>
      </c>
    </row>
    <row r="501" spans="2:3" x14ac:dyDescent="0.2">
      <c r="B501">
        <v>486</v>
      </c>
      <c r="C501">
        <v>1248.0587630558814</v>
      </c>
    </row>
    <row r="502" spans="2:3" x14ac:dyDescent="0.2">
      <c r="B502">
        <v>487</v>
      </c>
      <c r="C502">
        <v>1105.2685191190715</v>
      </c>
    </row>
    <row r="503" spans="2:3" x14ac:dyDescent="0.2">
      <c r="B503">
        <v>488</v>
      </c>
      <c r="C503">
        <v>1090.088577579502</v>
      </c>
    </row>
    <row r="504" spans="2:3" x14ac:dyDescent="0.2">
      <c r="B504">
        <v>489</v>
      </c>
      <c r="C504">
        <v>1233.074187352031</v>
      </c>
    </row>
    <row r="505" spans="2:3" x14ac:dyDescent="0.2">
      <c r="B505">
        <v>490</v>
      </c>
      <c r="C505">
        <v>1228.6827441936812</v>
      </c>
    </row>
    <row r="506" spans="2:3" x14ac:dyDescent="0.2">
      <c r="B506">
        <v>491</v>
      </c>
      <c r="C506">
        <v>1181.8821540259723</v>
      </c>
    </row>
    <row r="507" spans="2:3" x14ac:dyDescent="0.2">
      <c r="B507">
        <v>492</v>
      </c>
      <c r="C507">
        <v>1088.9883418679085</v>
      </c>
    </row>
    <row r="508" spans="2:3" x14ac:dyDescent="0.2">
      <c r="B508">
        <v>493</v>
      </c>
      <c r="C508">
        <v>1098.3204399627343</v>
      </c>
    </row>
    <row r="509" spans="2:3" x14ac:dyDescent="0.2">
      <c r="B509">
        <v>494</v>
      </c>
      <c r="C509">
        <v>1159.7243339368742</v>
      </c>
    </row>
    <row r="510" spans="2:3" x14ac:dyDescent="0.2">
      <c r="B510">
        <v>495</v>
      </c>
      <c r="C510">
        <v>1152.1352077530566</v>
      </c>
    </row>
    <row r="511" spans="2:3" x14ac:dyDescent="0.2">
      <c r="B511">
        <v>496</v>
      </c>
      <c r="C511">
        <v>1131.1771288239472</v>
      </c>
    </row>
    <row r="512" spans="2:3" x14ac:dyDescent="0.2">
      <c r="B512">
        <v>497</v>
      </c>
      <c r="C512">
        <v>1202.5760340510183</v>
      </c>
    </row>
    <row r="513" spans="2:3" x14ac:dyDescent="0.2">
      <c r="B513">
        <v>498</v>
      </c>
      <c r="C513">
        <v>1150.4284069640466</v>
      </c>
    </row>
    <row r="514" spans="2:3" x14ac:dyDescent="0.2">
      <c r="B514">
        <v>499</v>
      </c>
      <c r="C514">
        <v>1126.9416005604076</v>
      </c>
    </row>
    <row r="515" spans="2:3" x14ac:dyDescent="0.2">
      <c r="B515">
        <v>500</v>
      </c>
      <c r="C515">
        <v>1051.1950519574134</v>
      </c>
    </row>
    <row r="516" spans="2:3" x14ac:dyDescent="0.2">
      <c r="B516">
        <v>501</v>
      </c>
      <c r="C516">
        <v>1178.8224374810102</v>
      </c>
    </row>
    <row r="517" spans="2:3" x14ac:dyDescent="0.2">
      <c r="B517">
        <v>502</v>
      </c>
      <c r="C517">
        <v>1172.6395206296236</v>
      </c>
    </row>
    <row r="518" spans="2:3" x14ac:dyDescent="0.2">
      <c r="B518">
        <v>503</v>
      </c>
      <c r="C518">
        <v>1238.6686550376305</v>
      </c>
    </row>
    <row r="519" spans="2:3" x14ac:dyDescent="0.2">
      <c r="B519">
        <v>504</v>
      </c>
      <c r="C519">
        <v>1127.7606873168811</v>
      </c>
    </row>
    <row r="520" spans="2:3" x14ac:dyDescent="0.2">
      <c r="B520">
        <v>505</v>
      </c>
      <c r="C520">
        <v>1259.0546513705272</v>
      </c>
    </row>
    <row r="521" spans="2:3" x14ac:dyDescent="0.2">
      <c r="B521">
        <v>506</v>
      </c>
      <c r="C521">
        <v>1058.4972523912804</v>
      </c>
    </row>
    <row r="522" spans="2:3" x14ac:dyDescent="0.2">
      <c r="B522">
        <v>507</v>
      </c>
      <c r="C522">
        <v>1104.1109896509529</v>
      </c>
    </row>
    <row r="523" spans="2:3" x14ac:dyDescent="0.2">
      <c r="B523">
        <v>508</v>
      </c>
      <c r="C523">
        <v>1169.2251200328965</v>
      </c>
    </row>
    <row r="524" spans="2:3" x14ac:dyDescent="0.2">
      <c r="B524">
        <v>509</v>
      </c>
      <c r="C524">
        <v>1152.5413482335891</v>
      </c>
    </row>
    <row r="525" spans="2:3" x14ac:dyDescent="0.2">
      <c r="B525">
        <v>510</v>
      </c>
      <c r="C525">
        <v>1146.5903278016551</v>
      </c>
    </row>
    <row r="526" spans="2:3" x14ac:dyDescent="0.2">
      <c r="B526">
        <v>511</v>
      </c>
      <c r="C526">
        <v>1215.4514775101247</v>
      </c>
    </row>
    <row r="527" spans="2:3" x14ac:dyDescent="0.2">
      <c r="B527">
        <v>512</v>
      </c>
      <c r="C527">
        <v>1153.4226111188591</v>
      </c>
    </row>
    <row r="528" spans="2:3" x14ac:dyDescent="0.2">
      <c r="B528">
        <v>513</v>
      </c>
      <c r="C528">
        <v>1132.2136234992292</v>
      </c>
    </row>
    <row r="529" spans="2:3" x14ac:dyDescent="0.2">
      <c r="B529">
        <v>514</v>
      </c>
      <c r="C529">
        <v>1160.176477371391</v>
      </c>
    </row>
    <row r="530" spans="2:3" x14ac:dyDescent="0.2">
      <c r="B530">
        <v>515</v>
      </c>
      <c r="C530">
        <v>1258.8230252016049</v>
      </c>
    </row>
    <row r="531" spans="2:3" x14ac:dyDescent="0.2">
      <c r="B531">
        <v>516</v>
      </c>
      <c r="C531">
        <v>1182.9765775858352</v>
      </c>
    </row>
    <row r="532" spans="2:3" x14ac:dyDescent="0.2">
      <c r="B532">
        <v>517</v>
      </c>
      <c r="C532">
        <v>1188.8217335163899</v>
      </c>
    </row>
    <row r="533" spans="2:3" x14ac:dyDescent="0.2">
      <c r="B533">
        <v>518</v>
      </c>
      <c r="C533">
        <v>1118.9481972686947</v>
      </c>
    </row>
    <row r="534" spans="2:3" x14ac:dyDescent="0.2">
      <c r="B534">
        <v>519</v>
      </c>
      <c r="C534">
        <v>1215.1097284445495</v>
      </c>
    </row>
    <row r="535" spans="2:3" x14ac:dyDescent="0.2">
      <c r="B535">
        <v>520</v>
      </c>
      <c r="C535">
        <v>1122.1292073268028</v>
      </c>
    </row>
    <row r="536" spans="2:3" x14ac:dyDescent="0.2">
      <c r="B536">
        <v>521</v>
      </c>
      <c r="C536">
        <v>1129.1633910498711</v>
      </c>
    </row>
    <row r="537" spans="2:3" x14ac:dyDescent="0.2">
      <c r="B537">
        <v>522</v>
      </c>
      <c r="C537">
        <v>1081.1769717795382</v>
      </c>
    </row>
    <row r="538" spans="2:3" x14ac:dyDescent="0.2">
      <c r="B538">
        <v>523</v>
      </c>
      <c r="C538">
        <v>1186.6466342270101</v>
      </c>
    </row>
    <row r="539" spans="2:3" x14ac:dyDescent="0.2">
      <c r="B539">
        <v>524</v>
      </c>
      <c r="C539">
        <v>1194.6059947738277</v>
      </c>
    </row>
    <row r="540" spans="2:3" x14ac:dyDescent="0.2">
      <c r="B540">
        <v>525</v>
      </c>
      <c r="C540">
        <v>1240.3497439244984</v>
      </c>
    </row>
    <row r="541" spans="2:3" x14ac:dyDescent="0.2">
      <c r="B541">
        <v>526</v>
      </c>
      <c r="C541">
        <v>1149.7420750169676</v>
      </c>
    </row>
    <row r="542" spans="2:3" x14ac:dyDescent="0.2">
      <c r="B542">
        <v>527</v>
      </c>
      <c r="C542">
        <v>1175.1524610931488</v>
      </c>
    </row>
    <row r="543" spans="2:3" x14ac:dyDescent="0.2">
      <c r="B543">
        <v>528</v>
      </c>
      <c r="C543">
        <v>1160.326963800989</v>
      </c>
    </row>
    <row r="544" spans="2:3" x14ac:dyDescent="0.2">
      <c r="B544">
        <v>529</v>
      </c>
      <c r="C544">
        <v>1112.125750588458</v>
      </c>
    </row>
    <row r="545" spans="2:3" x14ac:dyDescent="0.2">
      <c r="B545">
        <v>530</v>
      </c>
      <c r="C545">
        <v>1001.1294086597835</v>
      </c>
    </row>
    <row r="546" spans="2:3" x14ac:dyDescent="0.2">
      <c r="B546">
        <v>531</v>
      </c>
      <c r="C546">
        <v>1164.4171243908581</v>
      </c>
    </row>
    <row r="547" spans="2:3" x14ac:dyDescent="0.2">
      <c r="B547">
        <v>532</v>
      </c>
      <c r="C547">
        <v>1098.7780351676565</v>
      </c>
    </row>
    <row r="548" spans="2:3" x14ac:dyDescent="0.2">
      <c r="B548">
        <v>533</v>
      </c>
      <c r="C548">
        <v>1171.451217945222</v>
      </c>
    </row>
    <row r="549" spans="2:3" x14ac:dyDescent="0.2">
      <c r="B549">
        <v>534</v>
      </c>
      <c r="C549">
        <v>1096.2328141149139</v>
      </c>
    </row>
    <row r="550" spans="2:3" x14ac:dyDescent="0.2">
      <c r="B550">
        <v>535</v>
      </c>
      <c r="C550">
        <v>1031.0859502341157</v>
      </c>
    </row>
    <row r="551" spans="2:3" x14ac:dyDescent="0.2">
      <c r="B551">
        <v>536</v>
      </c>
      <c r="C551">
        <v>1118.4429984254052</v>
      </c>
    </row>
    <row r="552" spans="2:3" x14ac:dyDescent="0.2">
      <c r="B552">
        <v>537</v>
      </c>
      <c r="C552">
        <v>1178.6841073248913</v>
      </c>
    </row>
    <row r="553" spans="2:3" x14ac:dyDescent="0.2">
      <c r="B553">
        <v>538</v>
      </c>
      <c r="C553">
        <v>1217.397781812296</v>
      </c>
    </row>
    <row r="554" spans="2:3" x14ac:dyDescent="0.2">
      <c r="B554">
        <v>539</v>
      </c>
      <c r="C554">
        <v>1015.628829016566</v>
      </c>
    </row>
    <row r="555" spans="2:3" x14ac:dyDescent="0.2">
      <c r="B555">
        <v>540</v>
      </c>
      <c r="C555">
        <v>1179.5827438690194</v>
      </c>
    </row>
    <row r="556" spans="2:3" x14ac:dyDescent="0.2">
      <c r="B556">
        <v>541</v>
      </c>
      <c r="C556">
        <v>1195.1501330423857</v>
      </c>
    </row>
    <row r="557" spans="2:3" x14ac:dyDescent="0.2">
      <c r="B557">
        <v>542</v>
      </c>
      <c r="C557">
        <v>1276.8348970564468</v>
      </c>
    </row>
    <row r="558" spans="2:3" x14ac:dyDescent="0.2">
      <c r="B558">
        <v>543</v>
      </c>
      <c r="C558">
        <v>1122.5631873247162</v>
      </c>
    </row>
    <row r="559" spans="2:3" x14ac:dyDescent="0.2">
      <c r="B559">
        <v>544</v>
      </c>
      <c r="C559">
        <v>1107.0255613169106</v>
      </c>
    </row>
    <row r="560" spans="2:3" x14ac:dyDescent="0.2">
      <c r="B560">
        <v>545</v>
      </c>
      <c r="C560">
        <v>1113.6525393453712</v>
      </c>
    </row>
    <row r="561" spans="2:3" x14ac:dyDescent="0.2">
      <c r="B561">
        <v>546</v>
      </c>
      <c r="C561">
        <v>1116.9407056564082</v>
      </c>
    </row>
    <row r="562" spans="2:3" x14ac:dyDescent="0.2">
      <c r="B562">
        <v>547</v>
      </c>
      <c r="C562">
        <v>1145.3520892509014</v>
      </c>
    </row>
    <row r="563" spans="2:3" x14ac:dyDescent="0.2">
      <c r="B563">
        <v>548</v>
      </c>
      <c r="C563">
        <v>1266.2655884497628</v>
      </c>
    </row>
    <row r="564" spans="2:3" x14ac:dyDescent="0.2">
      <c r="B564">
        <v>549</v>
      </c>
      <c r="C564">
        <v>1143.7739491871305</v>
      </c>
    </row>
    <row r="565" spans="2:3" x14ac:dyDescent="0.2">
      <c r="B565">
        <v>550</v>
      </c>
      <c r="C565">
        <v>1062.0484241003237</v>
      </c>
    </row>
    <row r="566" spans="2:3" x14ac:dyDescent="0.2">
      <c r="B566">
        <v>551</v>
      </c>
      <c r="C566">
        <v>1147.9401552969377</v>
      </c>
    </row>
    <row r="567" spans="2:3" x14ac:dyDescent="0.2">
      <c r="B567">
        <v>552</v>
      </c>
      <c r="C567">
        <v>1099.9333146957852</v>
      </c>
    </row>
    <row r="568" spans="2:3" x14ac:dyDescent="0.2">
      <c r="B568">
        <v>553</v>
      </c>
      <c r="C568">
        <v>1153.5824867220908</v>
      </c>
    </row>
    <row r="569" spans="2:3" x14ac:dyDescent="0.2">
      <c r="B569">
        <v>554</v>
      </c>
      <c r="C569">
        <v>1205.4558527938998</v>
      </c>
    </row>
    <row r="570" spans="2:3" x14ac:dyDescent="0.2">
      <c r="B570">
        <v>555</v>
      </c>
      <c r="C570">
        <v>1156.692292130316</v>
      </c>
    </row>
    <row r="571" spans="2:3" x14ac:dyDescent="0.2">
      <c r="B571">
        <v>556</v>
      </c>
      <c r="C571">
        <v>1068.3242363102211</v>
      </c>
    </row>
    <row r="572" spans="2:3" x14ac:dyDescent="0.2">
      <c r="B572">
        <v>557</v>
      </c>
      <c r="C572">
        <v>1187.5079359748474</v>
      </c>
    </row>
    <row r="573" spans="2:3" x14ac:dyDescent="0.2">
      <c r="B573">
        <v>558</v>
      </c>
      <c r="C573">
        <v>1068.0908206282841</v>
      </c>
    </row>
    <row r="574" spans="2:3" x14ac:dyDescent="0.2">
      <c r="B574">
        <v>559</v>
      </c>
      <c r="C574">
        <v>1190.9722778469345</v>
      </c>
    </row>
    <row r="575" spans="2:3" x14ac:dyDescent="0.2">
      <c r="B575">
        <v>560</v>
      </c>
      <c r="C575">
        <v>1093.113494976011</v>
      </c>
    </row>
    <row r="576" spans="2:3" x14ac:dyDescent="0.2">
      <c r="B576">
        <v>561</v>
      </c>
      <c r="C576">
        <v>1295.6424672374383</v>
      </c>
    </row>
    <row r="577" spans="2:3" x14ac:dyDescent="0.2">
      <c r="B577">
        <v>562</v>
      </c>
      <c r="C577">
        <v>1204.6654084213442</v>
      </c>
    </row>
    <row r="578" spans="2:3" x14ac:dyDescent="0.2">
      <c r="B578">
        <v>563</v>
      </c>
      <c r="C578">
        <v>1251.914767476633</v>
      </c>
    </row>
    <row r="579" spans="2:3" x14ac:dyDescent="0.2">
      <c r="B579">
        <v>564</v>
      </c>
      <c r="C579">
        <v>1177.8315783202829</v>
      </c>
    </row>
    <row r="580" spans="2:3" x14ac:dyDescent="0.2">
      <c r="B580">
        <v>565</v>
      </c>
      <c r="C580">
        <v>1176.1176333463807</v>
      </c>
    </row>
    <row r="581" spans="2:3" x14ac:dyDescent="0.2">
      <c r="B581">
        <v>566</v>
      </c>
      <c r="C581">
        <v>1220.793329678444</v>
      </c>
    </row>
    <row r="582" spans="2:3" x14ac:dyDescent="0.2">
      <c r="B582">
        <v>567</v>
      </c>
      <c r="C582">
        <v>1197.2485144785928</v>
      </c>
    </row>
    <row r="583" spans="2:3" x14ac:dyDescent="0.2">
      <c r="B583">
        <v>568</v>
      </c>
      <c r="C583">
        <v>1178.5342546546053</v>
      </c>
    </row>
    <row r="584" spans="2:3" x14ac:dyDescent="0.2">
      <c r="B584">
        <v>569</v>
      </c>
      <c r="C584">
        <v>1077.6619993127692</v>
      </c>
    </row>
    <row r="585" spans="2:3" x14ac:dyDescent="0.2">
      <c r="B585">
        <v>570</v>
      </c>
      <c r="C585">
        <v>1161.6024149373306</v>
      </c>
    </row>
    <row r="586" spans="2:3" x14ac:dyDescent="0.2">
      <c r="B586">
        <v>571</v>
      </c>
      <c r="C586">
        <v>1122.1114257569971</v>
      </c>
    </row>
    <row r="587" spans="2:3" x14ac:dyDescent="0.2">
      <c r="B587">
        <v>572</v>
      </c>
      <c r="C587">
        <v>1171.83645506572</v>
      </c>
    </row>
    <row r="588" spans="2:3" x14ac:dyDescent="0.2">
      <c r="B588">
        <v>573</v>
      </c>
      <c r="C588">
        <v>1188.2034749059544</v>
      </c>
    </row>
    <row r="589" spans="2:3" x14ac:dyDescent="0.2">
      <c r="B589">
        <v>574</v>
      </c>
      <c r="C589">
        <v>1160.851049869734</v>
      </c>
    </row>
    <row r="590" spans="2:3" x14ac:dyDescent="0.2">
      <c r="B590">
        <v>575</v>
      </c>
      <c r="C590">
        <v>1203.7159676247384</v>
      </c>
    </row>
    <row r="591" spans="2:3" x14ac:dyDescent="0.2">
      <c r="B591">
        <v>576</v>
      </c>
      <c r="C591">
        <v>1157.9147883873725</v>
      </c>
    </row>
    <row r="592" spans="2:3" x14ac:dyDescent="0.2">
      <c r="B592">
        <v>577</v>
      </c>
      <c r="C592">
        <v>1182.3671434701657</v>
      </c>
    </row>
    <row r="593" spans="2:3" x14ac:dyDescent="0.2">
      <c r="B593">
        <v>578</v>
      </c>
      <c r="C593">
        <v>1242.0482781798164</v>
      </c>
    </row>
    <row r="594" spans="2:3" x14ac:dyDescent="0.2">
      <c r="B594">
        <v>579</v>
      </c>
      <c r="C594">
        <v>1176.1609889169727</v>
      </c>
    </row>
    <row r="595" spans="2:3" x14ac:dyDescent="0.2">
      <c r="B595">
        <v>580</v>
      </c>
      <c r="C595">
        <v>1232.2736145819777</v>
      </c>
    </row>
    <row r="596" spans="2:3" x14ac:dyDescent="0.2">
      <c r="B596">
        <v>581</v>
      </c>
      <c r="C596">
        <v>1092.6991388564577</v>
      </c>
    </row>
    <row r="597" spans="2:3" x14ac:dyDescent="0.2">
      <c r="B597">
        <v>582</v>
      </c>
      <c r="C597">
        <v>1180.6675048936286</v>
      </c>
    </row>
    <row r="598" spans="2:3" x14ac:dyDescent="0.2">
      <c r="B598">
        <v>583</v>
      </c>
      <c r="C598">
        <v>1134.3476376004292</v>
      </c>
    </row>
    <row r="599" spans="2:3" x14ac:dyDescent="0.2">
      <c r="B599">
        <v>584</v>
      </c>
      <c r="C599">
        <v>1162.0868369345999</v>
      </c>
    </row>
    <row r="600" spans="2:3" x14ac:dyDescent="0.2">
      <c r="B600">
        <v>585</v>
      </c>
      <c r="C600">
        <v>1105.9827037044879</v>
      </c>
    </row>
    <row r="601" spans="2:3" x14ac:dyDescent="0.2">
      <c r="B601">
        <v>586</v>
      </c>
      <c r="C601">
        <v>1122.0338999752069</v>
      </c>
    </row>
    <row r="602" spans="2:3" x14ac:dyDescent="0.2">
      <c r="B602">
        <v>587</v>
      </c>
      <c r="C602">
        <v>1043.921995090064</v>
      </c>
    </row>
    <row r="603" spans="2:3" x14ac:dyDescent="0.2">
      <c r="B603">
        <v>588</v>
      </c>
      <c r="C603">
        <v>1154.7438490739864</v>
      </c>
    </row>
    <row r="604" spans="2:3" x14ac:dyDescent="0.2">
      <c r="B604">
        <v>589</v>
      </c>
      <c r="C604">
        <v>1157.683101563571</v>
      </c>
    </row>
    <row r="605" spans="2:3" x14ac:dyDescent="0.2">
      <c r="B605">
        <v>590</v>
      </c>
      <c r="C605">
        <v>1249.8120835729665</v>
      </c>
    </row>
    <row r="606" spans="2:3" x14ac:dyDescent="0.2">
      <c r="B606">
        <v>591</v>
      </c>
      <c r="C606">
        <v>1122.1398620474963</v>
      </c>
    </row>
    <row r="607" spans="2:3" x14ac:dyDescent="0.2">
      <c r="B607">
        <v>592</v>
      </c>
      <c r="C607">
        <v>1170.8624405187736</v>
      </c>
    </row>
    <row r="608" spans="2:3" x14ac:dyDescent="0.2">
      <c r="B608">
        <v>593</v>
      </c>
      <c r="C608">
        <v>1177.7166862634685</v>
      </c>
    </row>
    <row r="609" spans="2:3" x14ac:dyDescent="0.2">
      <c r="B609">
        <v>594</v>
      </c>
      <c r="C609">
        <v>1227.9252736973251</v>
      </c>
    </row>
    <row r="610" spans="2:3" x14ac:dyDescent="0.2">
      <c r="B610">
        <v>595</v>
      </c>
      <c r="C610">
        <v>1168.8214571226688</v>
      </c>
    </row>
    <row r="611" spans="2:3" x14ac:dyDescent="0.2">
      <c r="B611">
        <v>596</v>
      </c>
      <c r="C611">
        <v>1149.9072890372581</v>
      </c>
    </row>
    <row r="612" spans="2:3" x14ac:dyDescent="0.2">
      <c r="B612">
        <v>597</v>
      </c>
      <c r="C612">
        <v>1201.8781236193413</v>
      </c>
    </row>
    <row r="613" spans="2:3" x14ac:dyDescent="0.2">
      <c r="B613">
        <v>598</v>
      </c>
      <c r="C613">
        <v>1107.3113567200921</v>
      </c>
    </row>
    <row r="614" spans="2:3" x14ac:dyDescent="0.2">
      <c r="B614">
        <v>599</v>
      </c>
      <c r="C614">
        <v>1052.9741579219617</v>
      </c>
    </row>
    <row r="615" spans="2:3" x14ac:dyDescent="0.2">
      <c r="B615">
        <v>600</v>
      </c>
      <c r="C615">
        <v>1177.4615155608972</v>
      </c>
    </row>
    <row r="616" spans="2:3" x14ac:dyDescent="0.2">
      <c r="B616">
        <v>601</v>
      </c>
      <c r="C616">
        <v>1165.1024008862771</v>
      </c>
    </row>
    <row r="617" spans="2:3" x14ac:dyDescent="0.2">
      <c r="B617">
        <v>602</v>
      </c>
      <c r="C617">
        <v>1200.4155822880716</v>
      </c>
    </row>
    <row r="618" spans="2:3" x14ac:dyDescent="0.2">
      <c r="B618">
        <v>603</v>
      </c>
      <c r="C618">
        <v>1139.4619087043829</v>
      </c>
    </row>
    <row r="619" spans="2:3" x14ac:dyDescent="0.2">
      <c r="B619">
        <v>604</v>
      </c>
      <c r="C619">
        <v>1197.8043975300805</v>
      </c>
    </row>
    <row r="620" spans="2:3" x14ac:dyDescent="0.2">
      <c r="B620">
        <v>605</v>
      </c>
      <c r="C620">
        <v>1218.4612836441265</v>
      </c>
    </row>
    <row r="621" spans="2:3" x14ac:dyDescent="0.2">
      <c r="B621">
        <v>606</v>
      </c>
      <c r="C621">
        <v>1159.2004740911107</v>
      </c>
    </row>
    <row r="622" spans="2:3" x14ac:dyDescent="0.2">
      <c r="B622">
        <v>607</v>
      </c>
      <c r="C622">
        <v>1207.5201018915398</v>
      </c>
    </row>
    <row r="623" spans="2:3" x14ac:dyDescent="0.2">
      <c r="B623">
        <v>608</v>
      </c>
      <c r="C623">
        <v>1072.3507580246398</v>
      </c>
    </row>
    <row r="624" spans="2:3" x14ac:dyDescent="0.2">
      <c r="B624">
        <v>609</v>
      </c>
      <c r="C624">
        <v>1085.0391524061877</v>
      </c>
    </row>
    <row r="625" spans="2:3" x14ac:dyDescent="0.2">
      <c r="B625">
        <v>610</v>
      </c>
      <c r="C625">
        <v>1135.2860787292668</v>
      </c>
    </row>
    <row r="626" spans="2:3" x14ac:dyDescent="0.2">
      <c r="B626">
        <v>611</v>
      </c>
      <c r="C626">
        <v>1168.9004014694808</v>
      </c>
    </row>
    <row r="627" spans="2:3" x14ac:dyDescent="0.2">
      <c r="B627">
        <v>612</v>
      </c>
      <c r="C627">
        <v>1219.6057338284133</v>
      </c>
    </row>
    <row r="628" spans="2:3" x14ac:dyDescent="0.2">
      <c r="B628">
        <v>613</v>
      </c>
      <c r="C628">
        <v>1159.9175609725992</v>
      </c>
    </row>
    <row r="629" spans="2:3" x14ac:dyDescent="0.2">
      <c r="B629">
        <v>614</v>
      </c>
      <c r="C629">
        <v>1122.1356183211662</v>
      </c>
    </row>
    <row r="630" spans="2:3" x14ac:dyDescent="0.2">
      <c r="B630">
        <v>615</v>
      </c>
      <c r="C630">
        <v>1106.4988596953674</v>
      </c>
    </row>
    <row r="631" spans="2:3" x14ac:dyDescent="0.2">
      <c r="B631">
        <v>616</v>
      </c>
      <c r="C631">
        <v>1163.0387933947104</v>
      </c>
    </row>
    <row r="632" spans="2:3" x14ac:dyDescent="0.2">
      <c r="B632">
        <v>617</v>
      </c>
      <c r="C632">
        <v>1201.6892232708906</v>
      </c>
    </row>
    <row r="633" spans="2:3" x14ac:dyDescent="0.2">
      <c r="B633">
        <v>618</v>
      </c>
      <c r="C633">
        <v>1193.7549691405936</v>
      </c>
    </row>
    <row r="634" spans="2:3" x14ac:dyDescent="0.2">
      <c r="B634">
        <v>619</v>
      </c>
      <c r="C634">
        <v>1118.2214766574421</v>
      </c>
    </row>
    <row r="635" spans="2:3" x14ac:dyDescent="0.2">
      <c r="B635">
        <v>620</v>
      </c>
      <c r="C635">
        <v>1260.165284119953</v>
      </c>
    </row>
    <row r="636" spans="2:3" x14ac:dyDescent="0.2">
      <c r="B636">
        <v>621</v>
      </c>
      <c r="C636">
        <v>1178.4384098092949</v>
      </c>
    </row>
    <row r="637" spans="2:3" x14ac:dyDescent="0.2">
      <c r="B637">
        <v>622</v>
      </c>
      <c r="C637">
        <v>1087.0019970416295</v>
      </c>
    </row>
    <row r="638" spans="2:3" x14ac:dyDescent="0.2">
      <c r="B638">
        <v>623</v>
      </c>
      <c r="C638">
        <v>1131.3156909905922</v>
      </c>
    </row>
    <row r="639" spans="2:3" x14ac:dyDescent="0.2">
      <c r="B639">
        <v>624</v>
      </c>
      <c r="C639">
        <v>1190.5815067913873</v>
      </c>
    </row>
    <row r="640" spans="2:3" x14ac:dyDescent="0.2">
      <c r="B640">
        <v>625</v>
      </c>
      <c r="C640">
        <v>1114.8483589589093</v>
      </c>
    </row>
    <row r="641" spans="2:3" x14ac:dyDescent="0.2">
      <c r="B641">
        <v>626</v>
      </c>
      <c r="C641">
        <v>1186.4583893322642</v>
      </c>
    </row>
    <row r="642" spans="2:3" x14ac:dyDescent="0.2">
      <c r="B642">
        <v>627</v>
      </c>
      <c r="C642">
        <v>1150.0588452832135</v>
      </c>
    </row>
    <row r="643" spans="2:3" x14ac:dyDescent="0.2">
      <c r="B643">
        <v>628</v>
      </c>
      <c r="C643">
        <v>1221.3581058918542</v>
      </c>
    </row>
    <row r="644" spans="2:3" x14ac:dyDescent="0.2">
      <c r="B644">
        <v>629</v>
      </c>
      <c r="C644">
        <v>1039.7148478259548</v>
      </c>
    </row>
    <row r="645" spans="2:3" x14ac:dyDescent="0.2">
      <c r="B645">
        <v>630</v>
      </c>
      <c r="C645">
        <v>1138.9112547272184</v>
      </c>
    </row>
    <row r="646" spans="2:3" x14ac:dyDescent="0.2">
      <c r="B646">
        <v>631</v>
      </c>
      <c r="C646">
        <v>1269.5819366302981</v>
      </c>
    </row>
    <row r="647" spans="2:3" x14ac:dyDescent="0.2">
      <c r="B647">
        <v>632</v>
      </c>
      <c r="C647">
        <v>1185.9286223947718</v>
      </c>
    </row>
    <row r="648" spans="2:3" x14ac:dyDescent="0.2">
      <c r="B648">
        <v>633</v>
      </c>
      <c r="C648">
        <v>1148.3344916889307</v>
      </c>
    </row>
    <row r="649" spans="2:3" x14ac:dyDescent="0.2">
      <c r="B649">
        <v>634</v>
      </c>
      <c r="C649">
        <v>1024.4415163287567</v>
      </c>
    </row>
    <row r="650" spans="2:3" x14ac:dyDescent="0.2">
      <c r="B650">
        <v>635</v>
      </c>
      <c r="C650">
        <v>1090.6650008334016</v>
      </c>
    </row>
    <row r="651" spans="2:3" x14ac:dyDescent="0.2">
      <c r="B651">
        <v>636</v>
      </c>
      <c r="C651">
        <v>1066.9784894490663</v>
      </c>
    </row>
    <row r="652" spans="2:3" x14ac:dyDescent="0.2">
      <c r="B652">
        <v>637</v>
      </c>
      <c r="C652">
        <v>1270.836728681679</v>
      </c>
    </row>
    <row r="653" spans="2:3" x14ac:dyDescent="0.2">
      <c r="B653">
        <v>638</v>
      </c>
      <c r="C653">
        <v>1128.6911297236636</v>
      </c>
    </row>
    <row r="654" spans="2:3" x14ac:dyDescent="0.2">
      <c r="B654">
        <v>639</v>
      </c>
      <c r="C654">
        <v>1144.1874555139705</v>
      </c>
    </row>
    <row r="655" spans="2:3" x14ac:dyDescent="0.2">
      <c r="B655">
        <v>640</v>
      </c>
      <c r="C655">
        <v>1273.895576390569</v>
      </c>
    </row>
    <row r="656" spans="2:3" x14ac:dyDescent="0.2">
      <c r="B656">
        <v>641</v>
      </c>
      <c r="C656">
        <v>1072.6990304889712</v>
      </c>
    </row>
    <row r="657" spans="2:3" x14ac:dyDescent="0.2">
      <c r="B657">
        <v>642</v>
      </c>
      <c r="C657">
        <v>1029.9287772344103</v>
      </c>
    </row>
    <row r="658" spans="2:3" x14ac:dyDescent="0.2">
      <c r="B658">
        <v>643</v>
      </c>
      <c r="C658">
        <v>1126.8117416043754</v>
      </c>
    </row>
    <row r="659" spans="2:3" x14ac:dyDescent="0.2">
      <c r="B659">
        <v>644</v>
      </c>
      <c r="C659">
        <v>1107.633457439734</v>
      </c>
    </row>
    <row r="660" spans="2:3" x14ac:dyDescent="0.2">
      <c r="B660">
        <v>645</v>
      </c>
      <c r="C660">
        <v>1179.5581691972413</v>
      </c>
    </row>
    <row r="661" spans="2:3" x14ac:dyDescent="0.2">
      <c r="B661">
        <v>646</v>
      </c>
      <c r="C661">
        <v>1280.7590865778843</v>
      </c>
    </row>
    <row r="662" spans="2:3" x14ac:dyDescent="0.2">
      <c r="B662">
        <v>647</v>
      </c>
      <c r="C662">
        <v>1205.2064721131028</v>
      </c>
    </row>
    <row r="663" spans="2:3" x14ac:dyDescent="0.2">
      <c r="B663">
        <v>648</v>
      </c>
      <c r="C663">
        <v>1179.4505452355477</v>
      </c>
    </row>
    <row r="664" spans="2:3" x14ac:dyDescent="0.2">
      <c r="B664">
        <v>649</v>
      </c>
      <c r="C664">
        <v>1172.0141892805393</v>
      </c>
    </row>
    <row r="665" spans="2:3" x14ac:dyDescent="0.2">
      <c r="B665">
        <v>650</v>
      </c>
      <c r="C665">
        <v>1131.6879181581685</v>
      </c>
    </row>
    <row r="666" spans="2:3" x14ac:dyDescent="0.2">
      <c r="B666">
        <v>651</v>
      </c>
      <c r="C666">
        <v>1162.4418732377535</v>
      </c>
    </row>
    <row r="667" spans="2:3" x14ac:dyDescent="0.2">
      <c r="B667">
        <v>652</v>
      </c>
      <c r="C667">
        <v>1094.7512194403932</v>
      </c>
    </row>
    <row r="668" spans="2:3" x14ac:dyDescent="0.2">
      <c r="B668">
        <v>653</v>
      </c>
      <c r="C668">
        <v>1182.4877269080457</v>
      </c>
    </row>
    <row r="669" spans="2:3" x14ac:dyDescent="0.2">
      <c r="B669">
        <v>654</v>
      </c>
      <c r="C669">
        <v>1180.1330714340227</v>
      </c>
    </row>
    <row r="670" spans="2:3" x14ac:dyDescent="0.2">
      <c r="B670">
        <v>655</v>
      </c>
      <c r="C670">
        <v>1159.1156426754249</v>
      </c>
    </row>
    <row r="671" spans="2:3" x14ac:dyDescent="0.2">
      <c r="B671">
        <v>656</v>
      </c>
      <c r="C671">
        <v>1267.9246886795299</v>
      </c>
    </row>
    <row r="672" spans="2:3" x14ac:dyDescent="0.2">
      <c r="B672">
        <v>657</v>
      </c>
      <c r="C672">
        <v>1210.557561402537</v>
      </c>
    </row>
    <row r="673" spans="2:3" x14ac:dyDescent="0.2">
      <c r="B673">
        <v>658</v>
      </c>
      <c r="C673">
        <v>1080.7847651896946</v>
      </c>
    </row>
    <row r="674" spans="2:3" x14ac:dyDescent="0.2">
      <c r="B674">
        <v>659</v>
      </c>
      <c r="C674">
        <v>1165.1637352626467</v>
      </c>
    </row>
    <row r="675" spans="2:3" x14ac:dyDescent="0.2">
      <c r="B675">
        <v>660</v>
      </c>
      <c r="C675">
        <v>1188.8649411388913</v>
      </c>
    </row>
    <row r="676" spans="2:3" x14ac:dyDescent="0.2">
      <c r="B676">
        <v>661</v>
      </c>
      <c r="C676">
        <v>1156.0226634511616</v>
      </c>
    </row>
    <row r="677" spans="2:3" x14ac:dyDescent="0.2">
      <c r="B677">
        <v>662</v>
      </c>
      <c r="C677">
        <v>1156.4631930838352</v>
      </c>
    </row>
    <row r="678" spans="2:3" x14ac:dyDescent="0.2">
      <c r="B678">
        <v>663</v>
      </c>
      <c r="C678">
        <v>1230.5479392183786</v>
      </c>
    </row>
    <row r="679" spans="2:3" x14ac:dyDescent="0.2">
      <c r="B679">
        <v>664</v>
      </c>
      <c r="C679">
        <v>1088.8513107260021</v>
      </c>
    </row>
    <row r="680" spans="2:3" x14ac:dyDescent="0.2">
      <c r="B680">
        <v>665</v>
      </c>
      <c r="C680">
        <v>1168.695931640666</v>
      </c>
    </row>
    <row r="681" spans="2:3" x14ac:dyDescent="0.2">
      <c r="B681">
        <v>666</v>
      </c>
      <c r="C681">
        <v>1158.637567864148</v>
      </c>
    </row>
    <row r="682" spans="2:3" x14ac:dyDescent="0.2">
      <c r="B682">
        <v>667</v>
      </c>
      <c r="C682">
        <v>1176.1058137903863</v>
      </c>
    </row>
    <row r="683" spans="2:3" x14ac:dyDescent="0.2">
      <c r="B683">
        <v>668</v>
      </c>
      <c r="C683">
        <v>1084.5898562418961</v>
      </c>
    </row>
    <row r="684" spans="2:3" x14ac:dyDescent="0.2">
      <c r="B684">
        <v>669</v>
      </c>
      <c r="C684">
        <v>1134.2856997537165</v>
      </c>
    </row>
    <row r="685" spans="2:3" x14ac:dyDescent="0.2">
      <c r="B685">
        <v>670</v>
      </c>
      <c r="C685">
        <v>1208.7952269261571</v>
      </c>
    </row>
    <row r="686" spans="2:3" x14ac:dyDescent="0.2">
      <c r="B686">
        <v>671</v>
      </c>
      <c r="C686">
        <v>1242.0278408264105</v>
      </c>
    </row>
    <row r="687" spans="2:3" x14ac:dyDescent="0.2">
      <c r="B687">
        <v>672</v>
      </c>
      <c r="C687">
        <v>1147.5677756863456</v>
      </c>
    </row>
    <row r="688" spans="2:3" x14ac:dyDescent="0.2">
      <c r="B688">
        <v>673</v>
      </c>
      <c r="C688">
        <v>1182.8722420976665</v>
      </c>
    </row>
    <row r="689" spans="2:3" x14ac:dyDescent="0.2">
      <c r="B689">
        <v>674</v>
      </c>
      <c r="C689">
        <v>1085.0094116664141</v>
      </c>
    </row>
    <row r="690" spans="2:3" x14ac:dyDescent="0.2">
      <c r="B690">
        <v>675</v>
      </c>
      <c r="C690">
        <v>1023.5493632480809</v>
      </c>
    </row>
    <row r="691" spans="2:3" x14ac:dyDescent="0.2">
      <c r="B691">
        <v>676</v>
      </c>
      <c r="C691">
        <v>1119.1614997768345</v>
      </c>
    </row>
    <row r="692" spans="2:3" x14ac:dyDescent="0.2">
      <c r="B692">
        <v>677</v>
      </c>
      <c r="C692">
        <v>1064.1119522547876</v>
      </c>
    </row>
    <row r="693" spans="2:3" x14ac:dyDescent="0.2">
      <c r="B693">
        <v>678</v>
      </c>
      <c r="C693">
        <v>1057.4773814026369</v>
      </c>
    </row>
    <row r="694" spans="2:3" x14ac:dyDescent="0.2">
      <c r="B694">
        <v>679</v>
      </c>
      <c r="C694">
        <v>1193.3796355621373</v>
      </c>
    </row>
    <row r="695" spans="2:3" x14ac:dyDescent="0.2">
      <c r="B695">
        <v>680</v>
      </c>
      <c r="C695">
        <v>1130.4996022545442</v>
      </c>
    </row>
    <row r="696" spans="2:3" x14ac:dyDescent="0.2">
      <c r="B696">
        <v>681</v>
      </c>
      <c r="C696">
        <v>1131.9892851412314</v>
      </c>
    </row>
    <row r="697" spans="2:3" x14ac:dyDescent="0.2">
      <c r="B697">
        <v>682</v>
      </c>
      <c r="C697">
        <v>1220.8637426367648</v>
      </c>
    </row>
    <row r="698" spans="2:3" x14ac:dyDescent="0.2">
      <c r="B698">
        <v>683</v>
      </c>
      <c r="C698">
        <v>1055.5202156799483</v>
      </c>
    </row>
    <row r="699" spans="2:3" x14ac:dyDescent="0.2">
      <c r="B699">
        <v>684</v>
      </c>
      <c r="C699">
        <v>1086.8841344423656</v>
      </c>
    </row>
    <row r="700" spans="2:3" x14ac:dyDescent="0.2">
      <c r="B700">
        <v>685</v>
      </c>
      <c r="C700">
        <v>1162.9337732393583</v>
      </c>
    </row>
    <row r="701" spans="2:3" x14ac:dyDescent="0.2">
      <c r="B701">
        <v>686</v>
      </c>
      <c r="C701">
        <v>1148.4183785938974</v>
      </c>
    </row>
    <row r="702" spans="2:3" x14ac:dyDescent="0.2">
      <c r="B702">
        <v>687</v>
      </c>
      <c r="C702">
        <v>1115.7034068605499</v>
      </c>
    </row>
    <row r="703" spans="2:3" x14ac:dyDescent="0.2">
      <c r="B703">
        <v>688</v>
      </c>
      <c r="C703">
        <v>1015.3930778215645</v>
      </c>
    </row>
    <row r="704" spans="2:3" x14ac:dyDescent="0.2">
      <c r="B704">
        <v>689</v>
      </c>
      <c r="C704">
        <v>1147.9829526629262</v>
      </c>
    </row>
    <row r="705" spans="2:3" x14ac:dyDescent="0.2">
      <c r="B705">
        <v>690</v>
      </c>
      <c r="C705">
        <v>1056.0418129575332</v>
      </c>
    </row>
    <row r="706" spans="2:3" x14ac:dyDescent="0.2">
      <c r="B706">
        <v>691</v>
      </c>
      <c r="C706">
        <v>1201.1599678767795</v>
      </c>
    </row>
    <row r="707" spans="2:3" x14ac:dyDescent="0.2">
      <c r="B707">
        <v>692</v>
      </c>
      <c r="C707">
        <v>1149.090606739456</v>
      </c>
    </row>
    <row r="708" spans="2:3" x14ac:dyDescent="0.2">
      <c r="B708">
        <v>693</v>
      </c>
      <c r="C708">
        <v>1191.49164255045</v>
      </c>
    </row>
    <row r="709" spans="2:3" x14ac:dyDescent="0.2">
      <c r="B709">
        <v>694</v>
      </c>
      <c r="C709">
        <v>1250.1068028070042</v>
      </c>
    </row>
    <row r="710" spans="2:3" x14ac:dyDescent="0.2">
      <c r="B710">
        <v>695</v>
      </c>
      <c r="C710">
        <v>1073.2341574902046</v>
      </c>
    </row>
    <row r="711" spans="2:3" x14ac:dyDescent="0.2">
      <c r="B711">
        <v>696</v>
      </c>
      <c r="C711">
        <v>1205.5479096731142</v>
      </c>
    </row>
    <row r="712" spans="2:3" x14ac:dyDescent="0.2">
      <c r="B712">
        <v>697</v>
      </c>
      <c r="C712">
        <v>1121.431065878088</v>
      </c>
    </row>
    <row r="713" spans="2:3" x14ac:dyDescent="0.2">
      <c r="B713">
        <v>698</v>
      </c>
      <c r="C713">
        <v>1170.6298345917346</v>
      </c>
    </row>
    <row r="714" spans="2:3" x14ac:dyDescent="0.2">
      <c r="B714">
        <v>699</v>
      </c>
      <c r="C714">
        <v>1153.9319059036955</v>
      </c>
    </row>
    <row r="715" spans="2:3" x14ac:dyDescent="0.2">
      <c r="B715">
        <v>700</v>
      </c>
      <c r="C715">
        <v>1148.089071013454</v>
      </c>
    </row>
    <row r="716" spans="2:3" x14ac:dyDescent="0.2">
      <c r="B716">
        <v>701</v>
      </c>
      <c r="C716">
        <v>1203.9062133068105</v>
      </c>
    </row>
    <row r="717" spans="2:3" x14ac:dyDescent="0.2">
      <c r="B717">
        <v>702</v>
      </c>
      <c r="C717">
        <v>1214.3133733423595</v>
      </c>
    </row>
    <row r="718" spans="2:3" x14ac:dyDescent="0.2">
      <c r="B718">
        <v>703</v>
      </c>
      <c r="C718">
        <v>1119.4140238023097</v>
      </c>
    </row>
    <row r="719" spans="2:3" x14ac:dyDescent="0.2">
      <c r="B719">
        <v>704</v>
      </c>
      <c r="C719">
        <v>1173.1356537356291</v>
      </c>
    </row>
    <row r="720" spans="2:3" x14ac:dyDescent="0.2">
      <c r="B720">
        <v>705</v>
      </c>
      <c r="C720">
        <v>1125.1200852608586</v>
      </c>
    </row>
    <row r="721" spans="2:3" x14ac:dyDescent="0.2">
      <c r="B721">
        <v>706</v>
      </c>
      <c r="C721">
        <v>1188.7873912843088</v>
      </c>
    </row>
    <row r="722" spans="2:3" x14ac:dyDescent="0.2">
      <c r="B722">
        <v>707</v>
      </c>
      <c r="C722">
        <v>1143.3535719720576</v>
      </c>
    </row>
    <row r="723" spans="2:3" x14ac:dyDescent="0.2">
      <c r="B723">
        <v>708</v>
      </c>
      <c r="C723">
        <v>1167.9340752444771</v>
      </c>
    </row>
    <row r="724" spans="2:3" x14ac:dyDescent="0.2">
      <c r="B724">
        <v>709</v>
      </c>
      <c r="C724">
        <v>1120.8814525937153</v>
      </c>
    </row>
    <row r="725" spans="2:3" x14ac:dyDescent="0.2">
      <c r="B725">
        <v>710</v>
      </c>
      <c r="C725">
        <v>1254.7637228889669</v>
      </c>
    </row>
    <row r="726" spans="2:3" x14ac:dyDescent="0.2">
      <c r="B726">
        <v>711</v>
      </c>
      <c r="C726">
        <v>1220.6388401502807</v>
      </c>
    </row>
    <row r="727" spans="2:3" x14ac:dyDescent="0.2">
      <c r="B727">
        <v>712</v>
      </c>
      <c r="C727">
        <v>1208.5027061388835</v>
      </c>
    </row>
    <row r="728" spans="2:3" x14ac:dyDescent="0.2">
      <c r="B728">
        <v>713</v>
      </c>
      <c r="C728">
        <v>1189.4594375077743</v>
      </c>
    </row>
    <row r="729" spans="2:3" x14ac:dyDescent="0.2">
      <c r="B729">
        <v>714</v>
      </c>
      <c r="C729">
        <v>1185.203569172261</v>
      </c>
    </row>
    <row r="730" spans="2:3" x14ac:dyDescent="0.2">
      <c r="B730">
        <v>715</v>
      </c>
      <c r="C730">
        <v>1154.0494247738018</v>
      </c>
    </row>
    <row r="731" spans="2:3" x14ac:dyDescent="0.2">
      <c r="B731">
        <v>716</v>
      </c>
      <c r="C731">
        <v>1173.8689839083977</v>
      </c>
    </row>
    <row r="732" spans="2:3" x14ac:dyDescent="0.2">
      <c r="B732">
        <v>717</v>
      </c>
      <c r="C732">
        <v>1186.0361365609281</v>
      </c>
    </row>
    <row r="733" spans="2:3" x14ac:dyDescent="0.2">
      <c r="B733">
        <v>718</v>
      </c>
      <c r="C733">
        <v>1116.7765827325441</v>
      </c>
    </row>
    <row r="734" spans="2:3" x14ac:dyDescent="0.2">
      <c r="B734">
        <v>719</v>
      </c>
      <c r="C734">
        <v>1266.7196049366164</v>
      </c>
    </row>
    <row r="735" spans="2:3" x14ac:dyDescent="0.2">
      <c r="B735">
        <v>720</v>
      </c>
      <c r="C735">
        <v>1200.0237097364227</v>
      </c>
    </row>
    <row r="736" spans="2:3" x14ac:dyDescent="0.2">
      <c r="B736">
        <v>721</v>
      </c>
      <c r="C736">
        <v>1213.9529227279593</v>
      </c>
    </row>
    <row r="737" spans="2:3" x14ac:dyDescent="0.2">
      <c r="B737">
        <v>722</v>
      </c>
      <c r="C737">
        <v>1242.9093333376602</v>
      </c>
    </row>
    <row r="738" spans="2:3" x14ac:dyDescent="0.2">
      <c r="B738">
        <v>723</v>
      </c>
      <c r="C738">
        <v>1197.5446859169733</v>
      </c>
    </row>
    <row r="739" spans="2:3" x14ac:dyDescent="0.2">
      <c r="B739">
        <v>724</v>
      </c>
      <c r="C739">
        <v>1096.6622966563859</v>
      </c>
    </row>
    <row r="740" spans="2:3" x14ac:dyDescent="0.2">
      <c r="B740">
        <v>725</v>
      </c>
      <c r="C740">
        <v>1081.5529043222903</v>
      </c>
    </row>
    <row r="741" spans="2:3" x14ac:dyDescent="0.2">
      <c r="B741">
        <v>726</v>
      </c>
      <c r="C741">
        <v>1244.0800320121011</v>
      </c>
    </row>
    <row r="742" spans="2:3" x14ac:dyDescent="0.2">
      <c r="B742">
        <v>727</v>
      </c>
      <c r="C742">
        <v>1265.56156451276</v>
      </c>
    </row>
    <row r="743" spans="2:3" x14ac:dyDescent="0.2">
      <c r="B743">
        <v>728</v>
      </c>
      <c r="C743">
        <v>1148.0337194842921</v>
      </c>
    </row>
    <row r="744" spans="2:3" x14ac:dyDescent="0.2">
      <c r="B744">
        <v>729</v>
      </c>
      <c r="C744">
        <v>1049.9610345764065</v>
      </c>
    </row>
    <row r="745" spans="2:3" x14ac:dyDescent="0.2">
      <c r="B745">
        <v>730</v>
      </c>
      <c r="C745">
        <v>1124.6030153139757</v>
      </c>
    </row>
    <row r="746" spans="2:3" x14ac:dyDescent="0.2">
      <c r="B746">
        <v>731</v>
      </c>
      <c r="C746">
        <v>1068.3140697707495</v>
      </c>
    </row>
    <row r="747" spans="2:3" x14ac:dyDescent="0.2">
      <c r="B747">
        <v>732</v>
      </c>
      <c r="C747">
        <v>1193.4673864801971</v>
      </c>
    </row>
    <row r="748" spans="2:3" x14ac:dyDescent="0.2">
      <c r="B748">
        <v>733</v>
      </c>
      <c r="C748">
        <v>1160.5777099732443</v>
      </c>
    </row>
    <row r="749" spans="2:3" x14ac:dyDescent="0.2">
      <c r="B749">
        <v>734</v>
      </c>
      <c r="C749">
        <v>1157.0789654369919</v>
      </c>
    </row>
    <row r="750" spans="2:3" x14ac:dyDescent="0.2">
      <c r="B750">
        <v>735</v>
      </c>
      <c r="C750">
        <v>1132.5670578032621</v>
      </c>
    </row>
    <row r="751" spans="2:3" x14ac:dyDescent="0.2">
      <c r="B751">
        <v>736</v>
      </c>
      <c r="C751">
        <v>1190.665953157529</v>
      </c>
    </row>
    <row r="752" spans="2:3" x14ac:dyDescent="0.2">
      <c r="B752">
        <v>737</v>
      </c>
      <c r="C752">
        <v>1240.6692615852253</v>
      </c>
    </row>
    <row r="753" spans="2:3" x14ac:dyDescent="0.2">
      <c r="B753">
        <v>738</v>
      </c>
      <c r="C753">
        <v>1156.8815325832686</v>
      </c>
    </row>
    <row r="754" spans="2:3" x14ac:dyDescent="0.2">
      <c r="B754">
        <v>739</v>
      </c>
      <c r="C754">
        <v>1295.2184188288602</v>
      </c>
    </row>
    <row r="755" spans="2:3" x14ac:dyDescent="0.2">
      <c r="B755">
        <v>740</v>
      </c>
      <c r="C755">
        <v>1150.1249285060617</v>
      </c>
    </row>
    <row r="756" spans="2:3" x14ac:dyDescent="0.2">
      <c r="B756">
        <v>741</v>
      </c>
      <c r="C756">
        <v>1202.8761057904212</v>
      </c>
    </row>
    <row r="757" spans="2:3" x14ac:dyDescent="0.2">
      <c r="B757">
        <v>742</v>
      </c>
      <c r="C757">
        <v>1135.0435804095355</v>
      </c>
    </row>
    <row r="758" spans="2:3" x14ac:dyDescent="0.2">
      <c r="B758">
        <v>743</v>
      </c>
      <c r="C758">
        <v>1222.4296354205867</v>
      </c>
    </row>
    <row r="759" spans="2:3" x14ac:dyDescent="0.2">
      <c r="B759">
        <v>744</v>
      </c>
      <c r="C759">
        <v>1237.1834169078738</v>
      </c>
    </row>
    <row r="760" spans="2:3" x14ac:dyDescent="0.2">
      <c r="B760">
        <v>745</v>
      </c>
      <c r="C760">
        <v>1136.7765920395645</v>
      </c>
    </row>
    <row r="761" spans="2:3" x14ac:dyDescent="0.2">
      <c r="B761">
        <v>746</v>
      </c>
      <c r="C761">
        <v>1118.6633828970967</v>
      </c>
    </row>
    <row r="762" spans="2:3" x14ac:dyDescent="0.2">
      <c r="B762">
        <v>747</v>
      </c>
      <c r="C762">
        <v>1187.2741802066992</v>
      </c>
    </row>
    <row r="763" spans="2:3" x14ac:dyDescent="0.2">
      <c r="B763">
        <v>748</v>
      </c>
      <c r="C763">
        <v>1111.5798439898069</v>
      </c>
    </row>
    <row r="764" spans="2:3" x14ac:dyDescent="0.2">
      <c r="B764">
        <v>749</v>
      </c>
      <c r="C764">
        <v>1078.7248652360281</v>
      </c>
    </row>
    <row r="765" spans="2:3" x14ac:dyDescent="0.2">
      <c r="B765">
        <v>750</v>
      </c>
      <c r="C765">
        <v>1259.7838269515107</v>
      </c>
    </row>
    <row r="766" spans="2:3" x14ac:dyDescent="0.2">
      <c r="B766">
        <v>751</v>
      </c>
      <c r="C766">
        <v>1178.1573120508003</v>
      </c>
    </row>
    <row r="767" spans="2:3" x14ac:dyDescent="0.2">
      <c r="B767">
        <v>752</v>
      </c>
      <c r="C767">
        <v>1133.1664127638098</v>
      </c>
    </row>
    <row r="768" spans="2:3" x14ac:dyDescent="0.2">
      <c r="B768">
        <v>753</v>
      </c>
      <c r="C768">
        <v>1166.4582678663703</v>
      </c>
    </row>
    <row r="769" spans="2:3" x14ac:dyDescent="0.2">
      <c r="B769">
        <v>754</v>
      </c>
      <c r="C769">
        <v>1143.0709219590103</v>
      </c>
    </row>
    <row r="770" spans="2:3" x14ac:dyDescent="0.2">
      <c r="B770">
        <v>755</v>
      </c>
      <c r="C770">
        <v>1188.9915602646126</v>
      </c>
    </row>
    <row r="771" spans="2:3" x14ac:dyDescent="0.2">
      <c r="B771">
        <v>756</v>
      </c>
      <c r="C771">
        <v>1231.3271241806299</v>
      </c>
    </row>
    <row r="772" spans="2:3" x14ac:dyDescent="0.2">
      <c r="B772">
        <v>757</v>
      </c>
      <c r="C772">
        <v>1111.2049687106278</v>
      </c>
    </row>
    <row r="773" spans="2:3" x14ac:dyDescent="0.2">
      <c r="B773">
        <v>758</v>
      </c>
      <c r="C773">
        <v>1212.7561106099893</v>
      </c>
    </row>
    <row r="774" spans="2:3" x14ac:dyDescent="0.2">
      <c r="B774">
        <v>759</v>
      </c>
      <c r="C774">
        <v>1102.6003951880593</v>
      </c>
    </row>
    <row r="775" spans="2:3" x14ac:dyDescent="0.2">
      <c r="B775">
        <v>760</v>
      </c>
      <c r="C775">
        <v>1157.3465747557582</v>
      </c>
    </row>
    <row r="776" spans="2:3" x14ac:dyDescent="0.2">
      <c r="B776">
        <v>761</v>
      </c>
      <c r="C776">
        <v>1066.6231608455575</v>
      </c>
    </row>
    <row r="777" spans="2:3" x14ac:dyDescent="0.2">
      <c r="B777">
        <v>762</v>
      </c>
      <c r="C777">
        <v>1181.870407315974</v>
      </c>
    </row>
    <row r="778" spans="2:3" x14ac:dyDescent="0.2">
      <c r="B778">
        <v>763</v>
      </c>
      <c r="C778">
        <v>1238.9923472895973</v>
      </c>
    </row>
    <row r="779" spans="2:3" x14ac:dyDescent="0.2">
      <c r="B779">
        <v>764</v>
      </c>
      <c r="C779">
        <v>1229.8102065684998</v>
      </c>
    </row>
    <row r="780" spans="2:3" x14ac:dyDescent="0.2">
      <c r="B780">
        <v>765</v>
      </c>
      <c r="C780">
        <v>1154.4697952218676</v>
      </c>
    </row>
    <row r="781" spans="2:3" x14ac:dyDescent="0.2">
      <c r="B781">
        <v>766</v>
      </c>
      <c r="C781">
        <v>1114.2164744183542</v>
      </c>
    </row>
    <row r="782" spans="2:3" x14ac:dyDescent="0.2">
      <c r="B782">
        <v>767</v>
      </c>
      <c r="C782">
        <v>1156.2531489976047</v>
      </c>
    </row>
    <row r="783" spans="2:3" x14ac:dyDescent="0.2">
      <c r="B783">
        <v>768</v>
      </c>
      <c r="C783">
        <v>1193.0780308268222</v>
      </c>
    </row>
    <row r="784" spans="2:3" x14ac:dyDescent="0.2">
      <c r="B784">
        <v>769</v>
      </c>
      <c r="C784">
        <v>1171.4494644187318</v>
      </c>
    </row>
    <row r="785" spans="2:3" x14ac:dyDescent="0.2">
      <c r="B785">
        <v>770</v>
      </c>
      <c r="C785">
        <v>1208.9177715650821</v>
      </c>
    </row>
    <row r="786" spans="2:3" x14ac:dyDescent="0.2">
      <c r="B786">
        <v>771</v>
      </c>
      <c r="C786">
        <v>1054.1770192001063</v>
      </c>
    </row>
    <row r="787" spans="2:3" x14ac:dyDescent="0.2">
      <c r="B787">
        <v>772</v>
      </c>
      <c r="C787">
        <v>1103.0927275583845</v>
      </c>
    </row>
    <row r="788" spans="2:3" x14ac:dyDescent="0.2">
      <c r="B788">
        <v>773</v>
      </c>
      <c r="C788">
        <v>1196.0344032957162</v>
      </c>
    </row>
    <row r="789" spans="2:3" x14ac:dyDescent="0.2">
      <c r="B789">
        <v>774</v>
      </c>
      <c r="C789">
        <v>1219.4178740093973</v>
      </c>
    </row>
    <row r="790" spans="2:3" x14ac:dyDescent="0.2">
      <c r="B790">
        <v>775</v>
      </c>
      <c r="C790">
        <v>1132.9551026837</v>
      </c>
    </row>
    <row r="791" spans="2:3" x14ac:dyDescent="0.2">
      <c r="B791">
        <v>776</v>
      </c>
      <c r="C791">
        <v>1144.6839887003209</v>
      </c>
    </row>
    <row r="792" spans="2:3" x14ac:dyDescent="0.2">
      <c r="B792">
        <v>777</v>
      </c>
      <c r="C792">
        <v>1118.0594455945552</v>
      </c>
    </row>
    <row r="793" spans="2:3" x14ac:dyDescent="0.2">
      <c r="B793">
        <v>778</v>
      </c>
      <c r="C793">
        <v>1156.9927164913604</v>
      </c>
    </row>
    <row r="794" spans="2:3" x14ac:dyDescent="0.2">
      <c r="B794">
        <v>779</v>
      </c>
      <c r="C794">
        <v>1064.7372055727656</v>
      </c>
    </row>
    <row r="795" spans="2:3" x14ac:dyDescent="0.2">
      <c r="B795">
        <v>780</v>
      </c>
      <c r="C795">
        <v>1128.1962230315057</v>
      </c>
    </row>
    <row r="796" spans="2:3" x14ac:dyDescent="0.2">
      <c r="B796">
        <v>781</v>
      </c>
      <c r="C796">
        <v>974.0074177017184</v>
      </c>
    </row>
    <row r="797" spans="2:3" x14ac:dyDescent="0.2">
      <c r="B797">
        <v>782</v>
      </c>
      <c r="C797">
        <v>1125.375248210242</v>
      </c>
    </row>
    <row r="798" spans="2:3" x14ac:dyDescent="0.2">
      <c r="B798">
        <v>783</v>
      </c>
      <c r="C798">
        <v>1077.9150170190255</v>
      </c>
    </row>
    <row r="799" spans="2:3" x14ac:dyDescent="0.2">
      <c r="B799">
        <v>784</v>
      </c>
      <c r="C799">
        <v>1155.1101911649214</v>
      </c>
    </row>
    <row r="800" spans="2:3" x14ac:dyDescent="0.2">
      <c r="B800">
        <v>785</v>
      </c>
      <c r="C800">
        <v>1108.6816118147931</v>
      </c>
    </row>
    <row r="801" spans="2:3" x14ac:dyDescent="0.2">
      <c r="B801">
        <v>786</v>
      </c>
      <c r="C801">
        <v>1221.1026821863043</v>
      </c>
    </row>
    <row r="802" spans="2:3" x14ac:dyDescent="0.2">
      <c r="B802">
        <v>787</v>
      </c>
      <c r="C802">
        <v>1078.654096063203</v>
      </c>
    </row>
    <row r="803" spans="2:3" x14ac:dyDescent="0.2">
      <c r="B803">
        <v>788</v>
      </c>
      <c r="C803">
        <v>1165.9557028502416</v>
      </c>
    </row>
    <row r="804" spans="2:3" x14ac:dyDescent="0.2">
      <c r="B804">
        <v>789</v>
      </c>
      <c r="C804">
        <v>1161.0883961418042</v>
      </c>
    </row>
    <row r="805" spans="2:3" x14ac:dyDescent="0.2">
      <c r="B805">
        <v>790</v>
      </c>
      <c r="C805">
        <v>1176.3005038618273</v>
      </c>
    </row>
    <row r="806" spans="2:3" x14ac:dyDescent="0.2">
      <c r="B806">
        <v>791</v>
      </c>
      <c r="C806">
        <v>1180.9517673526916</v>
      </c>
    </row>
    <row r="807" spans="2:3" x14ac:dyDescent="0.2">
      <c r="B807">
        <v>792</v>
      </c>
      <c r="C807">
        <v>1252.3936024912725</v>
      </c>
    </row>
    <row r="808" spans="2:3" x14ac:dyDescent="0.2">
      <c r="B808">
        <v>793</v>
      </c>
      <c r="C808">
        <v>1141.9630002769181</v>
      </c>
    </row>
    <row r="809" spans="2:3" x14ac:dyDescent="0.2">
      <c r="B809">
        <v>794</v>
      </c>
      <c r="C809">
        <v>1107.6544932072193</v>
      </c>
    </row>
    <row r="810" spans="2:3" x14ac:dyDescent="0.2">
      <c r="B810">
        <v>795</v>
      </c>
      <c r="C810">
        <v>1179.2271979781524</v>
      </c>
    </row>
    <row r="811" spans="2:3" x14ac:dyDescent="0.2">
      <c r="B811">
        <v>796</v>
      </c>
      <c r="C811">
        <v>1126.5993813952273</v>
      </c>
    </row>
    <row r="812" spans="2:3" x14ac:dyDescent="0.2">
      <c r="B812">
        <v>797</v>
      </c>
      <c r="C812">
        <v>1150.9009377691566</v>
      </c>
    </row>
    <row r="813" spans="2:3" x14ac:dyDescent="0.2">
      <c r="B813">
        <v>798</v>
      </c>
      <c r="C813">
        <v>1148.5823814639589</v>
      </c>
    </row>
    <row r="814" spans="2:3" x14ac:dyDescent="0.2">
      <c r="B814">
        <v>799</v>
      </c>
      <c r="C814">
        <v>1266.6540133910519</v>
      </c>
    </row>
    <row r="815" spans="2:3" x14ac:dyDescent="0.2">
      <c r="B815">
        <v>800</v>
      </c>
      <c r="C815">
        <v>1131.2869226671139</v>
      </c>
    </row>
    <row r="816" spans="2:3" x14ac:dyDescent="0.2">
      <c r="B816">
        <v>801</v>
      </c>
      <c r="C816">
        <v>1028.2798751240996</v>
      </c>
    </row>
    <row r="817" spans="2:3" x14ac:dyDescent="0.2">
      <c r="B817">
        <v>802</v>
      </c>
      <c r="C817">
        <v>1248.7041812060324</v>
      </c>
    </row>
    <row r="818" spans="2:3" x14ac:dyDescent="0.2">
      <c r="B818">
        <v>803</v>
      </c>
      <c r="C818">
        <v>1192.0309329796546</v>
      </c>
    </row>
    <row r="819" spans="2:3" x14ac:dyDescent="0.2">
      <c r="B819">
        <v>804</v>
      </c>
      <c r="C819">
        <v>1067.296416214805</v>
      </c>
    </row>
    <row r="820" spans="2:3" x14ac:dyDescent="0.2">
      <c r="B820">
        <v>805</v>
      </c>
      <c r="C820">
        <v>1085.2806358045189</v>
      </c>
    </row>
    <row r="821" spans="2:3" x14ac:dyDescent="0.2">
      <c r="B821">
        <v>806</v>
      </c>
      <c r="C821">
        <v>1109.1977941350131</v>
      </c>
    </row>
    <row r="822" spans="2:3" x14ac:dyDescent="0.2">
      <c r="B822">
        <v>807</v>
      </c>
      <c r="C822">
        <v>1076.3254158382301</v>
      </c>
    </row>
    <row r="823" spans="2:3" x14ac:dyDescent="0.2">
      <c r="B823">
        <v>808</v>
      </c>
      <c r="C823">
        <v>1148.3234746871076</v>
      </c>
    </row>
    <row r="824" spans="2:3" x14ac:dyDescent="0.2">
      <c r="B824">
        <v>809</v>
      </c>
      <c r="C824">
        <v>1256.9701949257612</v>
      </c>
    </row>
    <row r="825" spans="2:3" x14ac:dyDescent="0.2">
      <c r="B825">
        <v>810</v>
      </c>
      <c r="C825">
        <v>1090.6106504263403</v>
      </c>
    </row>
    <row r="826" spans="2:3" x14ac:dyDescent="0.2">
      <c r="B826">
        <v>811</v>
      </c>
      <c r="C826">
        <v>1149.4000789232971</v>
      </c>
    </row>
    <row r="827" spans="2:3" x14ac:dyDescent="0.2">
      <c r="B827">
        <v>812</v>
      </c>
      <c r="C827">
        <v>1081.0595473029839</v>
      </c>
    </row>
    <row r="828" spans="2:3" x14ac:dyDescent="0.2">
      <c r="B828">
        <v>813</v>
      </c>
      <c r="C828">
        <v>1181.367403769686</v>
      </c>
    </row>
    <row r="829" spans="2:3" x14ac:dyDescent="0.2">
      <c r="B829">
        <v>814</v>
      </c>
      <c r="C829">
        <v>1136.5360467870098</v>
      </c>
    </row>
    <row r="830" spans="2:3" x14ac:dyDescent="0.2">
      <c r="B830">
        <v>815</v>
      </c>
      <c r="C830">
        <v>1216.0086797406125</v>
      </c>
    </row>
    <row r="831" spans="2:3" x14ac:dyDescent="0.2">
      <c r="B831">
        <v>816</v>
      </c>
      <c r="C831">
        <v>1296.7299448114818</v>
      </c>
    </row>
    <row r="832" spans="2:3" x14ac:dyDescent="0.2">
      <c r="B832">
        <v>817</v>
      </c>
      <c r="C832">
        <v>1139.0285068233875</v>
      </c>
    </row>
    <row r="833" spans="2:3" x14ac:dyDescent="0.2">
      <c r="B833">
        <v>818</v>
      </c>
      <c r="C833">
        <v>1260.1297701599804</v>
      </c>
    </row>
    <row r="834" spans="2:3" x14ac:dyDescent="0.2">
      <c r="B834">
        <v>819</v>
      </c>
      <c r="C834">
        <v>1136.2334681390353</v>
      </c>
    </row>
    <row r="835" spans="2:3" x14ac:dyDescent="0.2">
      <c r="B835">
        <v>820</v>
      </c>
      <c r="C835">
        <v>1189.2699603927497</v>
      </c>
    </row>
    <row r="836" spans="2:3" x14ac:dyDescent="0.2">
      <c r="B836">
        <v>821</v>
      </c>
      <c r="C836">
        <v>1156.1091141659217</v>
      </c>
    </row>
    <row r="837" spans="2:3" x14ac:dyDescent="0.2">
      <c r="B837">
        <v>822</v>
      </c>
      <c r="C837">
        <v>1058.5694684734278</v>
      </c>
    </row>
    <row r="838" spans="2:3" x14ac:dyDescent="0.2">
      <c r="B838">
        <v>823</v>
      </c>
      <c r="C838">
        <v>1157.1247654627059</v>
      </c>
    </row>
    <row r="839" spans="2:3" x14ac:dyDescent="0.2">
      <c r="B839">
        <v>824</v>
      </c>
      <c r="C839">
        <v>1137.7604321392523</v>
      </c>
    </row>
    <row r="840" spans="2:3" x14ac:dyDescent="0.2">
      <c r="B840">
        <v>825</v>
      </c>
      <c r="C840">
        <v>1227.9469246387998</v>
      </c>
    </row>
    <row r="841" spans="2:3" x14ac:dyDescent="0.2">
      <c r="B841">
        <v>826</v>
      </c>
      <c r="C841">
        <v>1166.7419099285805</v>
      </c>
    </row>
    <row r="842" spans="2:3" x14ac:dyDescent="0.2">
      <c r="B842">
        <v>827</v>
      </c>
      <c r="C842">
        <v>1126.1079205551393</v>
      </c>
    </row>
    <row r="843" spans="2:3" x14ac:dyDescent="0.2">
      <c r="B843">
        <v>828</v>
      </c>
      <c r="C843">
        <v>1172.57189031505</v>
      </c>
    </row>
    <row r="844" spans="2:3" x14ac:dyDescent="0.2">
      <c r="B844">
        <v>829</v>
      </c>
      <c r="C844">
        <v>1150.1650943150894</v>
      </c>
    </row>
    <row r="845" spans="2:3" x14ac:dyDescent="0.2">
      <c r="B845">
        <v>830</v>
      </c>
      <c r="C845">
        <v>1212.5803948622975</v>
      </c>
    </row>
    <row r="846" spans="2:3" x14ac:dyDescent="0.2">
      <c r="B846">
        <v>831</v>
      </c>
      <c r="C846">
        <v>1152.8780029540026</v>
      </c>
    </row>
    <row r="847" spans="2:3" x14ac:dyDescent="0.2">
      <c r="B847">
        <v>832</v>
      </c>
      <c r="C847">
        <v>1088.7573926851494</v>
      </c>
    </row>
    <row r="848" spans="2:3" x14ac:dyDescent="0.2">
      <c r="B848">
        <v>833</v>
      </c>
      <c r="C848">
        <v>1148.6007940213622</v>
      </c>
    </row>
    <row r="849" spans="2:3" x14ac:dyDescent="0.2">
      <c r="B849">
        <v>834</v>
      </c>
      <c r="C849">
        <v>1167.9918407943705</v>
      </c>
    </row>
    <row r="850" spans="2:3" x14ac:dyDescent="0.2">
      <c r="B850">
        <v>835</v>
      </c>
      <c r="C850">
        <v>1198.1616211908158</v>
      </c>
    </row>
    <row r="851" spans="2:3" x14ac:dyDescent="0.2">
      <c r="B851">
        <v>836</v>
      </c>
      <c r="C851">
        <v>1212.1628919044333</v>
      </c>
    </row>
    <row r="852" spans="2:3" x14ac:dyDescent="0.2">
      <c r="B852">
        <v>837</v>
      </c>
      <c r="C852">
        <v>1152.0031825107185</v>
      </c>
    </row>
    <row r="853" spans="2:3" x14ac:dyDescent="0.2">
      <c r="B853">
        <v>838</v>
      </c>
      <c r="C853">
        <v>1097.1678768532011</v>
      </c>
    </row>
    <row r="854" spans="2:3" x14ac:dyDescent="0.2">
      <c r="B854">
        <v>839</v>
      </c>
      <c r="C854">
        <v>1124.9650946361739</v>
      </c>
    </row>
    <row r="855" spans="2:3" x14ac:dyDescent="0.2">
      <c r="B855">
        <v>840</v>
      </c>
      <c r="C855">
        <v>1126.7336694093717</v>
      </c>
    </row>
    <row r="856" spans="2:3" x14ac:dyDescent="0.2">
      <c r="B856">
        <v>841</v>
      </c>
      <c r="C856">
        <v>1235.2470523518582</v>
      </c>
    </row>
    <row r="857" spans="2:3" x14ac:dyDescent="0.2">
      <c r="B857">
        <v>842</v>
      </c>
      <c r="C857">
        <v>1091.413073625029</v>
      </c>
    </row>
    <row r="858" spans="2:3" x14ac:dyDescent="0.2">
      <c r="B858">
        <v>843</v>
      </c>
      <c r="C858">
        <v>1115.1480024698942</v>
      </c>
    </row>
    <row r="859" spans="2:3" x14ac:dyDescent="0.2">
      <c r="B859">
        <v>844</v>
      </c>
      <c r="C859">
        <v>1162.4375647934628</v>
      </c>
    </row>
    <row r="860" spans="2:3" x14ac:dyDescent="0.2">
      <c r="B860">
        <v>845</v>
      </c>
      <c r="C860">
        <v>1112.4502709521664</v>
      </c>
    </row>
    <row r="861" spans="2:3" x14ac:dyDescent="0.2">
      <c r="B861">
        <v>846</v>
      </c>
      <c r="C861">
        <v>1175.8225585138653</v>
      </c>
    </row>
    <row r="862" spans="2:3" x14ac:dyDescent="0.2">
      <c r="B862">
        <v>847</v>
      </c>
      <c r="C862">
        <v>1156.8714999641243</v>
      </c>
    </row>
    <row r="863" spans="2:3" x14ac:dyDescent="0.2">
      <c r="B863">
        <v>848</v>
      </c>
      <c r="C863">
        <v>1109.5954987498719</v>
      </c>
    </row>
    <row r="864" spans="2:3" x14ac:dyDescent="0.2">
      <c r="B864">
        <v>849</v>
      </c>
      <c r="C864">
        <v>1193.207812299592</v>
      </c>
    </row>
    <row r="865" spans="2:3" x14ac:dyDescent="0.2">
      <c r="B865">
        <v>850</v>
      </c>
      <c r="C865">
        <v>1282.3675425704755</v>
      </c>
    </row>
    <row r="866" spans="2:3" x14ac:dyDescent="0.2">
      <c r="B866">
        <v>851</v>
      </c>
      <c r="C866">
        <v>1144.4579947549653</v>
      </c>
    </row>
    <row r="867" spans="2:3" x14ac:dyDescent="0.2">
      <c r="B867">
        <v>852</v>
      </c>
      <c r="C867">
        <v>1073.8225870699243</v>
      </c>
    </row>
    <row r="868" spans="2:3" x14ac:dyDescent="0.2">
      <c r="B868">
        <v>853</v>
      </c>
      <c r="C868">
        <v>1125.2755597953967</v>
      </c>
    </row>
    <row r="869" spans="2:3" x14ac:dyDescent="0.2">
      <c r="B869">
        <v>854</v>
      </c>
      <c r="C869">
        <v>1137.361133397241</v>
      </c>
    </row>
    <row r="870" spans="2:3" x14ac:dyDescent="0.2">
      <c r="B870">
        <v>855</v>
      </c>
      <c r="C870">
        <v>1209.2581347218077</v>
      </c>
    </row>
    <row r="871" spans="2:3" x14ac:dyDescent="0.2">
      <c r="B871">
        <v>856</v>
      </c>
      <c r="C871">
        <v>1132.5846378771723</v>
      </c>
    </row>
    <row r="872" spans="2:3" x14ac:dyDescent="0.2">
      <c r="B872">
        <v>857</v>
      </c>
      <c r="C872">
        <v>1162.648390411106</v>
      </c>
    </row>
    <row r="873" spans="2:3" x14ac:dyDescent="0.2">
      <c r="B873">
        <v>858</v>
      </c>
      <c r="C873">
        <v>1149.0001631684602</v>
      </c>
    </row>
    <row r="874" spans="2:3" x14ac:dyDescent="0.2">
      <c r="B874">
        <v>859</v>
      </c>
      <c r="C874">
        <v>1064.8295880708777</v>
      </c>
    </row>
    <row r="875" spans="2:3" x14ac:dyDescent="0.2">
      <c r="B875">
        <v>860</v>
      </c>
      <c r="C875">
        <v>1046.9991568975902</v>
      </c>
    </row>
    <row r="876" spans="2:3" x14ac:dyDescent="0.2">
      <c r="B876">
        <v>861</v>
      </c>
      <c r="C876">
        <v>1218.8299899213987</v>
      </c>
    </row>
    <row r="877" spans="2:3" x14ac:dyDescent="0.2">
      <c r="B877">
        <v>862</v>
      </c>
      <c r="C877">
        <v>1166.9172985094508</v>
      </c>
    </row>
    <row r="878" spans="2:3" x14ac:dyDescent="0.2">
      <c r="B878">
        <v>863</v>
      </c>
      <c r="C878">
        <v>1097.6835594994732</v>
      </c>
    </row>
    <row r="879" spans="2:3" x14ac:dyDescent="0.2">
      <c r="B879">
        <v>864</v>
      </c>
      <c r="C879">
        <v>1199.3781550497063</v>
      </c>
    </row>
    <row r="880" spans="2:3" x14ac:dyDescent="0.2">
      <c r="B880">
        <v>865</v>
      </c>
      <c r="C880">
        <v>1101.2132146122728</v>
      </c>
    </row>
    <row r="881" spans="2:3" x14ac:dyDescent="0.2">
      <c r="B881">
        <v>866</v>
      </c>
      <c r="C881">
        <v>1079.8079924497993</v>
      </c>
    </row>
    <row r="882" spans="2:3" x14ac:dyDescent="0.2">
      <c r="B882">
        <v>867</v>
      </c>
      <c r="C882">
        <v>1101.5700562697609</v>
      </c>
    </row>
    <row r="883" spans="2:3" x14ac:dyDescent="0.2">
      <c r="B883">
        <v>868</v>
      </c>
      <c r="C883">
        <v>1171.4876338842012</v>
      </c>
    </row>
    <row r="884" spans="2:3" x14ac:dyDescent="0.2">
      <c r="B884">
        <v>869</v>
      </c>
      <c r="C884">
        <v>1134.0015801481995</v>
      </c>
    </row>
    <row r="885" spans="2:3" x14ac:dyDescent="0.2">
      <c r="B885">
        <v>870</v>
      </c>
      <c r="C885">
        <v>1148.1366779066639</v>
      </c>
    </row>
    <row r="886" spans="2:3" x14ac:dyDescent="0.2">
      <c r="B886">
        <v>871</v>
      </c>
      <c r="C886">
        <v>1094.8371515807848</v>
      </c>
    </row>
    <row r="887" spans="2:3" x14ac:dyDescent="0.2">
      <c r="B887">
        <v>872</v>
      </c>
      <c r="C887">
        <v>1107.9252029836798</v>
      </c>
    </row>
    <row r="888" spans="2:3" x14ac:dyDescent="0.2">
      <c r="B888">
        <v>873</v>
      </c>
      <c r="C888">
        <v>1211.7813239191166</v>
      </c>
    </row>
    <row r="889" spans="2:3" x14ac:dyDescent="0.2">
      <c r="B889">
        <v>874</v>
      </c>
      <c r="C889">
        <v>1140.4537338898406</v>
      </c>
    </row>
    <row r="890" spans="2:3" x14ac:dyDescent="0.2">
      <c r="B890">
        <v>875</v>
      </c>
      <c r="C890">
        <v>1204.1474173091099</v>
      </c>
    </row>
    <row r="891" spans="2:3" x14ac:dyDescent="0.2">
      <c r="B891">
        <v>876</v>
      </c>
      <c r="C891">
        <v>1128.9789725268206</v>
      </c>
    </row>
    <row r="892" spans="2:3" x14ac:dyDescent="0.2">
      <c r="B892">
        <v>877</v>
      </c>
      <c r="C892">
        <v>1170.0742181650021</v>
      </c>
    </row>
    <row r="893" spans="2:3" x14ac:dyDescent="0.2">
      <c r="B893">
        <v>878</v>
      </c>
      <c r="C893">
        <v>1187.3360206861619</v>
      </c>
    </row>
    <row r="894" spans="2:3" x14ac:dyDescent="0.2">
      <c r="B894">
        <v>879</v>
      </c>
      <c r="C894">
        <v>1229.0355713660535</v>
      </c>
    </row>
    <row r="895" spans="2:3" x14ac:dyDescent="0.2">
      <c r="B895">
        <v>880</v>
      </c>
      <c r="C895">
        <v>1242.8348615049888</v>
      </c>
    </row>
    <row r="896" spans="2:3" x14ac:dyDescent="0.2">
      <c r="B896">
        <v>881</v>
      </c>
      <c r="C896">
        <v>971.3104062462312</v>
      </c>
    </row>
    <row r="897" spans="2:3" x14ac:dyDescent="0.2">
      <c r="B897">
        <v>882</v>
      </c>
      <c r="C897">
        <v>1108.9821949017462</v>
      </c>
    </row>
    <row r="898" spans="2:3" x14ac:dyDescent="0.2">
      <c r="B898">
        <v>883</v>
      </c>
      <c r="C898">
        <v>1104.4683419233168</v>
      </c>
    </row>
    <row r="899" spans="2:3" x14ac:dyDescent="0.2">
      <c r="B899">
        <v>884</v>
      </c>
      <c r="C899">
        <v>1145.1431963502046</v>
      </c>
    </row>
    <row r="900" spans="2:3" x14ac:dyDescent="0.2">
      <c r="B900">
        <v>885</v>
      </c>
      <c r="C900">
        <v>1245.3199040303607</v>
      </c>
    </row>
    <row r="901" spans="2:3" x14ac:dyDescent="0.2">
      <c r="B901">
        <v>886</v>
      </c>
      <c r="C901">
        <v>1181.2046057615005</v>
      </c>
    </row>
    <row r="902" spans="2:3" x14ac:dyDescent="0.2">
      <c r="B902">
        <v>887</v>
      </c>
      <c r="C902">
        <v>1187.6634261603306</v>
      </c>
    </row>
    <row r="903" spans="2:3" x14ac:dyDescent="0.2">
      <c r="B903">
        <v>888</v>
      </c>
      <c r="C903">
        <v>1153.1209899805972</v>
      </c>
    </row>
    <row r="904" spans="2:3" x14ac:dyDescent="0.2">
      <c r="B904">
        <v>889</v>
      </c>
      <c r="C904">
        <v>1154.8044653702541</v>
      </c>
    </row>
    <row r="905" spans="2:3" x14ac:dyDescent="0.2">
      <c r="B905">
        <v>890</v>
      </c>
      <c r="C905">
        <v>1125.3638871738744</v>
      </c>
    </row>
    <row r="906" spans="2:3" x14ac:dyDescent="0.2">
      <c r="B906">
        <v>891</v>
      </c>
      <c r="C906">
        <v>1229.4401064240822</v>
      </c>
    </row>
    <row r="907" spans="2:3" x14ac:dyDescent="0.2">
      <c r="B907">
        <v>892</v>
      </c>
      <c r="C907">
        <v>1175.9966646880705</v>
      </c>
    </row>
    <row r="908" spans="2:3" x14ac:dyDescent="0.2">
      <c r="B908">
        <v>893</v>
      </c>
      <c r="C908">
        <v>1227.5271758552105</v>
      </c>
    </row>
    <row r="909" spans="2:3" x14ac:dyDescent="0.2">
      <c r="B909">
        <v>894</v>
      </c>
      <c r="C909">
        <v>1202.1248758544568</v>
      </c>
    </row>
    <row r="910" spans="2:3" x14ac:dyDescent="0.2">
      <c r="B910">
        <v>895</v>
      </c>
      <c r="C910">
        <v>1093.7205480029052</v>
      </c>
    </row>
    <row r="911" spans="2:3" x14ac:dyDescent="0.2">
      <c r="B911">
        <v>896</v>
      </c>
      <c r="C911">
        <v>1207.2052738693462</v>
      </c>
    </row>
    <row r="912" spans="2:3" x14ac:dyDescent="0.2">
      <c r="B912">
        <v>897</v>
      </c>
      <c r="C912">
        <v>1045.8863924370742</v>
      </c>
    </row>
    <row r="913" spans="2:3" x14ac:dyDescent="0.2">
      <c r="B913">
        <v>898</v>
      </c>
      <c r="C913">
        <v>1224.0288837499224</v>
      </c>
    </row>
    <row r="914" spans="2:3" x14ac:dyDescent="0.2">
      <c r="B914">
        <v>899</v>
      </c>
      <c r="C914">
        <v>1159.8108775515666</v>
      </c>
    </row>
    <row r="915" spans="2:3" x14ac:dyDescent="0.2">
      <c r="B915">
        <v>900</v>
      </c>
      <c r="C915">
        <v>1181.8630582380629</v>
      </c>
    </row>
    <row r="916" spans="2:3" x14ac:dyDescent="0.2">
      <c r="B916">
        <v>901</v>
      </c>
      <c r="C916">
        <v>1200.1331219785718</v>
      </c>
    </row>
    <row r="917" spans="2:3" x14ac:dyDescent="0.2">
      <c r="B917">
        <v>902</v>
      </c>
      <c r="C917">
        <v>1047.6891308436786</v>
      </c>
    </row>
    <row r="918" spans="2:3" x14ac:dyDescent="0.2">
      <c r="B918">
        <v>903</v>
      </c>
      <c r="C918">
        <v>1108.9932093488894</v>
      </c>
    </row>
    <row r="919" spans="2:3" x14ac:dyDescent="0.2">
      <c r="B919">
        <v>904</v>
      </c>
      <c r="C919">
        <v>1155.5824414727874</v>
      </c>
    </row>
    <row r="920" spans="2:3" x14ac:dyDescent="0.2">
      <c r="B920">
        <v>905</v>
      </c>
      <c r="C920">
        <v>1230.1878108645387</v>
      </c>
    </row>
    <row r="921" spans="2:3" x14ac:dyDescent="0.2">
      <c r="B921">
        <v>906</v>
      </c>
      <c r="C921">
        <v>1187.2243417109801</v>
      </c>
    </row>
    <row r="922" spans="2:3" x14ac:dyDescent="0.2">
      <c r="B922">
        <v>907</v>
      </c>
      <c r="C922">
        <v>1162.2234713382295</v>
      </c>
    </row>
    <row r="923" spans="2:3" x14ac:dyDescent="0.2">
      <c r="B923">
        <v>908</v>
      </c>
      <c r="C923">
        <v>1087.5100173531723</v>
      </c>
    </row>
    <row r="924" spans="2:3" x14ac:dyDescent="0.2">
      <c r="B924">
        <v>909</v>
      </c>
      <c r="C924">
        <v>1234.17787702552</v>
      </c>
    </row>
    <row r="925" spans="2:3" x14ac:dyDescent="0.2">
      <c r="B925">
        <v>910</v>
      </c>
      <c r="C925">
        <v>1193.4102807678369</v>
      </c>
    </row>
    <row r="926" spans="2:3" x14ac:dyDescent="0.2">
      <c r="B926">
        <v>911</v>
      </c>
      <c r="C926">
        <v>1194.8505079315419</v>
      </c>
    </row>
    <row r="927" spans="2:3" x14ac:dyDescent="0.2">
      <c r="B927">
        <v>912</v>
      </c>
      <c r="C927">
        <v>1175.131848501439</v>
      </c>
    </row>
    <row r="928" spans="2:3" x14ac:dyDescent="0.2">
      <c r="B928">
        <v>913</v>
      </c>
      <c r="C928">
        <v>1171.1053200958072</v>
      </c>
    </row>
    <row r="929" spans="2:3" x14ac:dyDescent="0.2">
      <c r="B929">
        <v>914</v>
      </c>
      <c r="C929">
        <v>1149.6830297155645</v>
      </c>
    </row>
    <row r="930" spans="2:3" x14ac:dyDescent="0.2">
      <c r="B930">
        <v>915</v>
      </c>
      <c r="C930">
        <v>1210.846967144158</v>
      </c>
    </row>
    <row r="931" spans="2:3" x14ac:dyDescent="0.2">
      <c r="B931">
        <v>916</v>
      </c>
      <c r="C931">
        <v>1210.6757572861297</v>
      </c>
    </row>
    <row r="932" spans="2:3" x14ac:dyDescent="0.2">
      <c r="B932">
        <v>917</v>
      </c>
      <c r="C932">
        <v>1215.2796064434285</v>
      </c>
    </row>
    <row r="933" spans="2:3" x14ac:dyDescent="0.2">
      <c r="B933">
        <v>918</v>
      </c>
      <c r="C933">
        <v>1115.1575474582683</v>
      </c>
    </row>
    <row r="934" spans="2:3" x14ac:dyDescent="0.2">
      <c r="B934">
        <v>919</v>
      </c>
      <c r="C934">
        <v>1153.2368237186977</v>
      </c>
    </row>
    <row r="935" spans="2:3" x14ac:dyDescent="0.2">
      <c r="B935">
        <v>920</v>
      </c>
      <c r="C935">
        <v>1173.0222436253903</v>
      </c>
    </row>
    <row r="936" spans="2:3" x14ac:dyDescent="0.2">
      <c r="B936">
        <v>921</v>
      </c>
      <c r="C936">
        <v>1150.3331214584005</v>
      </c>
    </row>
    <row r="937" spans="2:3" x14ac:dyDescent="0.2">
      <c r="B937">
        <v>922</v>
      </c>
      <c r="C937">
        <v>1128.904472967092</v>
      </c>
    </row>
    <row r="938" spans="2:3" x14ac:dyDescent="0.2">
      <c r="B938">
        <v>923</v>
      </c>
      <c r="C938">
        <v>1196.2078865122917</v>
      </c>
    </row>
    <row r="939" spans="2:3" x14ac:dyDescent="0.2">
      <c r="B939">
        <v>924</v>
      </c>
      <c r="C939">
        <v>1182.5883467553474</v>
      </c>
    </row>
    <row r="940" spans="2:3" x14ac:dyDescent="0.2">
      <c r="B940">
        <v>925</v>
      </c>
      <c r="C940">
        <v>1158.7910419740547</v>
      </c>
    </row>
    <row r="941" spans="2:3" x14ac:dyDescent="0.2">
      <c r="B941">
        <v>926</v>
      </c>
      <c r="C941">
        <v>1179.1962330755364</v>
      </c>
    </row>
    <row r="942" spans="2:3" x14ac:dyDescent="0.2">
      <c r="B942">
        <v>927</v>
      </c>
      <c r="C942">
        <v>1256.4684333319244</v>
      </c>
    </row>
    <row r="943" spans="2:3" x14ac:dyDescent="0.2">
      <c r="B943">
        <v>928</v>
      </c>
      <c r="C943">
        <v>1198.1689485970103</v>
      </c>
    </row>
    <row r="944" spans="2:3" x14ac:dyDescent="0.2">
      <c r="B944">
        <v>929</v>
      </c>
      <c r="C944">
        <v>1113.2426281973469</v>
      </c>
    </row>
    <row r="945" spans="2:3" x14ac:dyDescent="0.2">
      <c r="B945">
        <v>930</v>
      </c>
      <c r="C945">
        <v>1158.8488978420776</v>
      </c>
    </row>
    <row r="946" spans="2:3" x14ac:dyDescent="0.2">
      <c r="B946">
        <v>931</v>
      </c>
      <c r="C946">
        <v>1091.6897423026089</v>
      </c>
    </row>
    <row r="947" spans="2:3" x14ac:dyDescent="0.2">
      <c r="B947">
        <v>932</v>
      </c>
      <c r="C947">
        <v>1207.3770650092977</v>
      </c>
    </row>
    <row r="948" spans="2:3" x14ac:dyDescent="0.2">
      <c r="B948">
        <v>933</v>
      </c>
      <c r="C948">
        <v>1281.5395641687576</v>
      </c>
    </row>
    <row r="949" spans="2:3" x14ac:dyDescent="0.2">
      <c r="B949">
        <v>934</v>
      </c>
      <c r="C949">
        <v>1142.6912601104195</v>
      </c>
    </row>
    <row r="950" spans="2:3" x14ac:dyDescent="0.2">
      <c r="B950">
        <v>935</v>
      </c>
      <c r="C950">
        <v>1104.181675150842</v>
      </c>
    </row>
    <row r="951" spans="2:3" x14ac:dyDescent="0.2">
      <c r="B951">
        <v>936</v>
      </c>
      <c r="C951">
        <v>1203.9993131141766</v>
      </c>
    </row>
    <row r="952" spans="2:3" x14ac:dyDescent="0.2">
      <c r="B952">
        <v>937</v>
      </c>
      <c r="C952">
        <v>1126.3150687194088</v>
      </c>
    </row>
    <row r="953" spans="2:3" x14ac:dyDescent="0.2">
      <c r="B953">
        <v>938</v>
      </c>
      <c r="C953">
        <v>1179.4102214896122</v>
      </c>
    </row>
    <row r="954" spans="2:3" x14ac:dyDescent="0.2">
      <c r="B954">
        <v>939</v>
      </c>
      <c r="C954">
        <v>1254.3627420375879</v>
      </c>
    </row>
    <row r="955" spans="2:3" x14ac:dyDescent="0.2">
      <c r="B955">
        <v>940</v>
      </c>
      <c r="C955">
        <v>1215.8219130671346</v>
      </c>
    </row>
    <row r="956" spans="2:3" x14ac:dyDescent="0.2">
      <c r="B956">
        <v>941</v>
      </c>
      <c r="C956">
        <v>1113.0639911325572</v>
      </c>
    </row>
    <row r="957" spans="2:3" x14ac:dyDescent="0.2">
      <c r="B957">
        <v>942</v>
      </c>
      <c r="C957">
        <v>1086.1385476295643</v>
      </c>
    </row>
    <row r="958" spans="2:3" x14ac:dyDescent="0.2">
      <c r="B958">
        <v>943</v>
      </c>
      <c r="C958">
        <v>1225.0205990718794</v>
      </c>
    </row>
    <row r="959" spans="2:3" x14ac:dyDescent="0.2">
      <c r="B959">
        <v>944</v>
      </c>
      <c r="C959">
        <v>1215.5421369153371</v>
      </c>
    </row>
    <row r="960" spans="2:3" x14ac:dyDescent="0.2">
      <c r="B960">
        <v>945</v>
      </c>
      <c r="C960">
        <v>1088.5642197639322</v>
      </c>
    </row>
    <row r="961" spans="2:3" x14ac:dyDescent="0.2">
      <c r="B961">
        <v>946</v>
      </c>
      <c r="C961">
        <v>1208.5650623398699</v>
      </c>
    </row>
    <row r="962" spans="2:3" x14ac:dyDescent="0.2">
      <c r="B962">
        <v>947</v>
      </c>
      <c r="C962">
        <v>1136.5273317692383</v>
      </c>
    </row>
    <row r="963" spans="2:3" x14ac:dyDescent="0.2">
      <c r="B963">
        <v>948</v>
      </c>
      <c r="C963">
        <v>1151.700776596557</v>
      </c>
    </row>
    <row r="964" spans="2:3" x14ac:dyDescent="0.2">
      <c r="B964">
        <v>949</v>
      </c>
      <c r="C964">
        <v>1201.3093617960312</v>
      </c>
    </row>
    <row r="965" spans="2:3" x14ac:dyDescent="0.2">
      <c r="B965">
        <v>950</v>
      </c>
      <c r="C965">
        <v>1067.8559622806188</v>
      </c>
    </row>
    <row r="966" spans="2:3" x14ac:dyDescent="0.2">
      <c r="B966">
        <v>951</v>
      </c>
      <c r="C966">
        <v>1191.4079915932577</v>
      </c>
    </row>
    <row r="967" spans="2:3" x14ac:dyDescent="0.2">
      <c r="B967">
        <v>952</v>
      </c>
      <c r="C967">
        <v>1175.1017762435692</v>
      </c>
    </row>
    <row r="968" spans="2:3" x14ac:dyDescent="0.2">
      <c r="B968">
        <v>953</v>
      </c>
      <c r="C968">
        <v>1142.3956631760989</v>
      </c>
    </row>
    <row r="969" spans="2:3" x14ac:dyDescent="0.2">
      <c r="B969">
        <v>954</v>
      </c>
      <c r="C969">
        <v>1079.0388712605466</v>
      </c>
    </row>
    <row r="970" spans="2:3" x14ac:dyDescent="0.2">
      <c r="B970">
        <v>955</v>
      </c>
      <c r="C970">
        <v>1122.4278614458988</v>
      </c>
    </row>
    <row r="971" spans="2:3" x14ac:dyDescent="0.2">
      <c r="B971">
        <v>956</v>
      </c>
      <c r="C971">
        <v>1206.0017546062193</v>
      </c>
    </row>
    <row r="972" spans="2:3" x14ac:dyDescent="0.2">
      <c r="B972">
        <v>957</v>
      </c>
      <c r="C972">
        <v>1149.9625164424749</v>
      </c>
    </row>
    <row r="973" spans="2:3" x14ac:dyDescent="0.2">
      <c r="B973">
        <v>958</v>
      </c>
      <c r="C973">
        <v>1096.5596687606869</v>
      </c>
    </row>
    <row r="974" spans="2:3" x14ac:dyDescent="0.2">
      <c r="B974">
        <v>959</v>
      </c>
      <c r="C974">
        <v>1159.1438693319149</v>
      </c>
    </row>
    <row r="975" spans="2:3" x14ac:dyDescent="0.2">
      <c r="B975">
        <v>960</v>
      </c>
      <c r="C975">
        <v>1203.0455593377612</v>
      </c>
    </row>
    <row r="976" spans="2:3" x14ac:dyDescent="0.2">
      <c r="B976">
        <v>961</v>
      </c>
      <c r="C976">
        <v>1197.9308957984108</v>
      </c>
    </row>
    <row r="977" spans="2:3" x14ac:dyDescent="0.2">
      <c r="B977">
        <v>962</v>
      </c>
      <c r="C977">
        <v>1180.5191851829375</v>
      </c>
    </row>
    <row r="978" spans="2:3" x14ac:dyDescent="0.2">
      <c r="B978">
        <v>963</v>
      </c>
      <c r="C978">
        <v>1143.862411570964</v>
      </c>
    </row>
    <row r="979" spans="2:3" x14ac:dyDescent="0.2">
      <c r="B979">
        <v>964</v>
      </c>
      <c r="C979">
        <v>1005.2511341920483</v>
      </c>
    </row>
    <row r="980" spans="2:3" x14ac:dyDescent="0.2">
      <c r="B980">
        <v>965</v>
      </c>
      <c r="C980">
        <v>1058.0790770764615</v>
      </c>
    </row>
    <row r="981" spans="2:3" x14ac:dyDescent="0.2">
      <c r="B981">
        <v>966</v>
      </c>
      <c r="C981">
        <v>1153.3425332905931</v>
      </c>
    </row>
    <row r="982" spans="2:3" x14ac:dyDescent="0.2">
      <c r="B982">
        <v>967</v>
      </c>
      <c r="C982">
        <v>1057.1852937750873</v>
      </c>
    </row>
    <row r="983" spans="2:3" x14ac:dyDescent="0.2">
      <c r="B983">
        <v>968</v>
      </c>
      <c r="C983">
        <v>1209.7554607994816</v>
      </c>
    </row>
    <row r="984" spans="2:3" x14ac:dyDescent="0.2">
      <c r="B984">
        <v>969</v>
      </c>
      <c r="C984">
        <v>1192.8498951611082</v>
      </c>
    </row>
    <row r="985" spans="2:3" x14ac:dyDescent="0.2">
      <c r="B985">
        <v>970</v>
      </c>
      <c r="C985">
        <v>1183.4974098205089</v>
      </c>
    </row>
    <row r="986" spans="2:3" x14ac:dyDescent="0.2">
      <c r="B986">
        <v>971</v>
      </c>
      <c r="C986">
        <v>1138.6562648138577</v>
      </c>
    </row>
    <row r="987" spans="2:3" x14ac:dyDescent="0.2">
      <c r="B987">
        <v>972</v>
      </c>
      <c r="C987">
        <v>1226.6043872029907</v>
      </c>
    </row>
    <row r="988" spans="2:3" x14ac:dyDescent="0.2">
      <c r="B988">
        <v>973</v>
      </c>
      <c r="C988">
        <v>1221.1452957864008</v>
      </c>
    </row>
    <row r="989" spans="2:3" x14ac:dyDescent="0.2">
      <c r="B989">
        <v>974</v>
      </c>
      <c r="C989">
        <v>1192.3844724475757</v>
      </c>
    </row>
    <row r="990" spans="2:3" x14ac:dyDescent="0.2">
      <c r="B990">
        <v>975</v>
      </c>
      <c r="C990">
        <v>1088.4210026366316</v>
      </c>
    </row>
    <row r="991" spans="2:3" x14ac:dyDescent="0.2">
      <c r="B991">
        <v>976</v>
      </c>
      <c r="C991">
        <v>1191.405503883228</v>
      </c>
    </row>
    <row r="992" spans="2:3" x14ac:dyDescent="0.2">
      <c r="B992">
        <v>977</v>
      </c>
      <c r="C992">
        <v>1191.006908381305</v>
      </c>
    </row>
    <row r="993" spans="2:3" x14ac:dyDescent="0.2">
      <c r="B993">
        <v>978</v>
      </c>
      <c r="C993">
        <v>1166.6799392401563</v>
      </c>
    </row>
    <row r="994" spans="2:3" x14ac:dyDescent="0.2">
      <c r="B994">
        <v>979</v>
      </c>
      <c r="C994">
        <v>1155.2311268822984</v>
      </c>
    </row>
    <row r="995" spans="2:3" x14ac:dyDescent="0.2">
      <c r="B995">
        <v>980</v>
      </c>
      <c r="C995">
        <v>1318.930675939479</v>
      </c>
    </row>
    <row r="996" spans="2:3" x14ac:dyDescent="0.2">
      <c r="B996">
        <v>981</v>
      </c>
      <c r="C996">
        <v>1120.2362196698257</v>
      </c>
    </row>
    <row r="997" spans="2:3" x14ac:dyDescent="0.2">
      <c r="B997">
        <v>982</v>
      </c>
      <c r="C997">
        <v>1075.1386105736892</v>
      </c>
    </row>
    <row r="998" spans="2:3" x14ac:dyDescent="0.2">
      <c r="B998">
        <v>983</v>
      </c>
      <c r="C998">
        <v>1173.8087780351143</v>
      </c>
    </row>
    <row r="999" spans="2:3" x14ac:dyDescent="0.2">
      <c r="B999">
        <v>984</v>
      </c>
      <c r="C999">
        <v>1123.7900489937297</v>
      </c>
    </row>
    <row r="1000" spans="2:3" x14ac:dyDescent="0.2">
      <c r="B1000">
        <v>985</v>
      </c>
      <c r="C1000">
        <v>1146.7665632288422</v>
      </c>
    </row>
    <row r="1001" spans="2:3" x14ac:dyDescent="0.2">
      <c r="B1001">
        <v>986</v>
      </c>
      <c r="C1001">
        <v>1121.4704447867662</v>
      </c>
    </row>
    <row r="1002" spans="2:3" x14ac:dyDescent="0.2">
      <c r="B1002">
        <v>987</v>
      </c>
      <c r="C1002">
        <v>1167.0179175026883</v>
      </c>
    </row>
    <row r="1003" spans="2:3" x14ac:dyDescent="0.2">
      <c r="B1003">
        <v>988</v>
      </c>
      <c r="C1003">
        <v>1149.0373742192933</v>
      </c>
    </row>
    <row r="1004" spans="2:3" x14ac:dyDescent="0.2">
      <c r="B1004">
        <v>989</v>
      </c>
      <c r="C1004">
        <v>1250.2556557973826</v>
      </c>
    </row>
    <row r="1005" spans="2:3" x14ac:dyDescent="0.2">
      <c r="B1005">
        <v>990</v>
      </c>
      <c r="C1005">
        <v>1159.2466035431451</v>
      </c>
    </row>
    <row r="1006" spans="2:3" x14ac:dyDescent="0.2">
      <c r="B1006">
        <v>991</v>
      </c>
      <c r="C1006">
        <v>1136.5933167880892</v>
      </c>
    </row>
    <row r="1007" spans="2:3" x14ac:dyDescent="0.2">
      <c r="B1007">
        <v>992</v>
      </c>
      <c r="C1007">
        <v>1138.1915423862381</v>
      </c>
    </row>
    <row r="1008" spans="2:3" x14ac:dyDescent="0.2">
      <c r="B1008">
        <v>993</v>
      </c>
      <c r="C1008">
        <v>1256.6940347749817</v>
      </c>
    </row>
    <row r="1009" spans="2:3" x14ac:dyDescent="0.2">
      <c r="B1009">
        <v>994</v>
      </c>
      <c r="C1009">
        <v>1148.7173290382661</v>
      </c>
    </row>
    <row r="1010" spans="2:3" x14ac:dyDescent="0.2">
      <c r="B1010">
        <v>995</v>
      </c>
      <c r="C1010">
        <v>1213.3577341283692</v>
      </c>
    </row>
    <row r="1011" spans="2:3" x14ac:dyDescent="0.2">
      <c r="B1011">
        <v>996</v>
      </c>
      <c r="C1011">
        <v>1163.4062786558127</v>
      </c>
    </row>
    <row r="1012" spans="2:3" x14ac:dyDescent="0.2">
      <c r="B1012">
        <v>997</v>
      </c>
      <c r="C1012">
        <v>1283.2632822353567</v>
      </c>
    </row>
    <row r="1013" spans="2:3" x14ac:dyDescent="0.2">
      <c r="B1013">
        <v>998</v>
      </c>
      <c r="C1013">
        <v>1056.9550952109357</v>
      </c>
    </row>
    <row r="1014" spans="2:3" x14ac:dyDescent="0.2">
      <c r="B1014">
        <v>999</v>
      </c>
      <c r="C1014">
        <v>1172.3638809201507</v>
      </c>
    </row>
    <row r="1015" spans="2:3" x14ac:dyDescent="0.2">
      <c r="B1015">
        <v>1000</v>
      </c>
      <c r="C1015">
        <v>1159.7885293845466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28</vt:i4>
      </vt:variant>
    </vt:vector>
  </HeadingPairs>
  <TitlesOfParts>
    <vt:vector size="39" baseType="lpstr">
      <vt:lpstr>Financial model</vt:lpstr>
      <vt:lpstr>Debt Repayment profiles</vt:lpstr>
      <vt:lpstr>Financial model 2</vt:lpstr>
      <vt:lpstr>Risk Analysis</vt:lpstr>
      <vt:lpstr>Risk Drivers</vt:lpstr>
      <vt:lpstr>DNPV Input</vt:lpstr>
      <vt:lpstr>Risk Valuation</vt:lpstr>
      <vt:lpstr>DNPV Graph</vt:lpstr>
      <vt:lpstr>Bond Yield</vt:lpstr>
      <vt:lpstr>CG of Radiation Loss</vt:lpstr>
      <vt:lpstr>Sheet1</vt:lpstr>
      <vt:lpstr>'CG of Radiation Loss'!a</vt:lpstr>
      <vt:lpstr>'CG of Radiation Loss'!d</vt:lpstr>
      <vt:lpstr>'Risk Valuation'!d</vt:lpstr>
      <vt:lpstr>'CG of Radiation Loss'!d1.</vt:lpstr>
      <vt:lpstr>'Risk Valuation'!d1.</vt:lpstr>
      <vt:lpstr>'CG of Radiation Loss'!DELt</vt:lpstr>
      <vt:lpstr>'Risk Drivers'!DELt</vt:lpstr>
      <vt:lpstr>'Risk Valuation'!DELt</vt:lpstr>
      <vt:lpstr>'CG of Radiation Loss'!duration</vt:lpstr>
      <vt:lpstr>'CG of Radiation Loss'!numperiods</vt:lpstr>
      <vt:lpstr>'Risk Drivers'!numperiods</vt:lpstr>
      <vt:lpstr>'Risk Valuation'!numperiods</vt:lpstr>
      <vt:lpstr>'CG of Radiation Loss'!p</vt:lpstr>
      <vt:lpstr>PM_Trials</vt:lpstr>
      <vt:lpstr>'Debt Repayment profiles'!Print_Area</vt:lpstr>
      <vt:lpstr>'Financial model'!Print_Area</vt:lpstr>
      <vt:lpstr>'Financial model 2'!Print_Area</vt:lpstr>
      <vt:lpstr>'CG of Radiation Loss'!rf</vt:lpstr>
      <vt:lpstr>'Risk Valuation'!rf</vt:lpstr>
      <vt:lpstr>'CG of Radiation Loss'!S</vt:lpstr>
      <vt:lpstr>'Risk Valuation'!S</vt:lpstr>
      <vt:lpstr>'CG of Radiation Loss'!T</vt:lpstr>
      <vt:lpstr>'Risk Drivers'!T</vt:lpstr>
      <vt:lpstr>'Risk Valuation'!T</vt:lpstr>
      <vt:lpstr>'CG of Radiation Loss'!u</vt:lpstr>
      <vt:lpstr>'Risk Valuation'!u</vt:lpstr>
      <vt:lpstr>'CG of Radiation Loss'!VALUE</vt:lpstr>
      <vt:lpstr>'Risk Valuation'!X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Syera BONNEAUX</dc:creator>
  <cp:lastModifiedBy>David Espinoza</cp:lastModifiedBy>
  <cp:lastPrinted>2012-03-07T12:18:38Z</cp:lastPrinted>
  <dcterms:created xsi:type="dcterms:W3CDTF">2012-01-26T16:14:50Z</dcterms:created>
  <dcterms:modified xsi:type="dcterms:W3CDTF">2024-11-28T13:53:15Z</dcterms:modified>
</cp:coreProperties>
</file>