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defaultThemeVersion="124226"/>
  <mc:AlternateContent xmlns:mc="http://schemas.openxmlformats.org/markup-compatibility/2006">
    <mc:Choice Requires="x15">
      <x15ac:absPath xmlns:x15ac="http://schemas.microsoft.com/office/spreadsheetml/2010/11/ac" url="https://geosyntec-my.sharepoint.com/personal/despinoza_geosyntec_com/Documents/Documents/Papers/DNPV/J-DNPVPy/DNPV-Code/"/>
    </mc:Choice>
  </mc:AlternateContent>
  <xr:revisionPtr revIDLastSave="92" documentId="11_75F85E6D98FA04B0C14EA3108744C75CFDF49E8A" xr6:coauthVersionLast="47" xr6:coauthVersionMax="47" xr10:uidLastSave="{3F96DF4F-98F1-414F-9C10-959422EB05F6}"/>
  <bookViews>
    <workbookView xWindow="300" yWindow="3100" windowWidth="28440" windowHeight="12580" activeTab="1" xr2:uid="{00000000-000D-0000-FFFF-FFFF00000000}"/>
  </bookViews>
  <sheets>
    <sheet name="DNPV Graph" sheetId="1" r:id="rId1"/>
    <sheet name="Financial model" sheetId="2" r:id="rId2"/>
    <sheet name="Debt Repayment profiles" sheetId="3" r:id="rId3"/>
    <sheet name="DNPV Input" sheetId="4" r:id="rId4"/>
    <sheet name="Risk Analysis" sheetId="5" r:id="rId5"/>
    <sheet name="Risk Valuation" sheetId="6" r:id="rId6"/>
    <sheet name="Bond Yield" sheetId="7" r:id="rId7"/>
    <sheet name="CG of Radiation Loss" sheetId="8" r:id="rId8"/>
  </sheets>
  <externalReferences>
    <externalReference r:id="rId9"/>
  </externalReferences>
  <definedNames>
    <definedName name="a" localSheetId="7">'CG of Radiation Loss'!$C$15</definedName>
    <definedName name="a" localSheetId="5">'Risk Valuation'!#REF!</definedName>
    <definedName name="d" localSheetId="7">'CG of Radiation Loss'!$C$13</definedName>
    <definedName name="d" localSheetId="5">'Risk Valuation'!$C$15</definedName>
    <definedName name="d1." localSheetId="7">'CG of Radiation Loss'!$E$6</definedName>
    <definedName name="d1." localSheetId="5">'Risk Valuation'!$F$7</definedName>
    <definedName name="d2.">[1]Put!$F$9</definedName>
    <definedName name="DELt" localSheetId="7">'CG of Radiation Loss'!$C$5</definedName>
    <definedName name="DELt" localSheetId="5">'Risk Valuation'!$C$6</definedName>
    <definedName name="duration" localSheetId="7">'CG of Radiation Loss'!$C$111</definedName>
    <definedName name="duration">'Risk Valuation'!$C$22</definedName>
    <definedName name="library_file_name">"Solar Project Renewable Energy Journal.xls"</definedName>
    <definedName name="local_library">TRUE</definedName>
    <definedName name="numperiods" localSheetId="7">'CG of Radiation Loss'!$C$3</definedName>
    <definedName name="numperiods" localSheetId="5">'Risk Valuation'!$C$4</definedName>
    <definedName name="p" localSheetId="7">'CG of Radiation Loss'!$C$14</definedName>
    <definedName name="p" localSheetId="5">'Risk Valuation'!#REF!</definedName>
    <definedName name="PM_Index">#REF!</definedName>
    <definedName name="PM_Trials">#REF!</definedName>
    <definedName name="_xlnm.Print_Area" localSheetId="2">'Debt Repayment profiles'!$A$1:$V$20</definedName>
    <definedName name="_xlnm.Print_Area" localSheetId="1">'Financial model'!$A$1:$X$46</definedName>
    <definedName name="rf" localSheetId="7">'CG of Radiation Loss'!$C$9</definedName>
    <definedName name="rf" localSheetId="5">'Risk Valuation'!$C$10</definedName>
    <definedName name="S" localSheetId="7">'CG of Radiation Loss'!$C$6</definedName>
    <definedName name="S" localSheetId="5">'Risk Valuation'!$C$7</definedName>
    <definedName name="T" localSheetId="7">'CG of Radiation Loss'!$C$4</definedName>
    <definedName name="T" localSheetId="5">'Risk Valuation'!$C$5</definedName>
    <definedName name="u" localSheetId="7">'CG of Radiation Loss'!$C$12</definedName>
    <definedName name="u" localSheetId="5">'Risk Valuation'!$C$14</definedName>
    <definedName name="VALUE" localSheetId="7">'CG of Radiation Loss'!$B$36</definedName>
    <definedName name="VALUE" localSheetId="5">'Risk Valuation'!#REF!</definedName>
    <definedName name="VOL" localSheetId="7">'CG of Radiation Loss'!#REF!</definedName>
    <definedName name="VOL" localSheetId="5">'Risk Valuation'!#REF!</definedName>
    <definedName name="X" localSheetId="7">'CG of Radiation Loss'!#REF!</definedName>
    <definedName name="X" localSheetId="5">'Risk Valuation'!$C$8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2" l="1"/>
  <c r="B6" i="4"/>
  <c r="B7" i="4"/>
  <c r="B5" i="4"/>
  <c r="E15" i="1"/>
  <c r="E14" i="1"/>
  <c r="E13" i="1"/>
  <c r="E36" i="2"/>
  <c r="X39" i="2" l="1"/>
  <c r="W39" i="2"/>
  <c r="V39" i="2"/>
  <c r="U39" i="2"/>
  <c r="U42" i="2" s="1"/>
  <c r="U43" i="2" s="1"/>
  <c r="T39" i="2"/>
  <c r="T42" i="2" s="1"/>
  <c r="T43" i="2" s="1"/>
  <c r="S39" i="2"/>
  <c r="S42" i="2" s="1"/>
  <c r="S43" i="2" s="1"/>
  <c r="R39" i="2"/>
  <c r="R42" i="2" s="1"/>
  <c r="R43" i="2" s="1"/>
  <c r="Q39" i="2"/>
  <c r="P39" i="2"/>
  <c r="O39" i="2"/>
  <c r="N39" i="2"/>
  <c r="M39" i="2"/>
  <c r="M42" i="2" s="1"/>
  <c r="M43" i="2" s="1"/>
  <c r="L39" i="2"/>
  <c r="L42" i="2" s="1"/>
  <c r="L43" i="2" s="1"/>
  <c r="K39" i="2"/>
  <c r="K42" i="2" s="1"/>
  <c r="K43" i="2" s="1"/>
  <c r="J39" i="2"/>
  <c r="J42" i="2" s="1"/>
  <c r="J43" i="2" s="1"/>
  <c r="I39" i="2"/>
  <c r="H39" i="2"/>
  <c r="G39" i="2"/>
  <c r="F39" i="2"/>
  <c r="E39" i="2"/>
  <c r="W43" i="2"/>
  <c r="V43" i="2"/>
  <c r="O43" i="2"/>
  <c r="N43" i="2"/>
  <c r="G43" i="2"/>
  <c r="F43" i="2"/>
  <c r="X42" i="2"/>
  <c r="X43" i="2" s="1"/>
  <c r="W42" i="2"/>
  <c r="V42" i="2"/>
  <c r="Q42" i="2"/>
  <c r="Q43" i="2" s="1"/>
  <c r="P42" i="2"/>
  <c r="P43" i="2" s="1"/>
  <c r="O42" i="2"/>
  <c r="N42" i="2"/>
  <c r="I42" i="2"/>
  <c r="I43" i="2" s="1"/>
  <c r="H42" i="2"/>
  <c r="H43" i="2" s="1"/>
  <c r="G42" i="2"/>
  <c r="F42" i="2"/>
  <c r="E42" i="2"/>
  <c r="E43" i="2" s="1"/>
  <c r="X41" i="2"/>
  <c r="W41" i="2"/>
  <c r="V41" i="2"/>
  <c r="U41" i="2"/>
  <c r="R41" i="2"/>
  <c r="Q41" i="2"/>
  <c r="P41" i="2"/>
  <c r="O41" i="2"/>
  <c r="N41" i="2"/>
  <c r="M41" i="2"/>
  <c r="J41" i="2"/>
  <c r="I41" i="2"/>
  <c r="H41" i="2"/>
  <c r="G41" i="2"/>
  <c r="F41" i="2"/>
  <c r="E41" i="2"/>
  <c r="H9" i="8"/>
  <c r="I8" i="8"/>
  <c r="H8" i="8"/>
  <c r="H7" i="8"/>
  <c r="J6" i="8"/>
  <c r="I6" i="8"/>
  <c r="K6" i="8" s="1"/>
  <c r="H6" i="8"/>
  <c r="I5" i="8"/>
  <c r="N5" i="8" s="1"/>
  <c r="D69" i="6"/>
  <c r="D70" i="6" s="1"/>
  <c r="D67" i="6"/>
  <c r="E66" i="6"/>
  <c r="P59" i="6"/>
  <c r="O59" i="6"/>
  <c r="M59" i="6"/>
  <c r="L59" i="6"/>
  <c r="K59" i="6"/>
  <c r="P58" i="6"/>
  <c r="M58" i="6"/>
  <c r="M60" i="6" s="1"/>
  <c r="L58" i="6"/>
  <c r="E57" i="6"/>
  <c r="L48" i="6"/>
  <c r="M48" i="6" s="1"/>
  <c r="K48" i="6"/>
  <c r="L47" i="6"/>
  <c r="M47" i="6" s="1"/>
  <c r="K47" i="6"/>
  <c r="O46" i="6"/>
  <c r="L46" i="6"/>
  <c r="K46" i="6"/>
  <c r="E40" i="6"/>
  <c r="C27" i="6"/>
  <c r="C25" i="6"/>
  <c r="C35" i="6" s="1"/>
  <c r="D12" i="6"/>
  <c r="D11" i="6"/>
  <c r="D9" i="6"/>
  <c r="C29" i="6" s="1"/>
  <c r="C32" i="6" s="1"/>
  <c r="D8" i="6"/>
  <c r="D7" i="6"/>
  <c r="D5" i="6"/>
  <c r="A13" i="4"/>
  <c r="A12" i="4"/>
  <c r="A11" i="4"/>
  <c r="U10" i="4"/>
  <c r="T10" i="4"/>
  <c r="S10" i="4"/>
  <c r="R10" i="4"/>
  <c r="Q10" i="4"/>
  <c r="P10" i="4"/>
  <c r="O10" i="4"/>
  <c r="N10" i="4"/>
  <c r="M10" i="4"/>
  <c r="L10" i="4"/>
  <c r="K10" i="4"/>
  <c r="J10" i="4"/>
  <c r="I10" i="4"/>
  <c r="H10" i="4"/>
  <c r="G10" i="4"/>
  <c r="F10" i="4"/>
  <c r="E10" i="4"/>
  <c r="D10" i="4"/>
  <c r="C10" i="4"/>
  <c r="B10" i="4"/>
  <c r="A10" i="4"/>
  <c r="B6" i="3"/>
  <c r="B5" i="3"/>
  <c r="B4" i="3"/>
  <c r="Q16" i="3" s="1"/>
  <c r="C35" i="2"/>
  <c r="X32" i="2"/>
  <c r="W32" i="2"/>
  <c r="V32" i="2"/>
  <c r="U32" i="2"/>
  <c r="T32" i="2"/>
  <c r="S32" i="2"/>
  <c r="R32" i="2"/>
  <c r="Q32" i="2"/>
  <c r="P32" i="2"/>
  <c r="O32" i="2"/>
  <c r="N32" i="2"/>
  <c r="M32" i="2"/>
  <c r="L32" i="2"/>
  <c r="K32" i="2"/>
  <c r="J32" i="2"/>
  <c r="I32" i="2"/>
  <c r="H32" i="2"/>
  <c r="G32" i="2"/>
  <c r="F32" i="2"/>
  <c r="E32" i="2"/>
  <c r="C32" i="2"/>
  <c r="E28" i="2"/>
  <c r="F28" i="2" s="1"/>
  <c r="G28" i="2" s="1"/>
  <c r="H28" i="2" s="1"/>
  <c r="I28" i="2" s="1"/>
  <c r="J28" i="2" s="1"/>
  <c r="K28" i="2" s="1"/>
  <c r="L28" i="2" s="1"/>
  <c r="M28" i="2" s="1"/>
  <c r="N28" i="2" s="1"/>
  <c r="O28" i="2" s="1"/>
  <c r="P28" i="2" s="1"/>
  <c r="Q28" i="2" s="1"/>
  <c r="R28" i="2" s="1"/>
  <c r="S28" i="2" s="1"/>
  <c r="T28" i="2" s="1"/>
  <c r="U28" i="2" s="1"/>
  <c r="V28" i="2" s="1"/>
  <c r="W28" i="2" s="1"/>
  <c r="X28" i="2" s="1"/>
  <c r="F27" i="2"/>
  <c r="G27" i="2" s="1"/>
  <c r="H27" i="2" s="1"/>
  <c r="I27" i="2" s="1"/>
  <c r="J27" i="2" s="1"/>
  <c r="K27" i="2" s="1"/>
  <c r="L27" i="2" s="1"/>
  <c r="M27" i="2" s="1"/>
  <c r="N27" i="2" s="1"/>
  <c r="O27" i="2" s="1"/>
  <c r="P27" i="2" s="1"/>
  <c r="Q27" i="2" s="1"/>
  <c r="R27" i="2" s="1"/>
  <c r="S27" i="2" s="1"/>
  <c r="T27" i="2" s="1"/>
  <c r="U27" i="2" s="1"/>
  <c r="V27" i="2" s="1"/>
  <c r="W27" i="2" s="1"/>
  <c r="X27" i="2" s="1"/>
  <c r="E26" i="2"/>
  <c r="F26" i="2" s="1"/>
  <c r="G26" i="2" s="1"/>
  <c r="H26" i="2" s="1"/>
  <c r="I26" i="2" s="1"/>
  <c r="J26" i="2" s="1"/>
  <c r="K26" i="2" s="1"/>
  <c r="L26" i="2" s="1"/>
  <c r="M26" i="2" s="1"/>
  <c r="N26" i="2" s="1"/>
  <c r="O26" i="2" s="1"/>
  <c r="P26" i="2" s="1"/>
  <c r="Q26" i="2" s="1"/>
  <c r="R26" i="2" s="1"/>
  <c r="S26" i="2" s="1"/>
  <c r="T26" i="2" s="1"/>
  <c r="U26" i="2" s="1"/>
  <c r="V26" i="2" s="1"/>
  <c r="W26" i="2" s="1"/>
  <c r="X26" i="2" s="1"/>
  <c r="E25" i="2"/>
  <c r="F25" i="2" s="1"/>
  <c r="G25" i="2" s="1"/>
  <c r="H25" i="2" s="1"/>
  <c r="I25" i="2" s="1"/>
  <c r="J25" i="2" s="1"/>
  <c r="K25" i="2" s="1"/>
  <c r="L25" i="2" s="1"/>
  <c r="M25" i="2" s="1"/>
  <c r="N25" i="2" s="1"/>
  <c r="O25" i="2" s="1"/>
  <c r="P25" i="2" s="1"/>
  <c r="Q25" i="2" s="1"/>
  <c r="R25" i="2" s="1"/>
  <c r="S25" i="2" s="1"/>
  <c r="T25" i="2" s="1"/>
  <c r="U25" i="2" s="1"/>
  <c r="V25" i="2" s="1"/>
  <c r="W25" i="2" s="1"/>
  <c r="X25" i="2" s="1"/>
  <c r="E24" i="2"/>
  <c r="E22" i="2"/>
  <c r="F21" i="2"/>
  <c r="G21" i="2" s="1"/>
  <c r="H21" i="2" s="1"/>
  <c r="I21" i="2" s="1"/>
  <c r="J21" i="2" s="1"/>
  <c r="K21" i="2" s="1"/>
  <c r="L21" i="2" s="1"/>
  <c r="M21" i="2" s="1"/>
  <c r="N21" i="2" s="1"/>
  <c r="O21" i="2" s="1"/>
  <c r="P21" i="2" s="1"/>
  <c r="Q21" i="2" s="1"/>
  <c r="R21" i="2" s="1"/>
  <c r="S21" i="2" s="1"/>
  <c r="T21" i="2" s="1"/>
  <c r="U21" i="2" s="1"/>
  <c r="V21" i="2" s="1"/>
  <c r="W21" i="2" s="1"/>
  <c r="X21" i="2" s="1"/>
  <c r="F19" i="2"/>
  <c r="G19" i="2" s="1"/>
  <c r="G22" i="2" s="1"/>
  <c r="E7" i="2"/>
  <c r="E3" i="3" s="1"/>
  <c r="E6" i="2"/>
  <c r="F15" i="1"/>
  <c r="F14" i="1"/>
  <c r="F13" i="1"/>
  <c r="B17" i="3" l="1"/>
  <c r="C14" i="3" s="1"/>
  <c r="C12" i="3" s="1"/>
  <c r="E33" i="2" s="1"/>
  <c r="E29" i="2" s="1"/>
  <c r="E4" i="3"/>
  <c r="F22" i="2"/>
  <c r="F14" i="2" s="1"/>
  <c r="O16" i="3"/>
  <c r="K41" i="2"/>
  <c r="S41" i="2"/>
  <c r="L41" i="2"/>
  <c r="T41" i="2"/>
  <c r="D11" i="4"/>
  <c r="H19" i="2"/>
  <c r="E14" i="2"/>
  <c r="B11" i="4"/>
  <c r="B12" i="4"/>
  <c r="E40" i="2"/>
  <c r="F24" i="2"/>
  <c r="E59" i="6"/>
  <c r="K10" i="5" s="1"/>
  <c r="N58" i="6"/>
  <c r="N59" i="6"/>
  <c r="C33" i="6"/>
  <c r="C11" i="4"/>
  <c r="M46" i="6"/>
  <c r="M49" i="6" s="1"/>
  <c r="N48" i="6" s="1"/>
  <c r="O48" i="6"/>
  <c r="O47" i="6"/>
  <c r="S16" i="3"/>
  <c r="K16" i="3"/>
  <c r="C16" i="3"/>
  <c r="R16" i="3"/>
  <c r="J16" i="3"/>
  <c r="N16" i="3"/>
  <c r="D16" i="3"/>
  <c r="M16" i="3"/>
  <c r="T16" i="3"/>
  <c r="H16" i="3"/>
  <c r="P16" i="3"/>
  <c r="F16" i="3"/>
  <c r="U16" i="3"/>
  <c r="D6" i="6"/>
  <c r="D13" i="6"/>
  <c r="J8" i="8"/>
  <c r="E16" i="3"/>
  <c r="G16" i="3"/>
  <c r="P46" i="6"/>
  <c r="E6" i="3"/>
  <c r="I16" i="3"/>
  <c r="F23" i="6"/>
  <c r="H10" i="8"/>
  <c r="I9" i="8"/>
  <c r="J9" i="8" s="1"/>
  <c r="V16" i="3"/>
  <c r="C34" i="6"/>
  <c r="Q59" i="6"/>
  <c r="L16" i="3"/>
  <c r="P60" i="6"/>
  <c r="Q58" i="6" s="1"/>
  <c r="K9" i="8"/>
  <c r="E67" i="6"/>
  <c r="I7" i="8"/>
  <c r="K7" i="8"/>
  <c r="F29" i="2" l="1"/>
  <c r="E31" i="2"/>
  <c r="E35" i="2" s="1"/>
  <c r="D14" i="6"/>
  <c r="K6" i="5" s="1"/>
  <c r="E38" i="2"/>
  <c r="F38" i="2"/>
  <c r="G38" i="2"/>
  <c r="P48" i="6"/>
  <c r="N60" i="6"/>
  <c r="M61" i="6" s="1"/>
  <c r="M62" i="6" s="1"/>
  <c r="K8" i="8"/>
  <c r="T11" i="3"/>
  <c r="L11" i="3"/>
  <c r="D11" i="3"/>
  <c r="S11" i="3"/>
  <c r="K11" i="3"/>
  <c r="C11" i="3"/>
  <c r="C15" i="3" s="1"/>
  <c r="P11" i="3"/>
  <c r="H11" i="3"/>
  <c r="V11" i="3"/>
  <c r="N11" i="3"/>
  <c r="R11" i="3"/>
  <c r="E11" i="3"/>
  <c r="J11" i="3"/>
  <c r="Q11" i="3"/>
  <c r="O11" i="3"/>
  <c r="M11" i="3"/>
  <c r="I11" i="3"/>
  <c r="G11" i="3"/>
  <c r="U11" i="3"/>
  <c r="F11" i="3"/>
  <c r="G24" i="2"/>
  <c r="C12" i="4"/>
  <c r="F40" i="2"/>
  <c r="Q60" i="6"/>
  <c r="P61" i="6" s="1"/>
  <c r="P62" i="6" s="1"/>
  <c r="H22" i="2"/>
  <c r="I19" i="2"/>
  <c r="N47" i="6"/>
  <c r="N46" i="6"/>
  <c r="N49" i="6" s="1"/>
  <c r="M50" i="6" s="1"/>
  <c r="M51" i="6" s="1"/>
  <c r="P47" i="6"/>
  <c r="F22" i="6"/>
  <c r="F26" i="6" s="1"/>
  <c r="F24" i="6"/>
  <c r="F27" i="6" s="1"/>
  <c r="J7" i="8"/>
  <c r="I10" i="8"/>
  <c r="J10" i="8" s="1"/>
  <c r="H11" i="8"/>
  <c r="K10" i="8"/>
  <c r="P49" i="6" l="1"/>
  <c r="E46" i="6"/>
  <c r="E48" i="6" s="1"/>
  <c r="Q46" i="6"/>
  <c r="Q48" i="6"/>
  <c r="Q47" i="6"/>
  <c r="J19" i="2"/>
  <c r="I22" i="2"/>
  <c r="E11" i="4"/>
  <c r="H24" i="2"/>
  <c r="D12" i="4"/>
  <c r="G40" i="2"/>
  <c r="E34" i="2"/>
  <c r="C19" i="3"/>
  <c r="C17" i="3"/>
  <c r="D14" i="3" s="1"/>
  <c r="H38" i="2"/>
  <c r="I11" i="8"/>
  <c r="H12" i="8"/>
  <c r="J11" i="8"/>
  <c r="G29" i="2"/>
  <c r="H29" i="2" s="1"/>
  <c r="I29" i="2" s="1"/>
  <c r="J29" i="2" s="1"/>
  <c r="K29" i="2" s="1"/>
  <c r="L29" i="2" s="1"/>
  <c r="M29" i="2" s="1"/>
  <c r="N29" i="2" s="1"/>
  <c r="O29" i="2" s="1"/>
  <c r="P29" i="2" s="1"/>
  <c r="Q29" i="2" s="1"/>
  <c r="R29" i="2" s="1"/>
  <c r="S29" i="2" s="1"/>
  <c r="T29" i="2" s="1"/>
  <c r="U29" i="2" s="1"/>
  <c r="V29" i="2" s="1"/>
  <c r="W29" i="2" s="1"/>
  <c r="X29" i="2" s="1"/>
  <c r="F31" i="2"/>
  <c r="F11" i="4" l="1"/>
  <c r="I38" i="2"/>
  <c r="K19" i="2"/>
  <c r="J22" i="2"/>
  <c r="D12" i="3"/>
  <c r="B13" i="4"/>
  <c r="Q49" i="6"/>
  <c r="P50" i="6" s="1"/>
  <c r="E12" i="4"/>
  <c r="H40" i="2"/>
  <c r="I24" i="2"/>
  <c r="H31" i="2"/>
  <c r="H13" i="8"/>
  <c r="I12" i="8"/>
  <c r="K11" i="8"/>
  <c r="G31" i="2"/>
  <c r="E51" i="6"/>
  <c r="K7" i="5" s="1"/>
  <c r="G11" i="4" l="1"/>
  <c r="J38" i="2"/>
  <c r="F12" i="4"/>
  <c r="I40" i="2"/>
  <c r="J24" i="2"/>
  <c r="I31" i="2"/>
  <c r="P51" i="6"/>
  <c r="E47" i="6"/>
  <c r="E49" i="6" s="1"/>
  <c r="E50" i="6" s="1"/>
  <c r="K12" i="8"/>
  <c r="K22" i="2"/>
  <c r="L19" i="2"/>
  <c r="J12" i="8"/>
  <c r="I13" i="8"/>
  <c r="J13" i="8" s="1"/>
  <c r="K13" i="8"/>
  <c r="H14" i="8"/>
  <c r="F33" i="2"/>
  <c r="F35" i="2" s="1"/>
  <c r="F36" i="2" s="1"/>
  <c r="D15" i="3"/>
  <c r="D19" i="3" l="1"/>
  <c r="F34" i="2"/>
  <c r="D17" i="3"/>
  <c r="E14" i="3" s="1"/>
  <c r="L22" i="2"/>
  <c r="M19" i="2"/>
  <c r="C13" i="4"/>
  <c r="H11" i="4"/>
  <c r="K31" i="2"/>
  <c r="K38" i="2"/>
  <c r="K24" i="2"/>
  <c r="J40" i="2"/>
  <c r="G12" i="4"/>
  <c r="H15" i="8"/>
  <c r="J14" i="8"/>
  <c r="K14" i="8"/>
  <c r="I14" i="8"/>
  <c r="J31" i="2"/>
  <c r="H16" i="8" l="1"/>
  <c r="I15" i="8"/>
  <c r="J15" i="8" s="1"/>
  <c r="N19" i="2"/>
  <c r="M22" i="2"/>
  <c r="I11" i="4"/>
  <c r="L38" i="2"/>
  <c r="E12" i="3"/>
  <c r="H12" i="4"/>
  <c r="L24" i="2"/>
  <c r="K40" i="2"/>
  <c r="O19" i="2" l="1"/>
  <c r="N22" i="2"/>
  <c r="K15" i="8"/>
  <c r="I12" i="4"/>
  <c r="L40" i="2"/>
  <c r="M24" i="2"/>
  <c r="J11" i="4"/>
  <c r="M38" i="2"/>
  <c r="G33" i="2"/>
  <c r="G35" i="2" s="1"/>
  <c r="G36" i="2" s="1"/>
  <c r="E15" i="3"/>
  <c r="H17" i="8"/>
  <c r="I16" i="8"/>
  <c r="K16" i="8" s="1"/>
  <c r="L31" i="2"/>
  <c r="J12" i="4" l="1"/>
  <c r="M40" i="2"/>
  <c r="N24" i="2"/>
  <c r="J16" i="8"/>
  <c r="E19" i="3"/>
  <c r="G34" i="2"/>
  <c r="E17" i="3"/>
  <c r="F14" i="3" s="1"/>
  <c r="M31" i="2"/>
  <c r="P19" i="2"/>
  <c r="O22" i="2"/>
  <c r="H18" i="8"/>
  <c r="I17" i="8"/>
  <c r="J17" i="8" s="1"/>
  <c r="N31" i="2"/>
  <c r="K11" i="4"/>
  <c r="N38" i="2"/>
  <c r="D13" i="4"/>
  <c r="K17" i="8" l="1"/>
  <c r="I18" i="8"/>
  <c r="K18" i="8"/>
  <c r="J18" i="8"/>
  <c r="H19" i="8"/>
  <c r="O24" i="2"/>
  <c r="N40" i="2"/>
  <c r="K12" i="4"/>
  <c r="L11" i="4"/>
  <c r="O31" i="2"/>
  <c r="O38" i="2"/>
  <c r="F12" i="3"/>
  <c r="Q19" i="2"/>
  <c r="P22" i="2"/>
  <c r="M11" i="4" l="1"/>
  <c r="P38" i="2"/>
  <c r="R19" i="2"/>
  <c r="Q22" i="2"/>
  <c r="P24" i="2"/>
  <c r="L12" i="4"/>
  <c r="O40" i="2"/>
  <c r="H33" i="2"/>
  <c r="H35" i="2" s="1"/>
  <c r="H36" i="2" s="1"/>
  <c r="F15" i="3"/>
  <c r="I19" i="8"/>
  <c r="K19" i="8" s="1"/>
  <c r="H20" i="8"/>
  <c r="J19" i="8"/>
  <c r="F19" i="3" l="1"/>
  <c r="H34" i="2"/>
  <c r="F17" i="3"/>
  <c r="G14" i="3" s="1"/>
  <c r="E13" i="4"/>
  <c r="Q24" i="2"/>
  <c r="M12" i="4"/>
  <c r="P40" i="2"/>
  <c r="P31" i="2"/>
  <c r="I20" i="8"/>
  <c r="K20" i="8"/>
  <c r="J20" i="8"/>
  <c r="H21" i="8"/>
  <c r="N11" i="4"/>
  <c r="Q38" i="2"/>
  <c r="S19" i="2"/>
  <c r="R22" i="2"/>
  <c r="O11" i="4" l="1"/>
  <c r="R38" i="2"/>
  <c r="S22" i="2"/>
  <c r="T19" i="2"/>
  <c r="I21" i="8"/>
  <c r="J21" i="8" s="1"/>
  <c r="H22" i="8"/>
  <c r="K21" i="8"/>
  <c r="Q40" i="2"/>
  <c r="N12" i="4"/>
  <c r="R24" i="2"/>
  <c r="G12" i="3"/>
  <c r="Q31" i="2"/>
  <c r="P11" i="4" l="1"/>
  <c r="S38" i="2"/>
  <c r="I33" i="2"/>
  <c r="I35" i="2" s="1"/>
  <c r="I36" i="2" s="1"/>
  <c r="G15" i="3"/>
  <c r="H23" i="8"/>
  <c r="I22" i="8"/>
  <c r="K22" i="8" s="1"/>
  <c r="J22" i="8"/>
  <c r="O12" i="4"/>
  <c r="S24" i="2"/>
  <c r="R40" i="2"/>
  <c r="R31" i="2"/>
  <c r="T22" i="2"/>
  <c r="U19" i="2"/>
  <c r="F13" i="4" l="1"/>
  <c r="G19" i="3"/>
  <c r="I34" i="2"/>
  <c r="G17" i="3"/>
  <c r="H14" i="3" s="1"/>
  <c r="U22" i="2"/>
  <c r="V19" i="2"/>
  <c r="P12" i="4"/>
  <c r="T24" i="2"/>
  <c r="S40" i="2"/>
  <c r="Q11" i="4"/>
  <c r="T31" i="2"/>
  <c r="T38" i="2"/>
  <c r="I23" i="8"/>
  <c r="K23" i="8" s="1"/>
  <c r="H24" i="8"/>
  <c r="S31" i="2"/>
  <c r="J23" i="8" l="1"/>
  <c r="Q12" i="4"/>
  <c r="T40" i="2"/>
  <c r="U24" i="2"/>
  <c r="H25" i="8"/>
  <c r="I24" i="8"/>
  <c r="K24" i="8" s="1"/>
  <c r="V22" i="2"/>
  <c r="W19" i="2"/>
  <c r="H12" i="3"/>
  <c r="R11" i="4"/>
  <c r="U38" i="2"/>
  <c r="J33" i="2" l="1"/>
  <c r="J35" i="2" s="1"/>
  <c r="J36" i="2" s="1"/>
  <c r="H15" i="3"/>
  <c r="X19" i="2"/>
  <c r="X22" i="2" s="1"/>
  <c r="W22" i="2"/>
  <c r="R12" i="4"/>
  <c r="U40" i="2"/>
  <c r="V24" i="2"/>
  <c r="S11" i="4"/>
  <c r="V38" i="2"/>
  <c r="H26" i="8"/>
  <c r="I25" i="8"/>
  <c r="K25" i="8" s="1"/>
  <c r="J24" i="8"/>
  <c r="U31" i="2"/>
  <c r="I26" i="8" l="1"/>
  <c r="K26" i="8" s="1"/>
  <c r="H27" i="8"/>
  <c r="J26" i="8"/>
  <c r="W24" i="2"/>
  <c r="W31" i="2" s="1"/>
  <c r="V40" i="2"/>
  <c r="S12" i="4"/>
  <c r="T11" i="4"/>
  <c r="W38" i="2"/>
  <c r="X14" i="2"/>
  <c r="U11" i="4"/>
  <c r="X38" i="2"/>
  <c r="J25" i="8"/>
  <c r="H19" i="3"/>
  <c r="J34" i="2"/>
  <c r="H17" i="3"/>
  <c r="I14" i="3" s="1"/>
  <c r="V31" i="2"/>
  <c r="G13" i="4"/>
  <c r="I12" i="3" l="1"/>
  <c r="H28" i="8"/>
  <c r="I27" i="8"/>
  <c r="K27" i="8" s="1"/>
  <c r="X24" i="2"/>
  <c r="T12" i="4"/>
  <c r="W40" i="2"/>
  <c r="J27" i="8" l="1"/>
  <c r="I28" i="8"/>
  <c r="J28" i="8"/>
  <c r="K28" i="8"/>
  <c r="H29" i="8"/>
  <c r="K33" i="2"/>
  <c r="K35" i="2" s="1"/>
  <c r="I15" i="3"/>
  <c r="X40" i="2"/>
  <c r="U12" i="4"/>
  <c r="X31" i="2"/>
  <c r="I19" i="3" l="1"/>
  <c r="K34" i="2"/>
  <c r="I17" i="3"/>
  <c r="J14" i="3" s="1"/>
  <c r="K36" i="2"/>
  <c r="J29" i="8"/>
  <c r="I29" i="8"/>
  <c r="K29" i="8"/>
  <c r="H30" i="8"/>
  <c r="H13" i="4" l="1"/>
  <c r="J12" i="3"/>
  <c r="H31" i="8"/>
  <c r="I30" i="8"/>
  <c r="K30" i="8" s="1"/>
  <c r="J30" i="8" l="1"/>
  <c r="H32" i="8"/>
  <c r="I31" i="8"/>
  <c r="J31" i="8" s="1"/>
  <c r="L33" i="2"/>
  <c r="L35" i="2" s="1"/>
  <c r="J15" i="3"/>
  <c r="J19" i="3" l="1"/>
  <c r="L34" i="2"/>
  <c r="J17" i="3"/>
  <c r="K14" i="3" s="1"/>
  <c r="L36" i="2"/>
  <c r="K31" i="8"/>
  <c r="K32" i="8"/>
  <c r="J32" i="8"/>
  <c r="H33" i="8"/>
  <c r="I32" i="8"/>
  <c r="H34" i="8" l="1"/>
  <c r="I33" i="8"/>
  <c r="K33" i="8" s="1"/>
  <c r="I13" i="4"/>
  <c r="K12" i="3"/>
  <c r="M33" i="2" l="1"/>
  <c r="M35" i="2" s="1"/>
  <c r="K15" i="3"/>
  <c r="J33" i="8"/>
  <c r="I34" i="8"/>
  <c r="K34" i="8"/>
  <c r="H35" i="8"/>
  <c r="J34" i="8"/>
  <c r="H36" i="8" l="1"/>
  <c r="I35" i="8"/>
  <c r="K35" i="8" s="1"/>
  <c r="K19" i="3"/>
  <c r="M34" i="2"/>
  <c r="K17" i="3"/>
  <c r="L14" i="3" s="1"/>
  <c r="M36" i="2"/>
  <c r="J13" i="4" l="1"/>
  <c r="L12" i="3"/>
  <c r="J35" i="8"/>
  <c r="I36" i="8"/>
  <c r="J36" i="8" s="1"/>
  <c r="H37" i="8"/>
  <c r="K36" i="8"/>
  <c r="I37" i="8" l="1"/>
  <c r="J37" i="8" s="1"/>
  <c r="E10" i="8" s="1"/>
  <c r="D10" i="6" s="1"/>
  <c r="D71" i="6" s="1"/>
  <c r="D72" i="6" s="1"/>
  <c r="K37" i="8"/>
  <c r="H38" i="8"/>
  <c r="N33" i="2"/>
  <c r="N35" i="2" s="1"/>
  <c r="L15" i="3"/>
  <c r="D73" i="6" l="1"/>
  <c r="D68" i="6"/>
  <c r="E68" i="6" s="1"/>
  <c r="L19" i="3"/>
  <c r="N34" i="2"/>
  <c r="L17" i="3"/>
  <c r="M14" i="3" s="1"/>
  <c r="H39" i="8"/>
  <c r="I38" i="8"/>
  <c r="K38" i="8" s="1"/>
  <c r="N36" i="2"/>
  <c r="I39" i="8" l="1"/>
  <c r="J39" i="8" s="1"/>
  <c r="H40" i="8"/>
  <c r="K39" i="8"/>
  <c r="J38" i="8"/>
  <c r="M12" i="3"/>
  <c r="K13" i="4"/>
  <c r="D74" i="6"/>
  <c r="K12" i="5"/>
  <c r="K21" i="5" s="1"/>
  <c r="O33" i="2" l="1"/>
  <c r="O35" i="2" s="1"/>
  <c r="M15" i="3"/>
  <c r="H41" i="8"/>
  <c r="I40" i="8"/>
  <c r="K40" i="8" s="1"/>
  <c r="H42" i="8" l="1"/>
  <c r="I41" i="8"/>
  <c r="K41" i="8" s="1"/>
  <c r="J40" i="8"/>
  <c r="M19" i="3"/>
  <c r="O34" i="2"/>
  <c r="M17" i="3"/>
  <c r="N14" i="3" s="1"/>
  <c r="O36" i="2"/>
  <c r="J41" i="8" l="1"/>
  <c r="N12" i="3"/>
  <c r="L13" i="4"/>
  <c r="I42" i="8"/>
  <c r="K42" i="8" s="1"/>
  <c r="H43" i="8"/>
  <c r="J42" i="8" l="1"/>
  <c r="P33" i="2"/>
  <c r="P35" i="2" s="1"/>
  <c r="N15" i="3"/>
  <c r="I43" i="8"/>
  <c r="J43" i="8" s="1"/>
  <c r="H44" i="8"/>
  <c r="K43" i="8" l="1"/>
  <c r="N19" i="3"/>
  <c r="P34" i="2"/>
  <c r="N17" i="3"/>
  <c r="O14" i="3" s="1"/>
  <c r="I44" i="8"/>
  <c r="K44" i="8" s="1"/>
  <c r="J44" i="8"/>
  <c r="H45" i="8"/>
  <c r="P36" i="2"/>
  <c r="I45" i="8" l="1"/>
  <c r="J45" i="8" s="1"/>
  <c r="H46" i="8"/>
  <c r="K45" i="8"/>
  <c r="O12" i="3"/>
  <c r="M13" i="4"/>
  <c r="Q33" i="2" l="1"/>
  <c r="Q35" i="2" s="1"/>
  <c r="O15" i="3"/>
  <c r="H47" i="8"/>
  <c r="I46" i="8"/>
  <c r="K46" i="8"/>
  <c r="J46" i="8"/>
  <c r="H48" i="8" l="1"/>
  <c r="I47" i="8"/>
  <c r="J47" i="8" s="1"/>
  <c r="O19" i="3"/>
  <c r="Q34" i="2"/>
  <c r="O17" i="3"/>
  <c r="P14" i="3" s="1"/>
  <c r="Q36" i="2"/>
  <c r="N13" i="4" l="1"/>
  <c r="P12" i="3"/>
  <c r="K47" i="8"/>
  <c r="K48" i="8"/>
  <c r="H49" i="8"/>
  <c r="I48" i="8"/>
  <c r="J48" i="8" s="1"/>
  <c r="K49" i="8" l="1"/>
  <c r="I49" i="8"/>
  <c r="J49" i="8"/>
  <c r="H50" i="8"/>
  <c r="R33" i="2"/>
  <c r="R35" i="2" s="1"/>
  <c r="P15" i="3"/>
  <c r="R34" i="2" l="1"/>
  <c r="P19" i="3"/>
  <c r="P17" i="3"/>
  <c r="Q14" i="3" s="1"/>
  <c r="R36" i="2"/>
  <c r="K50" i="8"/>
  <c r="H51" i="8"/>
  <c r="I50" i="8"/>
  <c r="J50" i="8" s="1"/>
  <c r="O13" i="4" l="1"/>
  <c r="Q12" i="3"/>
  <c r="I51" i="8"/>
  <c r="K51" i="8"/>
  <c r="H52" i="8"/>
  <c r="J51" i="8"/>
  <c r="H53" i="8" l="1"/>
  <c r="I52" i="8"/>
  <c r="J52" i="8" s="1"/>
  <c r="K52" i="8"/>
  <c r="S33" i="2"/>
  <c r="S35" i="2" s="1"/>
  <c r="Q15" i="3"/>
  <c r="S36" i="2" l="1"/>
  <c r="Q19" i="3"/>
  <c r="S34" i="2"/>
  <c r="Q17" i="3"/>
  <c r="R14" i="3" s="1"/>
  <c r="I53" i="8"/>
  <c r="K53" i="8" s="1"/>
  <c r="H54" i="8"/>
  <c r="R12" i="3" l="1"/>
  <c r="I54" i="8"/>
  <c r="K54" i="8" s="1"/>
  <c r="H55" i="8"/>
  <c r="J53" i="8"/>
  <c r="P13" i="4"/>
  <c r="J54" i="8" l="1"/>
  <c r="H56" i="8"/>
  <c r="I55" i="8"/>
  <c r="J55" i="8"/>
  <c r="K55" i="8"/>
  <c r="T33" i="2"/>
  <c r="T35" i="2" s="1"/>
  <c r="R15" i="3"/>
  <c r="R19" i="3" l="1"/>
  <c r="T34" i="2"/>
  <c r="R17" i="3"/>
  <c r="S14" i="3" s="1"/>
  <c r="I56" i="8"/>
  <c r="K56" i="8"/>
  <c r="H57" i="8"/>
  <c r="J56" i="8"/>
  <c r="T36" i="2"/>
  <c r="I57" i="8" l="1"/>
  <c r="K57" i="8" s="1"/>
  <c r="H58" i="8"/>
  <c r="J57" i="8"/>
  <c r="Q13" i="4"/>
  <c r="S12" i="3"/>
  <c r="U33" i="2" l="1"/>
  <c r="U35" i="2" s="1"/>
  <c r="S15" i="3"/>
  <c r="K58" i="8"/>
  <c r="I58" i="8"/>
  <c r="J58" i="8" s="1"/>
  <c r="H59" i="8"/>
  <c r="J59" i="8" l="1"/>
  <c r="I59" i="8"/>
  <c r="K59" i="8"/>
  <c r="H60" i="8"/>
  <c r="S19" i="3"/>
  <c r="U34" i="2"/>
  <c r="S17" i="3"/>
  <c r="T14" i="3" s="1"/>
  <c r="U36" i="2"/>
  <c r="T12" i="3" l="1"/>
  <c r="H61" i="8"/>
  <c r="I60" i="8"/>
  <c r="J60" i="8" s="1"/>
  <c r="R13" i="4"/>
  <c r="K60" i="8" l="1"/>
  <c r="I61" i="8"/>
  <c r="K61" i="8"/>
  <c r="H62" i="8"/>
  <c r="J61" i="8"/>
  <c r="V33" i="2"/>
  <c r="V35" i="2" s="1"/>
  <c r="T15" i="3"/>
  <c r="V34" i="2" l="1"/>
  <c r="T19" i="3"/>
  <c r="T17" i="3"/>
  <c r="U14" i="3" s="1"/>
  <c r="V36" i="2"/>
  <c r="J62" i="8"/>
  <c r="H63" i="8"/>
  <c r="I62" i="8"/>
  <c r="K62" i="8" s="1"/>
  <c r="S13" i="4" l="1"/>
  <c r="U12" i="3"/>
  <c r="H64" i="8"/>
  <c r="I63" i="8"/>
  <c r="K63" i="8"/>
  <c r="J63" i="8"/>
  <c r="I64" i="8" l="1"/>
  <c r="H65" i="8"/>
  <c r="K64" i="8"/>
  <c r="J64" i="8"/>
  <c r="W33" i="2"/>
  <c r="W35" i="2" s="1"/>
  <c r="U15" i="3"/>
  <c r="W36" i="2" l="1"/>
  <c r="I65" i="8"/>
  <c r="K65" i="8" s="1"/>
  <c r="H66" i="8"/>
  <c r="U19" i="3"/>
  <c r="W34" i="2"/>
  <c r="U17" i="3"/>
  <c r="V14" i="3" s="1"/>
  <c r="J65" i="8" l="1"/>
  <c r="H67" i="8"/>
  <c r="I66" i="8"/>
  <c r="J66" i="8" s="1"/>
  <c r="V12" i="3"/>
  <c r="T13" i="4"/>
  <c r="X33" i="2" l="1"/>
  <c r="X35" i="2" s="1"/>
  <c r="V15" i="3"/>
  <c r="K66" i="8"/>
  <c r="I67" i="8"/>
  <c r="J67" i="8" s="1"/>
  <c r="K67" i="8"/>
  <c r="H68" i="8"/>
  <c r="X36" i="2" l="1"/>
  <c r="H69" i="8"/>
  <c r="K68" i="8"/>
  <c r="J68" i="8"/>
  <c r="I68" i="8"/>
  <c r="X34" i="2"/>
  <c r="Y34" i="2" s="1"/>
  <c r="V19" i="3"/>
  <c r="V17" i="3"/>
  <c r="I69" i="8" l="1"/>
  <c r="K69" i="8" s="1"/>
  <c r="H70" i="8"/>
  <c r="U13" i="4"/>
  <c r="E44" i="2"/>
  <c r="E47" i="2"/>
  <c r="H71" i="8" l="1"/>
  <c r="I70" i="8"/>
  <c r="K70" i="8" s="1"/>
  <c r="E46" i="2"/>
  <c r="D36" i="2" s="1"/>
  <c r="E49" i="2" s="1"/>
  <c r="J69" i="8"/>
  <c r="H72" i="8" l="1"/>
  <c r="I71" i="8"/>
  <c r="K71" i="8" s="1"/>
  <c r="J70" i="8"/>
  <c r="J71" i="8" l="1"/>
  <c r="I72" i="8"/>
  <c r="J72" i="8"/>
  <c r="H73" i="8"/>
  <c r="K72" i="8"/>
  <c r="H74" i="8" l="1"/>
  <c r="I73" i="8"/>
  <c r="K73" i="8" s="1"/>
  <c r="J73" i="8" l="1"/>
  <c r="H75" i="8"/>
  <c r="I74" i="8"/>
  <c r="J74" i="8" s="1"/>
  <c r="I75" i="8" l="1"/>
  <c r="J75" i="8" s="1"/>
  <c r="H76" i="8"/>
  <c r="K75" i="8"/>
  <c r="K74" i="8"/>
  <c r="H77" i="8" l="1"/>
  <c r="I76" i="8"/>
  <c r="J76" i="8" s="1"/>
  <c r="K76" i="8"/>
  <c r="H78" i="8" l="1"/>
  <c r="I77" i="8"/>
  <c r="K77" i="8" s="1"/>
  <c r="J77" i="8" l="1"/>
  <c r="H79" i="8"/>
  <c r="I78" i="8"/>
  <c r="K78" i="8" s="1"/>
  <c r="H80" i="8" l="1"/>
  <c r="J79" i="8"/>
  <c r="I79" i="8"/>
  <c r="K79" i="8" s="1"/>
  <c r="J78" i="8"/>
  <c r="I80" i="8" l="1"/>
  <c r="J80" i="8"/>
  <c r="K80" i="8"/>
  <c r="H81" i="8"/>
  <c r="K81" i="8" l="1"/>
  <c r="H82" i="8"/>
  <c r="J81" i="8"/>
  <c r="I81" i="8"/>
  <c r="J82" i="8" l="1"/>
  <c r="I82" i="8"/>
  <c r="H83" i="8"/>
  <c r="K82" i="8"/>
  <c r="I83" i="8" l="1"/>
  <c r="J83" i="8" s="1"/>
  <c r="H84" i="8"/>
  <c r="K83" i="8"/>
  <c r="H85" i="8" l="1"/>
  <c r="I84" i="8"/>
  <c r="J84" i="8" s="1"/>
  <c r="K84" i="8"/>
  <c r="H86" i="8" l="1"/>
  <c r="I85" i="8"/>
  <c r="K85" i="8"/>
  <c r="J85" i="8"/>
  <c r="I86" i="8" l="1"/>
  <c r="K86" i="8"/>
  <c r="H87" i="8"/>
  <c r="J86" i="8"/>
  <c r="H88" i="8" l="1"/>
  <c r="I87" i="8"/>
  <c r="J87" i="8" s="1"/>
  <c r="K87" i="8" l="1"/>
  <c r="H89" i="8"/>
  <c r="I88" i="8"/>
  <c r="K88" i="8" s="1"/>
  <c r="I89" i="8" l="1"/>
  <c r="J89" i="8" s="1"/>
  <c r="K89" i="8"/>
  <c r="H90" i="8"/>
  <c r="J88" i="8"/>
  <c r="H91" i="8" l="1"/>
  <c r="I90" i="8"/>
  <c r="J90" i="8" s="1"/>
  <c r="K90" i="8"/>
  <c r="H92" i="8" l="1"/>
  <c r="I91" i="8"/>
  <c r="K91" i="8" s="1"/>
  <c r="J91" i="8" l="1"/>
  <c r="I92" i="8"/>
  <c r="K92" i="8" s="1"/>
  <c r="J92" i="8"/>
  <c r="H93" i="8"/>
  <c r="H94" i="8" l="1"/>
  <c r="I93" i="8"/>
  <c r="K93" i="8" s="1"/>
  <c r="J93" i="8" l="1"/>
  <c r="I94" i="8"/>
  <c r="J94" i="8" s="1"/>
  <c r="K94" i="8"/>
  <c r="H95" i="8"/>
  <c r="H96" i="8" l="1"/>
  <c r="I95" i="8"/>
  <c r="K95" i="8" s="1"/>
  <c r="J95" i="8" l="1"/>
  <c r="I96" i="8"/>
  <c r="J96" i="8" s="1"/>
  <c r="H97" i="8"/>
  <c r="K96" i="8"/>
  <c r="H98" i="8" l="1"/>
  <c r="I97" i="8"/>
  <c r="K97" i="8" s="1"/>
  <c r="H99" i="8" l="1"/>
  <c r="I98" i="8"/>
  <c r="J98" i="8" s="1"/>
  <c r="K98" i="8"/>
  <c r="J97" i="8"/>
  <c r="I99" i="8" l="1"/>
  <c r="K99" i="8" s="1"/>
  <c r="H100" i="8"/>
  <c r="I100" i="8" l="1"/>
  <c r="K100" i="8" s="1"/>
  <c r="H101" i="8"/>
  <c r="J99" i="8"/>
  <c r="H102" i="8" l="1"/>
  <c r="I101" i="8"/>
  <c r="K101" i="8" s="1"/>
  <c r="J100" i="8"/>
  <c r="J101" i="8" l="1"/>
  <c r="I102" i="8"/>
  <c r="J102" i="8" s="1"/>
  <c r="K102" i="8"/>
  <c r="H103" i="8"/>
  <c r="H104" i="8" l="1"/>
  <c r="I103" i="8"/>
  <c r="J103" i="8" s="1"/>
  <c r="K103" i="8" l="1"/>
  <c r="H105" i="8"/>
  <c r="I104" i="8"/>
  <c r="K104" i="8" s="1"/>
  <c r="J104" i="8" l="1"/>
  <c r="I105" i="8"/>
  <c r="K105" i="8" s="1"/>
  <c r="H106" i="8"/>
  <c r="H107" i="8" l="1"/>
  <c r="I106" i="8"/>
  <c r="K106" i="8" s="1"/>
  <c r="J106" i="8"/>
  <c r="J105" i="8"/>
  <c r="I107" i="8" l="1"/>
  <c r="H108" i="8"/>
  <c r="K107" i="8"/>
  <c r="J107" i="8"/>
  <c r="H109" i="8" l="1"/>
  <c r="I108" i="8"/>
  <c r="K108" i="8" s="1"/>
  <c r="J108" i="8"/>
  <c r="I109" i="8" l="1"/>
  <c r="J109" i="8"/>
  <c r="H110" i="8"/>
  <c r="K109" i="8"/>
  <c r="I110" i="8" l="1"/>
  <c r="J110" i="8" s="1"/>
  <c r="H111" i="8"/>
  <c r="K110" i="8"/>
  <c r="H112" i="8" l="1"/>
  <c r="I111" i="8"/>
  <c r="J111" i="8"/>
  <c r="K111" i="8"/>
  <c r="H113" i="8" l="1"/>
  <c r="I112" i="8"/>
  <c r="K112" i="8"/>
  <c r="J112" i="8"/>
  <c r="I113" i="8" l="1"/>
  <c r="K113" i="8" s="1"/>
  <c r="H114" i="8"/>
  <c r="H115" i="8" l="1"/>
  <c r="I114" i="8"/>
  <c r="K114" i="8"/>
  <c r="J114" i="8"/>
  <c r="J113" i="8"/>
  <c r="I115" i="8" l="1"/>
  <c r="K115" i="8"/>
  <c r="J115" i="8"/>
  <c r="H116" i="8"/>
  <c r="K116" i="8" l="1"/>
  <c r="H117" i="8"/>
  <c r="I116" i="8"/>
  <c r="J116" i="8" s="1"/>
  <c r="H118" i="8" l="1"/>
  <c r="I117" i="8"/>
  <c r="K117" i="8" s="1"/>
  <c r="I118" i="8" l="1"/>
  <c r="J118" i="8" s="1"/>
  <c r="H119" i="8"/>
  <c r="K118" i="8"/>
  <c r="J117" i="8"/>
  <c r="H120" i="8" l="1"/>
  <c r="I119" i="8"/>
  <c r="K119" i="8" s="1"/>
  <c r="J119" i="8" l="1"/>
  <c r="I120" i="8"/>
  <c r="J120" i="8" s="1"/>
  <c r="K120" i="8"/>
  <c r="H121" i="8"/>
  <c r="H122" i="8" l="1"/>
  <c r="I121" i="8"/>
  <c r="K121" i="8" s="1"/>
  <c r="H123" i="8" l="1"/>
  <c r="I122" i="8"/>
  <c r="K122" i="8" s="1"/>
  <c r="J121" i="8"/>
  <c r="J122" i="8" l="1"/>
  <c r="I123" i="8"/>
  <c r="H124" i="8"/>
  <c r="J123" i="8"/>
  <c r="K123" i="8"/>
  <c r="H125" i="8" l="1"/>
  <c r="I124" i="8"/>
  <c r="K124" i="8" s="1"/>
  <c r="J124" i="8" l="1"/>
  <c r="H126" i="8"/>
  <c r="I125" i="8"/>
  <c r="J125" i="8" s="1"/>
  <c r="K125" i="8"/>
  <c r="J126" i="8" l="1"/>
  <c r="I126" i="8"/>
  <c r="H127" i="8"/>
  <c r="K126" i="8"/>
  <c r="H128" i="8" l="1"/>
  <c r="I127" i="8"/>
  <c r="K127" i="8" s="1"/>
  <c r="J127" i="8" l="1"/>
  <c r="J128" i="8"/>
  <c r="I128" i="8"/>
  <c r="K128" i="8"/>
  <c r="H129" i="8"/>
  <c r="H130" i="8" l="1"/>
  <c r="I129" i="8"/>
  <c r="K129" i="8" s="1"/>
  <c r="H131" i="8" l="1"/>
  <c r="I130" i="8"/>
  <c r="J130" i="8" s="1"/>
  <c r="K130" i="8"/>
  <c r="J129" i="8"/>
  <c r="I131" i="8" l="1"/>
  <c r="J131" i="8"/>
  <c r="H132" i="8"/>
  <c r="K131" i="8"/>
  <c r="I132" i="8" l="1"/>
  <c r="K132" i="8" s="1"/>
  <c r="H133" i="8"/>
  <c r="I133" i="8" l="1"/>
  <c r="K133" i="8" s="1"/>
  <c r="H134" i="8"/>
  <c r="J132" i="8"/>
  <c r="I134" i="8" l="1"/>
  <c r="J134" i="8" s="1"/>
  <c r="K134" i="8"/>
  <c r="H135" i="8"/>
  <c r="J133" i="8"/>
  <c r="H136" i="8" l="1"/>
  <c r="I135" i="8"/>
  <c r="J135" i="8" s="1"/>
  <c r="K135" i="8" l="1"/>
  <c r="H137" i="8"/>
  <c r="I136" i="8"/>
  <c r="K136" i="8" s="1"/>
  <c r="J136" i="8" l="1"/>
  <c r="H138" i="8"/>
  <c r="I137" i="8"/>
  <c r="J137" i="8" s="1"/>
  <c r="H139" i="8" l="1"/>
  <c r="I138" i="8"/>
  <c r="K138" i="8" s="1"/>
  <c r="K137" i="8"/>
  <c r="J138" i="8" l="1"/>
  <c r="I139" i="8"/>
  <c r="K139" i="8"/>
  <c r="J139" i="8"/>
  <c r="H140" i="8"/>
  <c r="H141" i="8" l="1"/>
  <c r="I140" i="8"/>
  <c r="K140" i="8" s="1"/>
  <c r="J140" i="8"/>
  <c r="I141" i="8" l="1"/>
  <c r="H142" i="8"/>
  <c r="J141" i="8"/>
  <c r="K141" i="8"/>
  <c r="I142" i="8" l="1"/>
  <c r="J142" i="8" s="1"/>
  <c r="H143" i="8"/>
  <c r="K142" i="8" l="1"/>
  <c r="H144" i="8"/>
  <c r="I143" i="8"/>
  <c r="J143" i="8"/>
  <c r="K143" i="8"/>
  <c r="H145" i="8" l="1"/>
  <c r="K144" i="8"/>
  <c r="I144" i="8"/>
  <c r="J144" i="8"/>
  <c r="I145" i="8" l="1"/>
  <c r="K145" i="8" s="1"/>
  <c r="H146" i="8"/>
  <c r="H147" i="8" l="1"/>
  <c r="I146" i="8"/>
  <c r="K146" i="8" s="1"/>
  <c r="J146" i="8"/>
  <c r="J145" i="8"/>
  <c r="I147" i="8" l="1"/>
  <c r="K147" i="8"/>
  <c r="J147" i="8"/>
  <c r="H148" i="8"/>
  <c r="I148" i="8" l="1"/>
  <c r="K148" i="8" s="1"/>
  <c r="H149" i="8"/>
  <c r="J148" i="8"/>
  <c r="H150" i="8" l="1"/>
  <c r="I149" i="8"/>
  <c r="K149" i="8" s="1"/>
  <c r="I150" i="8" l="1"/>
  <c r="J150" i="8" s="1"/>
  <c r="H151" i="8"/>
  <c r="K150" i="8"/>
  <c r="J149" i="8"/>
  <c r="H152" i="8" l="1"/>
  <c r="I151" i="8"/>
  <c r="K151" i="8" s="1"/>
  <c r="J151" i="8" l="1"/>
  <c r="H153" i="8"/>
  <c r="I152" i="8"/>
  <c r="K152" i="8" s="1"/>
  <c r="H154" i="8" l="1"/>
  <c r="I153" i="8"/>
  <c r="K153" i="8" s="1"/>
  <c r="J152" i="8"/>
  <c r="H155" i="8" l="1"/>
  <c r="I154" i="8"/>
  <c r="K154" i="8" s="1"/>
  <c r="J154" i="8"/>
  <c r="J153" i="8"/>
  <c r="I155" i="8" l="1"/>
  <c r="H156" i="8"/>
  <c r="J155" i="8"/>
  <c r="K155" i="8"/>
  <c r="H157" i="8" l="1"/>
  <c r="I156" i="8"/>
  <c r="K156" i="8" s="1"/>
  <c r="J156" i="8" l="1"/>
  <c r="H158" i="8"/>
  <c r="I157" i="8"/>
  <c r="J157" i="8" s="1"/>
  <c r="K157" i="8" l="1"/>
  <c r="I158" i="8"/>
  <c r="J158" i="8" s="1"/>
  <c r="H159" i="8"/>
  <c r="K158" i="8"/>
  <c r="H160" i="8" l="1"/>
  <c r="I159" i="8"/>
  <c r="J159" i="8" s="1"/>
  <c r="K159" i="8"/>
  <c r="I160" i="8" l="1"/>
  <c r="J160" i="8" s="1"/>
  <c r="H161" i="8"/>
  <c r="K160" i="8"/>
  <c r="H162" i="8" l="1"/>
  <c r="I161" i="8"/>
  <c r="K161" i="8" s="1"/>
  <c r="H163" i="8" l="1"/>
  <c r="I162" i="8"/>
  <c r="J162" i="8" s="1"/>
  <c r="K162" i="8"/>
  <c r="J161" i="8"/>
  <c r="I163" i="8" l="1"/>
  <c r="J163" i="8"/>
  <c r="K163" i="8"/>
  <c r="H164" i="8"/>
  <c r="I164" i="8" l="1"/>
  <c r="K164" i="8" s="1"/>
  <c r="H165" i="8"/>
  <c r="I165" i="8" l="1"/>
  <c r="J165" i="8" s="1"/>
  <c r="H166" i="8"/>
  <c r="K165" i="8"/>
  <c r="J164" i="8"/>
  <c r="I166" i="8" l="1"/>
  <c r="J166" i="8" s="1"/>
  <c r="K166" i="8"/>
  <c r="H167" i="8"/>
  <c r="H168" i="8" l="1"/>
  <c r="I167" i="8"/>
  <c r="K167" i="8" s="1"/>
  <c r="J167" i="8" l="1"/>
  <c r="I168" i="8"/>
  <c r="K168" i="8" s="1"/>
  <c r="H169" i="8"/>
  <c r="J168" i="8"/>
  <c r="H170" i="8" l="1"/>
  <c r="I169" i="8"/>
  <c r="K169" i="8" s="1"/>
  <c r="H171" i="8" l="1"/>
  <c r="I170" i="8"/>
  <c r="K170" i="8" s="1"/>
  <c r="J169" i="8"/>
  <c r="J170" i="8" l="1"/>
  <c r="I171" i="8"/>
  <c r="J171" i="8"/>
  <c r="K171" i="8"/>
  <c r="H172" i="8"/>
  <c r="H173" i="8" l="1"/>
  <c r="I172" i="8"/>
  <c r="K172" i="8" s="1"/>
  <c r="J172" i="8"/>
  <c r="I173" i="8" l="1"/>
  <c r="K173" i="8"/>
  <c r="J173" i="8"/>
  <c r="H174" i="8"/>
  <c r="I174" i="8" l="1"/>
  <c r="J174" i="8" s="1"/>
  <c r="H175" i="8"/>
  <c r="K174" i="8"/>
  <c r="H176" i="8" l="1"/>
  <c r="I175" i="8"/>
  <c r="J175" i="8"/>
  <c r="K175" i="8"/>
  <c r="H177" i="8" l="1"/>
  <c r="I176" i="8"/>
  <c r="J176" i="8" s="1"/>
  <c r="K176" i="8" l="1"/>
  <c r="I177" i="8"/>
  <c r="K177" i="8" s="1"/>
  <c r="H178" i="8"/>
  <c r="H179" i="8" l="1"/>
  <c r="I178" i="8"/>
  <c r="K178" i="8" s="1"/>
  <c r="J178" i="8"/>
  <c r="J177" i="8"/>
  <c r="I179" i="8" l="1"/>
  <c r="K179" i="8"/>
  <c r="J179" i="8"/>
  <c r="H180" i="8"/>
  <c r="H181" i="8" l="1"/>
  <c r="I180" i="8"/>
  <c r="K180" i="8" s="1"/>
  <c r="J180" i="8"/>
  <c r="H182" i="8" l="1"/>
  <c r="I181" i="8"/>
  <c r="K181" i="8" s="1"/>
  <c r="I182" i="8" l="1"/>
  <c r="J182" i="8" s="1"/>
  <c r="K182" i="8"/>
  <c r="H183" i="8"/>
  <c r="J181" i="8"/>
  <c r="H184" i="8" l="1"/>
  <c r="I183" i="8"/>
  <c r="K183" i="8" s="1"/>
  <c r="J183" i="8" l="1"/>
  <c r="H185" i="8"/>
  <c r="I184" i="8"/>
  <c r="K184" i="8" s="1"/>
  <c r="J184" i="8" l="1"/>
  <c r="H186" i="8"/>
  <c r="I185" i="8"/>
  <c r="K185" i="8" s="1"/>
  <c r="H187" i="8" l="1"/>
  <c r="I186" i="8"/>
  <c r="K186" i="8" s="1"/>
  <c r="J186" i="8"/>
  <c r="J185" i="8"/>
  <c r="I187" i="8" l="1"/>
  <c r="H188" i="8"/>
  <c r="K187" i="8"/>
  <c r="J187" i="8"/>
  <c r="I188" i="8" l="1"/>
  <c r="K188" i="8" s="1"/>
  <c r="H189" i="8"/>
  <c r="J188" i="8"/>
  <c r="H190" i="8" l="1"/>
  <c r="I189" i="8"/>
  <c r="J189" i="8" s="1"/>
  <c r="K189" i="8" l="1"/>
  <c r="I190" i="8"/>
  <c r="J190" i="8" s="1"/>
  <c r="H191" i="8"/>
  <c r="K190" i="8"/>
  <c r="H192" i="8" l="1"/>
  <c r="J191" i="8"/>
  <c r="I191" i="8"/>
  <c r="K191" i="8" s="1"/>
  <c r="J192" i="8" l="1"/>
  <c r="I192" i="8"/>
  <c r="H193" i="8"/>
  <c r="K192" i="8"/>
  <c r="I193" i="8" l="1"/>
  <c r="K193" i="8" s="1"/>
  <c r="H194" i="8"/>
  <c r="H195" i="8" l="1"/>
  <c r="I194" i="8"/>
  <c r="J194" i="8" s="1"/>
  <c r="K194" i="8"/>
  <c r="J193" i="8"/>
  <c r="I195" i="8" l="1"/>
  <c r="H196" i="8"/>
  <c r="J195" i="8"/>
  <c r="K195" i="8"/>
  <c r="I196" i="8" l="1"/>
  <c r="K196" i="8" s="1"/>
  <c r="H197" i="8"/>
  <c r="H198" i="8" l="1"/>
  <c r="I197" i="8"/>
  <c r="J197" i="8" s="1"/>
  <c r="J196" i="8"/>
  <c r="K197" i="8" l="1"/>
  <c r="I198" i="8"/>
  <c r="J198" i="8" s="1"/>
  <c r="K198" i="8"/>
  <c r="H199" i="8"/>
  <c r="H200" i="8" l="1"/>
  <c r="J199" i="8"/>
  <c r="I199" i="8"/>
  <c r="K199" i="8"/>
  <c r="H201" i="8" l="1"/>
  <c r="I200" i="8"/>
  <c r="K200" i="8" s="1"/>
  <c r="J200" i="8" l="1"/>
  <c r="H202" i="8"/>
  <c r="I201" i="8"/>
  <c r="K201" i="8" s="1"/>
  <c r="J201" i="8" l="1"/>
  <c r="H203" i="8"/>
  <c r="I202" i="8"/>
  <c r="K202" i="8" s="1"/>
  <c r="J202" i="8" l="1"/>
  <c r="I203" i="8"/>
  <c r="J203" i="8"/>
  <c r="H204" i="8"/>
  <c r="K203" i="8"/>
  <c r="H205" i="8" l="1"/>
  <c r="I204" i="8"/>
  <c r="K204" i="8" s="1"/>
  <c r="I205" i="8" l="1"/>
  <c r="J205" i="8"/>
  <c r="H206" i="8"/>
  <c r="K205" i="8"/>
  <c r="J204" i="8"/>
  <c r="I206" i="8" l="1"/>
  <c r="J206" i="8" s="1"/>
  <c r="H207" i="8"/>
  <c r="K206" i="8"/>
  <c r="H208" i="8" l="1"/>
  <c r="I207" i="8"/>
  <c r="K207" i="8"/>
  <c r="J207" i="8"/>
  <c r="H209" i="8" l="1"/>
  <c r="I208" i="8"/>
  <c r="K208" i="8"/>
  <c r="J208" i="8"/>
  <c r="I209" i="8" l="1"/>
  <c r="K209" i="8" s="1"/>
  <c r="H210" i="8"/>
  <c r="H211" i="8" l="1"/>
  <c r="I210" i="8"/>
  <c r="K210" i="8" s="1"/>
  <c r="J209" i="8"/>
  <c r="J210" i="8" l="1"/>
  <c r="I211" i="8"/>
  <c r="K211" i="8"/>
  <c r="J211" i="8"/>
  <c r="H212" i="8"/>
  <c r="H213" i="8" l="1"/>
  <c r="I212" i="8"/>
  <c r="K212" i="8" s="1"/>
  <c r="J212" i="8"/>
  <c r="I213" i="8" l="1"/>
  <c r="K213" i="8" s="1"/>
  <c r="H214" i="8"/>
  <c r="I214" i="8" l="1"/>
  <c r="J214" i="8" s="1"/>
  <c r="H215" i="8"/>
  <c r="K214" i="8"/>
  <c r="J213" i="8"/>
  <c r="H216" i="8" l="1"/>
  <c r="I215" i="8"/>
  <c r="K215" i="8" s="1"/>
  <c r="J215" i="8" l="1"/>
  <c r="I216" i="8"/>
  <c r="K216" i="8" s="1"/>
  <c r="H217" i="8"/>
  <c r="H218" i="8" l="1"/>
  <c r="I217" i="8"/>
  <c r="K217" i="8" s="1"/>
  <c r="J216" i="8"/>
  <c r="H219" i="8" l="1"/>
  <c r="K218" i="8"/>
  <c r="J218" i="8"/>
  <c r="I218" i="8"/>
  <c r="J217" i="8"/>
  <c r="I219" i="8" l="1"/>
  <c r="J219" i="8" s="1"/>
  <c r="H220" i="8"/>
  <c r="K219" i="8" l="1"/>
  <c r="I220" i="8"/>
  <c r="I2" i="8" s="1"/>
  <c r="J220" i="8" l="1"/>
  <c r="J4" i="8" s="1"/>
  <c r="K220" i="8"/>
  <c r="K4" i="8" s="1"/>
  <c r="B7" i="8" s="1"/>
  <c r="L220" i="8" l="1"/>
  <c r="L212" i="8"/>
  <c r="L204" i="8"/>
  <c r="L196" i="8"/>
  <c r="L188" i="8"/>
  <c r="L180" i="8"/>
  <c r="L172" i="8"/>
  <c r="L164" i="8"/>
  <c r="L156" i="8"/>
  <c r="L148" i="8"/>
  <c r="L140" i="8"/>
  <c r="L132" i="8"/>
  <c r="L124" i="8"/>
  <c r="L116" i="8"/>
  <c r="L108" i="8"/>
  <c r="L100" i="8"/>
  <c r="L215" i="8"/>
  <c r="L207" i="8"/>
  <c r="L199" i="8"/>
  <c r="L191" i="8"/>
  <c r="L183" i="8"/>
  <c r="L175" i="8"/>
  <c r="L167" i="8"/>
  <c r="L159" i="8"/>
  <c r="L151" i="8"/>
  <c r="L143" i="8"/>
  <c r="L135" i="8"/>
  <c r="L127" i="8"/>
  <c r="L119" i="8"/>
  <c r="L111" i="8"/>
  <c r="L103" i="8"/>
  <c r="L95" i="8"/>
  <c r="L87" i="8"/>
  <c r="L219" i="8"/>
  <c r="L202" i="8"/>
  <c r="L200" i="8"/>
  <c r="L198" i="8"/>
  <c r="L170" i="8"/>
  <c r="L168" i="8"/>
  <c r="L166" i="8"/>
  <c r="L138" i="8"/>
  <c r="L136" i="8"/>
  <c r="L134" i="8"/>
  <c r="L106" i="8"/>
  <c r="L104" i="8"/>
  <c r="L102" i="8"/>
  <c r="L86" i="8"/>
  <c r="L81" i="8"/>
  <c r="L73" i="8"/>
  <c r="L65" i="8"/>
  <c r="L57" i="8"/>
  <c r="L217" i="8"/>
  <c r="L189" i="8"/>
  <c r="L187" i="8"/>
  <c r="L185" i="8"/>
  <c r="L157" i="8"/>
  <c r="L155" i="8"/>
  <c r="L153" i="8"/>
  <c r="L125" i="8"/>
  <c r="L123" i="8"/>
  <c r="L121" i="8"/>
  <c r="L93" i="8"/>
  <c r="L84" i="8"/>
  <c r="L76" i="8"/>
  <c r="L68" i="8"/>
  <c r="L60" i="8"/>
  <c r="L52" i="8"/>
  <c r="L213" i="8"/>
  <c r="L193" i="8"/>
  <c r="L179" i="8"/>
  <c r="L173" i="8"/>
  <c r="L145" i="8"/>
  <c r="L139" i="8"/>
  <c r="L133" i="8"/>
  <c r="L105" i="8"/>
  <c r="L99" i="8"/>
  <c r="L58" i="8"/>
  <c r="L56" i="8"/>
  <c r="L54" i="8"/>
  <c r="L48" i="8"/>
  <c r="L43" i="8"/>
  <c r="L35" i="8"/>
  <c r="L27" i="8"/>
  <c r="L19" i="8"/>
  <c r="L11" i="8"/>
  <c r="L218" i="8"/>
  <c r="L190" i="8"/>
  <c r="L184" i="8"/>
  <c r="L178" i="8"/>
  <c r="L150" i="8"/>
  <c r="L144" i="8"/>
  <c r="L130" i="8"/>
  <c r="L110" i="8"/>
  <c r="L96" i="8"/>
  <c r="L79" i="8"/>
  <c r="L77" i="8"/>
  <c r="L75" i="8"/>
  <c r="L46" i="8"/>
  <c r="L38" i="8"/>
  <c r="L30" i="8"/>
  <c r="L22" i="8"/>
  <c r="L14" i="8"/>
  <c r="L8" i="8"/>
  <c r="L201" i="8"/>
  <c r="L195" i="8"/>
  <c r="L181" i="8"/>
  <c r="L161" i="8"/>
  <c r="L147" i="8"/>
  <c r="L141" i="8"/>
  <c r="L113" i="8"/>
  <c r="L107" i="8"/>
  <c r="L101" i="8"/>
  <c r="L88" i="8"/>
  <c r="L209" i="8"/>
  <c r="L203" i="8"/>
  <c r="L197" i="8"/>
  <c r="L169" i="8"/>
  <c r="L163" i="8"/>
  <c r="L149" i="8"/>
  <c r="L129" i="8"/>
  <c r="L211" i="8"/>
  <c r="L205" i="8"/>
  <c r="L177" i="8"/>
  <c r="L171" i="8"/>
  <c r="L165" i="8"/>
  <c r="L137" i="8"/>
  <c r="L131" i="8"/>
  <c r="L117" i="8"/>
  <c r="L97" i="8"/>
  <c r="L89" i="8"/>
  <c r="L82" i="8"/>
  <c r="L80" i="8"/>
  <c r="L78" i="8"/>
  <c r="L45" i="8"/>
  <c r="L37" i="8"/>
  <c r="L29" i="8"/>
  <c r="L21" i="8"/>
  <c r="L216" i="8"/>
  <c r="L208" i="8"/>
  <c r="L118" i="8"/>
  <c r="L112" i="8"/>
  <c r="L90" i="8"/>
  <c r="L85" i="8"/>
  <c r="L51" i="8"/>
  <c r="L17" i="8"/>
  <c r="L192" i="8"/>
  <c r="L162" i="8"/>
  <c r="L154" i="8"/>
  <c r="L146" i="8"/>
  <c r="L72" i="8"/>
  <c r="L64" i="8"/>
  <c r="L61" i="8"/>
  <c r="L40" i="8"/>
  <c r="L176" i="8"/>
  <c r="L214" i="8"/>
  <c r="L206" i="8"/>
  <c r="L160" i="8"/>
  <c r="L152" i="8"/>
  <c r="L122" i="8"/>
  <c r="L94" i="8"/>
  <c r="L71" i="8"/>
  <c r="L67" i="8"/>
  <c r="L182" i="8"/>
  <c r="L174" i="8"/>
  <c r="L98" i="8"/>
  <c r="L83" i="8"/>
  <c r="L66" i="8"/>
  <c r="L63" i="8"/>
  <c r="L44" i="8"/>
  <c r="L39" i="8"/>
  <c r="L34" i="8"/>
  <c r="L16" i="8"/>
  <c r="L158" i="8"/>
  <c r="L128" i="8"/>
  <c r="L115" i="8"/>
  <c r="L109" i="8"/>
  <c r="L210" i="8"/>
  <c r="L142" i="8"/>
  <c r="L120" i="8"/>
  <c r="L114" i="8"/>
  <c r="L92" i="8"/>
  <c r="L62" i="8"/>
  <c r="L59" i="8"/>
  <c r="L55" i="8"/>
  <c r="L49" i="8"/>
  <c r="L33" i="8"/>
  <c r="L28" i="8"/>
  <c r="L23" i="8"/>
  <c r="L18" i="8"/>
  <c r="L9" i="8"/>
  <c r="L70" i="8"/>
  <c r="L13" i="8"/>
  <c r="L6" i="8"/>
  <c r="L53" i="8"/>
  <c r="L186" i="8"/>
  <c r="L41" i="8"/>
  <c r="L36" i="8"/>
  <c r="L31" i="8"/>
  <c r="L26" i="8"/>
  <c r="L69" i="8"/>
  <c r="L32" i="8"/>
  <c r="L12" i="8"/>
  <c r="L47" i="8"/>
  <c r="L42" i="8"/>
  <c r="L126" i="8"/>
  <c r="L194" i="8"/>
  <c r="L25" i="8"/>
  <c r="L20" i="8"/>
  <c r="L15" i="8"/>
  <c r="L91" i="8"/>
  <c r="L74" i="8"/>
  <c r="L10" i="8"/>
  <c r="L7" i="8"/>
  <c r="M4" i="8"/>
  <c r="M5" i="8" s="1"/>
  <c r="L50" i="8"/>
  <c r="L24" i="8"/>
  <c r="C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Javier Rojo</author>
  </authors>
  <commentList>
    <comment ref="D13" authorId="0" shapeId="0" xr:uid="{00000000-0006-0000-0500-000001000000}">
      <text>
        <r>
          <rPr>
            <sz val="11"/>
            <color theme="1"/>
            <rFont val="Calibri"/>
            <family val="2"/>
            <scheme val="minor"/>
          </rPr>
          <t>If performance&lt;P50 payment, otherwise nothing.  Over 2 to have zero expected value</t>
        </r>
      </text>
    </comment>
    <comment ref="D73" authorId="0" shapeId="0" xr:uid="{00000000-0006-0000-0500-000002000000}">
      <text>
        <r>
          <rPr>
            <sz val="11"/>
            <color theme="1"/>
            <rFont val="Calibri"/>
            <family val="2"/>
            <scheme val="minor"/>
          </rPr>
          <t>If performance&lt;P50 payment, otherwise nothing.  Over 2 to have zero expected value</t>
        </r>
      </text>
    </comment>
  </commentList>
</comments>
</file>

<file path=xl/sharedStrings.xml><?xml version="1.0" encoding="utf-8"?>
<sst xmlns="http://schemas.openxmlformats.org/spreadsheetml/2006/main" count="264" uniqueCount="212">
  <si>
    <t>npv</t>
  </si>
  <si>
    <t>dnpv</t>
  </si>
  <si>
    <t>France</t>
  </si>
  <si>
    <t>50% risk share</t>
  </si>
  <si>
    <t>Germany</t>
  </si>
  <si>
    <t>Sale Price</t>
  </si>
  <si>
    <t>FRENCH SOLAR PV ASSETS PRELIMINARY FINANCIAL MODEL</t>
  </si>
  <si>
    <t>Assumptions and main project characteristics summary</t>
  </si>
  <si>
    <t>Funding:</t>
  </si>
  <si>
    <t>Other Assumptions:</t>
  </si>
  <si>
    <t>Unlevered Analysis</t>
  </si>
  <si>
    <t>Risk Free Rate:</t>
  </si>
  <si>
    <t>Equity</t>
  </si>
  <si>
    <t>Depreciation Period:</t>
  </si>
  <si>
    <t>Shareholders' loan</t>
  </si>
  <si>
    <t>Book value:</t>
  </si>
  <si>
    <t>Internal loan interest*</t>
  </si>
  <si>
    <t>Corporate Tax Rate:</t>
  </si>
  <si>
    <t>internal loan term</t>
  </si>
  <si>
    <t>Annual panel degradation:</t>
  </si>
  <si>
    <t>Bullet</t>
  </si>
  <si>
    <t>Price Inflation:</t>
  </si>
  <si>
    <t>WACC</t>
  </si>
  <si>
    <t>* As a junior loan in case of leveraged analysis it should be significantly higher than bank loan interest rate</t>
  </si>
  <si>
    <t xml:space="preserve">DISCLAIMER: This financial model has been built by Sustainability Strategic Advisors Limited for illustration purposes only. </t>
  </si>
  <si>
    <t>Financial Model</t>
  </si>
  <si>
    <t>Unlevered Proforma (All figures in € unless otherwise indicated)</t>
  </si>
  <si>
    <t>Year</t>
  </si>
  <si>
    <t>Installed Capacity (kwp)</t>
  </si>
  <si>
    <t>Average Irradiation (P50) (Kwh/Kwp)</t>
  </si>
  <si>
    <t>Average portfolio feed in Tariff (€/Kwh)</t>
  </si>
  <si>
    <t>Revenues</t>
  </si>
  <si>
    <t>Maintenance</t>
  </si>
  <si>
    <t>Admininistration costs</t>
  </si>
  <si>
    <t>Inverter replacement</t>
  </si>
  <si>
    <t>Land lease (prepaid)</t>
  </si>
  <si>
    <t xml:space="preserve">Insurance </t>
  </si>
  <si>
    <t>Local tax</t>
  </si>
  <si>
    <t>EBITDA</t>
  </si>
  <si>
    <t xml:space="preserve">Depreciation </t>
  </si>
  <si>
    <t>Shareholder's loan interest payment</t>
  </si>
  <si>
    <t>Shareholder's loan principal re-payment</t>
  </si>
  <si>
    <t>Corporate tax</t>
  </si>
  <si>
    <t>Free Cash</t>
  </si>
  <si>
    <t>Cost of Risk</t>
  </si>
  <si>
    <t xml:space="preserve">    Maintenance</t>
  </si>
  <si>
    <t xml:space="preserve">    Inverter replacement</t>
  </si>
  <si>
    <t>Decoupled IRR</t>
  </si>
  <si>
    <t>vs. 2.79% reference Risk Free Rate (See Bond Yield Curve)</t>
  </si>
  <si>
    <t>DNPV</t>
  </si>
  <si>
    <t>NPV</t>
  </si>
  <si>
    <t>IRR</t>
  </si>
  <si>
    <t>UNLEVERED ANALYSIS</t>
  </si>
  <si>
    <t>Internal Debt - Shareholder's loan only</t>
  </si>
  <si>
    <t>Loan Principal (start)</t>
  </si>
  <si>
    <t>Term</t>
  </si>
  <si>
    <t>Loan Principal (end)</t>
  </si>
  <si>
    <t>Loan interest</t>
  </si>
  <si>
    <t>Yearly Debt Service:</t>
  </si>
  <si>
    <t>(All figures in € unless</t>
  </si>
  <si>
    <t>otherwise indicated)</t>
  </si>
  <si>
    <t>Debt Service</t>
  </si>
  <si>
    <t>Interest payment</t>
  </si>
  <si>
    <t>Principal start of period</t>
  </si>
  <si>
    <t>debt repayment</t>
  </si>
  <si>
    <t>bullet repayment</t>
  </si>
  <si>
    <t>Principal end of period</t>
  </si>
  <si>
    <t>check:</t>
  </si>
  <si>
    <t>Space for input data</t>
  </si>
  <si>
    <t>Description</t>
  </si>
  <si>
    <t>Mitigant</t>
  </si>
  <si>
    <t>Valuation method</t>
  </si>
  <si>
    <t>Valuation details</t>
  </si>
  <si>
    <t>Value Yr. 1</t>
  </si>
  <si>
    <t>Revenue</t>
  </si>
  <si>
    <t>Installed Capacity</t>
  </si>
  <si>
    <t>Less capacity than advertised</t>
  </si>
  <si>
    <t xml:space="preserve">Expert report supported by professional liability insurance </t>
  </si>
  <si>
    <t>Based on AAA rating of insurance company</t>
  </si>
  <si>
    <t>NA</t>
  </si>
  <si>
    <t>Radiation</t>
  </si>
  <si>
    <t>Lower than expected performance on any given year</t>
  </si>
  <si>
    <t>Sinthetic insurance premium</t>
  </si>
  <si>
    <t xml:space="preserve">Zero expected market value </t>
  </si>
  <si>
    <t>Normal distribution.  P50=1164  P90=1088  Potential Upside</t>
  </si>
  <si>
    <t>Feed in tariff</t>
  </si>
  <si>
    <t>Government changes tariff arrangments (amount or tax)</t>
  </si>
  <si>
    <t>Insurance premium = Value of loss * Probability</t>
  </si>
  <si>
    <t>Binary outcome.  No upside</t>
  </si>
  <si>
    <t>Operating Costs</t>
  </si>
  <si>
    <t>Company breaks contract and an alternative needs to be found</t>
  </si>
  <si>
    <t>Fixed price contract broken and new contract/management needs to be put in place</t>
  </si>
  <si>
    <t>Request for proposal of an alternative administration cost</t>
  </si>
  <si>
    <t>Probability adjusted expected cost</t>
  </si>
  <si>
    <t>Negative value as cost estimated to be above market rates</t>
  </si>
  <si>
    <t xml:space="preserve">More inverters going wrong in any given year </t>
  </si>
  <si>
    <t>Normal distribution.  P50=€4,000/kwp and year.  Possible upside</t>
  </si>
  <si>
    <t xml:space="preserve">Legal report supported by professional liability insurance </t>
  </si>
  <si>
    <t>Supported by legal firm</t>
  </si>
  <si>
    <t>Insurance does not pay its commitments</t>
  </si>
  <si>
    <t>Increase in tax rates</t>
  </si>
  <si>
    <t>Covered under Risk 10: Government changing rules</t>
  </si>
  <si>
    <t>Financial Costs</t>
  </si>
  <si>
    <t>Financial costs are pre-agreed hence will not change over the investment period</t>
  </si>
  <si>
    <t xml:space="preserve"> Government changing rules.  Investors in the risk free rate are also subject to this type of risk </t>
  </si>
  <si>
    <t>Covered by risk free rate returns</t>
  </si>
  <si>
    <t>Total Annual Insurance Premium</t>
  </si>
  <si>
    <t>Solar Power Risk</t>
  </si>
  <si>
    <t>Downside Valuation</t>
  </si>
  <si>
    <t>P50/P90</t>
  </si>
  <si>
    <t>P50</t>
  </si>
  <si>
    <t>P90</t>
  </si>
  <si>
    <t>P79</t>
  </si>
  <si>
    <t>l10</t>
  </si>
  <si>
    <t>s</t>
  </si>
  <si>
    <t>Coefficient of Variation (Cv)</t>
  </si>
  <si>
    <t xml:space="preserve">Quantile </t>
  </si>
  <si>
    <t>l21</t>
  </si>
  <si>
    <t>P50-P79</t>
  </si>
  <si>
    <t>Expected value of annual loss</t>
  </si>
  <si>
    <t>% of Revenues:</t>
  </si>
  <si>
    <t xml:space="preserve">Divided by 2 to indicate that half of </t>
  </si>
  <si>
    <t>the time insurer makes no payment as</t>
  </si>
  <si>
    <t>performance is &gt;P50</t>
  </si>
  <si>
    <t>Check:  The valuation of the upside should be equal to the value of the insurance</t>
  </si>
  <si>
    <t>Value of an option to get cashflows over P50 when they happen over the next 20 years</t>
  </si>
  <si>
    <t>Option Parameters</t>
  </si>
  <si>
    <t xml:space="preserve">Black/Scholes </t>
  </si>
  <si>
    <t>Duration</t>
  </si>
  <si>
    <t>1 Year(s)</t>
  </si>
  <si>
    <t>Call</t>
  </si>
  <si>
    <t># Time periods</t>
  </si>
  <si>
    <t>d1</t>
  </si>
  <si>
    <t>T (period duration)</t>
  </si>
  <si>
    <t>d2</t>
  </si>
  <si>
    <t>DELt</t>
  </si>
  <si>
    <t>Stock Price</t>
  </si>
  <si>
    <t>Diff. Vs. normal dist. calc.:</t>
  </si>
  <si>
    <t>Strike Price</t>
  </si>
  <si>
    <t>Put</t>
  </si>
  <si>
    <t>Risk Free Rate</t>
  </si>
  <si>
    <t>Volatility</t>
  </si>
  <si>
    <t>Lattice Calculations</t>
  </si>
  <si>
    <t>u</t>
  </si>
  <si>
    <t>d</t>
  </si>
  <si>
    <t>p</t>
  </si>
  <si>
    <t>a</t>
  </si>
  <si>
    <t>Political Risk.  Combination of Feed in Tariff  or complete default</t>
  </si>
  <si>
    <t>Assume a binary Event:</t>
  </si>
  <si>
    <t>Current French Feed In Tariffs:</t>
  </si>
  <si>
    <t>Source: http://www.isdacdsmarketplace.com/daily_prices/cds_indices/sp_cds_indices</t>
  </si>
  <si>
    <t>Value of current feed in tariffs:</t>
  </si>
  <si>
    <t>Source: http://www.hfw.com/publications/client-briefings/solar-energy</t>
  </si>
  <si>
    <t>Minimum Feed-in Tariff:</t>
  </si>
  <si>
    <t>Consider: Value of current Tariff levels vs. Analysis of average Feed in Tariff decrease (tax increases) in other recent European government reviews vs. Power prices</t>
  </si>
  <si>
    <t>Energy Price:</t>
  </si>
  <si>
    <t>No feed in tariff.  Only market value</t>
  </si>
  <si>
    <t>Probability of changing conditions (r):</t>
  </si>
  <si>
    <t>% change government reducing tariffs&amp; no default.  Energy is~4% of French GDP</t>
  </si>
  <si>
    <t>Probability of default (r):</t>
  </si>
  <si>
    <t>Risk data: Credit default swap</t>
  </si>
  <si>
    <t>Tariff (Ti)</t>
  </si>
  <si>
    <t>Probability (pi)</t>
  </si>
  <si>
    <t>Ti × pi</t>
  </si>
  <si>
    <t>(Ti-T)2×pi</t>
  </si>
  <si>
    <t>Loss (Li)</t>
  </si>
  <si>
    <t>Li × pi</t>
  </si>
  <si>
    <t>(Li-L)2×pi</t>
  </si>
  <si>
    <t>Average Loss:</t>
  </si>
  <si>
    <t>Standard Dev:</t>
  </si>
  <si>
    <t>Average Loss (% Max Tariff):</t>
  </si>
  <si>
    <t>Standard Dev (% Max Tariff):</t>
  </si>
  <si>
    <t>Average</t>
  </si>
  <si>
    <t>Coefficient of Var:</t>
  </si>
  <si>
    <t>of future revenues</t>
  </si>
  <si>
    <t>Cv</t>
  </si>
  <si>
    <t>Maintenance Cost</t>
  </si>
  <si>
    <t>Potential Cost Increase Percentage:</t>
  </si>
  <si>
    <t>Calculated as the difference between chosen provider and the average of the rest of unsuccessful maintenance proposals</t>
  </si>
  <si>
    <t>Probability of default</t>
  </si>
  <si>
    <t>Default rates among maintenance service providers (average credit rating in the sector)</t>
  </si>
  <si>
    <t>Average Cost of Risk:</t>
  </si>
  <si>
    <t>Cost (Ci)</t>
  </si>
  <si>
    <t>Ci × pi</t>
  </si>
  <si>
    <t>(Ci-C)2×pi</t>
  </si>
  <si>
    <t>Inverter Risk</t>
  </si>
  <si>
    <t>P90/P50</t>
  </si>
  <si>
    <t>N(x)</t>
  </si>
  <si>
    <t>P50-P78</t>
  </si>
  <si>
    <t>% Increase:</t>
  </si>
  <si>
    <t>French Government Bond Yields</t>
  </si>
  <si>
    <t>Normal distribution:</t>
  </si>
  <si>
    <t>Area</t>
  </si>
  <si>
    <t>Arm*Area</t>
  </si>
  <si>
    <t>Sum</t>
  </si>
  <si>
    <t>Incremental</t>
  </si>
  <si>
    <t>f(x)dx</t>
  </si>
  <si>
    <t>x*f(x)dx</t>
  </si>
  <si>
    <t>Center of Gravity (CG) Arm</t>
  </si>
  <si>
    <t>Expected value of the loss is the center of gravity of the PDF.</t>
  </si>
  <si>
    <t>Stdev</t>
  </si>
  <si>
    <t>(of the downside)</t>
  </si>
  <si>
    <t>The total area above the CG is:</t>
  </si>
  <si>
    <t>(**) Sine risk is trared as costs, when taxes are included, since FCF already includes taxes, only the cost of risk need to be abbounted for</t>
  </si>
  <si>
    <t xml:space="preserve">(*) Includes tariff reductions, tax increaes. This calculation differs from the paper.  The formula was incorrectly implenented in the paper. It assumed that the political risk applied to the free cash flows instead of simply the revenues.  </t>
  </si>
  <si>
    <t xml:space="preserve">    Solar</t>
  </si>
  <si>
    <t xml:space="preserve">    Political</t>
  </si>
  <si>
    <t>(*)</t>
  </si>
  <si>
    <t>Decoupled Cash Flows =Free Cash - Sum Risk*(1-tax)]</t>
  </si>
  <si>
    <t xml:space="preserve"> (**)</t>
  </si>
  <si>
    <t>(8% discount, Germany)</t>
  </si>
  <si>
    <t>(10% discount,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</si>
</sst>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_-;\-* #,##0_-;_-* &quot;-&quot;??_-;_-@_-"/>
    <numFmt numFmtId="165" formatCode="_-* #,##0\ &quot;€&quot;_-;\-* #,##0\ &quot;€&quot;_-;_-* &quot;-&quot;??\ &quot;€&quot;_-;_-@_-"/>
    <numFmt numFmtId="166" formatCode="_-* #,##0.00_-;\-* #,##0.00_-;_-* &quot;-&quot;??_-;_-@_-"/>
    <numFmt numFmtId="167" formatCode="0\ &quot;years&quot;"/>
    <numFmt numFmtId="168" formatCode="0.0%"/>
    <numFmt numFmtId="169" formatCode="0.0"/>
    <numFmt numFmtId="170" formatCode="0.0000"/>
    <numFmt numFmtId="171" formatCode="0.000"/>
    <numFmt numFmtId="172" formatCode="#,##0_ ;\-#,##0\ "/>
    <numFmt numFmtId="173" formatCode="_(* #,##0_);_(* \(#,##0\);_(* &quot;-&quot;??_);_(@_)"/>
    <numFmt numFmtId="174" formatCode="0.00000000"/>
    <numFmt numFmtId="175" formatCode="0.00000"/>
    <numFmt numFmtId="176" formatCode="0.000000"/>
  </numFmts>
  <fonts count="43" x14ac:knownFonts="1">
    <font>
      <sz val="11"/>
      <color theme="1"/>
      <name val="Calibri"/>
      <family val="2"/>
      <scheme val="minor"/>
    </font>
    <font>
      <sz val="11"/>
      <color indexed="8"/>
      <name val="Calibri"/>
      <family val="2"/>
    </font>
    <font>
      <b/>
      <sz val="11"/>
      <color indexed="56"/>
      <name val="Calibri"/>
      <family val="2"/>
    </font>
    <font>
      <b/>
      <sz val="11"/>
      <color indexed="8"/>
      <name val="Calibri"/>
      <family val="2"/>
    </font>
    <font>
      <i/>
      <sz val="11"/>
      <color indexed="8"/>
      <name val="Calibri"/>
      <family val="2"/>
    </font>
    <font>
      <sz val="10"/>
      <color indexed="8"/>
      <name val="Calibri"/>
      <family val="2"/>
    </font>
    <font>
      <b/>
      <sz val="10"/>
      <color indexed="8"/>
      <name val="Calibri"/>
      <family val="2"/>
    </font>
    <font>
      <b/>
      <i/>
      <sz val="11"/>
      <color indexed="8"/>
      <name val="Calibri"/>
      <family val="2"/>
    </font>
    <font>
      <sz val="11"/>
      <color indexed="8"/>
      <name val="Arial Narrow"/>
      <family val="2"/>
    </font>
    <font>
      <sz val="10"/>
      <color indexed="8"/>
      <name val="Arial Narrow"/>
      <family val="2"/>
    </font>
    <font>
      <sz val="9"/>
      <color indexed="8"/>
      <name val="Arial Narrow"/>
      <family val="2"/>
    </font>
    <font>
      <b/>
      <i/>
      <sz val="6"/>
      <color indexed="8"/>
      <name val="Arial Narrow"/>
      <family val="2"/>
    </font>
    <font>
      <b/>
      <sz val="11"/>
      <color indexed="8"/>
      <name val="Arial Narrow"/>
      <family val="2"/>
    </font>
    <font>
      <i/>
      <sz val="11"/>
      <color indexed="8"/>
      <name val="Arial Narrow"/>
      <family val="2"/>
    </font>
    <font>
      <b/>
      <i/>
      <sz val="11"/>
      <name val="Calibri"/>
      <family val="2"/>
    </font>
    <font>
      <sz val="11"/>
      <name val="Calibri"/>
      <family val="2"/>
    </font>
    <font>
      <sz val="9"/>
      <color indexed="10"/>
      <name val="Arial Narrow"/>
      <family val="2"/>
    </font>
    <font>
      <b/>
      <sz val="16"/>
      <color indexed="8"/>
      <name val="Arial Narrow"/>
      <family val="2"/>
    </font>
    <font>
      <sz val="16"/>
      <color indexed="8"/>
      <name val="Arial Narrow"/>
      <family val="2"/>
    </font>
    <font>
      <i/>
      <sz val="11"/>
      <name val="Calibri"/>
      <family val="2"/>
    </font>
    <font>
      <b/>
      <sz val="14"/>
      <color indexed="8"/>
      <name val="Calibri"/>
      <family val="2"/>
    </font>
    <font>
      <b/>
      <sz val="10"/>
      <name val="Calibri"/>
      <family val="2"/>
    </font>
    <font>
      <b/>
      <sz val="11"/>
      <name val="Arial Narrow"/>
      <family val="2"/>
    </font>
    <font>
      <b/>
      <sz val="12"/>
      <name val="Book Antiqua"/>
      <family val="1"/>
    </font>
    <font>
      <b/>
      <sz val="10"/>
      <name val="Geneva"/>
      <family val="2"/>
    </font>
    <font>
      <i/>
      <sz val="10"/>
      <name val="Geneva"/>
      <family val="2"/>
    </font>
    <font>
      <sz val="11"/>
      <color indexed="8"/>
      <name val="Calibri"/>
      <family val="2"/>
    </font>
    <font>
      <sz val="11"/>
      <color indexed="9"/>
      <name val="Calibri"/>
      <family val="2"/>
    </font>
    <font>
      <b/>
      <sz val="11"/>
      <color indexed="8"/>
      <name val="Calibri"/>
      <family val="2"/>
    </font>
    <font>
      <sz val="11"/>
      <color indexed="10"/>
      <name val="Calibri"/>
      <family val="2"/>
    </font>
    <font>
      <sz val="11"/>
      <color indexed="9"/>
      <name val="Arial Narrow"/>
      <family val="2"/>
    </font>
    <font>
      <b/>
      <sz val="10"/>
      <color indexed="9"/>
      <name val="Calibri"/>
      <family val="2"/>
    </font>
    <font>
      <sz val="11"/>
      <color indexed="9"/>
      <name val="Calibri"/>
      <family val="2"/>
    </font>
    <font>
      <i/>
      <sz val="11"/>
      <color indexed="8"/>
      <name val="Symbol"/>
      <family val="1"/>
      <charset val="2"/>
    </font>
    <font>
      <sz val="11"/>
      <color indexed="8"/>
      <name val="Symbol"/>
      <family val="1"/>
      <charset val="2"/>
    </font>
    <font>
      <b/>
      <sz val="11"/>
      <color indexed="9"/>
      <name val="Arial Narrow"/>
      <family val="2"/>
    </font>
    <font>
      <sz val="11"/>
      <name val="Calibri"/>
      <family val="2"/>
    </font>
    <font>
      <b/>
      <i/>
      <sz val="11"/>
      <color indexed="8"/>
      <name val="Calibri"/>
      <family val="2"/>
    </font>
    <font>
      <b/>
      <i/>
      <sz val="8"/>
      <color indexed="8"/>
      <name val="Calibri"/>
      <family val="2"/>
    </font>
    <font>
      <i/>
      <sz val="8"/>
      <color indexed="8"/>
      <name val="Calibri"/>
      <family val="2"/>
    </font>
    <font>
      <b/>
      <sz val="10"/>
      <color indexed="55"/>
      <name val="Calibri"/>
      <family val="2"/>
    </font>
    <font>
      <sz val="10"/>
      <color indexed="8"/>
      <name val="Calibri"/>
      <family val="2"/>
    </font>
    <font>
      <b/>
      <sz val="11"/>
      <color indexed="8"/>
      <name val="Symbol"/>
      <family val="1"/>
      <charset val="2"/>
    </font>
  </fonts>
  <fills count="9">
    <fill>
      <patternFill patternType="none"/>
    </fill>
    <fill>
      <patternFill patternType="gray125"/>
    </fill>
    <fill>
      <patternFill patternType="solid">
        <fgColor indexed="51"/>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indexed="13"/>
        <bgColor indexed="64"/>
      </patternFill>
    </fill>
    <fill>
      <patternFill patternType="solid">
        <fgColor indexed="44"/>
        <bgColor indexed="64"/>
      </patternFill>
    </fill>
    <fill>
      <patternFill patternType="solid">
        <fgColor indexed="11"/>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uble">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s>
  <cellStyleXfs count="3">
    <xf numFmtId="0" fontId="0" fillId="0" borderId="0"/>
    <xf numFmtId="166" fontId="26" fillId="0" borderId="0"/>
    <xf numFmtId="9" fontId="26" fillId="0" borderId="0"/>
  </cellStyleXfs>
  <cellXfs count="180">
    <xf numFmtId="0" fontId="0" fillId="0" borderId="0" xfId="0"/>
    <xf numFmtId="9" fontId="0" fillId="0" borderId="0" xfId="0" applyNumberFormat="1"/>
    <xf numFmtId="0" fontId="3" fillId="0" borderId="0" xfId="0" applyFont="1"/>
    <xf numFmtId="0" fontId="4" fillId="0" borderId="0" xfId="0" applyFont="1" applyAlignment="1">
      <alignment horizontal="center"/>
    </xf>
    <xf numFmtId="164" fontId="3" fillId="0" borderId="0" xfId="1" applyNumberFormat="1" applyFont="1"/>
    <xf numFmtId="0" fontId="3" fillId="0" borderId="0" xfId="0" applyFont="1" applyAlignment="1">
      <alignment horizontal="right"/>
    </xf>
    <xf numFmtId="0" fontId="4" fillId="0" borderId="0" xfId="0" applyFont="1"/>
    <xf numFmtId="164" fontId="1" fillId="0" borderId="0" xfId="1" applyNumberFormat="1" applyFont="1"/>
    <xf numFmtId="0" fontId="5" fillId="0" borderId="0" xfId="0" applyFont="1"/>
    <xf numFmtId="0" fontId="7" fillId="0" borderId="0" xfId="0" applyFont="1"/>
    <xf numFmtId="0" fontId="8" fillId="0" borderId="0" xfId="0" applyFont="1"/>
    <xf numFmtId="0" fontId="9" fillId="0" borderId="0" xfId="0" applyFont="1"/>
    <xf numFmtId="0" fontId="10" fillId="0" borderId="0" xfId="0" applyFont="1"/>
    <xf numFmtId="165" fontId="10" fillId="0" borderId="0" xfId="0" applyNumberFormat="1" applyFont="1"/>
    <xf numFmtId="0" fontId="4" fillId="0" borderId="1" xfId="0" applyFont="1" applyBorder="1"/>
    <xf numFmtId="9" fontId="0" fillId="0" borderId="2" xfId="0" applyNumberFormat="1" applyBorder="1"/>
    <xf numFmtId="0" fontId="4" fillId="0" borderId="3" xfId="0" applyFont="1" applyBorder="1"/>
    <xf numFmtId="10" fontId="0" fillId="0" borderId="4" xfId="0" applyNumberFormat="1" applyBorder="1"/>
    <xf numFmtId="0" fontId="4" fillId="0" borderId="5" xfId="0" applyFont="1" applyBorder="1"/>
    <xf numFmtId="9" fontId="0" fillId="0" borderId="6" xfId="0" applyNumberFormat="1" applyBorder="1"/>
    <xf numFmtId="0" fontId="11" fillId="0" borderId="0" xfId="0" applyFont="1"/>
    <xf numFmtId="0" fontId="12" fillId="0" borderId="0" xfId="0" applyFont="1"/>
    <xf numFmtId="164" fontId="8" fillId="0" borderId="0" xfId="1" applyNumberFormat="1" applyFont="1"/>
    <xf numFmtId="0" fontId="13" fillId="0" borderId="0" xfId="0" applyFont="1" applyAlignment="1">
      <alignment horizontal="center"/>
    </xf>
    <xf numFmtId="164" fontId="12" fillId="0" borderId="0" xfId="1" applyNumberFormat="1" applyFont="1"/>
    <xf numFmtId="164" fontId="8" fillId="0" borderId="0" xfId="1" applyNumberFormat="1" applyFont="1" applyAlignment="1">
      <alignment horizontal="center"/>
    </xf>
    <xf numFmtId="164" fontId="9" fillId="0" borderId="0" xfId="1" applyNumberFormat="1" applyFont="1" applyAlignment="1">
      <alignment horizontal="center"/>
    </xf>
    <xf numFmtId="166" fontId="9" fillId="0" borderId="0" xfId="1" applyFont="1" applyAlignment="1">
      <alignment horizontal="center"/>
    </xf>
    <xf numFmtId="0" fontId="12" fillId="0" borderId="0" xfId="0" applyFont="1" applyAlignment="1">
      <alignment horizontal="right"/>
    </xf>
    <xf numFmtId="164" fontId="8" fillId="0" borderId="0" xfId="1" quotePrefix="1" applyNumberFormat="1" applyFont="1"/>
    <xf numFmtId="164" fontId="8" fillId="0" borderId="7" xfId="1" applyNumberFormat="1" applyFont="1" applyBorder="1" applyAlignment="1">
      <alignment horizontal="center"/>
    </xf>
    <xf numFmtId="164" fontId="8" fillId="0" borderId="7" xfId="1" applyNumberFormat="1" applyFont="1" applyBorder="1"/>
    <xf numFmtId="0" fontId="8" fillId="0" borderId="7" xfId="0" applyFont="1" applyBorder="1"/>
    <xf numFmtId="164" fontId="12" fillId="0" borderId="0" xfId="1" applyNumberFormat="1" applyFont="1" applyAlignment="1">
      <alignment horizontal="center"/>
    </xf>
    <xf numFmtId="167" fontId="8" fillId="0" borderId="0" xfId="0" applyNumberFormat="1" applyFont="1"/>
    <xf numFmtId="167" fontId="1" fillId="0" borderId="4" xfId="1" applyNumberFormat="1" applyFont="1" applyBorder="1"/>
    <xf numFmtId="10" fontId="8" fillId="0" borderId="0" xfId="0" applyNumberFormat="1" applyFont="1"/>
    <xf numFmtId="0" fontId="0" fillId="0" borderId="0" xfId="0" applyAlignment="1">
      <alignment horizontal="right"/>
    </xf>
    <xf numFmtId="165" fontId="6" fillId="0" borderId="0" xfId="0" applyNumberFormat="1" applyFont="1"/>
    <xf numFmtId="0" fontId="4" fillId="0" borderId="0" xfId="0" applyFont="1" applyAlignment="1">
      <alignment horizontal="right"/>
    </xf>
    <xf numFmtId="167" fontId="0" fillId="0" borderId="0" xfId="0" applyNumberFormat="1"/>
    <xf numFmtId="0" fontId="14" fillId="2" borderId="0" xfId="0" applyFont="1" applyFill="1"/>
    <xf numFmtId="0" fontId="15" fillId="2" borderId="0" xfId="0" applyFont="1" applyFill="1"/>
    <xf numFmtId="0" fontId="14" fillId="3" borderId="0" xfId="0" applyFont="1" applyFill="1"/>
    <xf numFmtId="0" fontId="15" fillId="3" borderId="0" xfId="0" applyFont="1" applyFill="1"/>
    <xf numFmtId="165" fontId="16" fillId="0" borderId="0" xfId="0" applyNumberFormat="1" applyFont="1"/>
    <xf numFmtId="164" fontId="17" fillId="0" borderId="0" xfId="1" applyNumberFormat="1" applyFont="1"/>
    <xf numFmtId="0" fontId="18" fillId="0" borderId="0" xfId="0" applyFont="1"/>
    <xf numFmtId="0" fontId="3" fillId="0" borderId="8" xfId="0" applyFont="1" applyBorder="1"/>
    <xf numFmtId="0" fontId="0" fillId="0" borderId="9" xfId="0" applyBorder="1"/>
    <xf numFmtId="0" fontId="0" fillId="0" borderId="8" xfId="0" applyBorder="1"/>
    <xf numFmtId="0" fontId="4" fillId="0" borderId="9" xfId="0" applyFont="1" applyBorder="1"/>
    <xf numFmtId="0" fontId="7" fillId="0" borderId="8" xfId="0" applyFont="1" applyBorder="1"/>
    <xf numFmtId="9" fontId="2" fillId="4" borderId="0" xfId="0" applyNumberFormat="1" applyFont="1" applyFill="1" applyAlignment="1">
      <alignment horizontal="center"/>
    </xf>
    <xf numFmtId="167" fontId="2" fillId="4" borderId="0" xfId="0" applyNumberFormat="1" applyFont="1" applyFill="1" applyAlignment="1">
      <alignment horizontal="center"/>
    </xf>
    <xf numFmtId="10" fontId="2" fillId="4" borderId="0" xfId="0" applyNumberFormat="1" applyFont="1" applyFill="1" applyAlignment="1">
      <alignment horizontal="center"/>
    </xf>
    <xf numFmtId="168" fontId="2" fillId="4" borderId="0" xfId="0" applyNumberFormat="1" applyFont="1" applyFill="1" applyAlignment="1">
      <alignment horizontal="center"/>
    </xf>
    <xf numFmtId="168" fontId="2" fillId="4" borderId="0" xfId="2" applyNumberFormat="1" applyFont="1" applyFill="1" applyAlignment="1">
      <alignment horizontal="center"/>
    </xf>
    <xf numFmtId="10" fontId="4" fillId="0" borderId="9" xfId="2" applyNumberFormat="1" applyFont="1" applyBorder="1"/>
    <xf numFmtId="0" fontId="19" fillId="0" borderId="8" xfId="0" applyFont="1" applyBorder="1"/>
    <xf numFmtId="0" fontId="8" fillId="0" borderId="9" xfId="0" applyFont="1" applyBorder="1"/>
    <xf numFmtId="0" fontId="20" fillId="3" borderId="10" xfId="0" applyFont="1" applyFill="1" applyBorder="1"/>
    <xf numFmtId="0" fontId="0" fillId="3" borderId="11" xfId="0" applyFill="1" applyBorder="1"/>
    <xf numFmtId="0" fontId="0" fillId="3" borderId="12" xfId="0" applyFill="1" applyBorder="1"/>
    <xf numFmtId="0" fontId="0" fillId="5" borderId="0" xfId="0" applyFill="1"/>
    <xf numFmtId="0" fontId="8" fillId="5" borderId="0" xfId="0" applyFont="1" applyFill="1"/>
    <xf numFmtId="0" fontId="4" fillId="5" borderId="0" xfId="0" applyFont="1" applyFill="1"/>
    <xf numFmtId="165" fontId="21" fillId="4" borderId="0" xfId="0" applyNumberFormat="1" applyFont="1" applyFill="1"/>
    <xf numFmtId="0" fontId="12" fillId="3" borderId="0" xfId="0" applyFont="1" applyFill="1"/>
    <xf numFmtId="0" fontId="8" fillId="3" borderId="0" xfId="0" applyFont="1" applyFill="1"/>
    <xf numFmtId="164" fontId="8" fillId="3" borderId="0" xfId="1" applyNumberFormat="1" applyFont="1" applyFill="1"/>
    <xf numFmtId="0" fontId="12" fillId="2" borderId="0" xfId="0" applyFont="1" applyFill="1"/>
    <xf numFmtId="0" fontId="8" fillId="2" borderId="0" xfId="0" applyFont="1" applyFill="1"/>
    <xf numFmtId="164" fontId="8" fillId="2" borderId="0" xfId="1" applyNumberFormat="1" applyFont="1" applyFill="1"/>
    <xf numFmtId="166" fontId="8" fillId="0" borderId="0" xfId="0" applyNumberFormat="1" applyFont="1"/>
    <xf numFmtId="164" fontId="30" fillId="0" borderId="0" xfId="1" applyNumberFormat="1" applyFont="1"/>
    <xf numFmtId="165" fontId="31" fillId="0" borderId="0" xfId="0" applyNumberFormat="1" applyFont="1"/>
    <xf numFmtId="164" fontId="32" fillId="0" borderId="0" xfId="1" applyNumberFormat="1" applyFont="1"/>
    <xf numFmtId="167" fontId="27" fillId="0" borderId="0" xfId="0" applyNumberFormat="1" applyFont="1"/>
    <xf numFmtId="169"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xf>
    <xf numFmtId="1" fontId="0" fillId="0" borderId="0" xfId="0" applyNumberFormat="1" applyAlignment="1">
      <alignment horizontal="center"/>
    </xf>
    <xf numFmtId="0" fontId="33" fillId="0" borderId="0" xfId="0" applyFont="1" applyAlignment="1">
      <alignment horizontal="center"/>
    </xf>
    <xf numFmtId="2" fontId="26" fillId="0" borderId="0" xfId="2" applyNumberFormat="1" applyAlignment="1">
      <alignment horizontal="center"/>
    </xf>
    <xf numFmtId="0" fontId="28" fillId="0" borderId="0" xfId="0" applyFont="1"/>
    <xf numFmtId="0" fontId="34" fillId="0" borderId="0" xfId="0" applyFont="1" applyAlignment="1">
      <alignment horizontal="right"/>
    </xf>
    <xf numFmtId="168" fontId="26" fillId="6" borderId="0" xfId="2" applyNumberFormat="1" applyFill="1" applyAlignment="1">
      <alignment horizontal="center"/>
    </xf>
    <xf numFmtId="164" fontId="30" fillId="3" borderId="0" xfId="1" applyNumberFormat="1" applyFont="1" applyFill="1"/>
    <xf numFmtId="164" fontId="12" fillId="3" borderId="0" xfId="1" applyNumberFormat="1" applyFont="1" applyFill="1"/>
    <xf numFmtId="164" fontId="35" fillId="3" borderId="0" xfId="1" applyNumberFormat="1" applyFont="1" applyFill="1"/>
    <xf numFmtId="10" fontId="12" fillId="3" borderId="0" xfId="2" applyNumberFormat="1" applyFont="1" applyFill="1"/>
    <xf numFmtId="170" fontId="28" fillId="0" borderId="0" xfId="0" applyNumberFormat="1" applyFont="1" applyAlignment="1">
      <alignment horizontal="center"/>
    </xf>
    <xf numFmtId="9" fontId="26" fillId="0" borderId="0" xfId="2" applyAlignment="1">
      <alignment horizontal="center"/>
    </xf>
    <xf numFmtId="0" fontId="0" fillId="0" borderId="0" xfId="0" applyAlignment="1">
      <alignment vertical="center"/>
    </xf>
    <xf numFmtId="0" fontId="0" fillId="0" borderId="0" xfId="0" applyAlignment="1">
      <alignment horizontal="center" vertical="center" wrapText="1"/>
    </xf>
    <xf numFmtId="0" fontId="28" fillId="0" borderId="0" xfId="0" applyFont="1" applyAlignment="1">
      <alignment horizontal="center"/>
    </xf>
    <xf numFmtId="0" fontId="0" fillId="3" borderId="0" xfId="0" applyFill="1"/>
    <xf numFmtId="0" fontId="28" fillId="3" borderId="0" xfId="0" applyFont="1" applyFill="1"/>
    <xf numFmtId="0" fontId="28" fillId="3" borderId="0" xfId="0" applyFont="1" applyFill="1" applyAlignment="1">
      <alignment horizontal="center"/>
    </xf>
    <xf numFmtId="9" fontId="29" fillId="0" borderId="0" xfId="2" applyFont="1" applyAlignment="1">
      <alignment horizontal="center"/>
    </xf>
    <xf numFmtId="0" fontId="29" fillId="0" borderId="0" xfId="0" applyFont="1"/>
    <xf numFmtId="0" fontId="0" fillId="0" borderId="0" xfId="0" applyAlignment="1">
      <alignment horizontal="left"/>
    </xf>
    <xf numFmtId="0" fontId="28" fillId="0" borderId="0" xfId="0" applyFont="1" applyAlignment="1">
      <alignment horizontal="left"/>
    </xf>
    <xf numFmtId="0" fontId="23" fillId="0" borderId="0" xfId="0" applyFont="1"/>
    <xf numFmtId="0" fontId="24" fillId="0" borderId="1" xfId="0" applyFont="1" applyBorder="1"/>
    <xf numFmtId="0" fontId="0" fillId="0" borderId="2" xfId="0" applyBorder="1"/>
    <xf numFmtId="0" fontId="0" fillId="0" borderId="3" xfId="0" applyBorder="1"/>
    <xf numFmtId="0" fontId="0" fillId="0" borderId="4" xfId="0" applyBorder="1"/>
    <xf numFmtId="0" fontId="0" fillId="0" borderId="13" xfId="0" applyBorder="1"/>
    <xf numFmtId="171" fontId="0" fillId="0" borderId="4" xfId="0" applyNumberFormat="1" applyBorder="1"/>
    <xf numFmtId="0" fontId="0" fillId="0" borderId="14" xfId="0" applyBorder="1"/>
    <xf numFmtId="0" fontId="0" fillId="0" borderId="5" xfId="0" applyBorder="1"/>
    <xf numFmtId="0" fontId="24" fillId="0" borderId="1" xfId="0" applyFont="1" applyBorder="1" applyAlignment="1">
      <alignment horizontal="left"/>
    </xf>
    <xf numFmtId="0" fontId="0" fillId="0" borderId="2" xfId="0" applyBorder="1" applyAlignment="1">
      <alignment horizontal="centerContinuous"/>
    </xf>
    <xf numFmtId="0" fontId="0" fillId="0" borderId="3" xfId="0" applyBorder="1" applyAlignment="1">
      <alignment horizontal="center"/>
    </xf>
    <xf numFmtId="0" fontId="25" fillId="0" borderId="5" xfId="0" applyFont="1" applyBorder="1" applyAlignment="1">
      <alignment horizontal="center"/>
    </xf>
    <xf numFmtId="171" fontId="0" fillId="0" borderId="6" xfId="0" applyNumberFormat="1" applyBorder="1"/>
    <xf numFmtId="0" fontId="24" fillId="0" borderId="15" xfId="0" applyFont="1" applyBorder="1" applyAlignment="1">
      <alignment horizontal="center"/>
    </xf>
    <xf numFmtId="0" fontId="24" fillId="0" borderId="16" xfId="0" applyFont="1" applyBorder="1" applyAlignment="1">
      <alignment horizontal="left"/>
    </xf>
    <xf numFmtId="164" fontId="26" fillId="0" borderId="0" xfId="1" applyNumberFormat="1" applyAlignment="1">
      <alignment horizontal="center" vertical="center" wrapText="1"/>
    </xf>
    <xf numFmtId="0" fontId="0" fillId="3" borderId="0" xfId="0" applyFill="1" applyAlignment="1">
      <alignment horizontal="center"/>
    </xf>
    <xf numFmtId="0" fontId="28" fillId="0" borderId="0" xfId="0" applyFont="1" applyAlignment="1">
      <alignment horizontal="center" vertical="center"/>
    </xf>
    <xf numFmtId="0" fontId="28" fillId="7" borderId="0" xfId="0" applyFont="1" applyFill="1" applyAlignment="1">
      <alignment horizontal="center" vertical="center"/>
    </xf>
    <xf numFmtId="0" fontId="28" fillId="8" borderId="0" xfId="0" applyFont="1" applyFill="1" applyAlignment="1">
      <alignment vertical="center"/>
    </xf>
    <xf numFmtId="0" fontId="28" fillId="8" borderId="0" xfId="0" applyFont="1" applyFill="1"/>
    <xf numFmtId="0" fontId="28" fillId="0" borderId="0" xfId="0" applyFont="1" applyAlignment="1">
      <alignment horizontal="right"/>
    </xf>
    <xf numFmtId="0" fontId="28" fillId="0" borderId="0" xfId="0" applyFont="1" applyAlignment="1">
      <alignment horizontal="center" vertical="center" wrapText="1"/>
    </xf>
    <xf numFmtId="3" fontId="0" fillId="0" borderId="0" xfId="0" applyNumberFormat="1" applyAlignment="1">
      <alignment horizontal="center" vertical="center" wrapText="1"/>
    </xf>
    <xf numFmtId="3" fontId="28" fillId="0" borderId="0" xfId="0" applyNumberFormat="1" applyFont="1" applyAlignment="1">
      <alignment horizontal="center" vertical="center" wrapText="1"/>
    </xf>
    <xf numFmtId="172" fontId="28" fillId="0" borderId="0" xfId="0" applyNumberFormat="1" applyFont="1" applyAlignment="1">
      <alignment horizontal="center"/>
    </xf>
    <xf numFmtId="0" fontId="0" fillId="0" borderId="17" xfId="0" applyBorder="1"/>
    <xf numFmtId="173" fontId="8" fillId="3" borderId="0" xfId="1" applyNumberFormat="1" applyFont="1" applyFill="1"/>
    <xf numFmtId="168" fontId="29" fillId="0" borderId="0" xfId="2" applyNumberFormat="1" applyFont="1" applyAlignment="1">
      <alignment horizontal="center"/>
    </xf>
    <xf numFmtId="170" fontId="0" fillId="0" borderId="0" xfId="0" applyNumberFormat="1"/>
    <xf numFmtId="1" fontId="36" fillId="0" borderId="4" xfId="0" applyNumberFormat="1" applyFont="1" applyBorder="1"/>
    <xf numFmtId="168" fontId="26" fillId="0" borderId="0" xfId="2" applyNumberFormat="1" applyAlignment="1">
      <alignment horizontal="center"/>
    </xf>
    <xf numFmtId="1" fontId="26" fillId="0" borderId="4" xfId="2" applyNumberFormat="1" applyBorder="1"/>
    <xf numFmtId="170" fontId="26" fillId="0" borderId="4" xfId="2" applyNumberFormat="1" applyBorder="1"/>
    <xf numFmtId="10" fontId="26" fillId="6" borderId="0" xfId="2" applyNumberFormat="1" applyFill="1" applyAlignment="1">
      <alignment horizontal="center"/>
    </xf>
    <xf numFmtId="10" fontId="26" fillId="6" borderId="9" xfId="2" applyNumberFormat="1" applyFill="1" applyBorder="1" applyAlignment="1">
      <alignment horizontal="center"/>
    </xf>
    <xf numFmtId="10" fontId="37" fillId="0" borderId="0" xfId="2" applyNumberFormat="1" applyFont="1" applyAlignment="1">
      <alignment horizontal="center"/>
    </xf>
    <xf numFmtId="168" fontId="36" fillId="0" borderId="6" xfId="0" applyNumberFormat="1" applyFont="1" applyBorder="1"/>
    <xf numFmtId="10" fontId="26" fillId="0" borderId="0" xfId="2" applyNumberFormat="1" applyAlignment="1">
      <alignment horizontal="center"/>
    </xf>
    <xf numFmtId="174" fontId="0" fillId="0" borderId="0" xfId="0" applyNumberFormat="1"/>
    <xf numFmtId="0" fontId="38" fillId="0" borderId="0" xfId="0" applyFont="1" applyAlignment="1">
      <alignment horizontal="right"/>
    </xf>
    <xf numFmtId="0" fontId="39" fillId="0" borderId="0" xfId="0" applyFont="1"/>
    <xf numFmtId="174" fontId="28" fillId="0" borderId="0" xfId="0" applyNumberFormat="1" applyFont="1" applyAlignment="1">
      <alignment horizontal="center"/>
    </xf>
    <xf numFmtId="175" fontId="0" fillId="0" borderId="0" xfId="0" applyNumberFormat="1" applyAlignment="1">
      <alignment horizontal="center"/>
    </xf>
    <xf numFmtId="0" fontId="33" fillId="0" borderId="0" xfId="0" applyFont="1" applyAlignment="1">
      <alignment horizontal="right"/>
    </xf>
    <xf numFmtId="165" fontId="40" fillId="0" borderId="0" xfId="0" applyNumberFormat="1" applyFont="1"/>
    <xf numFmtId="0" fontId="24" fillId="0" borderId="0" xfId="0" applyFont="1"/>
    <xf numFmtId="0" fontId="24" fillId="0" borderId="0" xfId="0" applyFont="1" applyAlignment="1">
      <alignment horizontal="left"/>
    </xf>
    <xf numFmtId="0" fontId="24" fillId="0" borderId="0" xfId="0" applyFont="1" applyAlignment="1">
      <alignment horizontal="center"/>
    </xf>
    <xf numFmtId="1" fontId="36" fillId="0" borderId="0" xfId="0" applyNumberFormat="1" applyFont="1"/>
    <xf numFmtId="171" fontId="0" fillId="0" borderId="0" xfId="0" applyNumberFormat="1"/>
    <xf numFmtId="1" fontId="26" fillId="0" borderId="0" xfId="2" applyNumberFormat="1"/>
    <xf numFmtId="170" fontId="26" fillId="0" borderId="0" xfId="2" applyNumberFormat="1"/>
    <xf numFmtId="168" fontId="36" fillId="0" borderId="0" xfId="0" applyNumberFormat="1" applyFont="1"/>
    <xf numFmtId="0" fontId="0" fillId="0" borderId="0" xfId="0" applyAlignment="1">
      <alignment horizontal="centerContinuous"/>
    </xf>
    <xf numFmtId="0" fontId="25" fillId="0" borderId="0" xfId="0" applyFont="1" applyAlignment="1">
      <alignment horizontal="center"/>
    </xf>
    <xf numFmtId="176" fontId="28" fillId="0" borderId="0" xfId="0" applyNumberFormat="1" applyFont="1" applyAlignment="1">
      <alignment horizontal="center"/>
    </xf>
    <xf numFmtId="2" fontId="0" fillId="0" borderId="0" xfId="0" applyNumberFormat="1"/>
    <xf numFmtId="168" fontId="26" fillId="0" borderId="0" xfId="2" applyNumberFormat="1"/>
    <xf numFmtId="0" fontId="41" fillId="0" borderId="0" xfId="0" applyFont="1" applyAlignment="1">
      <alignment horizontal="center"/>
    </xf>
    <xf numFmtId="0" fontId="42" fillId="0" borderId="0" xfId="0" applyFont="1" applyAlignment="1">
      <alignment horizontal="right"/>
    </xf>
    <xf numFmtId="168" fontId="28" fillId="0" borderId="0" xfId="2" applyNumberFormat="1" applyFont="1" applyAlignment="1">
      <alignment horizontal="center"/>
    </xf>
    <xf numFmtId="164" fontId="8" fillId="0" borderId="0" xfId="0" applyNumberFormat="1" applyFont="1"/>
    <xf numFmtId="10" fontId="28" fillId="0" borderId="0" xfId="2" applyNumberFormat="1" applyFont="1" applyAlignment="1">
      <alignment horizontal="center"/>
    </xf>
    <xf numFmtId="171" fontId="0" fillId="0" borderId="0" xfId="0" applyNumberFormat="1" applyAlignment="1">
      <alignment horizontal="center"/>
    </xf>
    <xf numFmtId="43" fontId="8" fillId="0" borderId="0" xfId="1" applyNumberFormat="1" applyFont="1"/>
    <xf numFmtId="166" fontId="8" fillId="0" borderId="0" xfId="1" applyFont="1"/>
    <xf numFmtId="10" fontId="12" fillId="0" borderId="0" xfId="0" applyNumberFormat="1" applyFont="1"/>
    <xf numFmtId="1" fontId="0" fillId="0" borderId="0" xfId="0" applyNumberFormat="1"/>
    <xf numFmtId="164" fontId="0" fillId="0" borderId="0" xfId="1" applyNumberFormat="1" applyFont="1" applyAlignment="1">
      <alignment horizontal="center"/>
    </xf>
    <xf numFmtId="168" fontId="0" fillId="0" borderId="0" xfId="0" applyNumberFormat="1"/>
    <xf numFmtId="0" fontId="8" fillId="0" borderId="0" xfId="0" applyFont="1" applyAlignment="1">
      <alignment horizontal="right"/>
    </xf>
    <xf numFmtId="0" fontId="12" fillId="3" borderId="0" xfId="0" applyFont="1" applyFill="1" applyAlignment="1">
      <alignment horizontal="right"/>
    </xf>
    <xf numFmtId="4" fontId="22" fillId="3" borderId="0" xfId="1" applyNumberFormat="1" applyFont="1" applyFill="1"/>
    <xf numFmtId="9" fontId="26" fillId="0" borderId="0" xfId="2"/>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prstDash val="solid"/>
            </a:ln>
          </c:spPr>
          <c:marker>
            <c:symbol val="none"/>
          </c:marker>
          <c:dPt>
            <c:idx val="0"/>
            <c:marker>
              <c:symbol val="diamond"/>
              <c:size val="7"/>
              <c:spPr>
                <a:noFill/>
                <a:ln>
                  <a:prstDash val="solid"/>
                </a:ln>
              </c:spPr>
            </c:marker>
            <c:bubble3D val="0"/>
            <c:spPr>
              <a:ln>
                <a:prstDash val="solid"/>
              </a:ln>
            </c:spPr>
            <c:extLst>
              <c:ext xmlns:c16="http://schemas.microsoft.com/office/drawing/2014/chart" uri="{C3380CC4-5D6E-409C-BE32-E72D297353CC}">
                <c16:uniqueId val="{00000001-BD3C-8141-8E9E-23EADD41033D}"/>
              </c:ext>
            </c:extLst>
          </c:dPt>
          <c:dPt>
            <c:idx val="1"/>
            <c:marker>
              <c:symbol val="circle"/>
              <c:size val="7"/>
              <c:spPr>
                <a:noFill/>
                <a:ln>
                  <a:prstDash val="solid"/>
                </a:ln>
              </c:spPr>
            </c:marker>
            <c:bubble3D val="0"/>
            <c:spPr>
              <a:ln>
                <a:prstDash val="solid"/>
              </a:ln>
            </c:spPr>
            <c:extLst>
              <c:ext xmlns:c16="http://schemas.microsoft.com/office/drawing/2014/chart" uri="{C3380CC4-5D6E-409C-BE32-E72D297353CC}">
                <c16:uniqueId val="{00000003-BD3C-8141-8E9E-23EADD41033D}"/>
              </c:ext>
            </c:extLst>
          </c:dPt>
          <c:dPt>
            <c:idx val="2"/>
            <c:marker>
              <c:symbol val="square"/>
              <c:size val="7"/>
              <c:spPr>
                <a:noFill/>
                <a:ln>
                  <a:prstDash val="solid"/>
                </a:ln>
              </c:spPr>
            </c:marker>
            <c:bubble3D val="0"/>
            <c:spPr>
              <a:ln>
                <a:prstDash val="solid"/>
              </a:ln>
            </c:spPr>
            <c:extLst>
              <c:ext xmlns:c16="http://schemas.microsoft.com/office/drawing/2014/chart" uri="{C3380CC4-5D6E-409C-BE32-E72D297353CC}">
                <c16:uniqueId val="{00000005-BD3C-8141-8E9E-23EADD41033D}"/>
              </c:ext>
            </c:extLst>
          </c:dPt>
          <c:xVal>
            <c:numRef>
              <c:f>'DNPV Graph'!$E$4:$E$6</c:f>
              <c:numCache>
                <c:formatCode>General</c:formatCode>
                <c:ptCount val="3"/>
                <c:pt idx="0">
                  <c:v>13.7</c:v>
                </c:pt>
                <c:pt idx="1">
                  <c:v>13.7</c:v>
                </c:pt>
                <c:pt idx="2">
                  <c:v>16</c:v>
                </c:pt>
              </c:numCache>
            </c:numRef>
          </c:xVal>
          <c:yVal>
            <c:numRef>
              <c:f>'DNPV Graph'!$F$4:$F$6</c:f>
              <c:numCache>
                <c:formatCode>General</c:formatCode>
                <c:ptCount val="3"/>
                <c:pt idx="0">
                  <c:v>12.8</c:v>
                </c:pt>
                <c:pt idx="1">
                  <c:v>17.5</c:v>
                </c:pt>
                <c:pt idx="2">
                  <c:v>24</c:v>
                </c:pt>
              </c:numCache>
            </c:numRef>
          </c:yVal>
          <c:smooth val="0"/>
          <c:extLst>
            <c:ext xmlns:c16="http://schemas.microsoft.com/office/drawing/2014/chart" uri="{C3380CC4-5D6E-409C-BE32-E72D297353CC}">
              <c16:uniqueId val="{00000006-BD3C-8141-8E9E-23EADD41033D}"/>
            </c:ext>
          </c:extLst>
        </c:ser>
        <c:ser>
          <c:idx val="1"/>
          <c:order val="1"/>
          <c:spPr>
            <a:ln w="9525">
              <a:prstDash val="sysDot"/>
            </a:ln>
          </c:spPr>
          <c:marker>
            <c:symbol val="none"/>
          </c:marker>
          <c:xVal>
            <c:numRef>
              <c:f>'DNPV Graph'!$E$8:$E$9</c:f>
              <c:numCache>
                <c:formatCode>General</c:formatCode>
                <c:ptCount val="2"/>
                <c:pt idx="0">
                  <c:v>0</c:v>
                </c:pt>
                <c:pt idx="1">
                  <c:v>25</c:v>
                </c:pt>
              </c:numCache>
            </c:numRef>
          </c:xVal>
          <c:yVal>
            <c:numRef>
              <c:f>'DNPV Graph'!$F$8:$F$9</c:f>
              <c:numCache>
                <c:formatCode>General</c:formatCode>
                <c:ptCount val="2"/>
                <c:pt idx="0">
                  <c:v>0</c:v>
                </c:pt>
                <c:pt idx="1">
                  <c:v>25</c:v>
                </c:pt>
              </c:numCache>
            </c:numRef>
          </c:yVal>
          <c:smooth val="0"/>
          <c:extLst>
            <c:ext xmlns:c16="http://schemas.microsoft.com/office/drawing/2014/chart" uri="{C3380CC4-5D6E-409C-BE32-E72D297353CC}">
              <c16:uniqueId val="{00000007-BD3C-8141-8E9E-23EADD41033D}"/>
            </c:ext>
          </c:extLst>
        </c:ser>
        <c:dLbls>
          <c:showLegendKey val="0"/>
          <c:showVal val="0"/>
          <c:showCatName val="0"/>
          <c:showSerName val="0"/>
          <c:showPercent val="0"/>
          <c:showBubbleSize val="0"/>
        </c:dLbls>
        <c:axId val="127040128"/>
        <c:axId val="127042304"/>
      </c:scatterChart>
      <c:valAx>
        <c:axId val="127040128"/>
        <c:scaling>
          <c:orientation val="minMax"/>
          <c:max val="25"/>
          <c:min val="0"/>
        </c:scaling>
        <c:delete val="0"/>
        <c:axPos val="b"/>
        <c:title>
          <c:tx>
            <c:rich>
              <a:bodyPr/>
              <a:lstStyle/>
              <a:p>
                <a:pPr>
                  <a:defRPr sz="1400"/>
                </a:pPr>
                <a:r>
                  <a:rPr lang="en-US" sz="1400"/>
                  <a:t>NPV (Millions)</a:t>
                </a:r>
              </a:p>
            </c:rich>
          </c:tx>
          <c:overlay val="0"/>
          <c:spPr>
            <a:noFill/>
            <a:ln w="25400">
              <a:noFill/>
              <a:prstDash val="solid"/>
            </a:ln>
          </c:spPr>
        </c:title>
        <c:numFmt formatCode="General" sourceLinked="1"/>
        <c:majorTickMark val="out"/>
        <c:minorTickMark val="none"/>
        <c:tickLblPos val="nextTo"/>
        <c:txPr>
          <a:bodyPr rot="0" vert="horz"/>
          <a:lstStyle/>
          <a:p>
            <a:pPr>
              <a:defRPr sz="1400" b="1" i="0" strike="noStrike" baseline="0">
                <a:solidFill>
                  <a:srgbClr val="000000"/>
                </a:solidFill>
                <a:latin typeface="Calibri"/>
                <a:ea typeface="Calibri"/>
                <a:cs typeface="Calibri"/>
              </a:defRPr>
            </a:pPr>
            <a:endParaRPr lang="en-US"/>
          </a:p>
        </c:txPr>
        <c:crossAx val="127042304"/>
        <c:crosses val="autoZero"/>
        <c:crossBetween val="midCat"/>
      </c:valAx>
      <c:valAx>
        <c:axId val="127042304"/>
        <c:scaling>
          <c:orientation val="minMax"/>
          <c:max val="25"/>
        </c:scaling>
        <c:delete val="0"/>
        <c:axPos val="l"/>
        <c:majorGridlines/>
        <c:title>
          <c:tx>
            <c:rich>
              <a:bodyPr rot="-5400000" vert="horz"/>
              <a:lstStyle/>
              <a:p>
                <a:pPr>
                  <a:defRPr sz="1400"/>
                </a:pPr>
                <a:r>
                  <a:rPr lang="en-US" sz="1400"/>
                  <a:t>DNPV (millions)</a:t>
                </a:r>
              </a:p>
            </c:rich>
          </c:tx>
          <c:overlay val="0"/>
          <c:spPr>
            <a:noFill/>
            <a:ln w="25400">
              <a:noFill/>
              <a:prstDash val="solid"/>
            </a:ln>
          </c:spPr>
        </c:title>
        <c:numFmt formatCode="General" sourceLinked="1"/>
        <c:majorTickMark val="out"/>
        <c:minorTickMark val="none"/>
        <c:tickLblPos val="nextTo"/>
        <c:txPr>
          <a:bodyPr/>
          <a:lstStyle/>
          <a:p>
            <a:pPr>
              <a:defRPr sz="1400" b="1"/>
            </a:pPr>
            <a:endParaRPr lang="en-US"/>
          </a:p>
        </c:txPr>
        <c:crossAx val="1270401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85876837649629"/>
          <c:y val="3.9560002916302128E-2"/>
          <c:w val="0.7566789555929786"/>
          <c:h val="0.72125036453776614"/>
        </c:manualLayout>
      </c:layout>
      <c:scatterChart>
        <c:scatterStyle val="lineMarker"/>
        <c:varyColors val="0"/>
        <c:ser>
          <c:idx val="0"/>
          <c:order val="0"/>
          <c:spPr>
            <a:ln w="28575">
              <a:noFill/>
              <a:prstDash val="solid"/>
            </a:ln>
          </c:spPr>
          <c:marker>
            <c:symbol val="none"/>
          </c:marker>
          <c:dPt>
            <c:idx val="0"/>
            <c:marker>
              <c:symbol val="diamond"/>
              <c:size val="7"/>
              <c:spPr>
                <a:noFill/>
                <a:ln>
                  <a:prstDash val="solid"/>
                </a:ln>
              </c:spPr>
            </c:marker>
            <c:bubble3D val="0"/>
            <c:spPr>
              <a:ln>
                <a:prstDash val="solid"/>
              </a:ln>
            </c:spPr>
            <c:extLst>
              <c:ext xmlns:c16="http://schemas.microsoft.com/office/drawing/2014/chart" uri="{C3380CC4-5D6E-409C-BE32-E72D297353CC}">
                <c16:uniqueId val="{00000001-FAE6-1544-BBFB-2F50687D183B}"/>
              </c:ext>
            </c:extLst>
          </c:dPt>
          <c:dPt>
            <c:idx val="1"/>
            <c:marker>
              <c:symbol val="circle"/>
              <c:size val="7"/>
              <c:spPr>
                <a:noFill/>
                <a:ln>
                  <a:prstDash val="solid"/>
                </a:ln>
              </c:spPr>
            </c:marker>
            <c:bubble3D val="0"/>
            <c:spPr>
              <a:ln>
                <a:prstDash val="solid"/>
              </a:ln>
            </c:spPr>
            <c:extLst>
              <c:ext xmlns:c16="http://schemas.microsoft.com/office/drawing/2014/chart" uri="{C3380CC4-5D6E-409C-BE32-E72D297353CC}">
                <c16:uniqueId val="{00000003-FAE6-1544-BBFB-2F50687D183B}"/>
              </c:ext>
            </c:extLst>
          </c:dPt>
          <c:dPt>
            <c:idx val="2"/>
            <c:marker>
              <c:symbol val="square"/>
              <c:size val="7"/>
              <c:spPr>
                <a:noFill/>
                <a:ln>
                  <a:prstDash val="solid"/>
                </a:ln>
              </c:spPr>
            </c:marker>
            <c:bubble3D val="0"/>
            <c:spPr>
              <a:ln>
                <a:prstDash val="solid"/>
              </a:ln>
            </c:spPr>
            <c:extLst>
              <c:ext xmlns:c16="http://schemas.microsoft.com/office/drawing/2014/chart" uri="{C3380CC4-5D6E-409C-BE32-E72D297353CC}">
                <c16:uniqueId val="{00000005-FAE6-1544-BBFB-2F50687D183B}"/>
              </c:ext>
            </c:extLst>
          </c:dPt>
          <c:xVal>
            <c:numRef>
              <c:f>'DNPV Graph'!$E$13:$E$15</c:f>
              <c:numCache>
                <c:formatCode>General</c:formatCode>
                <c:ptCount val="3"/>
                <c:pt idx="0">
                  <c:v>-0.30000000000000071</c:v>
                </c:pt>
                <c:pt idx="1">
                  <c:v>-0.30000000000000071</c:v>
                </c:pt>
                <c:pt idx="2">
                  <c:v>2</c:v>
                </c:pt>
              </c:numCache>
            </c:numRef>
          </c:xVal>
          <c:yVal>
            <c:numRef>
              <c:f>'DNPV Graph'!$F$13:$F$15</c:f>
              <c:numCache>
                <c:formatCode>General</c:formatCode>
                <c:ptCount val="3"/>
                <c:pt idx="0">
                  <c:v>-1.1999999999999993</c:v>
                </c:pt>
                <c:pt idx="1">
                  <c:v>3.5</c:v>
                </c:pt>
                <c:pt idx="2">
                  <c:v>10</c:v>
                </c:pt>
              </c:numCache>
            </c:numRef>
          </c:yVal>
          <c:smooth val="0"/>
          <c:extLst>
            <c:ext xmlns:c16="http://schemas.microsoft.com/office/drawing/2014/chart" uri="{C3380CC4-5D6E-409C-BE32-E72D297353CC}">
              <c16:uniqueId val="{00000006-FAE6-1544-BBFB-2F50687D183B}"/>
            </c:ext>
          </c:extLst>
        </c:ser>
        <c:ser>
          <c:idx val="1"/>
          <c:order val="1"/>
          <c:spPr>
            <a:ln w="9525">
              <a:prstDash val="sysDot"/>
            </a:ln>
          </c:spPr>
          <c:marker>
            <c:symbol val="none"/>
          </c:marker>
          <c:xVal>
            <c:numRef>
              <c:f>'DNPV Graph'!$E$17:$E$18</c:f>
              <c:numCache>
                <c:formatCode>General</c:formatCode>
                <c:ptCount val="2"/>
                <c:pt idx="0">
                  <c:v>-5</c:v>
                </c:pt>
                <c:pt idx="1">
                  <c:v>15</c:v>
                </c:pt>
              </c:numCache>
            </c:numRef>
          </c:xVal>
          <c:yVal>
            <c:numRef>
              <c:f>'DNPV Graph'!$F$17:$F$18</c:f>
              <c:numCache>
                <c:formatCode>General</c:formatCode>
                <c:ptCount val="2"/>
                <c:pt idx="0">
                  <c:v>-5</c:v>
                </c:pt>
                <c:pt idx="1">
                  <c:v>15</c:v>
                </c:pt>
              </c:numCache>
            </c:numRef>
          </c:yVal>
          <c:smooth val="0"/>
          <c:extLst>
            <c:ext xmlns:c16="http://schemas.microsoft.com/office/drawing/2014/chart" uri="{C3380CC4-5D6E-409C-BE32-E72D297353CC}">
              <c16:uniqueId val="{00000007-FAE6-1544-BBFB-2F50687D183B}"/>
            </c:ext>
          </c:extLst>
        </c:ser>
        <c:dLbls>
          <c:showLegendKey val="0"/>
          <c:showVal val="0"/>
          <c:showCatName val="0"/>
          <c:showSerName val="0"/>
          <c:showPercent val="0"/>
          <c:showBubbleSize val="0"/>
        </c:dLbls>
        <c:axId val="127068416"/>
        <c:axId val="127537536"/>
      </c:scatterChart>
      <c:valAx>
        <c:axId val="127068416"/>
        <c:scaling>
          <c:orientation val="minMax"/>
          <c:max val="15"/>
          <c:min val="-5"/>
        </c:scaling>
        <c:delete val="0"/>
        <c:axPos val="b"/>
        <c:title>
          <c:tx>
            <c:rich>
              <a:bodyPr/>
              <a:lstStyle/>
              <a:p>
                <a:pPr>
                  <a:defRPr sz="1400"/>
                </a:pPr>
                <a:r>
                  <a:rPr lang="en-US" sz="1400"/>
                  <a:t>NPV (Millions)</a:t>
                </a:r>
              </a:p>
            </c:rich>
          </c:tx>
          <c:overlay val="0"/>
          <c:spPr>
            <a:noFill/>
            <a:ln w="25400">
              <a:noFill/>
              <a:prstDash val="solid"/>
            </a:ln>
          </c:spPr>
        </c:title>
        <c:numFmt formatCode="General" sourceLinked="1"/>
        <c:majorTickMark val="out"/>
        <c:minorTickMark val="none"/>
        <c:tickLblPos val="nextTo"/>
        <c:txPr>
          <a:bodyPr rot="0" vert="horz"/>
          <a:lstStyle/>
          <a:p>
            <a:pPr>
              <a:defRPr sz="1400" b="1" i="0" strike="noStrike" baseline="0">
                <a:solidFill>
                  <a:srgbClr val="000000"/>
                </a:solidFill>
                <a:latin typeface="Calibri"/>
                <a:ea typeface="Calibri"/>
                <a:cs typeface="Calibri"/>
              </a:defRPr>
            </a:pPr>
            <a:endParaRPr lang="en-US"/>
          </a:p>
        </c:txPr>
        <c:crossAx val="127537536"/>
        <c:crosses val="autoZero"/>
        <c:crossBetween val="midCat"/>
        <c:majorUnit val="10"/>
      </c:valAx>
      <c:valAx>
        <c:axId val="127537536"/>
        <c:scaling>
          <c:orientation val="minMax"/>
          <c:max val="15"/>
          <c:min val="-5"/>
        </c:scaling>
        <c:delete val="0"/>
        <c:axPos val="l"/>
        <c:majorGridlines/>
        <c:title>
          <c:tx>
            <c:rich>
              <a:bodyPr rot="-5400000" vert="horz"/>
              <a:lstStyle/>
              <a:p>
                <a:pPr>
                  <a:defRPr sz="1400"/>
                </a:pPr>
                <a:r>
                  <a:rPr lang="en-US" sz="1400"/>
                  <a:t>DNPV (millions)</a:t>
                </a:r>
              </a:p>
            </c:rich>
          </c:tx>
          <c:overlay val="0"/>
          <c:spPr>
            <a:noFill/>
            <a:ln w="25400">
              <a:noFill/>
              <a:prstDash val="solid"/>
            </a:ln>
          </c:spPr>
        </c:title>
        <c:numFmt formatCode="General" sourceLinked="1"/>
        <c:majorTickMark val="out"/>
        <c:minorTickMark val="none"/>
        <c:tickLblPos val="nextTo"/>
        <c:txPr>
          <a:bodyPr/>
          <a:lstStyle/>
          <a:p>
            <a:pPr>
              <a:defRPr sz="1400" b="1"/>
            </a:pPr>
            <a:endParaRPr lang="en-US"/>
          </a:p>
        </c:txPr>
        <c:crossAx val="127068416"/>
        <c:crosses val="autoZero"/>
        <c:crossBetween val="midCat"/>
        <c:majorUnit val="5"/>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PDF of </a:t>
            </a:r>
            <a:r>
              <a:rPr lang="en-US" sz="1800" b="1" i="0" strike="noStrike" baseline="0"/>
              <a:t>Radiation &lt; P50</a:t>
            </a:r>
            <a:endParaRPr lang="en-US"/>
          </a:p>
        </c:rich>
      </c:tx>
      <c:overlay val="0"/>
      <c:spPr>
        <a:noFill/>
        <a:ln w="25400">
          <a:noFill/>
          <a:prstDash val="solid"/>
        </a:ln>
      </c:spPr>
    </c:title>
    <c:autoTitleDeleted val="0"/>
    <c:plotArea>
      <c:layout>
        <c:manualLayout>
          <c:layoutTarget val="inner"/>
          <c:xMode val="edge"/>
          <c:yMode val="edge"/>
          <c:x val="2.9728075035396699E-2"/>
          <c:y val="0.16251166520851559"/>
          <c:w val="0.86931714785651792"/>
          <c:h val="0.74465660542432199"/>
        </c:manualLayout>
      </c:layout>
      <c:scatterChart>
        <c:scatterStyle val="lineMarker"/>
        <c:varyColors val="0"/>
        <c:ser>
          <c:idx val="0"/>
          <c:order val="0"/>
          <c:spPr>
            <a:ln>
              <a:prstDash val="solid"/>
            </a:ln>
          </c:spPr>
          <c:marker>
            <c:symbol val="none"/>
          </c:marker>
          <c:xVal>
            <c:numRef>
              <c:f>'CG of Radiation Loss'!$H$5:$H$220</c:f>
              <c:numCache>
                <c:formatCode>General</c:formatCode>
                <c:ptCount val="216"/>
                <c:pt idx="0">
                  <c:v>0</c:v>
                </c:pt>
                <c:pt idx="1">
                  <c:v>-2.5000000000000001E-2</c:v>
                </c:pt>
                <c:pt idx="2">
                  <c:v>-0.05</c:v>
                </c:pt>
                <c:pt idx="3">
                  <c:v>-7.5000000000000011E-2</c:v>
                </c:pt>
                <c:pt idx="4">
                  <c:v>-0.1</c:v>
                </c:pt>
                <c:pt idx="5">
                  <c:v>-0.125</c:v>
                </c:pt>
                <c:pt idx="6">
                  <c:v>-0.15</c:v>
                </c:pt>
                <c:pt idx="7">
                  <c:v>-0.17499999999999999</c:v>
                </c:pt>
                <c:pt idx="8">
                  <c:v>-0.19999999999999998</c:v>
                </c:pt>
                <c:pt idx="9">
                  <c:v>-0.22499999999999998</c:v>
                </c:pt>
                <c:pt idx="10">
                  <c:v>-0.24999999999999997</c:v>
                </c:pt>
                <c:pt idx="11">
                  <c:v>-0.27499999999999997</c:v>
                </c:pt>
                <c:pt idx="12">
                  <c:v>-0.3</c:v>
                </c:pt>
                <c:pt idx="13">
                  <c:v>-0.32500000000000001</c:v>
                </c:pt>
                <c:pt idx="14">
                  <c:v>-0.35000000000000003</c:v>
                </c:pt>
                <c:pt idx="15">
                  <c:v>-0.37500000000000006</c:v>
                </c:pt>
                <c:pt idx="16">
                  <c:v>-0.40000000000000008</c:v>
                </c:pt>
                <c:pt idx="17">
                  <c:v>-0.4250000000000001</c:v>
                </c:pt>
                <c:pt idx="18">
                  <c:v>-0.45000000000000012</c:v>
                </c:pt>
                <c:pt idx="19">
                  <c:v>-0.47500000000000014</c:v>
                </c:pt>
                <c:pt idx="20">
                  <c:v>-0.50000000000000011</c:v>
                </c:pt>
                <c:pt idx="21">
                  <c:v>-0.52500000000000013</c:v>
                </c:pt>
                <c:pt idx="22">
                  <c:v>-0.55000000000000016</c:v>
                </c:pt>
                <c:pt idx="23">
                  <c:v>-0.57500000000000018</c:v>
                </c:pt>
                <c:pt idx="24">
                  <c:v>-0.6000000000000002</c:v>
                </c:pt>
                <c:pt idx="25">
                  <c:v>-0.62500000000000022</c:v>
                </c:pt>
                <c:pt idx="26">
                  <c:v>-0.65000000000000024</c:v>
                </c:pt>
                <c:pt idx="27">
                  <c:v>-0.67500000000000027</c:v>
                </c:pt>
                <c:pt idx="28">
                  <c:v>-0.70000000000000029</c:v>
                </c:pt>
                <c:pt idx="29">
                  <c:v>-0.72500000000000031</c:v>
                </c:pt>
                <c:pt idx="30">
                  <c:v>-0.75000000000000033</c:v>
                </c:pt>
                <c:pt idx="31">
                  <c:v>-0.77500000000000036</c:v>
                </c:pt>
                <c:pt idx="32">
                  <c:v>-0.80000000000000038</c:v>
                </c:pt>
                <c:pt idx="33">
                  <c:v>-0.8250000000000004</c:v>
                </c:pt>
                <c:pt idx="34">
                  <c:v>-0.85000000000000042</c:v>
                </c:pt>
                <c:pt idx="35">
                  <c:v>-0.87500000000000044</c:v>
                </c:pt>
                <c:pt idx="36">
                  <c:v>-0.90000000000000047</c:v>
                </c:pt>
                <c:pt idx="37">
                  <c:v>-0.92500000000000049</c:v>
                </c:pt>
                <c:pt idx="38">
                  <c:v>-0.95000000000000051</c:v>
                </c:pt>
                <c:pt idx="39">
                  <c:v>-0.97500000000000053</c:v>
                </c:pt>
                <c:pt idx="40">
                  <c:v>-1.0000000000000004</c:v>
                </c:pt>
                <c:pt idx="41">
                  <c:v>-1.0250000000000004</c:v>
                </c:pt>
                <c:pt idx="42">
                  <c:v>-1.0500000000000003</c:v>
                </c:pt>
                <c:pt idx="43">
                  <c:v>-1.0750000000000002</c:v>
                </c:pt>
                <c:pt idx="44">
                  <c:v>-1.1000000000000001</c:v>
                </c:pt>
                <c:pt idx="45">
                  <c:v>-1.125</c:v>
                </c:pt>
                <c:pt idx="46">
                  <c:v>-1.1499999999999999</c:v>
                </c:pt>
                <c:pt idx="47">
                  <c:v>-1.1749999999999998</c:v>
                </c:pt>
                <c:pt idx="48">
                  <c:v>-1.1999999999999997</c:v>
                </c:pt>
                <c:pt idx="49">
                  <c:v>-1.2249999999999996</c:v>
                </c:pt>
                <c:pt idx="50">
                  <c:v>-1.2499999999999996</c:v>
                </c:pt>
                <c:pt idx="51">
                  <c:v>-1.2749999999999995</c:v>
                </c:pt>
                <c:pt idx="52">
                  <c:v>-1.2999999999999994</c:v>
                </c:pt>
                <c:pt idx="53">
                  <c:v>-1.3249999999999993</c:v>
                </c:pt>
                <c:pt idx="54">
                  <c:v>-1.3499999999999992</c:v>
                </c:pt>
                <c:pt idx="55">
                  <c:v>-1.3749999999999991</c:v>
                </c:pt>
                <c:pt idx="56">
                  <c:v>-1.399999999999999</c:v>
                </c:pt>
                <c:pt idx="57">
                  <c:v>-1.4249999999999989</c:v>
                </c:pt>
                <c:pt idx="58">
                  <c:v>-1.4499999999999988</c:v>
                </c:pt>
                <c:pt idx="59">
                  <c:v>-1.4749999999999988</c:v>
                </c:pt>
                <c:pt idx="60">
                  <c:v>-1.4999999999999987</c:v>
                </c:pt>
                <c:pt idx="61">
                  <c:v>-1.5249999999999986</c:v>
                </c:pt>
                <c:pt idx="62">
                  <c:v>-1.5499999999999985</c:v>
                </c:pt>
                <c:pt idx="63">
                  <c:v>-1.5749999999999984</c:v>
                </c:pt>
                <c:pt idx="64">
                  <c:v>-1.5999999999999983</c:v>
                </c:pt>
                <c:pt idx="65">
                  <c:v>-1.6249999999999982</c:v>
                </c:pt>
                <c:pt idx="66">
                  <c:v>-1.6499999999999981</c:v>
                </c:pt>
                <c:pt idx="67">
                  <c:v>-1.674999999999998</c:v>
                </c:pt>
                <c:pt idx="68">
                  <c:v>-1.699999999999998</c:v>
                </c:pt>
                <c:pt idx="69">
                  <c:v>-1.7249999999999979</c:v>
                </c:pt>
                <c:pt idx="70">
                  <c:v>-1.7499999999999978</c:v>
                </c:pt>
                <c:pt idx="71">
                  <c:v>-1.7749999999999977</c:v>
                </c:pt>
                <c:pt idx="72">
                  <c:v>-1.7999999999999976</c:v>
                </c:pt>
                <c:pt idx="73">
                  <c:v>-1.8249999999999975</c:v>
                </c:pt>
                <c:pt idx="74">
                  <c:v>-1.8499999999999974</c:v>
                </c:pt>
                <c:pt idx="75">
                  <c:v>-1.8749999999999973</c:v>
                </c:pt>
                <c:pt idx="76">
                  <c:v>-1.8999999999999972</c:v>
                </c:pt>
                <c:pt idx="77">
                  <c:v>-1.9249999999999972</c:v>
                </c:pt>
                <c:pt idx="78">
                  <c:v>-1.9499999999999971</c:v>
                </c:pt>
                <c:pt idx="79">
                  <c:v>-1.974999999999997</c:v>
                </c:pt>
                <c:pt idx="80">
                  <c:v>-1.9999999999999969</c:v>
                </c:pt>
                <c:pt idx="81">
                  <c:v>-2.0249999999999968</c:v>
                </c:pt>
                <c:pt idx="82">
                  <c:v>-2.0499999999999967</c:v>
                </c:pt>
                <c:pt idx="83">
                  <c:v>-2.0749999999999966</c:v>
                </c:pt>
                <c:pt idx="84">
                  <c:v>-2.0999999999999965</c:v>
                </c:pt>
                <c:pt idx="85">
                  <c:v>-2.1249999999999964</c:v>
                </c:pt>
                <c:pt idx="86">
                  <c:v>-2.1499999999999964</c:v>
                </c:pt>
                <c:pt idx="87">
                  <c:v>-2.1749999999999963</c:v>
                </c:pt>
                <c:pt idx="88">
                  <c:v>-2.1999999999999962</c:v>
                </c:pt>
                <c:pt idx="89">
                  <c:v>-2.2249999999999961</c:v>
                </c:pt>
                <c:pt idx="90">
                  <c:v>-2.249999999999996</c:v>
                </c:pt>
                <c:pt idx="91">
                  <c:v>-2.2749999999999959</c:v>
                </c:pt>
                <c:pt idx="92">
                  <c:v>-2.2999999999999958</c:v>
                </c:pt>
                <c:pt idx="93">
                  <c:v>-2.3249999999999957</c:v>
                </c:pt>
                <c:pt idx="94">
                  <c:v>-2.3499999999999956</c:v>
                </c:pt>
                <c:pt idx="95">
                  <c:v>-2.3749999999999956</c:v>
                </c:pt>
                <c:pt idx="96">
                  <c:v>-2.3999999999999955</c:v>
                </c:pt>
                <c:pt idx="97">
                  <c:v>-2.4249999999999954</c:v>
                </c:pt>
                <c:pt idx="98">
                  <c:v>-2.4499999999999953</c:v>
                </c:pt>
                <c:pt idx="99">
                  <c:v>-2.4749999999999952</c:v>
                </c:pt>
                <c:pt idx="100">
                  <c:v>-2.4999999999999951</c:v>
                </c:pt>
                <c:pt idx="101">
                  <c:v>-2.524999999999995</c:v>
                </c:pt>
                <c:pt idx="102">
                  <c:v>-2.5499999999999949</c:v>
                </c:pt>
                <c:pt idx="103">
                  <c:v>-2.5749999999999948</c:v>
                </c:pt>
                <c:pt idx="104">
                  <c:v>-2.5999999999999948</c:v>
                </c:pt>
                <c:pt idx="105">
                  <c:v>-2.6249999999999947</c:v>
                </c:pt>
                <c:pt idx="106">
                  <c:v>-2.6499999999999946</c:v>
                </c:pt>
                <c:pt idx="107">
                  <c:v>-2.6749999999999945</c:v>
                </c:pt>
                <c:pt idx="108">
                  <c:v>-2.6999999999999944</c:v>
                </c:pt>
                <c:pt idx="109">
                  <c:v>-2.7249999999999943</c:v>
                </c:pt>
                <c:pt idx="110">
                  <c:v>-2.7499999999999942</c:v>
                </c:pt>
                <c:pt idx="111">
                  <c:v>-2.7749999999999941</c:v>
                </c:pt>
                <c:pt idx="112">
                  <c:v>-2.799999999999994</c:v>
                </c:pt>
                <c:pt idx="113">
                  <c:v>-2.824999999999994</c:v>
                </c:pt>
                <c:pt idx="114">
                  <c:v>-2.8499999999999939</c:v>
                </c:pt>
                <c:pt idx="115">
                  <c:v>-2.8749999999999938</c:v>
                </c:pt>
                <c:pt idx="116">
                  <c:v>-2.8999999999999937</c:v>
                </c:pt>
                <c:pt idx="117">
                  <c:v>-2.9249999999999936</c:v>
                </c:pt>
                <c:pt idx="118">
                  <c:v>-2.9499999999999935</c:v>
                </c:pt>
                <c:pt idx="119">
                  <c:v>-2.9749999999999934</c:v>
                </c:pt>
                <c:pt idx="120">
                  <c:v>-2.9999999999999933</c:v>
                </c:pt>
                <c:pt idx="121">
                  <c:v>-3.0249999999999932</c:v>
                </c:pt>
                <c:pt idx="122">
                  <c:v>-3.0499999999999932</c:v>
                </c:pt>
                <c:pt idx="123">
                  <c:v>-3.0749999999999931</c:v>
                </c:pt>
                <c:pt idx="124">
                  <c:v>-3.099999999999993</c:v>
                </c:pt>
                <c:pt idx="125">
                  <c:v>-3.1249999999999929</c:v>
                </c:pt>
                <c:pt idx="126">
                  <c:v>-3.1499999999999928</c:v>
                </c:pt>
                <c:pt idx="127">
                  <c:v>-3.1749999999999927</c:v>
                </c:pt>
                <c:pt idx="128">
                  <c:v>-3.1999999999999926</c:v>
                </c:pt>
                <c:pt idx="129">
                  <c:v>-3.2249999999999925</c:v>
                </c:pt>
                <c:pt idx="130">
                  <c:v>-3.2499999999999925</c:v>
                </c:pt>
                <c:pt idx="131">
                  <c:v>-3.2749999999999924</c:v>
                </c:pt>
                <c:pt idx="132">
                  <c:v>-3.2999999999999923</c:v>
                </c:pt>
                <c:pt idx="133">
                  <c:v>-3.3249999999999922</c:v>
                </c:pt>
                <c:pt idx="134">
                  <c:v>-3.3499999999999921</c:v>
                </c:pt>
                <c:pt idx="135">
                  <c:v>-3.374999999999992</c:v>
                </c:pt>
                <c:pt idx="136">
                  <c:v>-3.3999999999999919</c:v>
                </c:pt>
                <c:pt idx="137">
                  <c:v>-3.4249999999999918</c:v>
                </c:pt>
                <c:pt idx="138">
                  <c:v>-3.4499999999999917</c:v>
                </c:pt>
                <c:pt idx="139">
                  <c:v>-3.4749999999999917</c:v>
                </c:pt>
                <c:pt idx="140">
                  <c:v>-3.4999999999999916</c:v>
                </c:pt>
                <c:pt idx="141">
                  <c:v>-3.5249999999999915</c:v>
                </c:pt>
                <c:pt idx="142">
                  <c:v>-3.5499999999999914</c:v>
                </c:pt>
                <c:pt idx="143">
                  <c:v>-3.5749999999999913</c:v>
                </c:pt>
                <c:pt idx="144">
                  <c:v>-3.5999999999999912</c:v>
                </c:pt>
                <c:pt idx="145">
                  <c:v>-3.6249999999999911</c:v>
                </c:pt>
                <c:pt idx="146">
                  <c:v>-3.649999999999991</c:v>
                </c:pt>
                <c:pt idx="147">
                  <c:v>-3.6749999999999909</c:v>
                </c:pt>
                <c:pt idx="148">
                  <c:v>-3.6999999999999909</c:v>
                </c:pt>
                <c:pt idx="149">
                  <c:v>-3.7249999999999908</c:v>
                </c:pt>
                <c:pt idx="150">
                  <c:v>-3.7499999999999907</c:v>
                </c:pt>
                <c:pt idx="151">
                  <c:v>-3.7749999999999906</c:v>
                </c:pt>
                <c:pt idx="152">
                  <c:v>-3.7999999999999905</c:v>
                </c:pt>
                <c:pt idx="153">
                  <c:v>-3.8249999999999904</c:v>
                </c:pt>
                <c:pt idx="154">
                  <c:v>-3.8499999999999903</c:v>
                </c:pt>
                <c:pt idx="155">
                  <c:v>-3.8749999999999902</c:v>
                </c:pt>
                <c:pt idx="156">
                  <c:v>-3.8999999999999901</c:v>
                </c:pt>
                <c:pt idx="157">
                  <c:v>-3.9249999999999901</c:v>
                </c:pt>
                <c:pt idx="158">
                  <c:v>-3.94999999999999</c:v>
                </c:pt>
                <c:pt idx="159">
                  <c:v>-3.9749999999999899</c:v>
                </c:pt>
                <c:pt idx="160">
                  <c:v>-3.9999999999999898</c:v>
                </c:pt>
                <c:pt idx="161">
                  <c:v>-4.0249999999999897</c:v>
                </c:pt>
                <c:pt idx="162">
                  <c:v>-4.0499999999999901</c:v>
                </c:pt>
                <c:pt idx="163">
                  <c:v>-4.0749999999999904</c:v>
                </c:pt>
                <c:pt idx="164">
                  <c:v>-4.0999999999999908</c:v>
                </c:pt>
                <c:pt idx="165">
                  <c:v>-4.1249999999999911</c:v>
                </c:pt>
                <c:pt idx="166">
                  <c:v>-4.1499999999999915</c:v>
                </c:pt>
                <c:pt idx="167">
                  <c:v>-4.1749999999999918</c:v>
                </c:pt>
                <c:pt idx="168">
                  <c:v>-4.1999999999999922</c:v>
                </c:pt>
                <c:pt idx="169">
                  <c:v>-4.2249999999999925</c:v>
                </c:pt>
                <c:pt idx="170">
                  <c:v>-4.2499999999999929</c:v>
                </c:pt>
                <c:pt idx="171">
                  <c:v>-4.2749999999999932</c:v>
                </c:pt>
                <c:pt idx="172">
                  <c:v>-4.2999999999999936</c:v>
                </c:pt>
                <c:pt idx="173">
                  <c:v>-4.324999999999994</c:v>
                </c:pt>
                <c:pt idx="174">
                  <c:v>-4.3499999999999943</c:v>
                </c:pt>
                <c:pt idx="175">
                  <c:v>-4.3749999999999947</c:v>
                </c:pt>
                <c:pt idx="176">
                  <c:v>-4.399999999999995</c:v>
                </c:pt>
                <c:pt idx="177">
                  <c:v>-4.4249999999999954</c:v>
                </c:pt>
                <c:pt idx="178">
                  <c:v>-4.4499999999999957</c:v>
                </c:pt>
                <c:pt idx="179">
                  <c:v>-4.4749999999999961</c:v>
                </c:pt>
                <c:pt idx="180">
                  <c:v>-4.4999999999999964</c:v>
                </c:pt>
                <c:pt idx="181">
                  <c:v>-4.5249999999999968</c:v>
                </c:pt>
                <c:pt idx="182">
                  <c:v>-4.5499999999999972</c:v>
                </c:pt>
                <c:pt idx="183">
                  <c:v>-4.5749999999999975</c:v>
                </c:pt>
                <c:pt idx="184">
                  <c:v>-4.5999999999999979</c:v>
                </c:pt>
                <c:pt idx="185">
                  <c:v>-4.6249999999999982</c:v>
                </c:pt>
                <c:pt idx="186">
                  <c:v>-4.6499999999999986</c:v>
                </c:pt>
                <c:pt idx="187">
                  <c:v>-4.6749999999999989</c:v>
                </c:pt>
                <c:pt idx="188">
                  <c:v>-4.6999999999999993</c:v>
                </c:pt>
                <c:pt idx="189">
                  <c:v>-4.7249999999999996</c:v>
                </c:pt>
                <c:pt idx="190">
                  <c:v>-4.75</c:v>
                </c:pt>
                <c:pt idx="191">
                  <c:v>-4.7750000000000004</c:v>
                </c:pt>
                <c:pt idx="192">
                  <c:v>-4.8000000000000007</c:v>
                </c:pt>
                <c:pt idx="193">
                  <c:v>-4.8250000000000011</c:v>
                </c:pt>
                <c:pt idx="194">
                  <c:v>-4.8500000000000014</c:v>
                </c:pt>
                <c:pt idx="195">
                  <c:v>-4.8750000000000018</c:v>
                </c:pt>
                <c:pt idx="196">
                  <c:v>-4.9000000000000021</c:v>
                </c:pt>
                <c:pt idx="197">
                  <c:v>-4.9250000000000025</c:v>
                </c:pt>
                <c:pt idx="198">
                  <c:v>-4.9500000000000028</c:v>
                </c:pt>
                <c:pt idx="199">
                  <c:v>-4.9750000000000032</c:v>
                </c:pt>
                <c:pt idx="200">
                  <c:v>-5.0000000000000036</c:v>
                </c:pt>
                <c:pt idx="201">
                  <c:v>-5.0250000000000039</c:v>
                </c:pt>
                <c:pt idx="202">
                  <c:v>-5.0500000000000043</c:v>
                </c:pt>
                <c:pt idx="203">
                  <c:v>-5.0750000000000046</c:v>
                </c:pt>
                <c:pt idx="204">
                  <c:v>-5.100000000000005</c:v>
                </c:pt>
                <c:pt idx="205">
                  <c:v>-5.1250000000000053</c:v>
                </c:pt>
                <c:pt idx="206">
                  <c:v>-5.1500000000000057</c:v>
                </c:pt>
                <c:pt idx="207">
                  <c:v>-5.175000000000006</c:v>
                </c:pt>
                <c:pt idx="208">
                  <c:v>-5.2000000000000064</c:v>
                </c:pt>
                <c:pt idx="209">
                  <c:v>-5.2250000000000068</c:v>
                </c:pt>
                <c:pt idx="210">
                  <c:v>-5.2500000000000071</c:v>
                </c:pt>
                <c:pt idx="211">
                  <c:v>-5.2750000000000075</c:v>
                </c:pt>
                <c:pt idx="212">
                  <c:v>-5.3000000000000078</c:v>
                </c:pt>
                <c:pt idx="213">
                  <c:v>-5.3250000000000082</c:v>
                </c:pt>
                <c:pt idx="214">
                  <c:v>-5.3500000000000085</c:v>
                </c:pt>
                <c:pt idx="215">
                  <c:v>-5.3750000000000089</c:v>
                </c:pt>
              </c:numCache>
            </c:numRef>
          </c:xVal>
          <c:yVal>
            <c:numRef>
              <c:f>'CG of Radiation Loss'!$I$5:$I$220</c:f>
              <c:numCache>
                <c:formatCode>General</c:formatCode>
                <c:ptCount val="216"/>
                <c:pt idx="0">
                  <c:v>0.3989422804014327</c:v>
                </c:pt>
                <c:pt idx="1">
                  <c:v>0.3988176304163818</c:v>
                </c:pt>
                <c:pt idx="2">
                  <c:v>0.39844391409476404</c:v>
                </c:pt>
                <c:pt idx="3">
                  <c:v>0.39782183160749712</c:v>
                </c:pt>
                <c:pt idx="4">
                  <c:v>0.39695254747701181</c:v>
                </c:pt>
                <c:pt idx="5">
                  <c:v>0.39583768694474952</c:v>
                </c:pt>
                <c:pt idx="6">
                  <c:v>0.39447933090788895</c:v>
                </c:pt>
                <c:pt idx="7">
                  <c:v>0.39288000944737927</c:v>
                </c:pt>
                <c:pt idx="8">
                  <c:v>0.39104269397545588</c:v>
                </c:pt>
                <c:pt idx="9">
                  <c:v>0.38897078803674945</c:v>
                </c:pt>
                <c:pt idx="10">
                  <c:v>0.38666811680284924</c:v>
                </c:pt>
                <c:pt idx="11">
                  <c:v>0.38413891530570476</c:v>
                </c:pt>
                <c:pt idx="12">
                  <c:v>0.38138781546052414</c:v>
                </c:pt>
                <c:pt idx="13">
                  <c:v>0.37841983193381945</c:v>
                </c:pt>
                <c:pt idx="14">
                  <c:v>0.37524034691693792</c:v>
                </c:pt>
                <c:pt idx="15">
                  <c:v>0.37185509386976895</c:v>
                </c:pt>
                <c:pt idx="16">
                  <c:v>0.36827014030332333</c:v>
                </c:pt>
                <c:pt idx="17">
                  <c:v>0.36449186967350644</c:v>
                </c:pt>
                <c:pt idx="18">
                  <c:v>0.36052696246164795</c:v>
                </c:pt>
                <c:pt idx="19">
                  <c:v>0.35638237652018323</c:v>
                </c:pt>
                <c:pt idx="20">
                  <c:v>0.35206532676429947</c:v>
                </c:pt>
                <c:pt idx="21">
                  <c:v>0.34758326429234804</c:v>
                </c:pt>
                <c:pt idx="22">
                  <c:v>0.3429438550193839</c:v>
                </c:pt>
                <c:pt idx="23">
                  <c:v>0.33815495790931138</c:v>
                </c:pt>
                <c:pt idx="24">
                  <c:v>0.33322460289179962</c:v>
                </c:pt>
                <c:pt idx="25">
                  <c:v>0.32816096855037502</c:v>
                </c:pt>
                <c:pt idx="26">
                  <c:v>0.32297235966791427</c:v>
                </c:pt>
                <c:pt idx="27">
                  <c:v>0.31766718471514821</c:v>
                </c:pt>
                <c:pt idx="28">
                  <c:v>0.31225393336676122</c:v>
                </c:pt>
                <c:pt idx="29">
                  <c:v>0.30674115412823993</c:v>
                </c:pt>
                <c:pt idx="30">
                  <c:v>0.30113743215480432</c:v>
                </c:pt>
                <c:pt idx="31">
                  <c:v>0.29545136734156291</c:v>
                </c:pt>
                <c:pt idx="32">
                  <c:v>0.28969155276148267</c:v>
                </c:pt>
                <c:pt idx="33">
                  <c:v>0.28386655352488721</c:v>
                </c:pt>
                <c:pt idx="34">
                  <c:v>0.27798488613099637</c:v>
                </c:pt>
                <c:pt idx="35">
                  <c:v>0.27205499837854341</c:v>
                </c:pt>
                <c:pt idx="36">
                  <c:v>0.26608524989875476</c:v>
                </c:pt>
                <c:pt idx="37">
                  <c:v>0.26008389336999554</c:v>
                </c:pt>
                <c:pt idx="38">
                  <c:v>0.25405905646918892</c:v>
                </c:pt>
                <c:pt idx="39">
                  <c:v>0.24801872461073701</c:v>
                </c:pt>
                <c:pt idx="40">
                  <c:v>0.24197072451914328</c:v>
                </c:pt>
                <c:pt idx="41">
                  <c:v>0.23592270867687243</c:v>
                </c:pt>
                <c:pt idx="42">
                  <c:v>0.22988214068423296</c:v>
                </c:pt>
                <c:pt idx="43">
                  <c:v>0.22385628156323945</c:v>
                </c:pt>
                <c:pt idx="44">
                  <c:v>0.21785217703255053</c:v>
                </c:pt>
                <c:pt idx="45">
                  <c:v>0.21187664577569948</c:v>
                </c:pt>
                <c:pt idx="46">
                  <c:v>0.20593626871997478</c:v>
                </c:pt>
                <c:pt idx="47">
                  <c:v>0.20003737933848778</c:v>
                </c:pt>
                <c:pt idx="48">
                  <c:v>0.19418605498321304</c:v>
                </c:pt>
                <c:pt idx="49">
                  <c:v>0.1883881092521264</c:v>
                </c:pt>
                <c:pt idx="50">
                  <c:v>0.182649085389022</c:v>
                </c:pt>
                <c:pt idx="51">
                  <c:v>0.17697425071017983</c:v>
                </c:pt>
                <c:pt idx="52">
                  <c:v>0.17136859204780749</c:v>
                </c:pt>
                <c:pt idx="53">
                  <c:v>0.16583681219610488</c:v>
                </c:pt>
                <c:pt idx="54">
                  <c:v>0.16038332734191976</c:v>
                </c:pt>
                <c:pt idx="55">
                  <c:v>0.15501226545829339</c:v>
                </c:pt>
                <c:pt idx="56">
                  <c:v>0.14972746563574507</c:v>
                </c:pt>
                <c:pt idx="57">
                  <c:v>0.14453247832293309</c:v>
                </c:pt>
                <c:pt idx="58">
                  <c:v>0.13943056644536053</c:v>
                </c:pt>
                <c:pt idx="59">
                  <c:v>0.13442470736807935</c:v>
                </c:pt>
                <c:pt idx="60">
                  <c:v>0.12951759566589199</c:v>
                </c:pt>
                <c:pt idx="61">
                  <c:v>0.12471164666235747</c:v>
                </c:pt>
                <c:pt idx="62">
                  <c:v>0.12000900069698586</c:v>
                </c:pt>
                <c:pt idx="63">
                  <c:v>0.11541152807835028</c:v>
                </c:pt>
                <c:pt idx="64">
                  <c:v>0.11092083467945585</c:v>
                </c:pt>
                <c:pt idx="65">
                  <c:v>0.10653826813058538</c:v>
                </c:pt>
                <c:pt idx="66">
                  <c:v>0.10226492456397832</c:v>
                </c:pt>
                <c:pt idx="67">
                  <c:v>9.8101655864098136E-2</c:v>
                </c:pt>
                <c:pt idx="68">
                  <c:v>9.4049077376887252E-2</c:v>
                </c:pt>
                <c:pt idx="69">
                  <c:v>9.0107576031298431E-2</c:v>
                </c:pt>
                <c:pt idx="70">
                  <c:v>8.6277318826511851E-2</c:v>
                </c:pt>
                <c:pt idx="71">
                  <c:v>8.2558261638591951E-2</c:v>
                </c:pt>
                <c:pt idx="72">
                  <c:v>7.895015830089451E-2</c:v>
                </c:pt>
                <c:pt idx="73">
                  <c:v>7.5452569913290551E-2</c:v>
                </c:pt>
                <c:pt idx="74">
                  <c:v>7.2064874336218332E-2</c:v>
                </c:pt>
                <c:pt idx="75">
                  <c:v>6.8786275826692236E-2</c:v>
                </c:pt>
                <c:pt idx="76">
                  <c:v>6.5615814774676942E-2</c:v>
                </c:pt>
                <c:pt idx="77">
                  <c:v>6.2552377499660333E-2</c:v>
                </c:pt>
                <c:pt idx="78">
                  <c:v>5.9594706068816408E-2</c:v>
                </c:pt>
                <c:pt idx="79">
                  <c:v>5.674140809982435E-2</c:v>
                </c:pt>
                <c:pt idx="80">
                  <c:v>5.3990966513188389E-2</c:v>
                </c:pt>
                <c:pt idx="81">
                  <c:v>5.1341749200769796E-2</c:v>
                </c:pt>
                <c:pt idx="82">
                  <c:v>4.8792018579183097E-2</c:v>
                </c:pt>
                <c:pt idx="83">
                  <c:v>4.6339940998709563E-2</c:v>
                </c:pt>
                <c:pt idx="84">
                  <c:v>4.3983595980427524E-2</c:v>
                </c:pt>
                <c:pt idx="85">
                  <c:v>4.1720985256338924E-2</c:v>
                </c:pt>
                <c:pt idx="86">
                  <c:v>3.9550041589370519E-2</c:v>
                </c:pt>
                <c:pt idx="87">
                  <c:v>3.7468637352234081E-2</c:v>
                </c:pt>
                <c:pt idx="88">
                  <c:v>3.5474592846231737E-2</c:v>
                </c:pt>
                <c:pt idx="89">
                  <c:v>3.3565684343177839E-2</c:v>
                </c:pt>
                <c:pt idx="90">
                  <c:v>3.1739651835667702E-2</c:v>
                </c:pt>
                <c:pt idx="91">
                  <c:v>2.9994206482945578E-2</c:v>
                </c:pt>
                <c:pt idx="92">
                  <c:v>2.8327037741601453E-2</c:v>
                </c:pt>
                <c:pt idx="93">
                  <c:v>2.6735820172248501E-2</c:v>
                </c:pt>
                <c:pt idx="94">
                  <c:v>2.5218219915194649E-2</c:v>
                </c:pt>
                <c:pt idx="95">
                  <c:v>2.3771900829914056E-2</c:v>
                </c:pt>
                <c:pt idx="96">
                  <c:v>2.2394530294843142E-2</c:v>
                </c:pt>
                <c:pt idx="97">
                  <c:v>2.1083784665664341E-2</c:v>
                </c:pt>
                <c:pt idx="98">
                  <c:v>1.9837354391795549E-2</c:v>
                </c:pt>
                <c:pt idx="99">
                  <c:v>1.8652948792270131E-2</c:v>
                </c:pt>
                <c:pt idx="100">
                  <c:v>1.7528300493568749E-2</c:v>
                </c:pt>
                <c:pt idx="101">
                  <c:v>1.6461169533247475E-2</c:v>
                </c:pt>
                <c:pt idx="102">
                  <c:v>1.5449347134395374E-2</c:v>
                </c:pt>
                <c:pt idx="103">
                  <c:v>1.4490659157048637E-2</c:v>
                </c:pt>
                <c:pt idx="104">
                  <c:v>1.3582969233685802E-2</c:v>
                </c:pt>
                <c:pt idx="105">
                  <c:v>1.2724181596831608E-2</c:v>
                </c:pt>
                <c:pt idx="106">
                  <c:v>1.1912243607605349E-2</c:v>
                </c:pt>
                <c:pt idx="107">
                  <c:v>1.1145147994764971E-2</c:v>
                </c:pt>
                <c:pt idx="108">
                  <c:v>1.0420934814422753E-2</c:v>
                </c:pt>
                <c:pt idx="109">
                  <c:v>9.7376931411441506E-3</c:v>
                </c:pt>
                <c:pt idx="110">
                  <c:v>9.0935625015911986E-3</c:v>
                </c:pt>
                <c:pt idx="111">
                  <c:v>8.4867340622388557E-3</c:v>
                </c:pt>
                <c:pt idx="112">
                  <c:v>7.9154515829800935E-3</c:v>
                </c:pt>
                <c:pt idx="113">
                  <c:v>7.3780121486469175E-3</c:v>
                </c:pt>
                <c:pt idx="114">
                  <c:v>6.8727666906140926E-3</c:v>
                </c:pt>
                <c:pt idx="115">
                  <c:v>6.3981203107236701E-3</c:v>
                </c:pt>
                <c:pt idx="116">
                  <c:v>5.9525324197759648E-3</c:v>
                </c:pt>
                <c:pt idx="117">
                  <c:v>5.5345167027806052E-3</c:v>
                </c:pt>
                <c:pt idx="118">
                  <c:v>5.1426409230540399E-3</c:v>
                </c:pt>
                <c:pt idx="119">
                  <c:v>4.7755265770916518E-3</c:v>
                </c:pt>
                <c:pt idx="120">
                  <c:v>4.4318484119380934E-3</c:v>
                </c:pt>
                <c:pt idx="121">
                  <c:v>4.1103338165326443E-3</c:v>
                </c:pt>
                <c:pt idx="122">
                  <c:v>3.809762098221888E-3</c:v>
                </c:pt>
                <c:pt idx="123">
                  <c:v>3.528963655313837E-3</c:v>
                </c:pt>
                <c:pt idx="124">
                  <c:v>3.2668190561999911E-3</c:v>
                </c:pt>
                <c:pt idx="125">
                  <c:v>3.0222580351988233E-3</c:v>
                </c:pt>
                <c:pt idx="126">
                  <c:v>2.7942584148795092E-3</c:v>
                </c:pt>
                <c:pt idx="127">
                  <c:v>2.5818449642122775E-3</c:v>
                </c:pt>
                <c:pt idx="128">
                  <c:v>2.3840882014648994E-3</c:v>
                </c:pt>
                <c:pt idx="129">
                  <c:v>2.200103150327184E-3</c:v>
                </c:pt>
                <c:pt idx="130">
                  <c:v>2.0290480572998184E-3</c:v>
                </c:pt>
                <c:pt idx="131">
                  <c:v>1.8701230779336968E-3</c:v>
                </c:pt>
                <c:pt idx="132">
                  <c:v>1.7225689390537239E-3</c:v>
                </c:pt>
                <c:pt idx="133">
                  <c:v>1.5856655836494979E-3</c:v>
                </c:pt>
                <c:pt idx="134">
                  <c:v>1.4587308046667849E-3</c:v>
                </c:pt>
                <c:pt idx="135">
                  <c:v>1.3411188734904135E-3</c:v>
                </c:pt>
                <c:pt idx="136">
                  <c:v>1.2322191684730527E-3</c:v>
                </c:pt>
                <c:pt idx="137">
                  <c:v>1.1314548084372395E-3</c:v>
                </c:pt>
                <c:pt idx="138">
                  <c:v>1.0382812956614409E-3</c:v>
                </c:pt>
                <c:pt idx="139">
                  <c:v>9.5218517245629732E-4</c:v>
                </c:pt>
                <c:pt idx="140">
                  <c:v>8.7268269504578574E-4</c:v>
                </c:pt>
                <c:pt idx="141">
                  <c:v>7.9931852809077817E-4</c:v>
                </c:pt>
                <c:pt idx="142">
                  <c:v>7.3166446283033301E-4</c:v>
                </c:pt>
                <c:pt idx="143">
                  <c:v>6.6931816146967825E-4</c:v>
                </c:pt>
                <c:pt idx="144">
                  <c:v>6.1190193011379141E-4</c:v>
                </c:pt>
                <c:pt idx="145">
                  <c:v>5.5906152223218276E-4</c:v>
                </c:pt>
                <c:pt idx="146">
                  <c:v>5.104649743442024E-4</c:v>
                </c:pt>
                <c:pt idx="147">
                  <c:v>4.6580147533505236E-4</c:v>
                </c:pt>
                <c:pt idx="148">
                  <c:v>4.2478027055076613E-4</c:v>
                </c:pt>
                <c:pt idx="149">
                  <c:v>3.8712960157560243E-4</c:v>
                </c:pt>
                <c:pt idx="150">
                  <c:v>3.525956823674576E-4</c:v>
                </c:pt>
                <c:pt idx="151">
                  <c:v>3.2094171221575197E-4</c:v>
                </c:pt>
                <c:pt idx="152">
                  <c:v>2.9194692579147063E-4</c:v>
                </c:pt>
                <c:pt idx="153">
                  <c:v>2.6540568038023818E-4</c:v>
                </c:pt>
                <c:pt idx="154">
                  <c:v>2.4112658022600245E-4</c:v>
                </c:pt>
                <c:pt idx="155">
                  <c:v>2.1893163776462047E-4</c:v>
                </c:pt>
                <c:pt idx="156">
                  <c:v>1.9865547139278028E-4</c:v>
                </c:pt>
                <c:pt idx="157">
                  <c:v>1.8014453929769567E-4</c:v>
                </c:pt>
                <c:pt idx="158">
                  <c:v>1.6325640876624852E-4</c:v>
                </c:pt>
                <c:pt idx="159">
                  <c:v>1.4785906029807951E-4</c:v>
                </c:pt>
                <c:pt idx="160">
                  <c:v>1.3383022576489084E-4</c:v>
                </c:pt>
                <c:pt idx="161">
                  <c:v>1.2105675978724956E-4</c:v>
                </c:pt>
                <c:pt idx="162">
                  <c:v>1.0943404343980503E-4</c:v>
                </c:pt>
                <c:pt idx="163">
                  <c:v>9.8865419345373052E-5</c:v>
                </c:pt>
                <c:pt idx="164">
                  <c:v>8.9261657177136262E-5</c:v>
                </c:pt>
                <c:pt idx="165">
                  <c:v>8.054044855559715E-5</c:v>
                </c:pt>
                <c:pt idx="166">
                  <c:v>7.2625930302255048E-5</c:v>
                </c:pt>
                <c:pt idx="167">
                  <c:v>6.5448234994622991E-5</c:v>
                </c:pt>
                <c:pt idx="168">
                  <c:v>5.894306775654184E-5</c:v>
                </c:pt>
                <c:pt idx="169">
                  <c:v>5.305130821319595E-5</c:v>
                </c:pt>
                <c:pt idx="170">
                  <c:v>4.7718636541206395E-5</c:v>
                </c:pt>
                <c:pt idx="171">
                  <c:v>4.2895182550128498E-5</c:v>
                </c:pt>
                <c:pt idx="172">
                  <c:v>3.8535196742088159E-5</c:v>
                </c:pt>
                <c:pt idx="173">
                  <c:v>3.4596742310649857E-5</c:v>
                </c:pt>
                <c:pt idx="174">
                  <c:v>3.1041407057850985E-5</c:v>
                </c:pt>
                <c:pt idx="175">
                  <c:v>2.7834034229215523E-5</c:v>
                </c:pt>
                <c:pt idx="176">
                  <c:v>2.4942471290054108E-5</c:v>
                </c:pt>
                <c:pt idx="177">
                  <c:v>2.2337335692076468E-5</c:v>
                </c:pt>
                <c:pt idx="178">
                  <c:v>1.9991796706923181E-5</c:v>
                </c:pt>
                <c:pt idx="179">
                  <c:v>1.7881372432324655E-5</c:v>
                </c:pt>
                <c:pt idx="180">
                  <c:v>1.5983741106905729E-5</c:v>
                </c:pt>
                <c:pt idx="181">
                  <c:v>1.4278565900888E-5</c:v>
                </c:pt>
                <c:pt idx="182">
                  <c:v>1.2747332381833601E-5</c:v>
                </c:pt>
                <c:pt idx="183">
                  <c:v>1.1373197886886796E-5</c:v>
                </c:pt>
                <c:pt idx="184">
                  <c:v>1.014085206548685E-5</c:v>
                </c:pt>
                <c:pt idx="185">
                  <c:v>9.036387889051453E-6</c:v>
                </c:pt>
                <c:pt idx="186">
                  <c:v>8.0471824564923511E-6</c:v>
                </c:pt>
                <c:pt idx="187">
                  <c:v>7.1617869564679648E-6</c:v>
                </c:pt>
                <c:pt idx="188">
                  <c:v>6.3698251788671238E-6</c:v>
                </c:pt>
                <c:pt idx="189">
                  <c:v>5.6618999990348584E-6</c:v>
                </c:pt>
                <c:pt idx="190">
                  <c:v>5.0295072885924454E-6</c:v>
                </c:pt>
                <c:pt idx="191">
                  <c:v>4.4649567362846312E-6</c:v>
                </c:pt>
                <c:pt idx="192">
                  <c:v>3.9612990910320609E-6</c:v>
                </c:pt>
                <c:pt idx="193">
                  <c:v>3.5122593672182655E-6</c:v>
                </c:pt>
                <c:pt idx="194">
                  <c:v>3.1121755791489169E-6</c:v>
                </c:pt>
                <c:pt idx="195">
                  <c:v>2.755942597549948E-6</c:v>
                </c:pt>
                <c:pt idx="196">
                  <c:v>2.4389607458933348E-6</c:v>
                </c:pt>
                <c:pt idx="197">
                  <c:v>2.1570887782364207E-6</c:v>
                </c:pt>
                <c:pt idx="198">
                  <c:v>1.9066009031227839E-6</c:v>
                </c:pt>
                <c:pt idx="199">
                  <c:v>1.6841475399168487E-6</c:v>
                </c:pt>
                <c:pt idx="200">
                  <c:v>1.4867195147342714E-6</c:v>
                </c:pt>
                <c:pt idx="201">
                  <c:v>1.3116154228950171E-6</c:v>
                </c:pt>
                <c:pt idx="202">
                  <c:v>1.1564119035797567E-6</c:v>
                </c:pt>
                <c:pt idx="203">
                  <c:v>1.0189365901318526E-6</c:v>
                </c:pt>
                <c:pt idx="204">
                  <c:v>8.9724351623830992E-7</c:v>
                </c:pt>
                <c:pt idx="205">
                  <c:v>7.8959077406937827E-7</c:v>
                </c:pt>
                <c:pt idx="206">
                  <c:v>6.944202353855154E-7</c:v>
                </c:pt>
                <c:pt idx="207">
                  <c:v>6.1033916066226792E-7</c:v>
                </c:pt>
                <c:pt idx="208">
                  <c:v>5.361035344697443E-7</c:v>
                </c:pt>
                <c:pt idx="209">
                  <c:v>4.7060297770665687E-7</c:v>
                </c:pt>
                <c:pt idx="210">
                  <c:v>4.1284709886298449E-7</c:v>
                </c:pt>
                <c:pt idx="211">
                  <c:v>3.6195315730454275E-7</c:v>
                </c:pt>
                <c:pt idx="212">
                  <c:v>3.1713492167158462E-7</c:v>
                </c:pt>
                <c:pt idx="213">
                  <c:v>2.7769261589659089E-7</c:v>
                </c:pt>
                <c:pt idx="214">
                  <c:v>2.4300385410804185E-7</c:v>
                </c:pt>
                <c:pt idx="215">
                  <c:v>2.1251547383101861E-7</c:v>
                </c:pt>
              </c:numCache>
            </c:numRef>
          </c:yVal>
          <c:smooth val="0"/>
          <c:extLst>
            <c:ext xmlns:c16="http://schemas.microsoft.com/office/drawing/2014/chart" uri="{C3380CC4-5D6E-409C-BE32-E72D297353CC}">
              <c16:uniqueId val="{00000000-722F-DC46-8268-E9F886339147}"/>
            </c:ext>
          </c:extLst>
        </c:ser>
        <c:ser>
          <c:idx val="1"/>
          <c:order val="1"/>
          <c:spPr>
            <a:ln>
              <a:prstDash val="solid"/>
            </a:ln>
          </c:spPr>
          <c:marker>
            <c:symbol val="none"/>
          </c:marker>
          <c:xVal>
            <c:numRef>
              <c:f>'CG of Radiation Loss'!$M$4:$M$5</c:f>
              <c:numCache>
                <c:formatCode>0.0000</c:formatCode>
                <c:ptCount val="2"/>
                <c:pt idx="0">
                  <c:v>-0.79796730796999016</c:v>
                </c:pt>
                <c:pt idx="1">
                  <c:v>-0.79796730796999016</c:v>
                </c:pt>
              </c:numCache>
            </c:numRef>
          </c:xVal>
          <c:yVal>
            <c:numRef>
              <c:f>'CG of Radiation Loss'!$N$4:$N$5</c:f>
              <c:numCache>
                <c:formatCode>General</c:formatCode>
                <c:ptCount val="2"/>
                <c:pt idx="0">
                  <c:v>0</c:v>
                </c:pt>
                <c:pt idx="1">
                  <c:v>0.3989422804014327</c:v>
                </c:pt>
              </c:numCache>
            </c:numRef>
          </c:yVal>
          <c:smooth val="0"/>
          <c:extLst>
            <c:ext xmlns:c16="http://schemas.microsoft.com/office/drawing/2014/chart" uri="{C3380CC4-5D6E-409C-BE32-E72D297353CC}">
              <c16:uniqueId val="{00000001-722F-DC46-8268-E9F886339147}"/>
            </c:ext>
          </c:extLst>
        </c:ser>
        <c:dLbls>
          <c:showLegendKey val="0"/>
          <c:showVal val="0"/>
          <c:showCatName val="0"/>
          <c:showSerName val="0"/>
          <c:showPercent val="0"/>
          <c:showBubbleSize val="0"/>
        </c:dLbls>
        <c:axId val="127544704"/>
        <c:axId val="126993536"/>
      </c:scatterChart>
      <c:valAx>
        <c:axId val="127544704"/>
        <c:scaling>
          <c:orientation val="minMax"/>
          <c:min val="-4"/>
        </c:scaling>
        <c:delete val="0"/>
        <c:axPos val="b"/>
        <c:numFmt formatCode="General" sourceLinked="1"/>
        <c:majorTickMark val="out"/>
        <c:minorTickMark val="none"/>
        <c:tickLblPos val="nextTo"/>
        <c:txPr>
          <a:bodyPr rot="0" vert="horz"/>
          <a:lstStyle/>
          <a:p>
            <a:pPr>
              <a:defRPr sz="1000" b="0" i="0" strike="noStrike" baseline="0">
                <a:solidFill>
                  <a:srgbClr val="000000"/>
                </a:solidFill>
                <a:latin typeface="Calibri"/>
                <a:ea typeface="Calibri"/>
                <a:cs typeface="Calibri"/>
              </a:defRPr>
            </a:pPr>
            <a:endParaRPr lang="en-US"/>
          </a:p>
        </c:txPr>
        <c:crossAx val="126993536"/>
        <c:crossesAt val="0"/>
        <c:crossBetween val="midCat"/>
      </c:valAx>
      <c:valAx>
        <c:axId val="126993536"/>
        <c:scaling>
          <c:orientation val="minMax"/>
          <c:max val="0.4"/>
        </c:scaling>
        <c:delete val="0"/>
        <c:axPos val="l"/>
        <c:majorGridlines/>
        <c:numFmt formatCode="#,##0.00" sourceLinked="0"/>
        <c:majorTickMark val="cross"/>
        <c:minorTickMark val="none"/>
        <c:tickLblPos val="high"/>
        <c:crossAx val="12754470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PDF of </a:t>
            </a:r>
            <a:r>
              <a:rPr lang="en-US" sz="1800" b="1" i="0" strike="noStrike" baseline="0"/>
              <a:t>Radiation &lt; P50</a:t>
            </a:r>
            <a:endParaRPr lang="en-US"/>
          </a:p>
        </c:rich>
      </c:tx>
      <c:overlay val="0"/>
      <c:spPr>
        <a:noFill/>
        <a:ln w="25400">
          <a:noFill/>
          <a:prstDash val="solid"/>
        </a:ln>
      </c:spPr>
    </c:title>
    <c:autoTitleDeleted val="0"/>
    <c:plotArea>
      <c:layout>
        <c:manualLayout>
          <c:layoutTarget val="inner"/>
          <c:xMode val="edge"/>
          <c:yMode val="edge"/>
          <c:x val="2.9728075035396699E-2"/>
          <c:y val="0.16251166520851559"/>
          <c:w val="0.86931714785651792"/>
          <c:h val="0.74465660542432199"/>
        </c:manualLayout>
      </c:layout>
      <c:scatterChart>
        <c:scatterStyle val="lineMarker"/>
        <c:varyColors val="0"/>
        <c:ser>
          <c:idx val="0"/>
          <c:order val="0"/>
          <c:spPr>
            <a:ln>
              <a:prstDash val="solid"/>
            </a:ln>
          </c:spPr>
          <c:marker>
            <c:symbol val="none"/>
          </c:marker>
          <c:xVal>
            <c:numRef>
              <c:f>'CG of Radiation Loss'!$H$5:$H$220</c:f>
              <c:numCache>
                <c:formatCode>General</c:formatCode>
                <c:ptCount val="216"/>
                <c:pt idx="0">
                  <c:v>0</c:v>
                </c:pt>
                <c:pt idx="1">
                  <c:v>-2.5000000000000001E-2</c:v>
                </c:pt>
                <c:pt idx="2">
                  <c:v>-0.05</c:v>
                </c:pt>
                <c:pt idx="3">
                  <c:v>-7.5000000000000011E-2</c:v>
                </c:pt>
                <c:pt idx="4">
                  <c:v>-0.1</c:v>
                </c:pt>
                <c:pt idx="5">
                  <c:v>-0.125</c:v>
                </c:pt>
                <c:pt idx="6">
                  <c:v>-0.15</c:v>
                </c:pt>
                <c:pt idx="7">
                  <c:v>-0.17499999999999999</c:v>
                </c:pt>
                <c:pt idx="8">
                  <c:v>-0.19999999999999998</c:v>
                </c:pt>
                <c:pt idx="9">
                  <c:v>-0.22499999999999998</c:v>
                </c:pt>
                <c:pt idx="10">
                  <c:v>-0.24999999999999997</c:v>
                </c:pt>
                <c:pt idx="11">
                  <c:v>-0.27499999999999997</c:v>
                </c:pt>
                <c:pt idx="12">
                  <c:v>-0.3</c:v>
                </c:pt>
                <c:pt idx="13">
                  <c:v>-0.32500000000000001</c:v>
                </c:pt>
                <c:pt idx="14">
                  <c:v>-0.35000000000000003</c:v>
                </c:pt>
                <c:pt idx="15">
                  <c:v>-0.37500000000000006</c:v>
                </c:pt>
                <c:pt idx="16">
                  <c:v>-0.40000000000000008</c:v>
                </c:pt>
                <c:pt idx="17">
                  <c:v>-0.4250000000000001</c:v>
                </c:pt>
                <c:pt idx="18">
                  <c:v>-0.45000000000000012</c:v>
                </c:pt>
                <c:pt idx="19">
                  <c:v>-0.47500000000000014</c:v>
                </c:pt>
                <c:pt idx="20">
                  <c:v>-0.50000000000000011</c:v>
                </c:pt>
                <c:pt idx="21">
                  <c:v>-0.52500000000000013</c:v>
                </c:pt>
                <c:pt idx="22">
                  <c:v>-0.55000000000000016</c:v>
                </c:pt>
                <c:pt idx="23">
                  <c:v>-0.57500000000000018</c:v>
                </c:pt>
                <c:pt idx="24">
                  <c:v>-0.6000000000000002</c:v>
                </c:pt>
                <c:pt idx="25">
                  <c:v>-0.62500000000000022</c:v>
                </c:pt>
                <c:pt idx="26">
                  <c:v>-0.65000000000000024</c:v>
                </c:pt>
                <c:pt idx="27">
                  <c:v>-0.67500000000000027</c:v>
                </c:pt>
                <c:pt idx="28">
                  <c:v>-0.70000000000000029</c:v>
                </c:pt>
                <c:pt idx="29">
                  <c:v>-0.72500000000000031</c:v>
                </c:pt>
                <c:pt idx="30">
                  <c:v>-0.75000000000000033</c:v>
                </c:pt>
                <c:pt idx="31">
                  <c:v>-0.77500000000000036</c:v>
                </c:pt>
                <c:pt idx="32">
                  <c:v>-0.80000000000000038</c:v>
                </c:pt>
                <c:pt idx="33">
                  <c:v>-0.8250000000000004</c:v>
                </c:pt>
                <c:pt idx="34">
                  <c:v>-0.85000000000000042</c:v>
                </c:pt>
                <c:pt idx="35">
                  <c:v>-0.87500000000000044</c:v>
                </c:pt>
                <c:pt idx="36">
                  <c:v>-0.90000000000000047</c:v>
                </c:pt>
                <c:pt idx="37">
                  <c:v>-0.92500000000000049</c:v>
                </c:pt>
                <c:pt idx="38">
                  <c:v>-0.95000000000000051</c:v>
                </c:pt>
                <c:pt idx="39">
                  <c:v>-0.97500000000000053</c:v>
                </c:pt>
                <c:pt idx="40">
                  <c:v>-1.0000000000000004</c:v>
                </c:pt>
                <c:pt idx="41">
                  <c:v>-1.0250000000000004</c:v>
                </c:pt>
                <c:pt idx="42">
                  <c:v>-1.0500000000000003</c:v>
                </c:pt>
                <c:pt idx="43">
                  <c:v>-1.0750000000000002</c:v>
                </c:pt>
                <c:pt idx="44">
                  <c:v>-1.1000000000000001</c:v>
                </c:pt>
                <c:pt idx="45">
                  <c:v>-1.125</c:v>
                </c:pt>
                <c:pt idx="46">
                  <c:v>-1.1499999999999999</c:v>
                </c:pt>
                <c:pt idx="47">
                  <c:v>-1.1749999999999998</c:v>
                </c:pt>
                <c:pt idx="48">
                  <c:v>-1.1999999999999997</c:v>
                </c:pt>
                <c:pt idx="49">
                  <c:v>-1.2249999999999996</c:v>
                </c:pt>
                <c:pt idx="50">
                  <c:v>-1.2499999999999996</c:v>
                </c:pt>
                <c:pt idx="51">
                  <c:v>-1.2749999999999995</c:v>
                </c:pt>
                <c:pt idx="52">
                  <c:v>-1.2999999999999994</c:v>
                </c:pt>
                <c:pt idx="53">
                  <c:v>-1.3249999999999993</c:v>
                </c:pt>
                <c:pt idx="54">
                  <c:v>-1.3499999999999992</c:v>
                </c:pt>
                <c:pt idx="55">
                  <c:v>-1.3749999999999991</c:v>
                </c:pt>
                <c:pt idx="56">
                  <c:v>-1.399999999999999</c:v>
                </c:pt>
                <c:pt idx="57">
                  <c:v>-1.4249999999999989</c:v>
                </c:pt>
                <c:pt idx="58">
                  <c:v>-1.4499999999999988</c:v>
                </c:pt>
                <c:pt idx="59">
                  <c:v>-1.4749999999999988</c:v>
                </c:pt>
                <c:pt idx="60">
                  <c:v>-1.4999999999999987</c:v>
                </c:pt>
                <c:pt idx="61">
                  <c:v>-1.5249999999999986</c:v>
                </c:pt>
                <c:pt idx="62">
                  <c:v>-1.5499999999999985</c:v>
                </c:pt>
                <c:pt idx="63">
                  <c:v>-1.5749999999999984</c:v>
                </c:pt>
                <c:pt idx="64">
                  <c:v>-1.5999999999999983</c:v>
                </c:pt>
                <c:pt idx="65">
                  <c:v>-1.6249999999999982</c:v>
                </c:pt>
                <c:pt idx="66">
                  <c:v>-1.6499999999999981</c:v>
                </c:pt>
                <c:pt idx="67">
                  <c:v>-1.674999999999998</c:v>
                </c:pt>
                <c:pt idx="68">
                  <c:v>-1.699999999999998</c:v>
                </c:pt>
                <c:pt idx="69">
                  <c:v>-1.7249999999999979</c:v>
                </c:pt>
                <c:pt idx="70">
                  <c:v>-1.7499999999999978</c:v>
                </c:pt>
                <c:pt idx="71">
                  <c:v>-1.7749999999999977</c:v>
                </c:pt>
                <c:pt idx="72">
                  <c:v>-1.7999999999999976</c:v>
                </c:pt>
                <c:pt idx="73">
                  <c:v>-1.8249999999999975</c:v>
                </c:pt>
                <c:pt idx="74">
                  <c:v>-1.8499999999999974</c:v>
                </c:pt>
                <c:pt idx="75">
                  <c:v>-1.8749999999999973</c:v>
                </c:pt>
                <c:pt idx="76">
                  <c:v>-1.8999999999999972</c:v>
                </c:pt>
                <c:pt idx="77">
                  <c:v>-1.9249999999999972</c:v>
                </c:pt>
                <c:pt idx="78">
                  <c:v>-1.9499999999999971</c:v>
                </c:pt>
                <c:pt idx="79">
                  <c:v>-1.974999999999997</c:v>
                </c:pt>
                <c:pt idx="80">
                  <c:v>-1.9999999999999969</c:v>
                </c:pt>
                <c:pt idx="81">
                  <c:v>-2.0249999999999968</c:v>
                </c:pt>
                <c:pt idx="82">
                  <c:v>-2.0499999999999967</c:v>
                </c:pt>
                <c:pt idx="83">
                  <c:v>-2.0749999999999966</c:v>
                </c:pt>
                <c:pt idx="84">
                  <c:v>-2.0999999999999965</c:v>
                </c:pt>
                <c:pt idx="85">
                  <c:v>-2.1249999999999964</c:v>
                </c:pt>
                <c:pt idx="86">
                  <c:v>-2.1499999999999964</c:v>
                </c:pt>
                <c:pt idx="87">
                  <c:v>-2.1749999999999963</c:v>
                </c:pt>
                <c:pt idx="88">
                  <c:v>-2.1999999999999962</c:v>
                </c:pt>
                <c:pt idx="89">
                  <c:v>-2.2249999999999961</c:v>
                </c:pt>
                <c:pt idx="90">
                  <c:v>-2.249999999999996</c:v>
                </c:pt>
                <c:pt idx="91">
                  <c:v>-2.2749999999999959</c:v>
                </c:pt>
                <c:pt idx="92">
                  <c:v>-2.2999999999999958</c:v>
                </c:pt>
                <c:pt idx="93">
                  <c:v>-2.3249999999999957</c:v>
                </c:pt>
                <c:pt idx="94">
                  <c:v>-2.3499999999999956</c:v>
                </c:pt>
                <c:pt idx="95">
                  <c:v>-2.3749999999999956</c:v>
                </c:pt>
                <c:pt idx="96">
                  <c:v>-2.3999999999999955</c:v>
                </c:pt>
                <c:pt idx="97">
                  <c:v>-2.4249999999999954</c:v>
                </c:pt>
                <c:pt idx="98">
                  <c:v>-2.4499999999999953</c:v>
                </c:pt>
                <c:pt idx="99">
                  <c:v>-2.4749999999999952</c:v>
                </c:pt>
                <c:pt idx="100">
                  <c:v>-2.4999999999999951</c:v>
                </c:pt>
                <c:pt idx="101">
                  <c:v>-2.524999999999995</c:v>
                </c:pt>
                <c:pt idx="102">
                  <c:v>-2.5499999999999949</c:v>
                </c:pt>
                <c:pt idx="103">
                  <c:v>-2.5749999999999948</c:v>
                </c:pt>
                <c:pt idx="104">
                  <c:v>-2.5999999999999948</c:v>
                </c:pt>
                <c:pt idx="105">
                  <c:v>-2.6249999999999947</c:v>
                </c:pt>
                <c:pt idx="106">
                  <c:v>-2.6499999999999946</c:v>
                </c:pt>
                <c:pt idx="107">
                  <c:v>-2.6749999999999945</c:v>
                </c:pt>
                <c:pt idx="108">
                  <c:v>-2.6999999999999944</c:v>
                </c:pt>
                <c:pt idx="109">
                  <c:v>-2.7249999999999943</c:v>
                </c:pt>
                <c:pt idx="110">
                  <c:v>-2.7499999999999942</c:v>
                </c:pt>
                <c:pt idx="111">
                  <c:v>-2.7749999999999941</c:v>
                </c:pt>
                <c:pt idx="112">
                  <c:v>-2.799999999999994</c:v>
                </c:pt>
                <c:pt idx="113">
                  <c:v>-2.824999999999994</c:v>
                </c:pt>
                <c:pt idx="114">
                  <c:v>-2.8499999999999939</c:v>
                </c:pt>
                <c:pt idx="115">
                  <c:v>-2.8749999999999938</c:v>
                </c:pt>
                <c:pt idx="116">
                  <c:v>-2.8999999999999937</c:v>
                </c:pt>
                <c:pt idx="117">
                  <c:v>-2.9249999999999936</c:v>
                </c:pt>
                <c:pt idx="118">
                  <c:v>-2.9499999999999935</c:v>
                </c:pt>
                <c:pt idx="119">
                  <c:v>-2.9749999999999934</c:v>
                </c:pt>
                <c:pt idx="120">
                  <c:v>-2.9999999999999933</c:v>
                </c:pt>
                <c:pt idx="121">
                  <c:v>-3.0249999999999932</c:v>
                </c:pt>
                <c:pt idx="122">
                  <c:v>-3.0499999999999932</c:v>
                </c:pt>
                <c:pt idx="123">
                  <c:v>-3.0749999999999931</c:v>
                </c:pt>
                <c:pt idx="124">
                  <c:v>-3.099999999999993</c:v>
                </c:pt>
                <c:pt idx="125">
                  <c:v>-3.1249999999999929</c:v>
                </c:pt>
                <c:pt idx="126">
                  <c:v>-3.1499999999999928</c:v>
                </c:pt>
                <c:pt idx="127">
                  <c:v>-3.1749999999999927</c:v>
                </c:pt>
                <c:pt idx="128">
                  <c:v>-3.1999999999999926</c:v>
                </c:pt>
                <c:pt idx="129">
                  <c:v>-3.2249999999999925</c:v>
                </c:pt>
                <c:pt idx="130">
                  <c:v>-3.2499999999999925</c:v>
                </c:pt>
                <c:pt idx="131">
                  <c:v>-3.2749999999999924</c:v>
                </c:pt>
                <c:pt idx="132">
                  <c:v>-3.2999999999999923</c:v>
                </c:pt>
                <c:pt idx="133">
                  <c:v>-3.3249999999999922</c:v>
                </c:pt>
                <c:pt idx="134">
                  <c:v>-3.3499999999999921</c:v>
                </c:pt>
                <c:pt idx="135">
                  <c:v>-3.374999999999992</c:v>
                </c:pt>
                <c:pt idx="136">
                  <c:v>-3.3999999999999919</c:v>
                </c:pt>
                <c:pt idx="137">
                  <c:v>-3.4249999999999918</c:v>
                </c:pt>
                <c:pt idx="138">
                  <c:v>-3.4499999999999917</c:v>
                </c:pt>
                <c:pt idx="139">
                  <c:v>-3.4749999999999917</c:v>
                </c:pt>
                <c:pt idx="140">
                  <c:v>-3.4999999999999916</c:v>
                </c:pt>
                <c:pt idx="141">
                  <c:v>-3.5249999999999915</c:v>
                </c:pt>
                <c:pt idx="142">
                  <c:v>-3.5499999999999914</c:v>
                </c:pt>
                <c:pt idx="143">
                  <c:v>-3.5749999999999913</c:v>
                </c:pt>
                <c:pt idx="144">
                  <c:v>-3.5999999999999912</c:v>
                </c:pt>
                <c:pt idx="145">
                  <c:v>-3.6249999999999911</c:v>
                </c:pt>
                <c:pt idx="146">
                  <c:v>-3.649999999999991</c:v>
                </c:pt>
                <c:pt idx="147">
                  <c:v>-3.6749999999999909</c:v>
                </c:pt>
                <c:pt idx="148">
                  <c:v>-3.6999999999999909</c:v>
                </c:pt>
                <c:pt idx="149">
                  <c:v>-3.7249999999999908</c:v>
                </c:pt>
                <c:pt idx="150">
                  <c:v>-3.7499999999999907</c:v>
                </c:pt>
                <c:pt idx="151">
                  <c:v>-3.7749999999999906</c:v>
                </c:pt>
                <c:pt idx="152">
                  <c:v>-3.7999999999999905</c:v>
                </c:pt>
                <c:pt idx="153">
                  <c:v>-3.8249999999999904</c:v>
                </c:pt>
                <c:pt idx="154">
                  <c:v>-3.8499999999999903</c:v>
                </c:pt>
                <c:pt idx="155">
                  <c:v>-3.8749999999999902</c:v>
                </c:pt>
                <c:pt idx="156">
                  <c:v>-3.8999999999999901</c:v>
                </c:pt>
                <c:pt idx="157">
                  <c:v>-3.9249999999999901</c:v>
                </c:pt>
                <c:pt idx="158">
                  <c:v>-3.94999999999999</c:v>
                </c:pt>
                <c:pt idx="159">
                  <c:v>-3.9749999999999899</c:v>
                </c:pt>
                <c:pt idx="160">
                  <c:v>-3.9999999999999898</c:v>
                </c:pt>
                <c:pt idx="161">
                  <c:v>-4.0249999999999897</c:v>
                </c:pt>
                <c:pt idx="162">
                  <c:v>-4.0499999999999901</c:v>
                </c:pt>
                <c:pt idx="163">
                  <c:v>-4.0749999999999904</c:v>
                </c:pt>
                <c:pt idx="164">
                  <c:v>-4.0999999999999908</c:v>
                </c:pt>
                <c:pt idx="165">
                  <c:v>-4.1249999999999911</c:v>
                </c:pt>
                <c:pt idx="166">
                  <c:v>-4.1499999999999915</c:v>
                </c:pt>
                <c:pt idx="167">
                  <c:v>-4.1749999999999918</c:v>
                </c:pt>
                <c:pt idx="168">
                  <c:v>-4.1999999999999922</c:v>
                </c:pt>
                <c:pt idx="169">
                  <c:v>-4.2249999999999925</c:v>
                </c:pt>
                <c:pt idx="170">
                  <c:v>-4.2499999999999929</c:v>
                </c:pt>
                <c:pt idx="171">
                  <c:v>-4.2749999999999932</c:v>
                </c:pt>
                <c:pt idx="172">
                  <c:v>-4.2999999999999936</c:v>
                </c:pt>
                <c:pt idx="173">
                  <c:v>-4.324999999999994</c:v>
                </c:pt>
                <c:pt idx="174">
                  <c:v>-4.3499999999999943</c:v>
                </c:pt>
                <c:pt idx="175">
                  <c:v>-4.3749999999999947</c:v>
                </c:pt>
                <c:pt idx="176">
                  <c:v>-4.399999999999995</c:v>
                </c:pt>
                <c:pt idx="177">
                  <c:v>-4.4249999999999954</c:v>
                </c:pt>
                <c:pt idx="178">
                  <c:v>-4.4499999999999957</c:v>
                </c:pt>
                <c:pt idx="179">
                  <c:v>-4.4749999999999961</c:v>
                </c:pt>
                <c:pt idx="180">
                  <c:v>-4.4999999999999964</c:v>
                </c:pt>
                <c:pt idx="181">
                  <c:v>-4.5249999999999968</c:v>
                </c:pt>
                <c:pt idx="182">
                  <c:v>-4.5499999999999972</c:v>
                </c:pt>
                <c:pt idx="183">
                  <c:v>-4.5749999999999975</c:v>
                </c:pt>
                <c:pt idx="184">
                  <c:v>-4.5999999999999979</c:v>
                </c:pt>
                <c:pt idx="185">
                  <c:v>-4.6249999999999982</c:v>
                </c:pt>
                <c:pt idx="186">
                  <c:v>-4.6499999999999986</c:v>
                </c:pt>
                <c:pt idx="187">
                  <c:v>-4.6749999999999989</c:v>
                </c:pt>
                <c:pt idx="188">
                  <c:v>-4.6999999999999993</c:v>
                </c:pt>
                <c:pt idx="189">
                  <c:v>-4.7249999999999996</c:v>
                </c:pt>
                <c:pt idx="190">
                  <c:v>-4.75</c:v>
                </c:pt>
                <c:pt idx="191">
                  <c:v>-4.7750000000000004</c:v>
                </c:pt>
                <c:pt idx="192">
                  <c:v>-4.8000000000000007</c:v>
                </c:pt>
                <c:pt idx="193">
                  <c:v>-4.8250000000000011</c:v>
                </c:pt>
                <c:pt idx="194">
                  <c:v>-4.8500000000000014</c:v>
                </c:pt>
                <c:pt idx="195">
                  <c:v>-4.8750000000000018</c:v>
                </c:pt>
                <c:pt idx="196">
                  <c:v>-4.9000000000000021</c:v>
                </c:pt>
                <c:pt idx="197">
                  <c:v>-4.9250000000000025</c:v>
                </c:pt>
                <c:pt idx="198">
                  <c:v>-4.9500000000000028</c:v>
                </c:pt>
                <c:pt idx="199">
                  <c:v>-4.9750000000000032</c:v>
                </c:pt>
                <c:pt idx="200">
                  <c:v>-5.0000000000000036</c:v>
                </c:pt>
                <c:pt idx="201">
                  <c:v>-5.0250000000000039</c:v>
                </c:pt>
                <c:pt idx="202">
                  <c:v>-5.0500000000000043</c:v>
                </c:pt>
                <c:pt idx="203">
                  <c:v>-5.0750000000000046</c:v>
                </c:pt>
                <c:pt idx="204">
                  <c:v>-5.100000000000005</c:v>
                </c:pt>
                <c:pt idx="205">
                  <c:v>-5.1250000000000053</c:v>
                </c:pt>
                <c:pt idx="206">
                  <c:v>-5.1500000000000057</c:v>
                </c:pt>
                <c:pt idx="207">
                  <c:v>-5.175000000000006</c:v>
                </c:pt>
                <c:pt idx="208">
                  <c:v>-5.2000000000000064</c:v>
                </c:pt>
                <c:pt idx="209">
                  <c:v>-5.2250000000000068</c:v>
                </c:pt>
                <c:pt idx="210">
                  <c:v>-5.2500000000000071</c:v>
                </c:pt>
                <c:pt idx="211">
                  <c:v>-5.2750000000000075</c:v>
                </c:pt>
                <c:pt idx="212">
                  <c:v>-5.3000000000000078</c:v>
                </c:pt>
                <c:pt idx="213">
                  <c:v>-5.3250000000000082</c:v>
                </c:pt>
                <c:pt idx="214">
                  <c:v>-5.3500000000000085</c:v>
                </c:pt>
                <c:pt idx="215">
                  <c:v>-5.3750000000000089</c:v>
                </c:pt>
              </c:numCache>
            </c:numRef>
          </c:xVal>
          <c:yVal>
            <c:numRef>
              <c:f>'CG of Radiation Loss'!$I$5:$I$220</c:f>
              <c:numCache>
                <c:formatCode>General</c:formatCode>
                <c:ptCount val="216"/>
                <c:pt idx="0">
                  <c:v>0.3989422804014327</c:v>
                </c:pt>
                <c:pt idx="1">
                  <c:v>0.3988176304163818</c:v>
                </c:pt>
                <c:pt idx="2">
                  <c:v>0.39844391409476404</c:v>
                </c:pt>
                <c:pt idx="3">
                  <c:v>0.39782183160749712</c:v>
                </c:pt>
                <c:pt idx="4">
                  <c:v>0.39695254747701181</c:v>
                </c:pt>
                <c:pt idx="5">
                  <c:v>0.39583768694474952</c:v>
                </c:pt>
                <c:pt idx="6">
                  <c:v>0.39447933090788895</c:v>
                </c:pt>
                <c:pt idx="7">
                  <c:v>0.39288000944737927</c:v>
                </c:pt>
                <c:pt idx="8">
                  <c:v>0.39104269397545588</c:v>
                </c:pt>
                <c:pt idx="9">
                  <c:v>0.38897078803674945</c:v>
                </c:pt>
                <c:pt idx="10">
                  <c:v>0.38666811680284924</c:v>
                </c:pt>
                <c:pt idx="11">
                  <c:v>0.38413891530570476</c:v>
                </c:pt>
                <c:pt idx="12">
                  <c:v>0.38138781546052414</c:v>
                </c:pt>
                <c:pt idx="13">
                  <c:v>0.37841983193381945</c:v>
                </c:pt>
                <c:pt idx="14">
                  <c:v>0.37524034691693792</c:v>
                </c:pt>
                <c:pt idx="15">
                  <c:v>0.37185509386976895</c:v>
                </c:pt>
                <c:pt idx="16">
                  <c:v>0.36827014030332333</c:v>
                </c:pt>
                <c:pt idx="17">
                  <c:v>0.36449186967350644</c:v>
                </c:pt>
                <c:pt idx="18">
                  <c:v>0.36052696246164795</c:v>
                </c:pt>
                <c:pt idx="19">
                  <c:v>0.35638237652018323</c:v>
                </c:pt>
                <c:pt idx="20">
                  <c:v>0.35206532676429947</c:v>
                </c:pt>
                <c:pt idx="21">
                  <c:v>0.34758326429234804</c:v>
                </c:pt>
                <c:pt idx="22">
                  <c:v>0.3429438550193839</c:v>
                </c:pt>
                <c:pt idx="23">
                  <c:v>0.33815495790931138</c:v>
                </c:pt>
                <c:pt idx="24">
                  <c:v>0.33322460289179962</c:v>
                </c:pt>
                <c:pt idx="25">
                  <c:v>0.32816096855037502</c:v>
                </c:pt>
                <c:pt idx="26">
                  <c:v>0.32297235966791427</c:v>
                </c:pt>
                <c:pt idx="27">
                  <c:v>0.31766718471514821</c:v>
                </c:pt>
                <c:pt idx="28">
                  <c:v>0.31225393336676122</c:v>
                </c:pt>
                <c:pt idx="29">
                  <c:v>0.30674115412823993</c:v>
                </c:pt>
                <c:pt idx="30">
                  <c:v>0.30113743215480432</c:v>
                </c:pt>
                <c:pt idx="31">
                  <c:v>0.29545136734156291</c:v>
                </c:pt>
                <c:pt idx="32">
                  <c:v>0.28969155276148267</c:v>
                </c:pt>
                <c:pt idx="33">
                  <c:v>0.28386655352488721</c:v>
                </c:pt>
                <c:pt idx="34">
                  <c:v>0.27798488613099637</c:v>
                </c:pt>
                <c:pt idx="35">
                  <c:v>0.27205499837854341</c:v>
                </c:pt>
                <c:pt idx="36">
                  <c:v>0.26608524989875476</c:v>
                </c:pt>
                <c:pt idx="37">
                  <c:v>0.26008389336999554</c:v>
                </c:pt>
                <c:pt idx="38">
                  <c:v>0.25405905646918892</c:v>
                </c:pt>
                <c:pt idx="39">
                  <c:v>0.24801872461073701</c:v>
                </c:pt>
                <c:pt idx="40">
                  <c:v>0.24197072451914328</c:v>
                </c:pt>
                <c:pt idx="41">
                  <c:v>0.23592270867687243</c:v>
                </c:pt>
                <c:pt idx="42">
                  <c:v>0.22988214068423296</c:v>
                </c:pt>
                <c:pt idx="43">
                  <c:v>0.22385628156323945</c:v>
                </c:pt>
                <c:pt idx="44">
                  <c:v>0.21785217703255053</c:v>
                </c:pt>
                <c:pt idx="45">
                  <c:v>0.21187664577569948</c:v>
                </c:pt>
                <c:pt idx="46">
                  <c:v>0.20593626871997478</c:v>
                </c:pt>
                <c:pt idx="47">
                  <c:v>0.20003737933848778</c:v>
                </c:pt>
                <c:pt idx="48">
                  <c:v>0.19418605498321304</c:v>
                </c:pt>
                <c:pt idx="49">
                  <c:v>0.1883881092521264</c:v>
                </c:pt>
                <c:pt idx="50">
                  <c:v>0.182649085389022</c:v>
                </c:pt>
                <c:pt idx="51">
                  <c:v>0.17697425071017983</c:v>
                </c:pt>
                <c:pt idx="52">
                  <c:v>0.17136859204780749</c:v>
                </c:pt>
                <c:pt idx="53">
                  <c:v>0.16583681219610488</c:v>
                </c:pt>
                <c:pt idx="54">
                  <c:v>0.16038332734191976</c:v>
                </c:pt>
                <c:pt idx="55">
                  <c:v>0.15501226545829339</c:v>
                </c:pt>
                <c:pt idx="56">
                  <c:v>0.14972746563574507</c:v>
                </c:pt>
                <c:pt idx="57">
                  <c:v>0.14453247832293309</c:v>
                </c:pt>
                <c:pt idx="58">
                  <c:v>0.13943056644536053</c:v>
                </c:pt>
                <c:pt idx="59">
                  <c:v>0.13442470736807935</c:v>
                </c:pt>
                <c:pt idx="60">
                  <c:v>0.12951759566589199</c:v>
                </c:pt>
                <c:pt idx="61">
                  <c:v>0.12471164666235747</c:v>
                </c:pt>
                <c:pt idx="62">
                  <c:v>0.12000900069698586</c:v>
                </c:pt>
                <c:pt idx="63">
                  <c:v>0.11541152807835028</c:v>
                </c:pt>
                <c:pt idx="64">
                  <c:v>0.11092083467945585</c:v>
                </c:pt>
                <c:pt idx="65">
                  <c:v>0.10653826813058538</c:v>
                </c:pt>
                <c:pt idx="66">
                  <c:v>0.10226492456397832</c:v>
                </c:pt>
                <c:pt idx="67">
                  <c:v>9.8101655864098136E-2</c:v>
                </c:pt>
                <c:pt idx="68">
                  <c:v>9.4049077376887252E-2</c:v>
                </c:pt>
                <c:pt idx="69">
                  <c:v>9.0107576031298431E-2</c:v>
                </c:pt>
                <c:pt idx="70">
                  <c:v>8.6277318826511851E-2</c:v>
                </c:pt>
                <c:pt idx="71">
                  <c:v>8.2558261638591951E-2</c:v>
                </c:pt>
                <c:pt idx="72">
                  <c:v>7.895015830089451E-2</c:v>
                </c:pt>
                <c:pt idx="73">
                  <c:v>7.5452569913290551E-2</c:v>
                </c:pt>
                <c:pt idx="74">
                  <c:v>7.2064874336218332E-2</c:v>
                </c:pt>
                <c:pt idx="75">
                  <c:v>6.8786275826692236E-2</c:v>
                </c:pt>
                <c:pt idx="76">
                  <c:v>6.5615814774676942E-2</c:v>
                </c:pt>
                <c:pt idx="77">
                  <c:v>6.2552377499660333E-2</c:v>
                </c:pt>
                <c:pt idx="78">
                  <c:v>5.9594706068816408E-2</c:v>
                </c:pt>
                <c:pt idx="79">
                  <c:v>5.674140809982435E-2</c:v>
                </c:pt>
                <c:pt idx="80">
                  <c:v>5.3990966513188389E-2</c:v>
                </c:pt>
                <c:pt idx="81">
                  <c:v>5.1341749200769796E-2</c:v>
                </c:pt>
                <c:pt idx="82">
                  <c:v>4.8792018579183097E-2</c:v>
                </c:pt>
                <c:pt idx="83">
                  <c:v>4.6339940998709563E-2</c:v>
                </c:pt>
                <c:pt idx="84">
                  <c:v>4.3983595980427524E-2</c:v>
                </c:pt>
                <c:pt idx="85">
                  <c:v>4.1720985256338924E-2</c:v>
                </c:pt>
                <c:pt idx="86">
                  <c:v>3.9550041589370519E-2</c:v>
                </c:pt>
                <c:pt idx="87">
                  <c:v>3.7468637352234081E-2</c:v>
                </c:pt>
                <c:pt idx="88">
                  <c:v>3.5474592846231737E-2</c:v>
                </c:pt>
                <c:pt idx="89">
                  <c:v>3.3565684343177839E-2</c:v>
                </c:pt>
                <c:pt idx="90">
                  <c:v>3.1739651835667702E-2</c:v>
                </c:pt>
                <c:pt idx="91">
                  <c:v>2.9994206482945578E-2</c:v>
                </c:pt>
                <c:pt idx="92">
                  <c:v>2.8327037741601453E-2</c:v>
                </c:pt>
                <c:pt idx="93">
                  <c:v>2.6735820172248501E-2</c:v>
                </c:pt>
                <c:pt idx="94">
                  <c:v>2.5218219915194649E-2</c:v>
                </c:pt>
                <c:pt idx="95">
                  <c:v>2.3771900829914056E-2</c:v>
                </c:pt>
                <c:pt idx="96">
                  <c:v>2.2394530294843142E-2</c:v>
                </c:pt>
                <c:pt idx="97">
                  <c:v>2.1083784665664341E-2</c:v>
                </c:pt>
                <c:pt idx="98">
                  <c:v>1.9837354391795549E-2</c:v>
                </c:pt>
                <c:pt idx="99">
                  <c:v>1.8652948792270131E-2</c:v>
                </c:pt>
                <c:pt idx="100">
                  <c:v>1.7528300493568749E-2</c:v>
                </c:pt>
                <c:pt idx="101">
                  <c:v>1.6461169533247475E-2</c:v>
                </c:pt>
                <c:pt idx="102">
                  <c:v>1.5449347134395374E-2</c:v>
                </c:pt>
                <c:pt idx="103">
                  <c:v>1.4490659157048637E-2</c:v>
                </c:pt>
                <c:pt idx="104">
                  <c:v>1.3582969233685802E-2</c:v>
                </c:pt>
                <c:pt idx="105">
                  <c:v>1.2724181596831608E-2</c:v>
                </c:pt>
                <c:pt idx="106">
                  <c:v>1.1912243607605349E-2</c:v>
                </c:pt>
                <c:pt idx="107">
                  <c:v>1.1145147994764971E-2</c:v>
                </c:pt>
                <c:pt idx="108">
                  <c:v>1.0420934814422753E-2</c:v>
                </c:pt>
                <c:pt idx="109">
                  <c:v>9.7376931411441506E-3</c:v>
                </c:pt>
                <c:pt idx="110">
                  <c:v>9.0935625015911986E-3</c:v>
                </c:pt>
                <c:pt idx="111">
                  <c:v>8.4867340622388557E-3</c:v>
                </c:pt>
                <c:pt idx="112">
                  <c:v>7.9154515829800935E-3</c:v>
                </c:pt>
                <c:pt idx="113">
                  <c:v>7.3780121486469175E-3</c:v>
                </c:pt>
                <c:pt idx="114">
                  <c:v>6.8727666906140926E-3</c:v>
                </c:pt>
                <c:pt idx="115">
                  <c:v>6.3981203107236701E-3</c:v>
                </c:pt>
                <c:pt idx="116">
                  <c:v>5.9525324197759648E-3</c:v>
                </c:pt>
                <c:pt idx="117">
                  <c:v>5.5345167027806052E-3</c:v>
                </c:pt>
                <c:pt idx="118">
                  <c:v>5.1426409230540399E-3</c:v>
                </c:pt>
                <c:pt idx="119">
                  <c:v>4.7755265770916518E-3</c:v>
                </c:pt>
                <c:pt idx="120">
                  <c:v>4.4318484119380934E-3</c:v>
                </c:pt>
                <c:pt idx="121">
                  <c:v>4.1103338165326443E-3</c:v>
                </c:pt>
                <c:pt idx="122">
                  <c:v>3.809762098221888E-3</c:v>
                </c:pt>
                <c:pt idx="123">
                  <c:v>3.528963655313837E-3</c:v>
                </c:pt>
                <c:pt idx="124">
                  <c:v>3.2668190561999911E-3</c:v>
                </c:pt>
                <c:pt idx="125">
                  <c:v>3.0222580351988233E-3</c:v>
                </c:pt>
                <c:pt idx="126">
                  <c:v>2.7942584148795092E-3</c:v>
                </c:pt>
                <c:pt idx="127">
                  <c:v>2.5818449642122775E-3</c:v>
                </c:pt>
                <c:pt idx="128">
                  <c:v>2.3840882014648994E-3</c:v>
                </c:pt>
                <c:pt idx="129">
                  <c:v>2.200103150327184E-3</c:v>
                </c:pt>
                <c:pt idx="130">
                  <c:v>2.0290480572998184E-3</c:v>
                </c:pt>
                <c:pt idx="131">
                  <c:v>1.8701230779336968E-3</c:v>
                </c:pt>
                <c:pt idx="132">
                  <c:v>1.7225689390537239E-3</c:v>
                </c:pt>
                <c:pt idx="133">
                  <c:v>1.5856655836494979E-3</c:v>
                </c:pt>
                <c:pt idx="134">
                  <c:v>1.4587308046667849E-3</c:v>
                </c:pt>
                <c:pt idx="135">
                  <c:v>1.3411188734904135E-3</c:v>
                </c:pt>
                <c:pt idx="136">
                  <c:v>1.2322191684730527E-3</c:v>
                </c:pt>
                <c:pt idx="137">
                  <c:v>1.1314548084372395E-3</c:v>
                </c:pt>
                <c:pt idx="138">
                  <c:v>1.0382812956614409E-3</c:v>
                </c:pt>
                <c:pt idx="139">
                  <c:v>9.5218517245629732E-4</c:v>
                </c:pt>
                <c:pt idx="140">
                  <c:v>8.7268269504578574E-4</c:v>
                </c:pt>
                <c:pt idx="141">
                  <c:v>7.9931852809077817E-4</c:v>
                </c:pt>
                <c:pt idx="142">
                  <c:v>7.3166446283033301E-4</c:v>
                </c:pt>
                <c:pt idx="143">
                  <c:v>6.6931816146967825E-4</c:v>
                </c:pt>
                <c:pt idx="144">
                  <c:v>6.1190193011379141E-4</c:v>
                </c:pt>
                <c:pt idx="145">
                  <c:v>5.5906152223218276E-4</c:v>
                </c:pt>
                <c:pt idx="146">
                  <c:v>5.104649743442024E-4</c:v>
                </c:pt>
                <c:pt idx="147">
                  <c:v>4.6580147533505236E-4</c:v>
                </c:pt>
                <c:pt idx="148">
                  <c:v>4.2478027055076613E-4</c:v>
                </c:pt>
                <c:pt idx="149">
                  <c:v>3.8712960157560243E-4</c:v>
                </c:pt>
                <c:pt idx="150">
                  <c:v>3.525956823674576E-4</c:v>
                </c:pt>
                <c:pt idx="151">
                  <c:v>3.2094171221575197E-4</c:v>
                </c:pt>
                <c:pt idx="152">
                  <c:v>2.9194692579147063E-4</c:v>
                </c:pt>
                <c:pt idx="153">
                  <c:v>2.6540568038023818E-4</c:v>
                </c:pt>
                <c:pt idx="154">
                  <c:v>2.4112658022600245E-4</c:v>
                </c:pt>
                <c:pt idx="155">
                  <c:v>2.1893163776462047E-4</c:v>
                </c:pt>
                <c:pt idx="156">
                  <c:v>1.9865547139278028E-4</c:v>
                </c:pt>
                <c:pt idx="157">
                  <c:v>1.8014453929769567E-4</c:v>
                </c:pt>
                <c:pt idx="158">
                  <c:v>1.6325640876624852E-4</c:v>
                </c:pt>
                <c:pt idx="159">
                  <c:v>1.4785906029807951E-4</c:v>
                </c:pt>
                <c:pt idx="160">
                  <c:v>1.3383022576489084E-4</c:v>
                </c:pt>
                <c:pt idx="161">
                  <c:v>1.2105675978724956E-4</c:v>
                </c:pt>
                <c:pt idx="162">
                  <c:v>1.0943404343980503E-4</c:v>
                </c:pt>
                <c:pt idx="163">
                  <c:v>9.8865419345373052E-5</c:v>
                </c:pt>
                <c:pt idx="164">
                  <c:v>8.9261657177136262E-5</c:v>
                </c:pt>
                <c:pt idx="165">
                  <c:v>8.054044855559715E-5</c:v>
                </c:pt>
                <c:pt idx="166">
                  <c:v>7.2625930302255048E-5</c:v>
                </c:pt>
                <c:pt idx="167">
                  <c:v>6.5448234994622991E-5</c:v>
                </c:pt>
                <c:pt idx="168">
                  <c:v>5.894306775654184E-5</c:v>
                </c:pt>
                <c:pt idx="169">
                  <c:v>5.305130821319595E-5</c:v>
                </c:pt>
                <c:pt idx="170">
                  <c:v>4.7718636541206395E-5</c:v>
                </c:pt>
                <c:pt idx="171">
                  <c:v>4.2895182550128498E-5</c:v>
                </c:pt>
                <c:pt idx="172">
                  <c:v>3.8535196742088159E-5</c:v>
                </c:pt>
                <c:pt idx="173">
                  <c:v>3.4596742310649857E-5</c:v>
                </c:pt>
                <c:pt idx="174">
                  <c:v>3.1041407057850985E-5</c:v>
                </c:pt>
                <c:pt idx="175">
                  <c:v>2.7834034229215523E-5</c:v>
                </c:pt>
                <c:pt idx="176">
                  <c:v>2.4942471290054108E-5</c:v>
                </c:pt>
                <c:pt idx="177">
                  <c:v>2.2337335692076468E-5</c:v>
                </c:pt>
                <c:pt idx="178">
                  <c:v>1.9991796706923181E-5</c:v>
                </c:pt>
                <c:pt idx="179">
                  <c:v>1.7881372432324655E-5</c:v>
                </c:pt>
                <c:pt idx="180">
                  <c:v>1.5983741106905729E-5</c:v>
                </c:pt>
                <c:pt idx="181">
                  <c:v>1.4278565900888E-5</c:v>
                </c:pt>
                <c:pt idx="182">
                  <c:v>1.2747332381833601E-5</c:v>
                </c:pt>
                <c:pt idx="183">
                  <c:v>1.1373197886886796E-5</c:v>
                </c:pt>
                <c:pt idx="184">
                  <c:v>1.014085206548685E-5</c:v>
                </c:pt>
                <c:pt idx="185">
                  <c:v>9.036387889051453E-6</c:v>
                </c:pt>
                <c:pt idx="186">
                  <c:v>8.0471824564923511E-6</c:v>
                </c:pt>
                <c:pt idx="187">
                  <c:v>7.1617869564679648E-6</c:v>
                </c:pt>
                <c:pt idx="188">
                  <c:v>6.3698251788671238E-6</c:v>
                </c:pt>
                <c:pt idx="189">
                  <c:v>5.6618999990348584E-6</c:v>
                </c:pt>
                <c:pt idx="190">
                  <c:v>5.0295072885924454E-6</c:v>
                </c:pt>
                <c:pt idx="191">
                  <c:v>4.4649567362846312E-6</c:v>
                </c:pt>
                <c:pt idx="192">
                  <c:v>3.9612990910320609E-6</c:v>
                </c:pt>
                <c:pt idx="193">
                  <c:v>3.5122593672182655E-6</c:v>
                </c:pt>
                <c:pt idx="194">
                  <c:v>3.1121755791489169E-6</c:v>
                </c:pt>
                <c:pt idx="195">
                  <c:v>2.755942597549948E-6</c:v>
                </c:pt>
                <c:pt idx="196">
                  <c:v>2.4389607458933348E-6</c:v>
                </c:pt>
                <c:pt idx="197">
                  <c:v>2.1570887782364207E-6</c:v>
                </c:pt>
                <c:pt idx="198">
                  <c:v>1.9066009031227839E-6</c:v>
                </c:pt>
                <c:pt idx="199">
                  <c:v>1.6841475399168487E-6</c:v>
                </c:pt>
                <c:pt idx="200">
                  <c:v>1.4867195147342714E-6</c:v>
                </c:pt>
                <c:pt idx="201">
                  <c:v>1.3116154228950171E-6</c:v>
                </c:pt>
                <c:pt idx="202">
                  <c:v>1.1564119035797567E-6</c:v>
                </c:pt>
                <c:pt idx="203">
                  <c:v>1.0189365901318526E-6</c:v>
                </c:pt>
                <c:pt idx="204">
                  <c:v>8.9724351623830992E-7</c:v>
                </c:pt>
                <c:pt idx="205">
                  <c:v>7.8959077406937827E-7</c:v>
                </c:pt>
                <c:pt idx="206">
                  <c:v>6.944202353855154E-7</c:v>
                </c:pt>
                <c:pt idx="207">
                  <c:v>6.1033916066226792E-7</c:v>
                </c:pt>
                <c:pt idx="208">
                  <c:v>5.361035344697443E-7</c:v>
                </c:pt>
                <c:pt idx="209">
                  <c:v>4.7060297770665687E-7</c:v>
                </c:pt>
                <c:pt idx="210">
                  <c:v>4.1284709886298449E-7</c:v>
                </c:pt>
                <c:pt idx="211">
                  <c:v>3.6195315730454275E-7</c:v>
                </c:pt>
                <c:pt idx="212">
                  <c:v>3.1713492167158462E-7</c:v>
                </c:pt>
                <c:pt idx="213">
                  <c:v>2.7769261589659089E-7</c:v>
                </c:pt>
                <c:pt idx="214">
                  <c:v>2.4300385410804185E-7</c:v>
                </c:pt>
                <c:pt idx="215">
                  <c:v>2.1251547383101861E-7</c:v>
                </c:pt>
              </c:numCache>
            </c:numRef>
          </c:yVal>
          <c:smooth val="0"/>
          <c:extLst>
            <c:ext xmlns:c16="http://schemas.microsoft.com/office/drawing/2014/chart" uri="{C3380CC4-5D6E-409C-BE32-E72D297353CC}">
              <c16:uniqueId val="{00000000-44E7-424F-B8D3-C791BF9EBE15}"/>
            </c:ext>
          </c:extLst>
        </c:ser>
        <c:ser>
          <c:idx val="1"/>
          <c:order val="1"/>
          <c:spPr>
            <a:ln>
              <a:prstDash val="solid"/>
            </a:ln>
          </c:spPr>
          <c:marker>
            <c:symbol val="none"/>
          </c:marker>
          <c:xVal>
            <c:numRef>
              <c:f>'CG of Radiation Loss'!$M$4:$M$5</c:f>
              <c:numCache>
                <c:formatCode>0.0000</c:formatCode>
                <c:ptCount val="2"/>
                <c:pt idx="0">
                  <c:v>-0.79796730796999016</c:v>
                </c:pt>
                <c:pt idx="1">
                  <c:v>-0.79796730796999016</c:v>
                </c:pt>
              </c:numCache>
            </c:numRef>
          </c:xVal>
          <c:yVal>
            <c:numRef>
              <c:f>'CG of Radiation Loss'!$N$4:$N$5</c:f>
              <c:numCache>
                <c:formatCode>General</c:formatCode>
                <c:ptCount val="2"/>
                <c:pt idx="0">
                  <c:v>0</c:v>
                </c:pt>
                <c:pt idx="1">
                  <c:v>0.3989422804014327</c:v>
                </c:pt>
              </c:numCache>
            </c:numRef>
          </c:yVal>
          <c:smooth val="0"/>
          <c:extLst>
            <c:ext xmlns:c16="http://schemas.microsoft.com/office/drawing/2014/chart" uri="{C3380CC4-5D6E-409C-BE32-E72D297353CC}">
              <c16:uniqueId val="{00000001-44E7-424F-B8D3-C791BF9EBE15}"/>
            </c:ext>
          </c:extLst>
        </c:ser>
        <c:dLbls>
          <c:showLegendKey val="0"/>
          <c:showVal val="0"/>
          <c:showCatName val="0"/>
          <c:showSerName val="0"/>
          <c:showPercent val="0"/>
          <c:showBubbleSize val="0"/>
        </c:dLbls>
        <c:axId val="129005824"/>
        <c:axId val="129011712"/>
      </c:scatterChart>
      <c:valAx>
        <c:axId val="129005824"/>
        <c:scaling>
          <c:orientation val="minMax"/>
          <c:min val="-4"/>
        </c:scaling>
        <c:delete val="0"/>
        <c:axPos val="b"/>
        <c:numFmt formatCode="General" sourceLinked="1"/>
        <c:majorTickMark val="out"/>
        <c:minorTickMark val="none"/>
        <c:tickLblPos val="nextTo"/>
        <c:txPr>
          <a:bodyPr rot="0" vert="horz"/>
          <a:lstStyle/>
          <a:p>
            <a:pPr>
              <a:defRPr sz="1000" b="0" i="0" strike="noStrike" baseline="0">
                <a:solidFill>
                  <a:srgbClr val="000000"/>
                </a:solidFill>
                <a:latin typeface="Calibri"/>
                <a:ea typeface="Calibri"/>
                <a:cs typeface="Calibri"/>
              </a:defRPr>
            </a:pPr>
            <a:endParaRPr lang="en-US"/>
          </a:p>
        </c:txPr>
        <c:crossAx val="129011712"/>
        <c:crossesAt val="0"/>
        <c:crossBetween val="midCat"/>
      </c:valAx>
      <c:valAx>
        <c:axId val="129011712"/>
        <c:scaling>
          <c:orientation val="minMax"/>
          <c:max val="0.4"/>
        </c:scaling>
        <c:delete val="0"/>
        <c:axPos val="l"/>
        <c:majorGridlines/>
        <c:numFmt formatCode="#,##0.00" sourceLinked="0"/>
        <c:majorTickMark val="cross"/>
        <c:minorTickMark val="none"/>
        <c:tickLblPos val="high"/>
        <c:crossAx val="1290058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238125</xdr:colOff>
      <xdr:row>2</xdr:row>
      <xdr:rowOff>28575</xdr:rowOff>
    </xdr:from>
    <xdr:to>
      <xdr:col>12</xdr:col>
      <xdr:colOff>485775</xdr:colOff>
      <xdr:row>16</xdr:row>
      <xdr:rowOff>104775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581025</xdr:colOff>
      <xdr:row>17</xdr:row>
      <xdr:rowOff>114300</xdr:rowOff>
    </xdr:from>
    <xdr:to>
      <xdr:col>13</xdr:col>
      <xdr:colOff>219075</xdr:colOff>
      <xdr:row>32</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123825</xdr:rowOff>
    </xdr:from>
    <xdr:to>
      <xdr:col>13</xdr:col>
      <xdr:colOff>104775</xdr:colOff>
      <xdr:row>14</xdr:row>
      <xdr:rowOff>180975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571500</xdr:colOff>
      <xdr:row>38</xdr:row>
      <xdr:rowOff>161925</xdr:rowOff>
    </xdr:from>
    <xdr:to>
      <xdr:col>25</xdr:col>
      <xdr:colOff>133350</xdr:colOff>
      <xdr:row>50</xdr:row>
      <xdr:rowOff>161925</xdr:rowOff>
    </xdr:to>
    <xdr:pic>
      <xdr:nvPicPr>
        <xdr:cNvPr id="5481" name="Picture 46">
          <a:extLst>
            <a:ext uri="{FF2B5EF4-FFF2-40B4-BE49-F238E27FC236}">
              <a16:creationId xmlns:a16="http://schemas.microsoft.com/office/drawing/2014/main" id="{00000000-0008-0000-0500-0000691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430250" y="7677150"/>
          <a:ext cx="3219450" cy="2333625"/>
        </a:xfrm>
        <a:prstGeom prst="rect">
          <a:avLst/>
        </a:prstGeom>
        <a:noFill/>
        <a:ln>
          <a:noFill/>
          <a:prstDash val="solid"/>
        </a:ln>
      </xdr:spPr>
    </xdr:pic>
    <xdr:clientData/>
  </xdr:twoCellAnchor>
  <xdr:twoCellAnchor editAs="oneCell">
    <xdr:from>
      <xdr:col>17</xdr:col>
      <xdr:colOff>123825</xdr:colOff>
      <xdr:row>52</xdr:row>
      <xdr:rowOff>9525</xdr:rowOff>
    </xdr:from>
    <xdr:to>
      <xdr:col>20</xdr:col>
      <xdr:colOff>304800</xdr:colOff>
      <xdr:row>60</xdr:row>
      <xdr:rowOff>123825</xdr:rowOff>
    </xdr:to>
    <xdr:pic>
      <xdr:nvPicPr>
        <xdr:cNvPr id="5482" name="Picture 79">
          <a:extLst>
            <a:ext uri="{FF2B5EF4-FFF2-40B4-BE49-F238E27FC236}">
              <a16:creationId xmlns:a16="http://schemas.microsoft.com/office/drawing/2014/main" id="{00000000-0008-0000-0500-00006A15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1763375" y="10239375"/>
          <a:ext cx="2009775" cy="1685925"/>
        </a:xfrm>
        <a:prstGeom prst="rect">
          <a:avLst/>
        </a:prstGeom>
        <a:noFill/>
        <a:ln>
          <a:noFill/>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1</xdr:row>
      <xdr:rowOff>104775</xdr:rowOff>
    </xdr:from>
    <xdr:to>
      <xdr:col>13</xdr:col>
      <xdr:colOff>266700</xdr:colOff>
      <xdr:row>25</xdr:row>
      <xdr:rowOff>28575</xdr:rowOff>
    </xdr:to>
    <xdr:pic>
      <xdr:nvPicPr>
        <xdr:cNvPr id="6292" name="Picture 1">
          <a:extLst>
            <a:ext uri="{FF2B5EF4-FFF2-40B4-BE49-F238E27FC236}">
              <a16:creationId xmlns:a16="http://schemas.microsoft.com/office/drawing/2014/main" id="{00000000-0008-0000-0600-0000941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19125" y="295275"/>
          <a:ext cx="7572375" cy="4495800"/>
        </a:xfrm>
        <a:prstGeom prst="rect">
          <a:avLst/>
        </a:prstGeom>
        <a:noFill/>
        <a:ln>
          <a:noFill/>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11</xdr:row>
      <xdr:rowOff>76200</xdr:rowOff>
    </xdr:from>
    <xdr:to>
      <xdr:col>6</xdr:col>
      <xdr:colOff>200025</xdr:colOff>
      <xdr:row>25</xdr:row>
      <xdr:rowOff>152400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400050</xdr:colOff>
      <xdr:row>1</xdr:row>
      <xdr:rowOff>133350</xdr:rowOff>
    </xdr:from>
    <xdr:to>
      <xdr:col>3</xdr:col>
      <xdr:colOff>762000</xdr:colOff>
      <xdr:row>4</xdr:row>
      <xdr:rowOff>9525</xdr:rowOff>
    </xdr:to>
    <xdr:pic>
      <xdr:nvPicPr>
        <xdr:cNvPr id="76960" name="Picture 72" descr="&#10;f(x;\mu,\sigma^2) = \frac{1}{\sigma\sqrt{2\pi}} e^{ -\frac{1}{2}\left(\frac{x-\mu}{\sigma}\right)^2 }&#10;">
          <a:extLst>
            <a:ext uri="{FF2B5EF4-FFF2-40B4-BE49-F238E27FC236}">
              <a16:creationId xmlns:a16="http://schemas.microsoft.com/office/drawing/2014/main" id="{00000000-0008-0000-0700-0000A02C01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400050" y="323850"/>
          <a:ext cx="2343150" cy="447675"/>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S-6C-C8-8A/c/Users/despinoza/AppData/Local/Microsoft/Windows/Temporary%20Internet%20Files/Content.Outlook/010NYJ0G/Black%20Scholes%20formula%20European%20O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t"/>
      <sheetName val="Call"/>
    </sheetNames>
    <sheetDataSet>
      <sheetData sheetId="0">
        <row r="9">
          <cell r="F9">
            <v>-0.45</v>
          </cell>
        </row>
      </sheetData>
      <sheetData sheetId="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3:G18"/>
  <sheetViews>
    <sheetView topLeftCell="A2" workbookViewId="0">
      <selection activeCell="E6" sqref="E6"/>
    </sheetView>
  </sheetViews>
  <sheetFormatPr baseColWidth="10" defaultColWidth="8.83203125" defaultRowHeight="15" x14ac:dyDescent="0.2"/>
  <sheetData>
    <row r="3" spans="3:7" x14ac:dyDescent="0.2">
      <c r="E3" t="s">
        <v>0</v>
      </c>
      <c r="F3" t="s">
        <v>1</v>
      </c>
    </row>
    <row r="4" spans="3:7" x14ac:dyDescent="0.2">
      <c r="D4" t="s">
        <v>2</v>
      </c>
      <c r="E4">
        <v>13.7</v>
      </c>
      <c r="F4">
        <v>12.8</v>
      </c>
    </row>
    <row r="5" spans="3:7" x14ac:dyDescent="0.2">
      <c r="D5" t="s">
        <v>2</v>
      </c>
      <c r="E5">
        <v>13.7</v>
      </c>
      <c r="F5">
        <v>17.5</v>
      </c>
      <c r="G5" t="s">
        <v>3</v>
      </c>
    </row>
    <row r="6" spans="3:7" x14ac:dyDescent="0.2">
      <c r="D6" t="s">
        <v>4</v>
      </c>
      <c r="E6">
        <v>16</v>
      </c>
      <c r="F6">
        <v>24</v>
      </c>
      <c r="G6" s="1"/>
    </row>
    <row r="8" spans="3:7" x14ac:dyDescent="0.2">
      <c r="E8">
        <v>0</v>
      </c>
      <c r="F8">
        <v>0</v>
      </c>
    </row>
    <row r="9" spans="3:7" x14ac:dyDescent="0.2">
      <c r="E9">
        <v>25</v>
      </c>
      <c r="F9">
        <v>25</v>
      </c>
    </row>
    <row r="11" spans="3:7" x14ac:dyDescent="0.2">
      <c r="C11" t="s">
        <v>5</v>
      </c>
      <c r="D11">
        <v>14</v>
      </c>
    </row>
    <row r="12" spans="3:7" x14ac:dyDescent="0.2">
      <c r="E12" t="s">
        <v>0</v>
      </c>
      <c r="F12" t="s">
        <v>1</v>
      </c>
    </row>
    <row r="13" spans="3:7" x14ac:dyDescent="0.2">
      <c r="D13" t="s">
        <v>2</v>
      </c>
      <c r="E13">
        <f>E4-$D$11</f>
        <v>-0.30000000000000071</v>
      </c>
      <c r="F13">
        <f t="shared" ref="E13:F15" si="0">F4-$D$11</f>
        <v>-1.1999999999999993</v>
      </c>
    </row>
    <row r="14" spans="3:7" x14ac:dyDescent="0.2">
      <c r="D14" t="s">
        <v>2</v>
      </c>
      <c r="E14">
        <f>E5-$D$11</f>
        <v>-0.30000000000000071</v>
      </c>
      <c r="F14">
        <f t="shared" si="0"/>
        <v>3.5</v>
      </c>
    </row>
    <row r="15" spans="3:7" x14ac:dyDescent="0.2">
      <c r="D15" t="s">
        <v>4</v>
      </c>
      <c r="E15">
        <f>E6-$D$11</f>
        <v>2</v>
      </c>
      <c r="F15">
        <f t="shared" si="0"/>
        <v>10</v>
      </c>
    </row>
    <row r="17" spans="5:6" x14ac:dyDescent="0.2">
      <c r="E17">
        <v>-5</v>
      </c>
      <c r="F17">
        <v>-5</v>
      </c>
    </row>
    <row r="18" spans="5:6" x14ac:dyDescent="0.2">
      <c r="E18">
        <v>15</v>
      </c>
      <c r="F18">
        <v>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2"/>
  <sheetViews>
    <sheetView showGridLines="0" tabSelected="1" topLeftCell="A39" zoomScale="125" zoomScaleNormal="100" workbookViewId="0">
      <selection activeCell="F48" sqref="F48"/>
    </sheetView>
  </sheetViews>
  <sheetFormatPr baseColWidth="10" defaultColWidth="8.83203125" defaultRowHeight="15" outlineLevelCol="2" x14ac:dyDescent="0.2"/>
  <cols>
    <col min="1" max="1" width="6.33203125" customWidth="1"/>
    <col min="2" max="2" width="29.5" style="10" customWidth="1"/>
    <col min="3" max="4" width="12.5" style="10" customWidth="1"/>
    <col min="5" max="6" width="13.1640625" style="22" customWidth="1"/>
    <col min="7" max="9" width="13.1640625" style="10" customWidth="1"/>
    <col min="10" max="10" width="13.1640625" style="10" customWidth="1" outlineLevel="1"/>
    <col min="11" max="13" width="13.1640625" style="10" hidden="1" customWidth="1" outlineLevel="1"/>
    <col min="14" max="14" width="13.1640625" style="10" hidden="1" customWidth="1"/>
    <col min="15" max="18" width="13.1640625" style="10" hidden="1" customWidth="1" outlineLevel="1"/>
    <col min="19" max="19" width="13.1640625" style="10" hidden="1" customWidth="1"/>
    <col min="20" max="22" width="13.1640625" style="10" hidden="1" customWidth="1" outlineLevel="2"/>
    <col min="23" max="23" width="13.1640625" style="10" customWidth="1" outlineLevel="2"/>
    <col min="24" max="24" width="13.1640625" style="10" customWidth="1"/>
    <col min="25" max="25" width="11.6640625" style="10" customWidth="1"/>
  </cols>
  <sheetData>
    <row r="1" spans="2:24" ht="20" customHeight="1" x14ac:dyDescent="0.2">
      <c r="B1" s="46" t="s">
        <v>6</v>
      </c>
      <c r="G1" s="47"/>
      <c r="H1" s="47"/>
      <c r="I1" s="47"/>
    </row>
    <row r="2" spans="2:24" ht="16" customHeight="1" thickBot="1" x14ac:dyDescent="0.25">
      <c r="J2" s="64"/>
      <c r="K2" s="64"/>
    </row>
    <row r="3" spans="2:24" ht="19" customHeight="1" x14ac:dyDescent="0.25">
      <c r="B3" s="61" t="s">
        <v>7</v>
      </c>
      <c r="C3" s="62"/>
      <c r="D3" s="62"/>
      <c r="E3" s="62"/>
      <c r="F3" s="62"/>
      <c r="G3" s="62"/>
      <c r="H3" s="62"/>
      <c r="I3" s="63"/>
      <c r="J3" s="64"/>
      <c r="K3" s="64"/>
    </row>
    <row r="4" spans="2:24" x14ac:dyDescent="0.2">
      <c r="B4" s="48" t="s">
        <v>8</v>
      </c>
      <c r="C4" s="6"/>
      <c r="E4" s="7"/>
      <c r="F4" s="2" t="s">
        <v>9</v>
      </c>
      <c r="I4" s="60"/>
      <c r="J4" s="6"/>
      <c r="K4" s="66"/>
      <c r="L4" s="6"/>
      <c r="N4" s="6"/>
      <c r="O4" s="6"/>
    </row>
    <row r="5" spans="2:24" x14ac:dyDescent="0.2">
      <c r="B5" s="52" t="s">
        <v>10</v>
      </c>
      <c r="E5" s="7"/>
      <c r="G5" t="s">
        <v>11</v>
      </c>
      <c r="H5" s="57">
        <v>2.7900000000000001E-2</v>
      </c>
      <c r="I5" s="49"/>
      <c r="K5" s="64"/>
      <c r="L5" s="6"/>
      <c r="N5" s="6"/>
      <c r="O5" s="6"/>
    </row>
    <row r="6" spans="2:24" x14ac:dyDescent="0.2">
      <c r="B6" s="50"/>
      <c r="C6" s="39" t="s">
        <v>12</v>
      </c>
      <c r="D6" s="53">
        <v>0.5</v>
      </c>
      <c r="E6" s="150">
        <f>-$D$43*D6</f>
        <v>4420000</v>
      </c>
      <c r="F6" s="38"/>
      <c r="G6" s="37" t="s">
        <v>13</v>
      </c>
      <c r="H6" s="54">
        <v>20</v>
      </c>
      <c r="I6" s="49"/>
      <c r="K6" s="64"/>
      <c r="L6" s="6"/>
      <c r="N6" s="6"/>
      <c r="O6" s="6"/>
    </row>
    <row r="7" spans="2:24" x14ac:dyDescent="0.2">
      <c r="B7" s="50"/>
      <c r="C7" s="39" t="s">
        <v>14</v>
      </c>
      <c r="D7" s="53">
        <v>0.5</v>
      </c>
      <c r="E7" s="150">
        <f>-$D$43*D7</f>
        <v>4420000</v>
      </c>
      <c r="F7" s="38"/>
      <c r="G7" s="37" t="s">
        <v>15</v>
      </c>
      <c r="H7" s="67">
        <v>14000000</v>
      </c>
      <c r="I7" s="58"/>
      <c r="K7" s="64"/>
      <c r="L7" s="6"/>
      <c r="N7" s="6"/>
      <c r="O7" s="6"/>
    </row>
    <row r="8" spans="2:24" x14ac:dyDescent="0.2">
      <c r="B8" s="50"/>
      <c r="C8" s="39" t="s">
        <v>16</v>
      </c>
      <c r="D8" s="55">
        <v>0.05</v>
      </c>
      <c r="E8" s="77"/>
      <c r="F8" s="7"/>
      <c r="G8" s="37" t="s">
        <v>17</v>
      </c>
      <c r="H8" s="56">
        <v>0.33329999999999999</v>
      </c>
      <c r="I8" s="49"/>
      <c r="K8" s="64"/>
      <c r="L8" s="6"/>
      <c r="N8" s="6"/>
      <c r="O8" s="6"/>
    </row>
    <row r="9" spans="2:24" x14ac:dyDescent="0.2">
      <c r="B9" s="50"/>
      <c r="C9" s="39" t="s">
        <v>18</v>
      </c>
      <c r="D9" s="54">
        <v>20</v>
      </c>
      <c r="E9" s="78"/>
      <c r="F9" s="40"/>
      <c r="G9" s="37" t="s">
        <v>19</v>
      </c>
      <c r="H9" s="57">
        <v>4.0000000000000001E-3</v>
      </c>
      <c r="I9" s="49"/>
      <c r="K9" s="64"/>
      <c r="L9" s="6"/>
      <c r="N9" s="6"/>
      <c r="O9" s="6"/>
    </row>
    <row r="10" spans="2:24" x14ac:dyDescent="0.2">
      <c r="B10" s="50"/>
      <c r="C10" s="39" t="s">
        <v>20</v>
      </c>
      <c r="D10" s="53">
        <v>0</v>
      </c>
      <c r="E10" s="76"/>
      <c r="F10" s="40"/>
      <c r="G10" s="37" t="s">
        <v>21</v>
      </c>
      <c r="H10" s="56">
        <v>2.5000000000000001E-2</v>
      </c>
      <c r="I10" s="49"/>
      <c r="K10" s="64"/>
      <c r="L10" s="6"/>
      <c r="N10" s="6"/>
      <c r="O10" s="6"/>
    </row>
    <row r="11" spans="2:24" x14ac:dyDescent="0.2">
      <c r="B11" s="50"/>
      <c r="C11" s="39" t="s">
        <v>22</v>
      </c>
      <c r="D11" s="53">
        <v>0.1</v>
      </c>
      <c r="E11" s="76"/>
      <c r="F11" s="40"/>
      <c r="G11" s="37"/>
      <c r="H11" s="56"/>
      <c r="I11" s="49"/>
      <c r="K11" s="64"/>
      <c r="L11" s="6"/>
      <c r="N11" s="6"/>
      <c r="O11" s="6"/>
    </row>
    <row r="12" spans="2:24" x14ac:dyDescent="0.2">
      <c r="B12" s="59" t="s">
        <v>23</v>
      </c>
      <c r="C12" s="39"/>
      <c r="D12" s="38"/>
      <c r="E12" s="38"/>
      <c r="F12" s="38"/>
      <c r="G12" s="38"/>
      <c r="H12" s="40"/>
      <c r="I12" s="51"/>
      <c r="K12" s="66"/>
      <c r="L12" s="6"/>
      <c r="N12" s="6"/>
      <c r="O12" s="6"/>
    </row>
    <row r="13" spans="2:24" ht="16" customHeight="1" thickBot="1" x14ac:dyDescent="0.25">
      <c r="B13" s="109" t="s">
        <v>24</v>
      </c>
      <c r="C13" s="131"/>
      <c r="D13" s="131"/>
      <c r="E13" s="131"/>
      <c r="F13" s="131"/>
      <c r="G13" s="131"/>
      <c r="H13" s="131"/>
      <c r="I13" s="111"/>
      <c r="K13" s="65"/>
    </row>
    <row r="14" spans="2:24" x14ac:dyDescent="0.2">
      <c r="E14">
        <f>E22/E21*4</f>
        <v>18485124.301279999</v>
      </c>
      <c r="F14">
        <f>F22/F21*4</f>
        <v>18411183.80407488</v>
      </c>
      <c r="X14">
        <f>X22/X21*4</f>
        <v>17129701.904913276</v>
      </c>
    </row>
    <row r="15" spans="2:24" x14ac:dyDescent="0.2">
      <c r="B15" s="71" t="s">
        <v>25</v>
      </c>
      <c r="C15" s="71"/>
      <c r="D15" s="72"/>
      <c r="E15" s="73"/>
      <c r="F15" s="73"/>
      <c r="G15" s="72"/>
      <c r="H15" s="72"/>
      <c r="I15" s="72"/>
      <c r="J15" s="72"/>
      <c r="K15" s="72"/>
      <c r="L15" s="72"/>
      <c r="M15" s="72"/>
      <c r="N15" s="72"/>
      <c r="O15" s="72"/>
      <c r="P15" s="72"/>
      <c r="Q15" s="72"/>
      <c r="R15" s="72"/>
      <c r="S15" s="72"/>
      <c r="T15" s="72"/>
      <c r="U15" s="72"/>
      <c r="V15" s="72"/>
      <c r="W15" s="72"/>
      <c r="X15" s="72"/>
    </row>
    <row r="16" spans="2:24" x14ac:dyDescent="0.2">
      <c r="B16" s="68" t="s">
        <v>26</v>
      </c>
      <c r="C16" s="69"/>
      <c r="D16" s="69"/>
      <c r="E16" s="70"/>
      <c r="F16" s="70"/>
      <c r="G16" s="69"/>
      <c r="H16" s="69"/>
      <c r="I16" s="69"/>
      <c r="J16" s="69"/>
      <c r="K16" s="69"/>
      <c r="L16" s="69"/>
      <c r="M16" s="69"/>
      <c r="N16" s="69"/>
      <c r="O16" s="69"/>
      <c r="P16" s="69"/>
      <c r="Q16" s="69"/>
      <c r="R16" s="69"/>
      <c r="S16" s="69"/>
      <c r="T16" s="69"/>
      <c r="U16" s="69"/>
      <c r="V16" s="69"/>
      <c r="W16" s="69"/>
      <c r="X16" s="69"/>
    </row>
    <row r="17" spans="2:25" x14ac:dyDescent="0.2">
      <c r="B17" s="28" t="s">
        <v>27</v>
      </c>
      <c r="C17" s="23"/>
      <c r="E17" s="21">
        <v>1</v>
      </c>
      <c r="F17" s="21">
        <v>2</v>
      </c>
      <c r="G17" s="21">
        <v>3</v>
      </c>
      <c r="H17" s="21">
        <v>4</v>
      </c>
      <c r="I17" s="21">
        <v>5</v>
      </c>
      <c r="J17" s="21">
        <v>6</v>
      </c>
      <c r="K17" s="21">
        <v>7</v>
      </c>
      <c r="L17" s="21">
        <v>8</v>
      </c>
      <c r="M17" s="21">
        <v>9</v>
      </c>
      <c r="N17" s="21">
        <v>10</v>
      </c>
      <c r="O17" s="21">
        <v>11</v>
      </c>
      <c r="P17" s="21">
        <v>12</v>
      </c>
      <c r="Q17" s="21">
        <v>13</v>
      </c>
      <c r="R17" s="21">
        <v>14</v>
      </c>
      <c r="S17" s="21">
        <v>15</v>
      </c>
      <c r="T17" s="21">
        <v>16</v>
      </c>
      <c r="U17" s="21">
        <v>17</v>
      </c>
      <c r="V17" s="21">
        <v>18</v>
      </c>
      <c r="W17" s="21">
        <v>19</v>
      </c>
      <c r="X17" s="21">
        <v>20</v>
      </c>
    </row>
    <row r="18" spans="2:25" x14ac:dyDescent="0.2">
      <c r="B18" s="23"/>
      <c r="C18" s="23"/>
      <c r="F18" s="24"/>
      <c r="G18" s="21"/>
      <c r="H18" s="74"/>
    </row>
    <row r="19" spans="2:25" s="8" customFormat="1" ht="12" customHeight="1" x14ac:dyDescent="0.2">
      <c r="B19" s="11" t="s">
        <v>28</v>
      </c>
      <c r="C19" s="11"/>
      <c r="D19" s="11"/>
      <c r="E19" s="26">
        <v>3969.9650000000001</v>
      </c>
      <c r="F19" s="26">
        <f t="shared" ref="F19:X19" si="0">E19*(1-$H$9)</f>
        <v>3954.0851400000001</v>
      </c>
      <c r="G19" s="26">
        <f t="shared" si="0"/>
        <v>3938.2687994400003</v>
      </c>
      <c r="H19" s="26">
        <f t="shared" si="0"/>
        <v>3922.5157242422401</v>
      </c>
      <c r="I19" s="26">
        <f t="shared" si="0"/>
        <v>3906.8256613452713</v>
      </c>
      <c r="J19" s="26">
        <f t="shared" si="0"/>
        <v>3891.1983586998904</v>
      </c>
      <c r="K19" s="26">
        <f t="shared" si="0"/>
        <v>3875.633565265091</v>
      </c>
      <c r="L19" s="26">
        <f t="shared" si="0"/>
        <v>3860.1310310040308</v>
      </c>
      <c r="M19" s="26">
        <f t="shared" si="0"/>
        <v>3844.6905068800147</v>
      </c>
      <c r="N19" s="26">
        <f t="shared" si="0"/>
        <v>3829.3117448524945</v>
      </c>
      <c r="O19" s="26">
        <f t="shared" si="0"/>
        <v>3813.9944978730846</v>
      </c>
      <c r="P19" s="26">
        <f t="shared" si="0"/>
        <v>3798.7385198815923</v>
      </c>
      <c r="Q19" s="26">
        <f t="shared" si="0"/>
        <v>3783.543565802066</v>
      </c>
      <c r="R19" s="26">
        <f t="shared" si="0"/>
        <v>3768.4093915388576</v>
      </c>
      <c r="S19" s="26">
        <f t="shared" si="0"/>
        <v>3753.3357539727022</v>
      </c>
      <c r="T19" s="26">
        <f t="shared" si="0"/>
        <v>3738.3224109568114</v>
      </c>
      <c r="U19" s="26">
        <f t="shared" si="0"/>
        <v>3723.3691213129841</v>
      </c>
      <c r="V19" s="26">
        <f t="shared" si="0"/>
        <v>3708.4756448277321</v>
      </c>
      <c r="W19" s="26">
        <f t="shared" si="0"/>
        <v>3693.641742248421</v>
      </c>
      <c r="X19" s="26">
        <f t="shared" si="0"/>
        <v>3678.8671752794271</v>
      </c>
      <c r="Y19" s="11"/>
    </row>
    <row r="20" spans="2:25" s="8" customFormat="1" ht="12" customHeight="1" x14ac:dyDescent="0.2">
      <c r="B20" s="11" t="s">
        <v>29</v>
      </c>
      <c r="C20" s="11"/>
      <c r="D20" s="11"/>
      <c r="E20" s="26">
        <v>1164.06091119695</v>
      </c>
      <c r="F20" s="26">
        <v>1164.06091119695</v>
      </c>
      <c r="G20" s="26">
        <v>1164.06091119695</v>
      </c>
      <c r="H20" s="26">
        <v>1164.06091119695</v>
      </c>
      <c r="I20" s="26">
        <v>1164.06091119695</v>
      </c>
      <c r="J20" s="26">
        <v>1164.06091119695</v>
      </c>
      <c r="K20" s="26">
        <v>1164.06091119695</v>
      </c>
      <c r="L20" s="26">
        <v>1164.06091119695</v>
      </c>
      <c r="M20" s="26">
        <v>1164.06091119695</v>
      </c>
      <c r="N20" s="26">
        <v>1164.06091119695</v>
      </c>
      <c r="O20" s="26">
        <v>1164.06091119695</v>
      </c>
      <c r="P20" s="26">
        <v>1164.06091119695</v>
      </c>
      <c r="Q20" s="26">
        <v>1164.06091119695</v>
      </c>
      <c r="R20" s="26">
        <v>1164.06091119695</v>
      </c>
      <c r="S20" s="26">
        <v>1164.06091119695</v>
      </c>
      <c r="T20" s="26">
        <v>1164.06091119695</v>
      </c>
      <c r="U20" s="26">
        <v>1164.06091119695</v>
      </c>
      <c r="V20" s="26">
        <v>1164.06091119695</v>
      </c>
      <c r="W20" s="26">
        <v>1164.06091119695</v>
      </c>
      <c r="X20" s="26">
        <v>1164.06091119695</v>
      </c>
      <c r="Y20" s="11"/>
    </row>
    <row r="21" spans="2:25" s="8" customFormat="1" ht="12" customHeight="1" x14ac:dyDescent="0.2">
      <c r="B21" s="11" t="s">
        <v>30</v>
      </c>
      <c r="C21" s="11"/>
      <c r="D21" s="11"/>
      <c r="E21" s="27">
        <v>0.43361286372646007</v>
      </c>
      <c r="F21" s="27">
        <f>E21*(1+'Financial model'!$H$10)</f>
        <v>0.44445318531962152</v>
      </c>
      <c r="G21" s="27">
        <f>F21*(1+'Financial model'!$H$10)</f>
        <v>0.45556451495261202</v>
      </c>
      <c r="H21" s="27">
        <f>G21*(1+'Financial model'!$H$10)</f>
        <v>0.4669536278264273</v>
      </c>
      <c r="I21" s="27">
        <f>H21*(1+'Financial model'!$H$10)</f>
        <v>0.47862746852208793</v>
      </c>
      <c r="J21" s="27">
        <f>I21*(1+'Financial model'!$H$10)</f>
        <v>0.49059315523514008</v>
      </c>
      <c r="K21" s="27">
        <f>J21*(1+'Financial model'!$H$10)</f>
        <v>0.50285798411601856</v>
      </c>
      <c r="L21" s="27">
        <f>K21*(1+'Financial model'!$H$10)</f>
        <v>0.51542943371891903</v>
      </c>
      <c r="M21" s="27">
        <f>L21*(1+'Financial model'!$H$10)</f>
        <v>0.52831516956189195</v>
      </c>
      <c r="N21" s="27">
        <f>M21*(1+'Financial model'!$H$10)</f>
        <v>0.54152304880093916</v>
      </c>
      <c r="O21" s="27">
        <f>N21*(1+'Financial model'!$H$10)</f>
        <v>0.55506112502096261</v>
      </c>
      <c r="P21" s="27">
        <f>O21*(1+'Financial model'!$H$10)</f>
        <v>0.56893765314648659</v>
      </c>
      <c r="Q21" s="27">
        <f>P21*(1+'Financial model'!$H$10)</f>
        <v>0.58316109447514874</v>
      </c>
      <c r="R21" s="27">
        <f>Q21*(1+'Financial model'!$H$10)</f>
        <v>0.5977401218370274</v>
      </c>
      <c r="S21" s="27">
        <f>R21*(1+'Financial model'!$H$10)</f>
        <v>0.61268362488295303</v>
      </c>
      <c r="T21" s="27">
        <f>S21*(1+'Financial model'!$H$10)</f>
        <v>0.62800071550502679</v>
      </c>
      <c r="U21" s="27">
        <f>T21*(1+'Financial model'!$H$10)</f>
        <v>0.64370073339265244</v>
      </c>
      <c r="V21" s="27">
        <f>U21*(1+'Financial model'!$H$10)</f>
        <v>0.65979325172746872</v>
      </c>
      <c r="W21" s="27">
        <f>V21*(1+'Financial model'!$H$10)</f>
        <v>0.67628808302065535</v>
      </c>
      <c r="X21" s="27">
        <f>W21*(1+'Financial model'!$H$10)</f>
        <v>0.69319528509617168</v>
      </c>
      <c r="Y21" s="11"/>
    </row>
    <row r="22" spans="2:25" ht="15.75" customHeight="1" x14ac:dyDescent="0.2">
      <c r="B22" s="28" t="s">
        <v>31</v>
      </c>
      <c r="C22" s="21"/>
      <c r="E22" s="25">
        <f t="shared" ref="E22:X22" si="1">E19*E20*E21</f>
        <v>2003846.9211543999</v>
      </c>
      <c r="F22" s="25">
        <f t="shared" si="1"/>
        <v>2045727.3218065267</v>
      </c>
      <c r="G22" s="25">
        <f t="shared" si="1"/>
        <v>2088483.0228322828</v>
      </c>
      <c r="H22" s="25">
        <f t="shared" si="1"/>
        <v>2132132.3180094776</v>
      </c>
      <c r="I22" s="25">
        <f t="shared" si="1"/>
        <v>2176693.8834558753</v>
      </c>
      <c r="J22" s="25">
        <f t="shared" si="1"/>
        <v>2222186.7856201027</v>
      </c>
      <c r="K22" s="25">
        <f t="shared" si="1"/>
        <v>2268630.4894395634</v>
      </c>
      <c r="L22" s="25">
        <f t="shared" si="1"/>
        <v>2316044.8666688497</v>
      </c>
      <c r="M22" s="25">
        <f t="shared" si="1"/>
        <v>2364450.2043822291</v>
      </c>
      <c r="N22" s="25">
        <f t="shared" si="1"/>
        <v>2413867.2136538168</v>
      </c>
      <c r="O22" s="25">
        <f t="shared" si="1"/>
        <v>2464317.0384191819</v>
      </c>
      <c r="P22" s="25">
        <f t="shared" si="1"/>
        <v>2515821.2645221422</v>
      </c>
      <c r="Q22" s="25">
        <f t="shared" si="1"/>
        <v>2568401.9289506548</v>
      </c>
      <c r="R22" s="25">
        <f t="shared" si="1"/>
        <v>2622081.5292657232</v>
      </c>
      <c r="S22" s="25">
        <f t="shared" si="1"/>
        <v>2676883.0332273766</v>
      </c>
      <c r="T22" s="25">
        <f t="shared" si="1"/>
        <v>2732829.8886218285</v>
      </c>
      <c r="U22" s="25">
        <f t="shared" si="1"/>
        <v>2789946.0332940249</v>
      </c>
      <c r="V22" s="25">
        <f t="shared" si="1"/>
        <v>2848255.9053898696</v>
      </c>
      <c r="W22" s="25">
        <f t="shared" si="1"/>
        <v>2907784.4538125177</v>
      </c>
      <c r="X22" s="25">
        <f t="shared" si="1"/>
        <v>2968557.1488971985</v>
      </c>
    </row>
    <row r="23" spans="2:25" ht="9.75" customHeight="1" x14ac:dyDescent="0.2">
      <c r="E23" s="25"/>
      <c r="F23" s="29"/>
    </row>
    <row r="24" spans="2:25" x14ac:dyDescent="0.2">
      <c r="B24" s="10" t="s">
        <v>32</v>
      </c>
      <c r="D24" s="74"/>
      <c r="E24" s="25">
        <f>0.9*35000*E19/1000</f>
        <v>125053.89750000001</v>
      </c>
      <c r="F24" s="22">
        <f>E24*(1+'Financial model'!$H$10)</f>
        <v>128180.2449375</v>
      </c>
      <c r="G24" s="22">
        <f>F24*(1+'Financial model'!$H$10)</f>
        <v>131384.7510609375</v>
      </c>
      <c r="H24" s="22">
        <f>G24*(1+'Financial model'!$H$10)</f>
        <v>134669.36983746092</v>
      </c>
      <c r="I24" s="22">
        <f>H24*(1+'Financial model'!$H$10)</f>
        <v>138036.10408339743</v>
      </c>
      <c r="J24" s="22">
        <f>I24*(1+'Financial model'!$H$10)</f>
        <v>141487.00668548234</v>
      </c>
      <c r="K24" s="22">
        <f>J24*(1+'Financial model'!$H$10)</f>
        <v>145024.1818526194</v>
      </c>
      <c r="L24" s="22">
        <f>K24*(1+'Financial model'!$H$10)</f>
        <v>148649.78639893487</v>
      </c>
      <c r="M24" s="22">
        <f>L24*(1+'Financial model'!$H$10)</f>
        <v>152366.03105890824</v>
      </c>
      <c r="N24" s="22">
        <f>M24*(1+'Financial model'!$H$10)</f>
        <v>156175.18183538094</v>
      </c>
      <c r="O24" s="22">
        <f>N24*(1+'Financial model'!$H$10)</f>
        <v>160079.56138126543</v>
      </c>
      <c r="P24" s="22">
        <f>O24*(1+'Financial model'!$H$10)</f>
        <v>164081.55041579704</v>
      </c>
      <c r="Q24" s="22">
        <f>P24*(1+'Financial model'!$H$10)</f>
        <v>168183.58917619195</v>
      </c>
      <c r="R24" s="22">
        <f>Q24*(1+'Financial model'!$H$10)</f>
        <v>172388.17890559672</v>
      </c>
      <c r="S24" s="22">
        <f>R24*(1+'Financial model'!$H$10)</f>
        <v>176697.88337823661</v>
      </c>
      <c r="T24" s="22">
        <f>S24*(1+'Financial model'!$H$10)</f>
        <v>181115.33046269251</v>
      </c>
      <c r="U24" s="22">
        <f>T24*(1+'Financial model'!$H$10)</f>
        <v>185643.21372425981</v>
      </c>
      <c r="V24" s="22">
        <f>U24*(1+'Financial model'!$H$10)</f>
        <v>190284.29406736628</v>
      </c>
      <c r="W24" s="22">
        <f>V24*(1+'Financial model'!$H$10)</f>
        <v>195041.40141905041</v>
      </c>
      <c r="X24" s="22">
        <f>W24*(1+'Financial model'!$H$10)</f>
        <v>199917.43645452664</v>
      </c>
    </row>
    <row r="25" spans="2:25" x14ac:dyDescent="0.2">
      <c r="B25" s="10" t="s">
        <v>33</v>
      </c>
      <c r="E25" s="25">
        <f>0.9*80000</f>
        <v>72000</v>
      </c>
      <c r="F25" s="22">
        <f>E25*(1+'Financial model'!$H$10)</f>
        <v>73800</v>
      </c>
      <c r="G25" s="22">
        <f>F25*(1+'Financial model'!$H$10)</f>
        <v>75645</v>
      </c>
      <c r="H25" s="22">
        <f>G25*(1+'Financial model'!$H$10)</f>
        <v>77536.125</v>
      </c>
      <c r="I25" s="22">
        <f>H25*(1+'Financial model'!$H$10)</f>
        <v>79474.528124999997</v>
      </c>
      <c r="J25" s="22">
        <f>I25*(1+'Financial model'!$H$10)</f>
        <v>81461.391328124984</v>
      </c>
      <c r="K25" s="22">
        <f>J25*(1+'Financial model'!$H$10)</f>
        <v>83497.926111328095</v>
      </c>
      <c r="L25" s="22">
        <f>K25*(1+'Financial model'!$H$10)</f>
        <v>85585.374264111291</v>
      </c>
      <c r="M25" s="22">
        <f>L25*(1+'Financial model'!$H$10)</f>
        <v>87725.00862071407</v>
      </c>
      <c r="N25" s="22">
        <f>M25*(1+'Financial model'!$H$10)</f>
        <v>89918.133836231907</v>
      </c>
      <c r="O25" s="22">
        <f>N25*(1+'Financial model'!$H$10)</f>
        <v>92166.087182137693</v>
      </c>
      <c r="P25" s="22">
        <f>O25*(1+'Financial model'!$H$10)</f>
        <v>94470.239361691129</v>
      </c>
      <c r="Q25" s="22">
        <f>P25*(1+'Financial model'!$H$10)</f>
        <v>96831.995345733405</v>
      </c>
      <c r="R25" s="22">
        <f>Q25*(1+'Financial model'!$H$10)</f>
        <v>99252.79522937673</v>
      </c>
      <c r="S25" s="22">
        <f>R25*(1+'Financial model'!$H$10)</f>
        <v>101734.11511011115</v>
      </c>
      <c r="T25" s="22">
        <f>S25*(1+'Financial model'!$H$10)</f>
        <v>104277.46798786391</v>
      </c>
      <c r="U25" s="22">
        <f>T25*(1+'Financial model'!$H$10)</f>
        <v>106884.4046875605</v>
      </c>
      <c r="V25" s="22">
        <f>U25*(1+'Financial model'!$H$10)</f>
        <v>109556.5148047495</v>
      </c>
      <c r="W25" s="22">
        <f>V25*(1+'Financial model'!$H$10)</f>
        <v>112295.42767486823</v>
      </c>
      <c r="X25" s="22">
        <f>W25*(1+'Financial model'!$H$10)</f>
        <v>115102.81336673992</v>
      </c>
    </row>
    <row r="26" spans="2:25" x14ac:dyDescent="0.2">
      <c r="B26" s="10" t="s">
        <v>34</v>
      </c>
      <c r="E26" s="25">
        <f>0.9*4000*E19/1000</f>
        <v>14291.874</v>
      </c>
      <c r="F26" s="22">
        <f>E26*(1+'Financial model'!$H$10)</f>
        <v>14649.170849999999</v>
      </c>
      <c r="G26" s="22">
        <f>F26*(1+'Financial model'!$H$10)</f>
        <v>15015.400121249997</v>
      </c>
      <c r="H26" s="22">
        <f>G26*(1+'Financial model'!$H$10)</f>
        <v>15390.785124281245</v>
      </c>
      <c r="I26" s="22">
        <f>H26*(1+'Financial model'!$H$10)</f>
        <v>15775.554752388274</v>
      </c>
      <c r="J26" s="22">
        <f>I26*(1+'Financial model'!$H$10)</f>
        <v>16169.943621197979</v>
      </c>
      <c r="K26" s="22">
        <f>J26*(1+'Financial model'!$H$10)</f>
        <v>16574.192211727928</v>
      </c>
      <c r="L26" s="22">
        <f>K26*(1+'Financial model'!$H$10)</f>
        <v>16988.547017021127</v>
      </c>
      <c r="M26" s="22">
        <f>L26*(1+'Financial model'!$H$10)</f>
        <v>17413.260692446653</v>
      </c>
      <c r="N26" s="22">
        <f>M26*(1+'Financial model'!$H$10)</f>
        <v>17848.592209757819</v>
      </c>
      <c r="O26" s="22">
        <f>N26*(1+'Financial model'!$H$10)</f>
        <v>18294.807015001763</v>
      </c>
      <c r="P26" s="22">
        <f>O26*(1+'Financial model'!$H$10)</f>
        <v>18752.177190376806</v>
      </c>
      <c r="Q26" s="22">
        <f>P26*(1+'Financial model'!$H$10)</f>
        <v>19220.981620136223</v>
      </c>
      <c r="R26" s="22">
        <f>Q26*(1+'Financial model'!$H$10)</f>
        <v>19701.506160639627</v>
      </c>
      <c r="S26" s="22">
        <f>R26*(1+'Financial model'!$H$10)</f>
        <v>20194.043814655615</v>
      </c>
      <c r="T26" s="22">
        <f>S26*(1+'Financial model'!$H$10)</f>
        <v>20698.894910022005</v>
      </c>
      <c r="U26" s="22">
        <f>T26*(1+'Financial model'!$H$10)</f>
        <v>21216.367282772553</v>
      </c>
      <c r="V26" s="22">
        <f>U26*(1+'Financial model'!$H$10)</f>
        <v>21746.776464841863</v>
      </c>
      <c r="W26" s="22">
        <f>V26*(1+'Financial model'!$H$10)</f>
        <v>22290.445876462909</v>
      </c>
      <c r="X26" s="22">
        <f>W26*(1+'Financial model'!$H$10)</f>
        <v>22847.707023374478</v>
      </c>
    </row>
    <row r="27" spans="2:25" x14ac:dyDescent="0.2">
      <c r="B27" s="10" t="s">
        <v>35</v>
      </c>
      <c r="E27" s="25">
        <v>0</v>
      </c>
      <c r="F27" s="22">
        <f>E27*(1+'Financial model'!$H$10)</f>
        <v>0</v>
      </c>
      <c r="G27" s="22">
        <f>F27*(1+'Financial model'!$H$10)</f>
        <v>0</v>
      </c>
      <c r="H27" s="22">
        <f>G27*(1+'Financial model'!$H$10)</f>
        <v>0</v>
      </c>
      <c r="I27" s="22">
        <f>H27*(1+'Financial model'!$H$10)</f>
        <v>0</v>
      </c>
      <c r="J27" s="22">
        <f>I27*(1+'Financial model'!$H$10)</f>
        <v>0</v>
      </c>
      <c r="K27" s="22">
        <f>J27*(1+'Financial model'!$H$10)</f>
        <v>0</v>
      </c>
      <c r="L27" s="22">
        <f>K27*(1+'Financial model'!$H$10)</f>
        <v>0</v>
      </c>
      <c r="M27" s="22">
        <f>L27*(1+'Financial model'!$H$10)</f>
        <v>0</v>
      </c>
      <c r="N27" s="22">
        <f>M27*(1+'Financial model'!$H$10)</f>
        <v>0</v>
      </c>
      <c r="O27" s="22">
        <f>N27*(1+'Financial model'!$H$10)</f>
        <v>0</v>
      </c>
      <c r="P27" s="22">
        <f>O27*(1+'Financial model'!$H$10)</f>
        <v>0</v>
      </c>
      <c r="Q27" s="22">
        <f>P27*(1+'Financial model'!$H$10)</f>
        <v>0</v>
      </c>
      <c r="R27" s="22">
        <f>Q27*(1+'Financial model'!$H$10)</f>
        <v>0</v>
      </c>
      <c r="S27" s="22">
        <f>R27*(1+'Financial model'!$H$10)</f>
        <v>0</v>
      </c>
      <c r="T27" s="22">
        <f>S27*(1+'Financial model'!$H$10)</f>
        <v>0</v>
      </c>
      <c r="U27" s="22">
        <f>T27*(1+'Financial model'!$H$10)</f>
        <v>0</v>
      </c>
      <c r="V27" s="22">
        <f>U27*(1+'Financial model'!$H$10)</f>
        <v>0</v>
      </c>
      <c r="W27" s="22">
        <f>V27*(1+'Financial model'!$H$10)</f>
        <v>0</v>
      </c>
      <c r="X27" s="22">
        <f>W27*(1+'Financial model'!$H$10)</f>
        <v>0</v>
      </c>
    </row>
    <row r="28" spans="2:25" x14ac:dyDescent="0.2">
      <c r="B28" s="10" t="s">
        <v>36</v>
      </c>
      <c r="E28" s="25">
        <f>0.9*4000*E19/1000</f>
        <v>14291.874</v>
      </c>
      <c r="F28" s="22">
        <f>E28*(1+'Financial model'!$H$10)</f>
        <v>14649.170849999999</v>
      </c>
      <c r="G28" s="22">
        <f>F28*(1+'Financial model'!$H$10)</f>
        <v>15015.400121249997</v>
      </c>
      <c r="H28" s="22">
        <f>G28*(1+'Financial model'!$H$10)</f>
        <v>15390.785124281245</v>
      </c>
      <c r="I28" s="22">
        <f>H28*(1+'Financial model'!$H$10)</f>
        <v>15775.554752388274</v>
      </c>
      <c r="J28" s="22">
        <f>I28*(1+'Financial model'!$H$10)</f>
        <v>16169.943621197979</v>
      </c>
      <c r="K28" s="22">
        <f>J28*(1+'Financial model'!$H$10)</f>
        <v>16574.192211727928</v>
      </c>
      <c r="L28" s="22">
        <f>K28*(1+'Financial model'!$H$10)</f>
        <v>16988.547017021127</v>
      </c>
      <c r="M28" s="22">
        <f>L28*(1+'Financial model'!$H$10)</f>
        <v>17413.260692446653</v>
      </c>
      <c r="N28" s="22">
        <f>M28*(1+'Financial model'!$H$10)</f>
        <v>17848.592209757819</v>
      </c>
      <c r="O28" s="22">
        <f>N28*(1+'Financial model'!$H$10)</f>
        <v>18294.807015001763</v>
      </c>
      <c r="P28" s="22">
        <f>O28*(1+'Financial model'!$H$10)</f>
        <v>18752.177190376806</v>
      </c>
      <c r="Q28" s="22">
        <f>P28*(1+'Financial model'!$H$10)</f>
        <v>19220.981620136223</v>
      </c>
      <c r="R28" s="22">
        <f>Q28*(1+'Financial model'!$H$10)</f>
        <v>19701.506160639627</v>
      </c>
      <c r="S28" s="22">
        <f>R28*(1+'Financial model'!$H$10)</f>
        <v>20194.043814655615</v>
      </c>
      <c r="T28" s="22">
        <f>S28*(1+'Financial model'!$H$10)</f>
        <v>20698.894910022005</v>
      </c>
      <c r="U28" s="22">
        <f>T28*(1+'Financial model'!$H$10)</f>
        <v>21216.367282772553</v>
      </c>
      <c r="V28" s="22">
        <f>U28*(1+'Financial model'!$H$10)</f>
        <v>21746.776464841863</v>
      </c>
      <c r="W28" s="22">
        <f>V28*(1+'Financial model'!$H$10)</f>
        <v>22290.445876462909</v>
      </c>
      <c r="X28" s="22">
        <f>W28*(1+'Financial model'!$H$10)</f>
        <v>22847.707023374478</v>
      </c>
    </row>
    <row r="29" spans="2:25" x14ac:dyDescent="0.2">
      <c r="B29" s="10" t="s">
        <v>37</v>
      </c>
      <c r="E29" s="25">
        <f>0.9*(5000+7000*E19/1000+0.16%*E22+1%*(E22-E24-E25-E26-E27-E28-E32-E33))</f>
        <v>40111.202547351939</v>
      </c>
      <c r="F29" s="22">
        <f>E29*(1+'Financial model'!$H$10)</f>
        <v>41113.982611035732</v>
      </c>
      <c r="G29" s="22">
        <f>F29*(1+'Financial model'!$H$10)</f>
        <v>42141.832176311618</v>
      </c>
      <c r="H29" s="22">
        <f>G29*(1+'Financial model'!$H$10)</f>
        <v>43195.377980719408</v>
      </c>
      <c r="I29" s="22">
        <f>H29*(1+'Financial model'!$H$10)</f>
        <v>44275.262430237388</v>
      </c>
      <c r="J29" s="22">
        <f>I29*(1+'Financial model'!$H$10)</f>
        <v>45382.143990993318</v>
      </c>
      <c r="K29" s="22">
        <f>J29*(1+'Financial model'!$H$10)</f>
        <v>46516.697590768148</v>
      </c>
      <c r="L29" s="22">
        <f>K29*(1+'Financial model'!$H$10)</f>
        <v>47679.615030537345</v>
      </c>
      <c r="M29" s="22">
        <f>L29*(1+'Financial model'!$H$10)</f>
        <v>48871.605406300776</v>
      </c>
      <c r="N29" s="22">
        <f>M29*(1+'Financial model'!$H$10)</f>
        <v>50093.395541458289</v>
      </c>
      <c r="O29" s="22">
        <f>N29*(1+'Financial model'!$H$10)</f>
        <v>51345.730429994743</v>
      </c>
      <c r="P29" s="22">
        <f>O29*(1+'Financial model'!$H$10)</f>
        <v>52629.373690744607</v>
      </c>
      <c r="Q29" s="22">
        <f>P29*(1+'Financial model'!$H$10)</f>
        <v>53945.108033013217</v>
      </c>
      <c r="R29" s="22">
        <f>Q29*(1+'Financial model'!$H$10)</f>
        <v>55293.735733838541</v>
      </c>
      <c r="S29" s="22">
        <f>R29*(1+'Financial model'!$H$10)</f>
        <v>56676.079127184501</v>
      </c>
      <c r="T29" s="22">
        <f>S29*(1+'Financial model'!$H$10)</f>
        <v>58092.98110536411</v>
      </c>
      <c r="U29" s="22">
        <f>T29*(1+'Financial model'!$H$10)</f>
        <v>59545.305632998206</v>
      </c>
      <c r="V29" s="22">
        <f>U29*(1+'Financial model'!$H$10)</f>
        <v>61033.938273823158</v>
      </c>
      <c r="W29" s="22">
        <f>V29*(1+'Financial model'!$H$10)</f>
        <v>62559.786730668733</v>
      </c>
      <c r="X29" s="22">
        <f>W29*(1+'Financial model'!$H$10)</f>
        <v>64123.781398935447</v>
      </c>
    </row>
    <row r="30" spans="2:25" ht="6.75" customHeight="1" thickBot="1" x14ac:dyDescent="0.25">
      <c r="E30" s="30"/>
      <c r="F30" s="31"/>
      <c r="G30" s="32"/>
      <c r="H30" s="32"/>
      <c r="I30" s="32"/>
      <c r="J30" s="32"/>
      <c r="K30" s="32"/>
      <c r="L30" s="32"/>
      <c r="M30" s="32"/>
      <c r="N30" s="32"/>
      <c r="O30" s="32"/>
      <c r="P30" s="32"/>
      <c r="Q30" s="32"/>
      <c r="R30" s="32"/>
      <c r="S30" s="32"/>
      <c r="T30" s="32"/>
      <c r="U30" s="32"/>
      <c r="V30" s="32"/>
      <c r="W30" s="32"/>
      <c r="X30" s="32"/>
    </row>
    <row r="31" spans="2:25" ht="16" customHeight="1" thickTop="1" x14ac:dyDescent="0.2">
      <c r="B31" s="28" t="s">
        <v>38</v>
      </c>
      <c r="E31" s="33">
        <f t="shared" ref="E31:X31" si="2">E22-SUM(E24:E29)</f>
        <v>1738098.0731070479</v>
      </c>
      <c r="F31" s="33">
        <f t="shared" si="2"/>
        <v>1773334.7525579911</v>
      </c>
      <c r="G31" s="33">
        <f t="shared" si="2"/>
        <v>1809280.6393525337</v>
      </c>
      <c r="H31" s="33">
        <f t="shared" si="2"/>
        <v>1845949.8749427348</v>
      </c>
      <c r="I31" s="33">
        <f t="shared" si="2"/>
        <v>1883356.879312464</v>
      </c>
      <c r="J31" s="33">
        <f t="shared" si="2"/>
        <v>1921516.3563731061</v>
      </c>
      <c r="K31" s="33">
        <f t="shared" si="2"/>
        <v>1960443.2994613918</v>
      </c>
      <c r="L31" s="33">
        <f t="shared" si="2"/>
        <v>2000152.996941224</v>
      </c>
      <c r="M31" s="33">
        <f t="shared" si="2"/>
        <v>2040661.0379114128</v>
      </c>
      <c r="N31" s="33">
        <f t="shared" si="2"/>
        <v>2081983.3180212299</v>
      </c>
      <c r="O31" s="33">
        <f t="shared" si="2"/>
        <v>2124136.0453957804</v>
      </c>
      <c r="P31" s="33">
        <f t="shared" si="2"/>
        <v>2167135.746673156</v>
      </c>
      <c r="Q31" s="33">
        <f t="shared" si="2"/>
        <v>2210999.2731554438</v>
      </c>
      <c r="R31" s="33">
        <f t="shared" si="2"/>
        <v>2255743.8070756318</v>
      </c>
      <c r="S31" s="33">
        <f t="shared" si="2"/>
        <v>2301386.8679825333</v>
      </c>
      <c r="T31" s="33">
        <f t="shared" si="2"/>
        <v>2347946.3192458642</v>
      </c>
      <c r="U31" s="33">
        <f t="shared" si="2"/>
        <v>2395440.3746836614</v>
      </c>
      <c r="V31" s="33">
        <f t="shared" si="2"/>
        <v>2443887.6053142468</v>
      </c>
      <c r="W31" s="33">
        <f t="shared" si="2"/>
        <v>2493306.9462350043</v>
      </c>
      <c r="X31" s="33">
        <f t="shared" si="2"/>
        <v>2543717.7036302476</v>
      </c>
    </row>
    <row r="32" spans="2:25" x14ac:dyDescent="0.2">
      <c r="B32" s="10" t="s">
        <v>39</v>
      </c>
      <c r="C32" s="34">
        <f>'Financial model'!H6</f>
        <v>20</v>
      </c>
      <c r="E32" s="22">
        <f t="shared" ref="E32:X32" si="3">$H$7/$H$6</f>
        <v>700000</v>
      </c>
      <c r="F32" s="22">
        <f t="shared" si="3"/>
        <v>700000</v>
      </c>
      <c r="G32" s="22">
        <f t="shared" si="3"/>
        <v>700000</v>
      </c>
      <c r="H32" s="22">
        <f t="shared" si="3"/>
        <v>700000</v>
      </c>
      <c r="I32" s="22">
        <f t="shared" si="3"/>
        <v>700000</v>
      </c>
      <c r="J32" s="22">
        <f t="shared" si="3"/>
        <v>700000</v>
      </c>
      <c r="K32" s="22">
        <f t="shared" si="3"/>
        <v>700000</v>
      </c>
      <c r="L32" s="22">
        <f t="shared" si="3"/>
        <v>700000</v>
      </c>
      <c r="M32" s="22">
        <f t="shared" si="3"/>
        <v>700000</v>
      </c>
      <c r="N32" s="22">
        <f t="shared" si="3"/>
        <v>700000</v>
      </c>
      <c r="O32" s="22">
        <f t="shared" si="3"/>
        <v>700000</v>
      </c>
      <c r="P32" s="22">
        <f t="shared" si="3"/>
        <v>700000</v>
      </c>
      <c r="Q32" s="22">
        <f t="shared" si="3"/>
        <v>700000</v>
      </c>
      <c r="R32" s="22">
        <f t="shared" si="3"/>
        <v>700000</v>
      </c>
      <c r="S32" s="22">
        <f t="shared" si="3"/>
        <v>700000</v>
      </c>
      <c r="T32" s="22">
        <f t="shared" si="3"/>
        <v>700000</v>
      </c>
      <c r="U32" s="22">
        <f t="shared" si="3"/>
        <v>700000</v>
      </c>
      <c r="V32" s="22">
        <f t="shared" si="3"/>
        <v>700000</v>
      </c>
      <c r="W32" s="22">
        <f t="shared" si="3"/>
        <v>700000</v>
      </c>
      <c r="X32" s="22">
        <f t="shared" si="3"/>
        <v>700000</v>
      </c>
    </row>
    <row r="33" spans="1:25" x14ac:dyDescent="0.2">
      <c r="B33" s="10" t="s">
        <v>40</v>
      </c>
      <c r="E33" s="22">
        <f>'Debt Repayment profiles'!C12</f>
        <v>221000</v>
      </c>
      <c r="F33" s="22">
        <f>'Debt Repayment profiles'!D12</f>
        <v>214316.38823085721</v>
      </c>
      <c r="G33" s="22">
        <f>'Debt Repayment profiles'!E12</f>
        <v>207298.59587325729</v>
      </c>
      <c r="H33" s="22">
        <f>'Debt Repayment profiles'!F12</f>
        <v>199929.91389777738</v>
      </c>
      <c r="I33" s="22">
        <f>'Debt Repayment profiles'!G12</f>
        <v>192192.79782352346</v>
      </c>
      <c r="J33" s="22">
        <f>'Debt Repayment profiles'!H12</f>
        <v>184068.82594555686</v>
      </c>
      <c r="K33" s="22">
        <f>'Debt Repayment profiles'!I12</f>
        <v>175538.65547369191</v>
      </c>
      <c r="L33" s="22">
        <f>'Debt Repayment profiles'!J12</f>
        <v>166581.97647823373</v>
      </c>
      <c r="M33" s="22">
        <f>'Debt Repayment profiles'!K12</f>
        <v>157177.46353300262</v>
      </c>
      <c r="N33" s="22">
        <f>'Debt Repayment profiles'!L12</f>
        <v>147302.72494050997</v>
      </c>
      <c r="O33" s="22">
        <f>'Debt Repayment profiles'!M12</f>
        <v>136934.24941839269</v>
      </c>
      <c r="P33" s="22">
        <f>'Debt Repayment profiles'!N12</f>
        <v>126047.35012016953</v>
      </c>
      <c r="Q33" s="22">
        <f>'Debt Repayment profiles'!O12</f>
        <v>114616.10585703522</v>
      </c>
      <c r="R33" s="22">
        <f>'Debt Repayment profiles'!P12</f>
        <v>102613.2993807442</v>
      </c>
      <c r="S33" s="22">
        <f>'Debt Repayment profiles'!Q12</f>
        <v>90010.352580638617</v>
      </c>
      <c r="T33" s="22">
        <f>'Debt Repayment profiles'!R12</f>
        <v>76777.258440527759</v>
      </c>
      <c r="U33" s="22">
        <f>'Debt Repayment profiles'!S12</f>
        <v>62882.509593411378</v>
      </c>
      <c r="V33" s="22">
        <f>'Debt Repayment profiles'!T12</f>
        <v>48293.023303939161</v>
      </c>
      <c r="W33" s="22">
        <f>'Debt Repayment profiles'!U12</f>
        <v>32974.062699993337</v>
      </c>
      <c r="X33" s="22">
        <f>'Debt Repayment profiles'!V12</f>
        <v>16889.154065850216</v>
      </c>
    </row>
    <row r="34" spans="1:25" x14ac:dyDescent="0.2">
      <c r="B34" s="10" t="s">
        <v>41</v>
      </c>
      <c r="E34" s="22">
        <f>'Debt Repayment profiles'!C15+'Debt Repayment profiles'!C16</f>
        <v>133672.23538285564</v>
      </c>
      <c r="F34" s="22">
        <f>'Debt Repayment profiles'!D15+'Debt Repayment profiles'!D16</f>
        <v>140355.84715199843</v>
      </c>
      <c r="G34" s="22">
        <f>'Debt Repayment profiles'!E15+'Debt Repayment profiles'!E16</f>
        <v>147373.63950959835</v>
      </c>
      <c r="H34" s="22">
        <f>'Debt Repayment profiles'!F15+'Debt Repayment profiles'!F16</f>
        <v>154742.32148507825</v>
      </c>
      <c r="I34" s="22">
        <f>'Debt Repayment profiles'!G15+'Debt Repayment profiles'!G16</f>
        <v>162479.43755933217</v>
      </c>
      <c r="J34" s="22">
        <f>'Debt Repayment profiles'!H15+'Debt Repayment profiles'!H16</f>
        <v>170603.40943729877</v>
      </c>
      <c r="K34" s="22">
        <f>'Debt Repayment profiles'!I15+'Debt Repayment profiles'!I16</f>
        <v>179133.57990916373</v>
      </c>
      <c r="L34" s="22">
        <f>'Debt Repayment profiles'!J15+'Debt Repayment profiles'!J16</f>
        <v>188090.25890462191</v>
      </c>
      <c r="M34" s="22">
        <f>'Debt Repayment profiles'!K15+'Debt Repayment profiles'!K16</f>
        <v>197494.77184985302</v>
      </c>
      <c r="N34" s="22">
        <f>'Debt Repayment profiles'!L15+'Debt Repayment profiles'!L16</f>
        <v>207369.51044234567</v>
      </c>
      <c r="O34" s="22">
        <f>'Debt Repayment profiles'!M15+'Debt Repayment profiles'!M16</f>
        <v>217737.98596446295</v>
      </c>
      <c r="P34" s="22">
        <f>'Debt Repayment profiles'!N15+'Debt Repayment profiles'!N16</f>
        <v>228624.88526268612</v>
      </c>
      <c r="Q34" s="22">
        <f>'Debt Repayment profiles'!O15+'Debt Repayment profiles'!O16</f>
        <v>240056.12952582043</v>
      </c>
      <c r="R34" s="22">
        <f>'Debt Repayment profiles'!P15+'Debt Repayment profiles'!P16</f>
        <v>252058.93600211144</v>
      </c>
      <c r="S34" s="22">
        <f>'Debt Repayment profiles'!Q15+'Debt Repayment profiles'!Q16</f>
        <v>264661.88280221703</v>
      </c>
      <c r="T34" s="22">
        <f>'Debt Repayment profiles'!R15+'Debt Repayment profiles'!R16</f>
        <v>277894.97694232786</v>
      </c>
      <c r="U34" s="22">
        <f>'Debt Repayment profiles'!S15+'Debt Repayment profiles'!S16</f>
        <v>291789.72578944429</v>
      </c>
      <c r="V34" s="22">
        <f>'Debt Repayment profiles'!T15+'Debt Repayment profiles'!T16</f>
        <v>306379.21207891649</v>
      </c>
      <c r="W34" s="22">
        <f>'Debt Repayment profiles'!U15+'Debt Repayment profiles'!U16</f>
        <v>321698.17268286232</v>
      </c>
      <c r="X34" s="22">
        <f>'Debt Repayment profiles'!V15+'Debt Repayment profiles'!V16</f>
        <v>337783.08131700545</v>
      </c>
      <c r="Y34" s="167">
        <f>SUM(E34:X34)</f>
        <v>4420000.0000000009</v>
      </c>
    </row>
    <row r="35" spans="1:25" x14ac:dyDescent="0.2">
      <c r="B35" s="10" t="s">
        <v>42</v>
      </c>
      <c r="C35" s="36">
        <f>'Financial model'!H8</f>
        <v>0.33329999999999999</v>
      </c>
      <c r="E35" s="170">
        <f>$C$35*(E31-E32-E33)</f>
        <v>272338.78776657907</v>
      </c>
      <c r="F35" s="22">
        <f t="shared" ref="F35:X35" si="4">$C$35*(F31-F32-F33)</f>
        <v>286310.82083023369</v>
      </c>
      <c r="G35" s="22">
        <f t="shared" si="4"/>
        <v>300630.61509164283</v>
      </c>
      <c r="H35" s="22">
        <f t="shared" si="4"/>
        <v>315308.45301628427</v>
      </c>
      <c r="I35" s="22">
        <f t="shared" si="4"/>
        <v>330354.98836026387</v>
      </c>
      <c r="J35" s="22">
        <f t="shared" si="4"/>
        <v>345781.26189150213</v>
      </c>
      <c r="K35" s="22">
        <f t="shared" si="4"/>
        <v>361598.71784110036</v>
      </c>
      <c r="L35" s="22">
        <f t="shared" si="4"/>
        <v>377819.22112031461</v>
      </c>
      <c r="M35" s="22">
        <f t="shared" si="4"/>
        <v>394455.07534032408</v>
      </c>
      <c r="N35" s="22">
        <f t="shared" si="4"/>
        <v>411519.04167380393</v>
      </c>
      <c r="O35" s="22">
        <f t="shared" si="4"/>
        <v>429024.35859926324</v>
      </c>
      <c r="P35" s="22">
        <f t="shared" si="4"/>
        <v>446984.76257111039</v>
      </c>
      <c r="Q35" s="22">
        <f t="shared" si="4"/>
        <v>465414.50966055959</v>
      </c>
      <c r="R35" s="22">
        <f t="shared" si="4"/>
        <v>484328.39821470605</v>
      </c>
      <c r="S35" s="22">
        <f t="shared" si="4"/>
        <v>503741.79258345149</v>
      </c>
      <c r="T35" s="22">
        <f t="shared" si="4"/>
        <v>523670.64796641859</v>
      </c>
      <c r="U35" s="22">
        <f t="shared" si="4"/>
        <v>544131.53643458034</v>
      </c>
      <c r="V35" s="22">
        <f t="shared" si="4"/>
        <v>565141.67418403551</v>
      </c>
      <c r="W35" s="22">
        <f t="shared" si="4"/>
        <v>586718.95008221909</v>
      </c>
      <c r="X35" s="22">
        <f t="shared" si="4"/>
        <v>608881.95556981361</v>
      </c>
    </row>
    <row r="36" spans="1:25" s="2" customFormat="1" x14ac:dyDescent="0.2">
      <c r="B36" s="28" t="s">
        <v>43</v>
      </c>
      <c r="D36" s="75">
        <f>-E46</f>
        <v>-15265794.942762854</v>
      </c>
      <c r="E36" s="24">
        <f>E31-E35</f>
        <v>1465759.2853404689</v>
      </c>
      <c r="F36" s="24">
        <f t="shared" ref="F36:X36" si="5">F31-F35</f>
        <v>1487023.9317277574</v>
      </c>
      <c r="G36" s="24">
        <f t="shared" si="5"/>
        <v>1508650.0242608909</v>
      </c>
      <c r="H36" s="24">
        <f t="shared" si="5"/>
        <v>1530641.4219264504</v>
      </c>
      <c r="I36" s="24">
        <f t="shared" si="5"/>
        <v>1553001.8909522002</v>
      </c>
      <c r="J36" s="24">
        <f t="shared" si="5"/>
        <v>1575735.0944816039</v>
      </c>
      <c r="K36" s="24">
        <f t="shared" si="5"/>
        <v>1598844.5816202913</v>
      </c>
      <c r="L36" s="24">
        <f t="shared" si="5"/>
        <v>1622333.7758209093</v>
      </c>
      <c r="M36" s="24">
        <f t="shared" si="5"/>
        <v>1646205.9625710887</v>
      </c>
      <c r="N36" s="24">
        <f t="shared" si="5"/>
        <v>1670464.276347426</v>
      </c>
      <c r="O36" s="24">
        <f t="shared" si="5"/>
        <v>1695111.6867965171</v>
      </c>
      <c r="P36" s="24">
        <f t="shared" si="5"/>
        <v>1720150.9841020457</v>
      </c>
      <c r="Q36" s="24">
        <f t="shared" si="5"/>
        <v>1745584.7634948841</v>
      </c>
      <c r="R36" s="24">
        <f t="shared" si="5"/>
        <v>1771415.4088609258</v>
      </c>
      <c r="S36" s="24">
        <f t="shared" si="5"/>
        <v>1797645.0753990817</v>
      </c>
      <c r="T36" s="24">
        <f t="shared" si="5"/>
        <v>1824275.6712794455</v>
      </c>
      <c r="U36" s="24">
        <f t="shared" si="5"/>
        <v>1851308.838249081</v>
      </c>
      <c r="V36" s="24">
        <f t="shared" si="5"/>
        <v>1878745.9311302113</v>
      </c>
      <c r="W36" s="24">
        <f t="shared" si="5"/>
        <v>1906587.9961527851</v>
      </c>
      <c r="X36" s="24">
        <f t="shared" si="5"/>
        <v>1934835.7480604341</v>
      </c>
      <c r="Y36" s="21"/>
    </row>
    <row r="37" spans="1:25" s="2" customFormat="1" x14ac:dyDescent="0.2">
      <c r="B37" s="68" t="s">
        <v>44</v>
      </c>
      <c r="C37" s="68"/>
      <c r="D37" s="88"/>
      <c r="E37" s="89"/>
      <c r="F37" s="89"/>
      <c r="G37" s="89"/>
      <c r="H37" s="89"/>
      <c r="I37" s="89"/>
      <c r="J37" s="89"/>
      <c r="K37" s="89"/>
      <c r="L37" s="89"/>
      <c r="M37" s="89"/>
      <c r="N37" s="89"/>
      <c r="O37" s="89"/>
      <c r="P37" s="89"/>
      <c r="Q37" s="89"/>
      <c r="R37" s="89"/>
      <c r="S37" s="89"/>
      <c r="T37" s="89"/>
      <c r="U37" s="89"/>
      <c r="V37" s="89"/>
      <c r="W37" s="89"/>
      <c r="X37" s="89"/>
      <c r="Y37" s="21"/>
    </row>
    <row r="38" spans="1:25" s="2" customFormat="1" x14ac:dyDescent="0.2">
      <c r="B38" s="69" t="s">
        <v>205</v>
      </c>
      <c r="C38" s="68"/>
      <c r="D38" s="90"/>
      <c r="E38" s="132">
        <f>('Risk Valuation'!$D$13)*'Financial model'!E22</f>
        <v>41245.320676807853</v>
      </c>
      <c r="F38" s="132">
        <f>('Risk Valuation'!$D$13)*'Financial model'!F22</f>
        <v>42107.347878953136</v>
      </c>
      <c r="G38" s="132">
        <f>('Risk Valuation'!$D$13)*'Financial model'!G22</f>
        <v>42987.391449623246</v>
      </c>
      <c r="H38" s="132">
        <f>('Risk Valuation'!$D$13)*'Financial model'!H22</f>
        <v>43885.827930920372</v>
      </c>
      <c r="I38" s="132">
        <f>('Risk Valuation'!$D$13)*'Financial model'!I22</f>
        <v>44803.041734676604</v>
      </c>
      <c r="J38" s="132">
        <f>('Risk Valuation'!$D$13)*'Financial model'!J22</f>
        <v>45739.425306931334</v>
      </c>
      <c r="K38" s="132">
        <f>('Risk Valuation'!$D$13)*'Financial model'!K22</f>
        <v>46695.379295846215</v>
      </c>
      <c r="L38" s="132">
        <f>('Risk Valuation'!$D$13)*'Financial model'!L22</f>
        <v>47671.312723129391</v>
      </c>
      <c r="M38" s="132">
        <f>('Risk Valuation'!$D$13)*'Financial model'!M22</f>
        <v>48667.643159042804</v>
      </c>
      <c r="N38" s="132">
        <f>('Risk Valuation'!$D$13)*'Financial model'!N22</f>
        <v>49684.79690106678</v>
      </c>
      <c r="O38" s="132">
        <f>('Risk Valuation'!$D$13)*'Financial model'!O22</f>
        <v>50723.209156299083</v>
      </c>
      <c r="P38" s="132">
        <f>('Risk Valuation'!$D$13)*'Financial model'!P22</f>
        <v>51783.324227665718</v>
      </c>
      <c r="Q38" s="132">
        <f>('Risk Valuation'!$D$13)*'Financial model'!Q22</f>
        <v>52865.59570402393</v>
      </c>
      <c r="R38" s="132">
        <f>('Risk Valuation'!$D$13)*'Financial model'!R22</f>
        <v>53970.486654238019</v>
      </c>
      <c r="S38" s="132">
        <f>('Risk Valuation'!$D$13)*'Financial model'!S22</f>
        <v>55098.469825311593</v>
      </c>
      <c r="T38" s="132">
        <f>('Risk Valuation'!$D$13)*'Financial model'!T22</f>
        <v>56250.027844660595</v>
      </c>
      <c r="U38" s="132">
        <f>('Risk Valuation'!$D$13)*'Financial model'!U22</f>
        <v>57425.653426614008</v>
      </c>
      <c r="V38" s="132">
        <f>('Risk Valuation'!$D$13)*'Financial model'!V22</f>
        <v>58625.849583230236</v>
      </c>
      <c r="W38" s="132">
        <f>('Risk Valuation'!$D$13)*'Financial model'!W22</f>
        <v>59851.129839519745</v>
      </c>
      <c r="X38" s="132">
        <f>('Risk Valuation'!$D$13)*'Financial model'!X22</f>
        <v>61102.018453165685</v>
      </c>
      <c r="Y38" s="21"/>
    </row>
    <row r="39" spans="1:25" s="2" customFormat="1" x14ac:dyDescent="0.2">
      <c r="A39" s="5" t="s">
        <v>207</v>
      </c>
      <c r="B39" s="69" t="s">
        <v>206</v>
      </c>
      <c r="C39" s="68"/>
      <c r="D39" s="88"/>
      <c r="E39" s="132">
        <f>'Risk Valuation'!$E$48*(NPV('Risk Valuation'!$E$48+2.92%,E22:$X$22))</f>
        <v>1223790.6281488915</v>
      </c>
      <c r="F39" s="132">
        <f>'Risk Valuation'!$E$48*(NPV('Risk Valuation'!$E$48+2.92%,F22:$X$22))</f>
        <v>1216282.1608037197</v>
      </c>
      <c r="G39" s="132">
        <f>'Risk Valuation'!$E$48*(NPV('Risk Valuation'!$E$48+2.92%,G22:$X$22))</f>
        <v>1205816.5278997745</v>
      </c>
      <c r="H39" s="132">
        <f>'Risk Valuation'!$E$48*(NPV('Risk Valuation'!$E$48+2.92%,H22:$X$22))</f>
        <v>1192094.9238520882</v>
      </c>
      <c r="I39" s="132">
        <f>'Risk Valuation'!$E$48*(NPV('Risk Valuation'!$E$48+2.92%,I22:$X$22))</f>
        <v>1174792.239251429</v>
      </c>
      <c r="J39" s="132">
        <f>'Risk Valuation'!$E$48*(NPV('Risk Valuation'!$E$48+2.92%,J22:$X$22))</f>
        <v>1153554.8134200457</v>
      </c>
      <c r="K39" s="132">
        <f>'Risk Valuation'!$E$48*(NPV('Risk Valuation'!$E$48+2.92%,K22:$X$22))</f>
        <v>1127997.996309859</v>
      </c>
      <c r="L39" s="132">
        <f>'Risk Valuation'!$E$48*(NPV('Risk Valuation'!$E$48+2.92%,L22:$X$22))</f>
        <v>1097703.5035973887</v>
      </c>
      <c r="M39" s="132">
        <f>'Risk Valuation'!$E$48*(NPV('Risk Valuation'!$E$48+2.92%,M22:$X$22))</f>
        <v>1062216.547462947</v>
      </c>
      <c r="N39" s="132">
        <f>'Risk Valuation'!$E$48*(NPV('Risk Valuation'!$E$48+2.92%,N22:$X$22))</f>
        <v>1021042.7240592971</v>
      </c>
      <c r="O39" s="132">
        <f>'Risk Valuation'!$E$48*(NPV('Risk Valuation'!$E$48+2.92%,O22:$X$22))</f>
        <v>973644.63706710085</v>
      </c>
      <c r="P39" s="132">
        <f>'Risk Valuation'!$E$48*(NPV('Risk Valuation'!$E$48+2.92%,P22:$X$22))</f>
        <v>919438.23499055847</v>
      </c>
      <c r="Q39" s="132">
        <f>'Risk Valuation'!$E$48*(NPV('Risk Valuation'!$E$48+2.92%,Q22:$X$22))</f>
        <v>857788.83795510209</v>
      </c>
      <c r="R39" s="132">
        <f>'Risk Valuation'!$E$48*(NPV('Risk Valuation'!$E$48+2.92%,R22:$X$22))</f>
        <v>788006.82771738025</v>
      </c>
      <c r="S39" s="132">
        <f>'Risk Valuation'!$E$48*(NPV('Risk Valuation'!$E$48+2.92%,S22:$X$22))</f>
        <v>709342.9723724873</v>
      </c>
      <c r="T39" s="132">
        <f>'Risk Valuation'!$E$48*(NPV('Risk Valuation'!$E$48+2.92%,T22:$X$22))</f>
        <v>620983.35482976667</v>
      </c>
      <c r="U39" s="132">
        <f>'Risk Valuation'!$E$48*(NPV('Risk Valuation'!$E$48+2.92%,U22:$X$22))</f>
        <v>522043.87151062401</v>
      </c>
      <c r="V39" s="132">
        <f>'Risk Valuation'!$E$48*(NPV('Risk Valuation'!$E$48+2.92%,V22:$X$22))</f>
        <v>411564.26488229295</v>
      </c>
      <c r="W39" s="132">
        <f>'Risk Valuation'!$E$48*(NPV('Risk Valuation'!$E$48+2.92%,W22:$X$22))</f>
        <v>288501.65036170254</v>
      </c>
      <c r="X39" s="132">
        <f>'Risk Valuation'!$E$48*(NPV('Risk Valuation'!$E$48+2.92%,X22:$X$22))</f>
        <v>151723.49478311403</v>
      </c>
      <c r="Y39" s="21"/>
    </row>
    <row r="40" spans="1:25" s="2" customFormat="1" x14ac:dyDescent="0.2">
      <c r="B40" s="69" t="s">
        <v>45</v>
      </c>
      <c r="C40" s="68"/>
      <c r="D40" s="88"/>
      <c r="E40" s="132">
        <f>'Risk Valuation'!$E$57*'Financial model'!E24</f>
        <v>6252.694875000001</v>
      </c>
      <c r="F40" s="132">
        <f>'Risk Valuation'!$E$57*'Financial model'!F24</f>
        <v>6409.0122468750005</v>
      </c>
      <c r="G40" s="132">
        <f>'Risk Valuation'!$E$57*'Financial model'!G24</f>
        <v>6569.2375530468753</v>
      </c>
      <c r="H40" s="132">
        <f>'Risk Valuation'!$E$57*'Financial model'!H24</f>
        <v>6733.4684918730463</v>
      </c>
      <c r="I40" s="132">
        <f>'Risk Valuation'!$E$57*'Financial model'!I24</f>
        <v>6901.805204169872</v>
      </c>
      <c r="J40" s="132">
        <f>'Risk Valuation'!$E$57*'Financial model'!J24</f>
        <v>7074.3503342741169</v>
      </c>
      <c r="K40" s="132">
        <f>'Risk Valuation'!$E$57*'Financial model'!K24</f>
        <v>7251.2090926309702</v>
      </c>
      <c r="L40" s="132">
        <f>'Risk Valuation'!$E$57*'Financial model'!L24</f>
        <v>7432.4893199467442</v>
      </c>
      <c r="M40" s="132">
        <f>'Risk Valuation'!$E$57*'Financial model'!M24</f>
        <v>7618.3015529454124</v>
      </c>
      <c r="N40" s="132">
        <f>'Risk Valuation'!$E$57*'Financial model'!N24</f>
        <v>7808.7590917690468</v>
      </c>
      <c r="O40" s="132">
        <f>'Risk Valuation'!$E$57*'Financial model'!O24</f>
        <v>8003.9780690632724</v>
      </c>
      <c r="P40" s="132">
        <f>'Risk Valuation'!$E$57*'Financial model'!P24</f>
        <v>8204.0775207898532</v>
      </c>
      <c r="Q40" s="132">
        <f>'Risk Valuation'!$E$57*'Financial model'!Q24</f>
        <v>8409.1794588095981</v>
      </c>
      <c r="R40" s="132">
        <f>'Risk Valuation'!$E$57*'Financial model'!R24</f>
        <v>8619.4089452798362</v>
      </c>
      <c r="S40" s="132">
        <f>'Risk Valuation'!$E$57*'Financial model'!S24</f>
        <v>8834.894168911831</v>
      </c>
      <c r="T40" s="132">
        <f>'Risk Valuation'!$E$57*'Financial model'!T24</f>
        <v>9055.7665231346255</v>
      </c>
      <c r="U40" s="132">
        <f>'Risk Valuation'!$E$57*'Financial model'!U24</f>
        <v>9282.1606862129902</v>
      </c>
      <c r="V40" s="132">
        <f>'Risk Valuation'!$E$57*'Financial model'!V24</f>
        <v>9514.2147033683141</v>
      </c>
      <c r="W40" s="132">
        <f>'Risk Valuation'!$E$57*'Financial model'!W24</f>
        <v>9752.0700709525208</v>
      </c>
      <c r="X40" s="132">
        <f>'Risk Valuation'!$E$57*'Financial model'!X24</f>
        <v>9995.8718227263325</v>
      </c>
      <c r="Y40" s="21"/>
    </row>
    <row r="41" spans="1:25" s="2" customFormat="1" x14ac:dyDescent="0.2">
      <c r="B41" s="69" t="s">
        <v>46</v>
      </c>
      <c r="C41" s="68"/>
      <c r="D41" s="88"/>
      <c r="E41" s="132">
        <f>'Risk Valuation'!$D$73*'Financial model'!E26*0</f>
        <v>0</v>
      </c>
      <c r="F41" s="132">
        <f>'Risk Valuation'!$D$73*'Financial model'!F26*0</f>
        <v>0</v>
      </c>
      <c r="G41" s="132">
        <f>'Risk Valuation'!$D$73*'Financial model'!G26*0</f>
        <v>0</v>
      </c>
      <c r="H41" s="132">
        <f>'Risk Valuation'!$D$73*'Financial model'!H26*0</f>
        <v>0</v>
      </c>
      <c r="I41" s="132">
        <f>'Risk Valuation'!$D$73*'Financial model'!I26*0</f>
        <v>0</v>
      </c>
      <c r="J41" s="132">
        <f>'Risk Valuation'!$D$73*'Financial model'!J26*0</f>
        <v>0</v>
      </c>
      <c r="K41" s="132">
        <f>'Risk Valuation'!$D$73*'Financial model'!K26*0</f>
        <v>0</v>
      </c>
      <c r="L41" s="132">
        <f>'Risk Valuation'!$D$73*'Financial model'!L26*0</f>
        <v>0</v>
      </c>
      <c r="M41" s="132">
        <f>'Risk Valuation'!$D$73*'Financial model'!M26*0</f>
        <v>0</v>
      </c>
      <c r="N41" s="132">
        <f>'Risk Valuation'!$D$73*'Financial model'!N26*0</f>
        <v>0</v>
      </c>
      <c r="O41" s="132">
        <f>'Risk Valuation'!$D$73*'Financial model'!O26*0</f>
        <v>0</v>
      </c>
      <c r="P41" s="132">
        <f>'Risk Valuation'!$D$73*'Financial model'!P26*0</f>
        <v>0</v>
      </c>
      <c r="Q41" s="132">
        <f>'Risk Valuation'!$D$73*'Financial model'!Q26*0</f>
        <v>0</v>
      </c>
      <c r="R41" s="132">
        <f>'Risk Valuation'!$D$73*'Financial model'!R26*0</f>
        <v>0</v>
      </c>
      <c r="S41" s="132">
        <f>'Risk Valuation'!$D$73*'Financial model'!S26*0</f>
        <v>0</v>
      </c>
      <c r="T41" s="132">
        <f>'Risk Valuation'!$D$73*'Financial model'!T26*0</f>
        <v>0</v>
      </c>
      <c r="U41" s="132">
        <f>'Risk Valuation'!$D$73*'Financial model'!U26*0</f>
        <v>0</v>
      </c>
      <c r="V41" s="132">
        <f>'Risk Valuation'!$D$73*'Financial model'!V26*0</f>
        <v>0</v>
      </c>
      <c r="W41" s="132">
        <f>'Risk Valuation'!$D$73*'Financial model'!W26*0</f>
        <v>0</v>
      </c>
      <c r="X41" s="132">
        <f>'Risk Valuation'!$D$73*'Financial model'!X26*0</f>
        <v>0</v>
      </c>
      <c r="Y41" s="21"/>
    </row>
    <row r="42" spans="1:25" s="2" customFormat="1" x14ac:dyDescent="0.2">
      <c r="B42" s="177" t="s">
        <v>194</v>
      </c>
      <c r="C42" s="68"/>
      <c r="D42" s="88"/>
      <c r="E42" s="132">
        <f>SUM(E38:E41)</f>
        <v>1271288.6437006993</v>
      </c>
      <c r="F42" s="132">
        <f t="shared" ref="F42:X42" si="6">SUM(F38:F41)</f>
        <v>1264798.520929548</v>
      </c>
      <c r="G42" s="132">
        <f t="shared" si="6"/>
        <v>1255373.1569024445</v>
      </c>
      <c r="H42" s="132">
        <f t="shared" si="6"/>
        <v>1242714.2202748815</v>
      </c>
      <c r="I42" s="132">
        <f t="shared" si="6"/>
        <v>1226497.0861902754</v>
      </c>
      <c r="J42" s="132">
        <f t="shared" si="6"/>
        <v>1206368.5890612511</v>
      </c>
      <c r="K42" s="132">
        <f t="shared" si="6"/>
        <v>1181944.5846983362</v>
      </c>
      <c r="L42" s="132">
        <f t="shared" si="6"/>
        <v>1152807.3056404649</v>
      </c>
      <c r="M42" s="132">
        <f t="shared" si="6"/>
        <v>1118502.4921749353</v>
      </c>
      <c r="N42" s="132">
        <f t="shared" si="6"/>
        <v>1078536.2800521329</v>
      </c>
      <c r="O42" s="132">
        <f t="shared" si="6"/>
        <v>1032371.8242924633</v>
      </c>
      <c r="P42" s="132">
        <f t="shared" si="6"/>
        <v>979425.63673901395</v>
      </c>
      <c r="Q42" s="132">
        <f t="shared" si="6"/>
        <v>919063.6131179356</v>
      </c>
      <c r="R42" s="132">
        <f t="shared" si="6"/>
        <v>850596.7233168981</v>
      </c>
      <c r="S42" s="132">
        <f t="shared" si="6"/>
        <v>773276.33636671072</v>
      </c>
      <c r="T42" s="132">
        <f t="shared" si="6"/>
        <v>686289.1491975619</v>
      </c>
      <c r="U42" s="132">
        <f t="shared" si="6"/>
        <v>588751.68562345102</v>
      </c>
      <c r="V42" s="132">
        <f t="shared" si="6"/>
        <v>479704.32916889148</v>
      </c>
      <c r="W42" s="132">
        <f t="shared" si="6"/>
        <v>358104.85027217481</v>
      </c>
      <c r="X42" s="132">
        <f t="shared" si="6"/>
        <v>222821.38505900605</v>
      </c>
      <c r="Y42" s="21"/>
    </row>
    <row r="43" spans="1:25" s="2" customFormat="1" x14ac:dyDescent="0.2">
      <c r="A43" s="5" t="s">
        <v>209</v>
      </c>
      <c r="B43" s="68" t="s">
        <v>208</v>
      </c>
      <c r="C43" s="68"/>
      <c r="D43" s="178">
        <v>-8840000</v>
      </c>
      <c r="E43" s="89">
        <f>E36-E42*(1-$C$35)</f>
        <v>618191.14658521255</v>
      </c>
      <c r="F43" s="89">
        <f t="shared" ref="F43:X43" si="7">F36-F42*(1-$C$35)</f>
        <v>643782.75782402768</v>
      </c>
      <c r="G43" s="89">
        <f t="shared" si="7"/>
        <v>671692.74055403098</v>
      </c>
      <c r="H43" s="89">
        <f t="shared" si="7"/>
        <v>702123.85126918694</v>
      </c>
      <c r="I43" s="89">
        <f t="shared" si="7"/>
        <v>735296.28358914342</v>
      </c>
      <c r="J43" s="89">
        <f t="shared" si="7"/>
        <v>771449.15615446772</v>
      </c>
      <c r="K43" s="89">
        <f t="shared" si="7"/>
        <v>810842.12700191047</v>
      </c>
      <c r="L43" s="89">
        <f t="shared" si="7"/>
        <v>853757.14515041129</v>
      </c>
      <c r="M43" s="89">
        <f t="shared" si="7"/>
        <v>900500.35103805922</v>
      </c>
      <c r="N43" s="89">
        <f t="shared" si="7"/>
        <v>951404.1384366689</v>
      </c>
      <c r="O43" s="89">
        <f t="shared" si="7"/>
        <v>1006829.3915407318</v>
      </c>
      <c r="P43" s="89">
        <f t="shared" si="7"/>
        <v>1067167.912088145</v>
      </c>
      <c r="Q43" s="89">
        <f t="shared" si="7"/>
        <v>1132845.0526291565</v>
      </c>
      <c r="R43" s="89">
        <f t="shared" si="7"/>
        <v>1204322.5734255498</v>
      </c>
      <c r="S43" s="89">
        <f t="shared" si="7"/>
        <v>1282101.7419433957</v>
      </c>
      <c r="T43" s="89">
        <f t="shared" si="7"/>
        <v>1366726.695509431</v>
      </c>
      <c r="U43" s="89">
        <f t="shared" si="7"/>
        <v>1458788.0894439262</v>
      </c>
      <c r="V43" s="89">
        <f t="shared" si="7"/>
        <v>1558927.0548733114</v>
      </c>
      <c r="W43" s="89">
        <f t="shared" si="7"/>
        <v>1667839.4924763262</v>
      </c>
      <c r="X43" s="89">
        <f t="shared" si="7"/>
        <v>1786280.7306415949</v>
      </c>
      <c r="Y43" s="21"/>
    </row>
    <row r="44" spans="1:25" s="2" customFormat="1" x14ac:dyDescent="0.2">
      <c r="B44" s="68" t="s">
        <v>47</v>
      </c>
      <c r="C44" s="68"/>
      <c r="D44" s="88"/>
      <c r="E44" s="91">
        <f>IRR(D43:X43)</f>
        <v>8.2296003053669464E-2</v>
      </c>
      <c r="F44" s="89" t="s">
        <v>48</v>
      </c>
      <c r="G44" s="89"/>
      <c r="H44" s="89"/>
      <c r="I44" s="89"/>
      <c r="J44" s="89"/>
      <c r="K44" s="89"/>
      <c r="L44" s="89"/>
      <c r="M44" s="89"/>
      <c r="N44" s="89"/>
      <c r="O44" s="89"/>
      <c r="P44" s="89"/>
      <c r="Q44" s="89"/>
      <c r="R44" s="89"/>
      <c r="S44" s="89"/>
      <c r="T44" s="89"/>
      <c r="U44" s="89"/>
      <c r="V44" s="89"/>
      <c r="W44" s="89"/>
      <c r="X44" s="89"/>
      <c r="Y44" s="21"/>
    </row>
    <row r="46" spans="1:25" x14ac:dyDescent="0.2">
      <c r="D46" s="28" t="s">
        <v>49</v>
      </c>
      <c r="E46" s="24">
        <f>NPV(H5,E43:X43)</f>
        <v>15265794.942762854</v>
      </c>
      <c r="H46" s="167"/>
    </row>
    <row r="47" spans="1:25" x14ac:dyDescent="0.2">
      <c r="D47" s="28" t="s">
        <v>50</v>
      </c>
      <c r="E47" s="24">
        <f>NPV(D11,E36:X36)</f>
        <v>13758809.662502479</v>
      </c>
      <c r="F47" s="22" t="s">
        <v>211</v>
      </c>
    </row>
    <row r="48" spans="1:25" x14ac:dyDescent="0.2">
      <c r="D48" s="176"/>
      <c r="E48" s="24">
        <f>NPV(8%,E36:X36)</f>
        <v>15992973.149212042</v>
      </c>
      <c r="F48" s="22" t="s">
        <v>210</v>
      </c>
    </row>
    <row r="49" spans="2:24" x14ac:dyDescent="0.2">
      <c r="D49" s="28" t="s">
        <v>51</v>
      </c>
      <c r="E49" s="172">
        <f>IRR(D36:X36)</f>
        <v>8.6004135245238755E-2</v>
      </c>
      <c r="F49" s="24"/>
      <c r="G49" s="24"/>
      <c r="H49" s="24"/>
      <c r="I49" s="24"/>
      <c r="J49" s="24"/>
      <c r="K49" s="24"/>
      <c r="L49" s="24"/>
      <c r="M49" s="24"/>
      <c r="N49" s="24"/>
      <c r="O49" s="24"/>
      <c r="P49" s="24"/>
      <c r="Q49" s="24"/>
      <c r="R49" s="24"/>
      <c r="S49" s="24"/>
      <c r="T49" s="24"/>
      <c r="U49" s="24"/>
      <c r="V49" s="24"/>
      <c r="W49" s="24"/>
      <c r="X49" s="24"/>
    </row>
    <row r="50" spans="2:24" x14ac:dyDescent="0.2">
      <c r="D50" s="21"/>
      <c r="W50" s="22"/>
      <c r="X50" s="22"/>
    </row>
    <row r="51" spans="2:24" x14ac:dyDescent="0.2">
      <c r="B51" s="10" t="s">
        <v>204</v>
      </c>
    </row>
    <row r="52" spans="2:24" x14ac:dyDescent="0.2">
      <c r="B52" s="10" t="s">
        <v>203</v>
      </c>
      <c r="E52" s="171"/>
      <c r="X52" s="22"/>
    </row>
  </sheetData>
  <pageMargins left="0.7" right="0.7" top="0.75" bottom="0.75" header="0.3" footer="0.3"/>
  <pageSetup paperSize="9" scale="5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19"/>
  <sheetViews>
    <sheetView view="pageBreakPreview" zoomScale="125" zoomScaleNormal="90" workbookViewId="0">
      <selection activeCell="X5" sqref="X5"/>
    </sheetView>
  </sheetViews>
  <sheetFormatPr baseColWidth="10" defaultColWidth="11.5" defaultRowHeight="15" x14ac:dyDescent="0.2"/>
  <cols>
    <col min="1" max="1" width="22.5" customWidth="1"/>
    <col min="2" max="2" width="15" customWidth="1"/>
    <col min="3" max="22" width="10.5" customWidth="1"/>
  </cols>
  <sheetData>
    <row r="1" spans="1:25" s="42" customFormat="1" x14ac:dyDescent="0.2">
      <c r="A1" s="41" t="s">
        <v>52</v>
      </c>
    </row>
    <row r="2" spans="1:25" s="44" customFormat="1" x14ac:dyDescent="0.2">
      <c r="A2" s="43" t="s">
        <v>53</v>
      </c>
    </row>
    <row r="3" spans="1:25" x14ac:dyDescent="0.2">
      <c r="A3" s="14"/>
      <c r="B3" s="15"/>
      <c r="D3" s="39" t="s">
        <v>54</v>
      </c>
      <c r="E3" s="13">
        <f>'Financial model'!E7</f>
        <v>4420000</v>
      </c>
    </row>
    <row r="4" spans="1:25" x14ac:dyDescent="0.2">
      <c r="A4" s="16" t="s">
        <v>55</v>
      </c>
      <c r="B4" s="35">
        <f>'Financial model'!D9</f>
        <v>20</v>
      </c>
      <c r="D4" s="39" t="s">
        <v>56</v>
      </c>
      <c r="E4" s="13">
        <f>E3*B6</f>
        <v>0</v>
      </c>
    </row>
    <row r="5" spans="1:25" x14ac:dyDescent="0.2">
      <c r="A5" s="16" t="s">
        <v>57</v>
      </c>
      <c r="B5" s="17">
        <f>'Financial model'!D8</f>
        <v>0.05</v>
      </c>
      <c r="D5" s="39"/>
    </row>
    <row r="6" spans="1:25" x14ac:dyDescent="0.2">
      <c r="A6" s="18" t="s">
        <v>20</v>
      </c>
      <c r="B6" s="19">
        <f>'Financial model'!D10</f>
        <v>0</v>
      </c>
      <c r="D6" s="39" t="s">
        <v>58</v>
      </c>
      <c r="E6" s="45">
        <f>PMT(B5,B4,E3,-E4,0)</f>
        <v>-354672.23538285564</v>
      </c>
    </row>
    <row r="7" spans="1:25" x14ac:dyDescent="0.2">
      <c r="A7" s="6"/>
      <c r="B7" s="1"/>
    </row>
    <row r="8" spans="1:25" x14ac:dyDescent="0.2">
      <c r="A8" s="3" t="s">
        <v>59</v>
      </c>
      <c r="B8" s="5" t="s">
        <v>27</v>
      </c>
      <c r="C8" s="2">
        <v>1</v>
      </c>
      <c r="D8" s="2">
        <v>2</v>
      </c>
      <c r="E8" s="2">
        <v>3</v>
      </c>
      <c r="F8" s="2">
        <v>4</v>
      </c>
      <c r="G8" s="2">
        <v>5</v>
      </c>
      <c r="H8" s="2">
        <v>6</v>
      </c>
      <c r="I8" s="2">
        <v>7</v>
      </c>
      <c r="J8" s="2">
        <v>8</v>
      </c>
      <c r="K8" s="2">
        <v>9</v>
      </c>
      <c r="L8" s="2">
        <v>10</v>
      </c>
      <c r="M8" s="2">
        <v>11</v>
      </c>
      <c r="N8" s="2">
        <v>12</v>
      </c>
      <c r="O8" s="2">
        <v>13</v>
      </c>
      <c r="P8" s="2">
        <v>14</v>
      </c>
      <c r="Q8" s="2">
        <v>15</v>
      </c>
      <c r="R8" s="2">
        <v>16</v>
      </c>
      <c r="S8" s="2">
        <v>17</v>
      </c>
      <c r="T8" s="2">
        <v>18</v>
      </c>
      <c r="U8" s="2">
        <v>19</v>
      </c>
      <c r="V8" s="2">
        <v>20</v>
      </c>
    </row>
    <row r="9" spans="1:25" x14ac:dyDescent="0.2">
      <c r="A9" s="3" t="s">
        <v>60</v>
      </c>
      <c r="C9" s="7"/>
      <c r="D9" s="4"/>
      <c r="E9" s="2"/>
    </row>
    <row r="11" spans="1:25" x14ac:dyDescent="0.2">
      <c r="A11" t="s">
        <v>61</v>
      </c>
      <c r="C11" s="13">
        <f t="shared" ref="C11:V11" si="0">-$E$6*IF($B$4&gt;=C$8,1,0)</f>
        <v>354672.23538285564</v>
      </c>
      <c r="D11" s="13">
        <f t="shared" si="0"/>
        <v>354672.23538285564</v>
      </c>
      <c r="E11" s="13">
        <f t="shared" si="0"/>
        <v>354672.23538285564</v>
      </c>
      <c r="F11" s="13">
        <f t="shared" si="0"/>
        <v>354672.23538285564</v>
      </c>
      <c r="G11" s="13">
        <f t="shared" si="0"/>
        <v>354672.23538285564</v>
      </c>
      <c r="H11" s="13">
        <f t="shared" si="0"/>
        <v>354672.23538285564</v>
      </c>
      <c r="I11" s="13">
        <f t="shared" si="0"/>
        <v>354672.23538285564</v>
      </c>
      <c r="J11" s="13">
        <f t="shared" si="0"/>
        <v>354672.23538285564</v>
      </c>
      <c r="K11" s="13">
        <f t="shared" si="0"/>
        <v>354672.23538285564</v>
      </c>
      <c r="L11" s="13">
        <f t="shared" si="0"/>
        <v>354672.23538285564</v>
      </c>
      <c r="M11" s="13">
        <f t="shared" si="0"/>
        <v>354672.23538285564</v>
      </c>
      <c r="N11" s="13">
        <f t="shared" si="0"/>
        <v>354672.23538285564</v>
      </c>
      <c r="O11" s="13">
        <f t="shared" si="0"/>
        <v>354672.23538285564</v>
      </c>
      <c r="P11" s="13">
        <f t="shared" si="0"/>
        <v>354672.23538285564</v>
      </c>
      <c r="Q11" s="13">
        <f t="shared" si="0"/>
        <v>354672.23538285564</v>
      </c>
      <c r="R11" s="13">
        <f t="shared" si="0"/>
        <v>354672.23538285564</v>
      </c>
      <c r="S11" s="13">
        <f t="shared" si="0"/>
        <v>354672.23538285564</v>
      </c>
      <c r="T11" s="13">
        <f t="shared" si="0"/>
        <v>354672.23538285564</v>
      </c>
      <c r="U11" s="13">
        <f t="shared" si="0"/>
        <v>354672.23538285564</v>
      </c>
      <c r="V11" s="13">
        <f t="shared" si="0"/>
        <v>354672.23538285564</v>
      </c>
    </row>
    <row r="12" spans="1:25" x14ac:dyDescent="0.2">
      <c r="A12" s="6" t="s">
        <v>62</v>
      </c>
      <c r="C12" s="13">
        <f t="shared" ref="C12:V12" si="1">C14*$B$5</f>
        <v>221000</v>
      </c>
      <c r="D12" s="13">
        <f t="shared" si="1"/>
        <v>214316.38823085721</v>
      </c>
      <c r="E12" s="13">
        <f t="shared" si="1"/>
        <v>207298.59587325729</v>
      </c>
      <c r="F12" s="13">
        <f t="shared" si="1"/>
        <v>199929.91389777738</v>
      </c>
      <c r="G12" s="13">
        <f t="shared" si="1"/>
        <v>192192.79782352346</v>
      </c>
      <c r="H12" s="13">
        <f t="shared" si="1"/>
        <v>184068.82594555686</v>
      </c>
      <c r="I12" s="13">
        <f t="shared" si="1"/>
        <v>175538.65547369191</v>
      </c>
      <c r="J12" s="13">
        <f t="shared" si="1"/>
        <v>166581.97647823373</v>
      </c>
      <c r="K12" s="13">
        <f t="shared" si="1"/>
        <v>157177.46353300262</v>
      </c>
      <c r="L12" s="13">
        <f t="shared" si="1"/>
        <v>147302.72494050997</v>
      </c>
      <c r="M12" s="13">
        <f t="shared" si="1"/>
        <v>136934.24941839269</v>
      </c>
      <c r="N12" s="13">
        <f t="shared" si="1"/>
        <v>126047.35012016953</v>
      </c>
      <c r="O12" s="13">
        <f t="shared" si="1"/>
        <v>114616.10585703522</v>
      </c>
      <c r="P12" s="13">
        <f t="shared" si="1"/>
        <v>102613.2993807442</v>
      </c>
      <c r="Q12" s="13">
        <f t="shared" si="1"/>
        <v>90010.352580638617</v>
      </c>
      <c r="R12" s="13">
        <f t="shared" si="1"/>
        <v>76777.258440527759</v>
      </c>
      <c r="S12" s="13">
        <f t="shared" si="1"/>
        <v>62882.509593411378</v>
      </c>
      <c r="T12" s="13">
        <f t="shared" si="1"/>
        <v>48293.023303939161</v>
      </c>
      <c r="U12" s="13">
        <f t="shared" si="1"/>
        <v>32974.062699993337</v>
      </c>
      <c r="V12" s="13">
        <f t="shared" si="1"/>
        <v>16889.154065850216</v>
      </c>
    </row>
    <row r="13" spans="1:25" x14ac:dyDescent="0.2">
      <c r="A13" s="6"/>
      <c r="C13" s="13"/>
      <c r="D13" s="13"/>
      <c r="E13" s="13"/>
      <c r="F13" s="13"/>
      <c r="G13" s="13"/>
      <c r="H13" s="13"/>
      <c r="I13" s="13"/>
      <c r="J13" s="13"/>
      <c r="K13" s="13"/>
      <c r="L13" s="13"/>
      <c r="M13" s="13"/>
      <c r="N13" s="13"/>
      <c r="O13" s="13"/>
      <c r="P13" s="13"/>
      <c r="Q13" s="13"/>
      <c r="R13" s="13"/>
      <c r="S13" s="13"/>
      <c r="T13" s="13"/>
      <c r="U13" s="13"/>
      <c r="V13" s="13"/>
    </row>
    <row r="14" spans="1:25" x14ac:dyDescent="0.2">
      <c r="A14" s="6" t="s">
        <v>63</v>
      </c>
      <c r="B14" s="12"/>
      <c r="C14" s="13">
        <f t="shared" ref="C14:V14" si="2">B17</f>
        <v>4420000</v>
      </c>
      <c r="D14" s="13">
        <f t="shared" si="2"/>
        <v>4286327.7646171441</v>
      </c>
      <c r="E14" s="13">
        <f t="shared" si="2"/>
        <v>4145971.9174651457</v>
      </c>
      <c r="F14" s="13">
        <f t="shared" si="2"/>
        <v>3998598.2779555474</v>
      </c>
      <c r="G14" s="13">
        <f t="shared" si="2"/>
        <v>3843855.956470469</v>
      </c>
      <c r="H14" s="13">
        <f t="shared" si="2"/>
        <v>3681376.5189111368</v>
      </c>
      <c r="I14" s="13">
        <f t="shared" si="2"/>
        <v>3510773.109473838</v>
      </c>
      <c r="J14" s="13">
        <f t="shared" si="2"/>
        <v>3331639.5295646745</v>
      </c>
      <c r="K14" s="13">
        <f t="shared" si="2"/>
        <v>3143549.2706600525</v>
      </c>
      <c r="L14" s="13">
        <f t="shared" si="2"/>
        <v>2946054.4988101996</v>
      </c>
      <c r="M14" s="13">
        <f t="shared" si="2"/>
        <v>2738684.9883678537</v>
      </c>
      <c r="N14" s="13">
        <f t="shared" si="2"/>
        <v>2520947.0024033906</v>
      </c>
      <c r="O14" s="13">
        <f t="shared" si="2"/>
        <v>2292322.1171407043</v>
      </c>
      <c r="P14" s="13">
        <f t="shared" si="2"/>
        <v>2052265.9876148838</v>
      </c>
      <c r="Q14" s="13">
        <f t="shared" si="2"/>
        <v>1800207.0516127723</v>
      </c>
      <c r="R14" s="13">
        <f t="shared" si="2"/>
        <v>1535545.1688105552</v>
      </c>
      <c r="S14" s="13">
        <f t="shared" si="2"/>
        <v>1257650.1918682274</v>
      </c>
      <c r="T14" s="13">
        <f t="shared" si="2"/>
        <v>965860.46607878315</v>
      </c>
      <c r="U14" s="13">
        <f t="shared" si="2"/>
        <v>659481.25399986666</v>
      </c>
      <c r="V14" s="13">
        <f t="shared" si="2"/>
        <v>337783.08131700434</v>
      </c>
      <c r="W14" s="12"/>
      <c r="X14" s="12"/>
      <c r="Y14" s="12"/>
    </row>
    <row r="15" spans="1:25" x14ac:dyDescent="0.2">
      <c r="A15" s="6" t="s">
        <v>64</v>
      </c>
      <c r="B15" s="12"/>
      <c r="C15" s="13">
        <f t="shared" ref="C15:V15" si="3">(C11-C12)*IF($B$4&gt;=C$8,1,0)</f>
        <v>133672.23538285564</v>
      </c>
      <c r="D15" s="13">
        <f t="shared" si="3"/>
        <v>140355.84715199843</v>
      </c>
      <c r="E15" s="13">
        <f t="shared" si="3"/>
        <v>147373.63950959835</v>
      </c>
      <c r="F15" s="13">
        <f t="shared" si="3"/>
        <v>154742.32148507825</v>
      </c>
      <c r="G15" s="13">
        <f t="shared" si="3"/>
        <v>162479.43755933217</v>
      </c>
      <c r="H15" s="13">
        <f t="shared" si="3"/>
        <v>170603.40943729877</v>
      </c>
      <c r="I15" s="13">
        <f t="shared" si="3"/>
        <v>179133.57990916373</v>
      </c>
      <c r="J15" s="13">
        <f t="shared" si="3"/>
        <v>188090.25890462191</v>
      </c>
      <c r="K15" s="13">
        <f t="shared" si="3"/>
        <v>197494.77184985302</v>
      </c>
      <c r="L15" s="13">
        <f t="shared" si="3"/>
        <v>207369.51044234567</v>
      </c>
      <c r="M15" s="13">
        <f t="shared" si="3"/>
        <v>217737.98596446295</v>
      </c>
      <c r="N15" s="13">
        <f t="shared" si="3"/>
        <v>228624.88526268612</v>
      </c>
      <c r="O15" s="13">
        <f t="shared" si="3"/>
        <v>240056.12952582043</v>
      </c>
      <c r="P15" s="13">
        <f t="shared" si="3"/>
        <v>252058.93600211144</v>
      </c>
      <c r="Q15" s="13">
        <f t="shared" si="3"/>
        <v>264661.88280221703</v>
      </c>
      <c r="R15" s="13">
        <f t="shared" si="3"/>
        <v>277894.97694232786</v>
      </c>
      <c r="S15" s="13">
        <f t="shared" si="3"/>
        <v>291789.72578944429</v>
      </c>
      <c r="T15" s="13">
        <f t="shared" si="3"/>
        <v>306379.21207891649</v>
      </c>
      <c r="U15" s="13">
        <f t="shared" si="3"/>
        <v>321698.17268286232</v>
      </c>
      <c r="V15" s="13">
        <f t="shared" si="3"/>
        <v>337783.08131700545</v>
      </c>
      <c r="W15" s="12"/>
      <c r="X15" s="12"/>
      <c r="Y15" s="12"/>
    </row>
    <row r="16" spans="1:25" x14ac:dyDescent="0.2">
      <c r="A16" s="6" t="s">
        <v>65</v>
      </c>
      <c r="B16" s="12"/>
      <c r="C16" s="12">
        <f t="shared" ref="C16:V16" si="4">IF($B$4=C$8,$E$4,0)</f>
        <v>0</v>
      </c>
      <c r="D16" s="12">
        <f t="shared" si="4"/>
        <v>0</v>
      </c>
      <c r="E16" s="12">
        <f t="shared" si="4"/>
        <v>0</v>
      </c>
      <c r="F16" s="12">
        <f t="shared" si="4"/>
        <v>0</v>
      </c>
      <c r="G16" s="12">
        <f t="shared" si="4"/>
        <v>0</v>
      </c>
      <c r="H16" s="12">
        <f t="shared" si="4"/>
        <v>0</v>
      </c>
      <c r="I16" s="12">
        <f t="shared" si="4"/>
        <v>0</v>
      </c>
      <c r="J16" s="12">
        <f t="shared" si="4"/>
        <v>0</v>
      </c>
      <c r="K16" s="12">
        <f t="shared" si="4"/>
        <v>0</v>
      </c>
      <c r="L16" s="12">
        <f t="shared" si="4"/>
        <v>0</v>
      </c>
      <c r="M16" s="12">
        <f t="shared" si="4"/>
        <v>0</v>
      </c>
      <c r="N16" s="12">
        <f t="shared" si="4"/>
        <v>0</v>
      </c>
      <c r="O16" s="12">
        <f t="shared" si="4"/>
        <v>0</v>
      </c>
      <c r="P16" s="12">
        <f t="shared" si="4"/>
        <v>0</v>
      </c>
      <c r="Q16" s="12">
        <f t="shared" si="4"/>
        <v>0</v>
      </c>
      <c r="R16" s="12">
        <f t="shared" si="4"/>
        <v>0</v>
      </c>
      <c r="S16" s="12">
        <f t="shared" si="4"/>
        <v>0</v>
      </c>
      <c r="T16" s="12">
        <f t="shared" si="4"/>
        <v>0</v>
      </c>
      <c r="U16" s="12">
        <f t="shared" si="4"/>
        <v>0</v>
      </c>
      <c r="V16" s="12">
        <f t="shared" si="4"/>
        <v>0</v>
      </c>
      <c r="W16" s="12"/>
      <c r="X16" s="12"/>
      <c r="Y16" s="12"/>
    </row>
    <row r="17" spans="1:25" x14ac:dyDescent="0.2">
      <c r="A17" s="6" t="s">
        <v>66</v>
      </c>
      <c r="B17" s="13">
        <f>E3</f>
        <v>4420000</v>
      </c>
      <c r="C17" s="13">
        <f t="shared" ref="C17:V17" si="5">MAX(C14-C15+C16,0)</f>
        <v>4286327.7646171441</v>
      </c>
      <c r="D17" s="13">
        <f t="shared" si="5"/>
        <v>4145971.9174651457</v>
      </c>
      <c r="E17" s="13">
        <f t="shared" si="5"/>
        <v>3998598.2779555474</v>
      </c>
      <c r="F17" s="13">
        <f t="shared" si="5"/>
        <v>3843855.956470469</v>
      </c>
      <c r="G17" s="13">
        <f t="shared" si="5"/>
        <v>3681376.5189111368</v>
      </c>
      <c r="H17" s="13">
        <f t="shared" si="5"/>
        <v>3510773.109473838</v>
      </c>
      <c r="I17" s="13">
        <f t="shared" si="5"/>
        <v>3331639.5295646745</v>
      </c>
      <c r="J17" s="13">
        <f t="shared" si="5"/>
        <v>3143549.2706600525</v>
      </c>
      <c r="K17" s="13">
        <f t="shared" si="5"/>
        <v>2946054.4988101996</v>
      </c>
      <c r="L17" s="13">
        <f t="shared" si="5"/>
        <v>2738684.9883678537</v>
      </c>
      <c r="M17" s="13">
        <f t="shared" si="5"/>
        <v>2520947.0024033906</v>
      </c>
      <c r="N17" s="13">
        <f t="shared" si="5"/>
        <v>2292322.1171407043</v>
      </c>
      <c r="O17" s="13">
        <f t="shared" si="5"/>
        <v>2052265.9876148838</v>
      </c>
      <c r="P17" s="13">
        <f t="shared" si="5"/>
        <v>1800207.0516127723</v>
      </c>
      <c r="Q17" s="13">
        <f t="shared" si="5"/>
        <v>1535545.1688105552</v>
      </c>
      <c r="R17" s="13">
        <f t="shared" si="5"/>
        <v>1257650.1918682274</v>
      </c>
      <c r="S17" s="13">
        <f t="shared" si="5"/>
        <v>965860.46607878315</v>
      </c>
      <c r="T17" s="13">
        <f t="shared" si="5"/>
        <v>659481.25399986666</v>
      </c>
      <c r="U17" s="13">
        <f t="shared" si="5"/>
        <v>337783.08131700434</v>
      </c>
      <c r="V17" s="13">
        <f t="shared" si="5"/>
        <v>0</v>
      </c>
      <c r="W17" s="12"/>
      <c r="X17" s="12"/>
      <c r="Y17" s="12"/>
    </row>
    <row r="19" spans="1:25" s="9" customFormat="1" x14ac:dyDescent="0.2">
      <c r="B19" s="9" t="s">
        <v>67</v>
      </c>
      <c r="C19" s="20" t="b">
        <f t="shared" ref="C19:V19" si="6">C15+C12=C11</f>
        <v>1</v>
      </c>
      <c r="D19" s="20" t="b">
        <f t="shared" si="6"/>
        <v>1</v>
      </c>
      <c r="E19" s="20" t="b">
        <f t="shared" si="6"/>
        <v>1</v>
      </c>
      <c r="F19" s="20" t="b">
        <f t="shared" si="6"/>
        <v>1</v>
      </c>
      <c r="G19" s="20" t="b">
        <f t="shared" si="6"/>
        <v>1</v>
      </c>
      <c r="H19" s="20" t="b">
        <f t="shared" si="6"/>
        <v>1</v>
      </c>
      <c r="I19" s="20" t="b">
        <f t="shared" si="6"/>
        <v>1</v>
      </c>
      <c r="J19" s="20" t="b">
        <f t="shared" si="6"/>
        <v>1</v>
      </c>
      <c r="K19" s="20" t="b">
        <f t="shared" si="6"/>
        <v>1</v>
      </c>
      <c r="L19" s="20" t="b">
        <f t="shared" si="6"/>
        <v>1</v>
      </c>
      <c r="M19" s="20" t="b">
        <f t="shared" si="6"/>
        <v>1</v>
      </c>
      <c r="N19" s="20" t="b">
        <f t="shared" si="6"/>
        <v>1</v>
      </c>
      <c r="O19" s="20" t="b">
        <f t="shared" si="6"/>
        <v>1</v>
      </c>
      <c r="P19" s="20" t="b">
        <f t="shared" si="6"/>
        <v>1</v>
      </c>
      <c r="Q19" s="20" t="b">
        <f t="shared" si="6"/>
        <v>1</v>
      </c>
      <c r="R19" s="20" t="b">
        <f t="shared" si="6"/>
        <v>1</v>
      </c>
      <c r="S19" s="20" t="b">
        <f t="shared" si="6"/>
        <v>1</v>
      </c>
      <c r="T19" s="20" t="b">
        <f t="shared" si="6"/>
        <v>1</v>
      </c>
      <c r="U19" s="20" t="b">
        <f t="shared" si="6"/>
        <v>1</v>
      </c>
      <c r="V19" s="20" t="b">
        <f t="shared" si="6"/>
        <v>1</v>
      </c>
    </row>
  </sheetData>
  <pageMargins left="0.7" right="0.7" top="0.75" bottom="0.75" header="0.3" footer="0.3"/>
  <pageSetup paperSize="9" scale="35" orientation="portrait"/>
  <colBreaks count="1" manualBreakCount="1">
    <brk id="22" max="5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3"/>
  <sheetViews>
    <sheetView topLeftCell="A4" zoomScale="150" workbookViewId="0">
      <selection activeCell="B5" sqref="B5"/>
    </sheetView>
  </sheetViews>
  <sheetFormatPr baseColWidth="10" defaultRowHeight="15" x14ac:dyDescent="0.2"/>
  <cols>
    <col min="1" max="1" width="15.1640625" customWidth="1"/>
    <col min="2" max="21" width="12.6640625" bestFit="1" customWidth="1"/>
  </cols>
  <sheetData>
    <row r="1" spans="1:23" x14ac:dyDescent="0.2">
      <c r="B1" t="s">
        <v>68</v>
      </c>
    </row>
    <row r="4" spans="1:23" x14ac:dyDescent="0.2">
      <c r="B4" s="37" t="s">
        <v>22</v>
      </c>
      <c r="C4" s="179">
        <v>0.1</v>
      </c>
      <c r="D4" s="179">
        <v>0.1</v>
      </c>
      <c r="E4" s="179">
        <v>0.08</v>
      </c>
    </row>
    <row r="5" spans="1:23" x14ac:dyDescent="0.2">
      <c r="B5" s="37" t="str">
        <f>'Financial model'!B38</f>
        <v xml:space="preserve">    Solar</v>
      </c>
      <c r="C5">
        <v>1</v>
      </c>
      <c r="D5">
        <v>1</v>
      </c>
      <c r="E5">
        <v>1</v>
      </c>
    </row>
    <row r="6" spans="1:23" x14ac:dyDescent="0.2">
      <c r="B6" s="37" t="str">
        <f>'Financial model'!B40</f>
        <v xml:space="preserve">    Maintenance</v>
      </c>
      <c r="C6">
        <v>1</v>
      </c>
      <c r="D6">
        <v>1</v>
      </c>
      <c r="E6">
        <v>1</v>
      </c>
    </row>
    <row r="7" spans="1:23" x14ac:dyDescent="0.2">
      <c r="B7" s="37" t="str">
        <f>'Financial model'!B39</f>
        <v xml:space="preserve">    Political</v>
      </c>
      <c r="C7">
        <v>1</v>
      </c>
      <c r="D7">
        <v>0.5</v>
      </c>
      <c r="E7">
        <v>0</v>
      </c>
    </row>
    <row r="10" spans="1:23" x14ac:dyDescent="0.2">
      <c r="A10" s="37" t="str">
        <f>'Financial model'!B17</f>
        <v>Year</v>
      </c>
      <c r="B10" s="81">
        <f>'Financial model'!E17</f>
        <v>1</v>
      </c>
      <c r="C10" s="81">
        <f>'Financial model'!F17</f>
        <v>2</v>
      </c>
      <c r="D10" s="81">
        <f>'Financial model'!G17</f>
        <v>3</v>
      </c>
      <c r="E10" s="81">
        <f>'Financial model'!H17</f>
        <v>4</v>
      </c>
      <c r="F10" s="81">
        <f>'Financial model'!I17</f>
        <v>5</v>
      </c>
      <c r="G10" s="81">
        <f>'Financial model'!J17</f>
        <v>6</v>
      </c>
      <c r="H10" s="81">
        <f>'Financial model'!K17</f>
        <v>7</v>
      </c>
      <c r="I10" s="81">
        <f>'Financial model'!L17</f>
        <v>8</v>
      </c>
      <c r="J10" s="81">
        <f>'Financial model'!M17</f>
        <v>9</v>
      </c>
      <c r="K10" s="81">
        <f>'Financial model'!N17</f>
        <v>10</v>
      </c>
      <c r="L10" s="81">
        <f>'Financial model'!O17</f>
        <v>11</v>
      </c>
      <c r="M10" s="81">
        <f>'Financial model'!P17</f>
        <v>12</v>
      </c>
      <c r="N10" s="81">
        <f>'Financial model'!Q17</f>
        <v>13</v>
      </c>
      <c r="O10" s="81">
        <f>'Financial model'!R17</f>
        <v>14</v>
      </c>
      <c r="P10" s="81">
        <f>'Financial model'!S17</f>
        <v>15</v>
      </c>
      <c r="Q10" s="81">
        <f>'Financial model'!T17</f>
        <v>16</v>
      </c>
      <c r="R10" s="81">
        <f>'Financial model'!U17</f>
        <v>17</v>
      </c>
      <c r="S10" s="81">
        <f>'Financial model'!V17</f>
        <v>18</v>
      </c>
      <c r="T10" s="81">
        <f>'Financial model'!W17</f>
        <v>19</v>
      </c>
      <c r="U10" s="81">
        <f>'Financial model'!X17</f>
        <v>20</v>
      </c>
      <c r="V10" s="81"/>
      <c r="W10" s="81"/>
    </row>
    <row r="11" spans="1:23" x14ac:dyDescent="0.2">
      <c r="A11" s="37" t="str">
        <f>'Financial model'!B22</f>
        <v>Revenues</v>
      </c>
      <c r="B11" s="174">
        <f>'Financial model'!E22</f>
        <v>2003846.9211543999</v>
      </c>
      <c r="C11" s="174">
        <f>'Financial model'!F22</f>
        <v>2045727.3218065267</v>
      </c>
      <c r="D11" s="174">
        <f>'Financial model'!G22</f>
        <v>2088483.0228322828</v>
      </c>
      <c r="E11" s="174">
        <f>'Financial model'!H22</f>
        <v>2132132.3180094776</v>
      </c>
      <c r="F11" s="174">
        <f>'Financial model'!I22</f>
        <v>2176693.8834558753</v>
      </c>
      <c r="G11" s="174">
        <f>'Financial model'!J22</f>
        <v>2222186.7856201027</v>
      </c>
      <c r="H11" s="174">
        <f>'Financial model'!K22</f>
        <v>2268630.4894395634</v>
      </c>
      <c r="I11" s="174">
        <f>'Financial model'!L22</f>
        <v>2316044.8666688497</v>
      </c>
      <c r="J11" s="174">
        <f>'Financial model'!M22</f>
        <v>2364450.2043822291</v>
      </c>
      <c r="K11" s="174">
        <f>'Financial model'!N22</f>
        <v>2413867.2136538168</v>
      </c>
      <c r="L11" s="174">
        <f>'Financial model'!O22</f>
        <v>2464317.0384191819</v>
      </c>
      <c r="M11" s="174">
        <f>'Financial model'!P22</f>
        <v>2515821.2645221422</v>
      </c>
      <c r="N11" s="174">
        <f>'Financial model'!Q22</f>
        <v>2568401.9289506548</v>
      </c>
      <c r="O11" s="174">
        <f>'Financial model'!R22</f>
        <v>2622081.5292657232</v>
      </c>
      <c r="P11" s="174">
        <f>'Financial model'!S22</f>
        <v>2676883.0332273766</v>
      </c>
      <c r="Q11" s="174">
        <f>'Financial model'!T22</f>
        <v>2732829.8886218285</v>
      </c>
      <c r="R11" s="174">
        <f>'Financial model'!U22</f>
        <v>2789946.0332940249</v>
      </c>
      <c r="S11" s="174">
        <f>'Financial model'!V22</f>
        <v>2848255.9053898696</v>
      </c>
      <c r="T11" s="174">
        <f>'Financial model'!W22</f>
        <v>2907784.4538125177</v>
      </c>
      <c r="U11" s="174">
        <f>'Financial model'!X22</f>
        <v>2968557.1488971985</v>
      </c>
    </row>
    <row r="12" spans="1:23" x14ac:dyDescent="0.2">
      <c r="A12" s="37" t="str">
        <f>'Financial model'!B24</f>
        <v>Maintenance</v>
      </c>
      <c r="B12" s="174">
        <f>'Financial model'!E24</f>
        <v>125053.89750000001</v>
      </c>
      <c r="C12" s="174">
        <f>'Financial model'!F24</f>
        <v>128180.2449375</v>
      </c>
      <c r="D12" s="174">
        <f>'Financial model'!G24</f>
        <v>131384.7510609375</v>
      </c>
      <c r="E12" s="174">
        <f>'Financial model'!H24</f>
        <v>134669.36983746092</v>
      </c>
      <c r="F12" s="174">
        <f>'Financial model'!I24</f>
        <v>138036.10408339743</v>
      </c>
      <c r="G12" s="174">
        <f>'Financial model'!J24</f>
        <v>141487.00668548234</v>
      </c>
      <c r="H12" s="174">
        <f>'Financial model'!K24</f>
        <v>145024.1818526194</v>
      </c>
      <c r="I12" s="174">
        <f>'Financial model'!L24</f>
        <v>148649.78639893487</v>
      </c>
      <c r="J12" s="174">
        <f>'Financial model'!M24</f>
        <v>152366.03105890824</v>
      </c>
      <c r="K12" s="174">
        <f>'Financial model'!N24</f>
        <v>156175.18183538094</v>
      </c>
      <c r="L12" s="174">
        <f>'Financial model'!O24</f>
        <v>160079.56138126543</v>
      </c>
      <c r="M12" s="174">
        <f>'Financial model'!P24</f>
        <v>164081.55041579704</v>
      </c>
      <c r="N12" s="174">
        <f>'Financial model'!Q24</f>
        <v>168183.58917619195</v>
      </c>
      <c r="O12" s="174">
        <f>'Financial model'!R24</f>
        <v>172388.17890559672</v>
      </c>
      <c r="P12" s="174">
        <f>'Financial model'!S24</f>
        <v>176697.88337823661</v>
      </c>
      <c r="Q12" s="174">
        <f>'Financial model'!T24</f>
        <v>181115.33046269251</v>
      </c>
      <c r="R12" s="174">
        <f>'Financial model'!U24</f>
        <v>185643.21372425981</v>
      </c>
      <c r="S12" s="174">
        <f>'Financial model'!V24</f>
        <v>190284.29406736628</v>
      </c>
      <c r="T12" s="174">
        <f>'Financial model'!W24</f>
        <v>195041.40141905041</v>
      </c>
      <c r="U12" s="174">
        <f>'Financial model'!X24</f>
        <v>199917.43645452664</v>
      </c>
    </row>
    <row r="13" spans="1:23" x14ac:dyDescent="0.2">
      <c r="A13" s="37" t="str">
        <f>'Financial model'!B36</f>
        <v>Free Cash</v>
      </c>
      <c r="B13" s="174">
        <f>'Financial model'!E36</f>
        <v>1465759.2853404689</v>
      </c>
      <c r="C13" s="174">
        <f>'Financial model'!F36</f>
        <v>1487023.9317277574</v>
      </c>
      <c r="D13" s="174">
        <f>'Financial model'!G36</f>
        <v>1508650.0242608909</v>
      </c>
      <c r="E13" s="174">
        <f>'Financial model'!H36</f>
        <v>1530641.4219264504</v>
      </c>
      <c r="F13" s="174">
        <f>'Financial model'!I36</f>
        <v>1553001.8909522002</v>
      </c>
      <c r="G13" s="174">
        <f>'Financial model'!J36</f>
        <v>1575735.0944816039</v>
      </c>
      <c r="H13" s="174">
        <f>'Financial model'!K36</f>
        <v>1598844.5816202913</v>
      </c>
      <c r="I13" s="174">
        <f>'Financial model'!L36</f>
        <v>1622333.7758209093</v>
      </c>
      <c r="J13" s="174">
        <f>'Financial model'!M36</f>
        <v>1646205.9625710887</v>
      </c>
      <c r="K13" s="174">
        <f>'Financial model'!N36</f>
        <v>1670464.276347426</v>
      </c>
      <c r="L13" s="174">
        <f>'Financial model'!O36</f>
        <v>1695111.6867965171</v>
      </c>
      <c r="M13" s="174">
        <f>'Financial model'!P36</f>
        <v>1720150.9841020457</v>
      </c>
      <c r="N13" s="174">
        <f>'Financial model'!Q36</f>
        <v>1745584.7634948841</v>
      </c>
      <c r="O13" s="174">
        <f>'Financial model'!R36</f>
        <v>1771415.4088609258</v>
      </c>
      <c r="P13" s="174">
        <f>'Financial model'!S36</f>
        <v>1797645.0753990817</v>
      </c>
      <c r="Q13" s="174">
        <f>'Financial model'!T36</f>
        <v>1824275.6712794455</v>
      </c>
      <c r="R13" s="174">
        <f>'Financial model'!U36</f>
        <v>1851308.838249081</v>
      </c>
      <c r="S13" s="174">
        <f>'Financial model'!V36</f>
        <v>1878745.9311302113</v>
      </c>
      <c r="T13" s="174">
        <f>'Financial model'!W36</f>
        <v>1906587.9961527851</v>
      </c>
      <c r="U13" s="174">
        <f>'Financial model'!X36</f>
        <v>1934835.7480604341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K108"/>
  <sheetViews>
    <sheetView topLeftCell="A6" workbookViewId="0">
      <selection activeCell="M14" sqref="M14"/>
    </sheetView>
  </sheetViews>
  <sheetFormatPr baseColWidth="10" defaultColWidth="8.83203125" defaultRowHeight="15" x14ac:dyDescent="0.2"/>
  <cols>
    <col min="1" max="1" width="3.5" customWidth="1"/>
    <col min="2" max="2" width="21" customWidth="1"/>
    <col min="3" max="3" width="21.5" customWidth="1"/>
    <col min="4" max="4" width="3.6640625" customWidth="1"/>
    <col min="5" max="5" width="21.5" customWidth="1"/>
    <col min="6" max="6" width="3.6640625" customWidth="1"/>
    <col min="7" max="7" width="21.5" customWidth="1"/>
    <col min="8" max="8" width="3.6640625" customWidth="1"/>
    <col min="9" max="9" width="21.5" customWidth="1"/>
    <col min="10" max="10" width="3.6640625" customWidth="1"/>
    <col min="11" max="11" width="21.5" customWidth="1"/>
  </cols>
  <sheetData>
    <row r="2" spans="1:11" x14ac:dyDescent="0.2">
      <c r="A2" s="85"/>
    </row>
    <row r="3" spans="1:11" x14ac:dyDescent="0.2">
      <c r="A3" s="85"/>
      <c r="B3" s="98"/>
      <c r="C3" s="99" t="s">
        <v>69</v>
      </c>
      <c r="D3" s="99"/>
      <c r="E3" s="99" t="s">
        <v>70</v>
      </c>
      <c r="F3" s="99"/>
      <c r="G3" s="99" t="s">
        <v>71</v>
      </c>
      <c r="H3" s="121"/>
      <c r="I3" s="99" t="s">
        <v>72</v>
      </c>
      <c r="J3" s="121"/>
      <c r="K3" s="99" t="s">
        <v>73</v>
      </c>
    </row>
    <row r="4" spans="1:11" x14ac:dyDescent="0.2">
      <c r="A4" s="85"/>
      <c r="B4" s="125" t="s">
        <v>74</v>
      </c>
      <c r="C4" s="96"/>
      <c r="D4" s="96"/>
      <c r="E4" s="96"/>
      <c r="F4" s="96"/>
      <c r="G4" s="96"/>
      <c r="H4" s="81"/>
      <c r="I4" s="96"/>
      <c r="J4" s="81"/>
      <c r="K4" s="96"/>
    </row>
    <row r="5" spans="1:11" ht="48" customHeight="1" x14ac:dyDescent="0.2">
      <c r="A5" s="123">
        <v>1</v>
      </c>
      <c r="B5" s="94" t="s">
        <v>75</v>
      </c>
      <c r="C5" s="95" t="s">
        <v>76</v>
      </c>
      <c r="D5" s="95"/>
      <c r="E5" s="95" t="s">
        <v>77</v>
      </c>
      <c r="F5" s="95"/>
      <c r="G5" s="95" t="s">
        <v>78</v>
      </c>
      <c r="I5" s="95" t="s">
        <v>79</v>
      </c>
      <c r="J5" s="95"/>
      <c r="K5" s="128">
        <v>0</v>
      </c>
    </row>
    <row r="6" spans="1:11" ht="48" customHeight="1" x14ac:dyDescent="0.2">
      <c r="A6" s="123">
        <v>2</v>
      </c>
      <c r="B6" s="94" t="s">
        <v>80</v>
      </c>
      <c r="C6" s="95" t="s">
        <v>81</v>
      </c>
      <c r="D6" s="95"/>
      <c r="E6" s="95" t="s">
        <v>82</v>
      </c>
      <c r="F6" s="95"/>
      <c r="G6" s="95" t="s">
        <v>83</v>
      </c>
      <c r="I6" s="95" t="s">
        <v>84</v>
      </c>
      <c r="J6" s="95"/>
      <c r="K6" s="128">
        <f>'Risk Valuation'!D14</f>
        <v>41245.320676807853</v>
      </c>
    </row>
    <row r="7" spans="1:11" ht="48" customHeight="1" x14ac:dyDescent="0.2">
      <c r="A7" s="123">
        <v>3</v>
      </c>
      <c r="B7" s="94" t="s">
        <v>85</v>
      </c>
      <c r="C7" s="95" t="s">
        <v>86</v>
      </c>
      <c r="D7" s="95"/>
      <c r="E7" s="95" t="s">
        <v>82</v>
      </c>
      <c r="F7" s="95"/>
      <c r="G7" s="95" t="s">
        <v>87</v>
      </c>
      <c r="I7" s="95" t="s">
        <v>88</v>
      </c>
      <c r="J7" s="95"/>
      <c r="K7" s="128">
        <f>'Risk Valuation'!E51</f>
        <v>5.5435939783917594E-2</v>
      </c>
    </row>
    <row r="8" spans="1:11" x14ac:dyDescent="0.2">
      <c r="A8" s="122"/>
      <c r="B8" s="94"/>
      <c r="C8" s="95"/>
      <c r="D8" s="95"/>
      <c r="E8" s="95"/>
      <c r="F8" s="95"/>
      <c r="G8" s="95"/>
      <c r="I8" s="95"/>
      <c r="J8" s="95"/>
      <c r="K8" s="95"/>
    </row>
    <row r="9" spans="1:11" x14ac:dyDescent="0.2">
      <c r="A9" s="122"/>
      <c r="B9" s="124" t="s">
        <v>89</v>
      </c>
      <c r="C9" s="95"/>
      <c r="D9" s="95"/>
      <c r="E9" s="95"/>
      <c r="F9" s="95"/>
      <c r="G9" s="95"/>
      <c r="I9" s="95"/>
      <c r="J9" s="95"/>
      <c r="K9" s="128"/>
    </row>
    <row r="10" spans="1:11" ht="48" customHeight="1" x14ac:dyDescent="0.2">
      <c r="A10" s="123">
        <v>4</v>
      </c>
      <c r="B10" s="94" t="s">
        <v>32</v>
      </c>
      <c r="C10" s="95" t="s">
        <v>90</v>
      </c>
      <c r="D10" s="95"/>
      <c r="E10" s="95" t="s">
        <v>82</v>
      </c>
      <c r="F10" s="95"/>
      <c r="G10" s="95" t="s">
        <v>87</v>
      </c>
      <c r="I10" s="95" t="s">
        <v>88</v>
      </c>
      <c r="J10" s="95"/>
      <c r="K10" s="128">
        <f>'Risk Valuation'!E59</f>
        <v>6252.694875000001</v>
      </c>
    </row>
    <row r="11" spans="1:11" ht="64" customHeight="1" x14ac:dyDescent="0.2">
      <c r="A11" s="123">
        <v>5</v>
      </c>
      <c r="B11" s="94" t="s">
        <v>33</v>
      </c>
      <c r="C11" s="95" t="s">
        <v>91</v>
      </c>
      <c r="D11" s="95"/>
      <c r="E11" s="95" t="s">
        <v>92</v>
      </c>
      <c r="F11" s="95"/>
      <c r="G11" s="95" t="s">
        <v>93</v>
      </c>
      <c r="I11" s="95" t="s">
        <v>94</v>
      </c>
      <c r="J11" s="95"/>
      <c r="K11" s="128">
        <v>0</v>
      </c>
    </row>
    <row r="12" spans="1:11" ht="48" customHeight="1" x14ac:dyDescent="0.2">
      <c r="A12" s="123">
        <v>6</v>
      </c>
      <c r="B12" s="94" t="s">
        <v>34</v>
      </c>
      <c r="C12" s="95" t="s">
        <v>95</v>
      </c>
      <c r="D12" s="95"/>
      <c r="E12" s="95" t="s">
        <v>82</v>
      </c>
      <c r="F12" s="95"/>
      <c r="G12" s="95" t="s">
        <v>83</v>
      </c>
      <c r="I12" s="95" t="s">
        <v>96</v>
      </c>
      <c r="J12" s="95"/>
      <c r="K12" s="128">
        <f>'Risk Valuation'!D73*'Financial model'!E26</f>
        <v>307.62412485836455</v>
      </c>
    </row>
    <row r="13" spans="1:11" ht="48" customHeight="1" x14ac:dyDescent="0.2">
      <c r="A13" s="123">
        <v>7</v>
      </c>
      <c r="B13" s="94" t="s">
        <v>35</v>
      </c>
      <c r="C13" s="95"/>
      <c r="D13" s="95"/>
      <c r="E13" s="95" t="s">
        <v>97</v>
      </c>
      <c r="F13" s="95"/>
      <c r="G13" s="95" t="s">
        <v>98</v>
      </c>
      <c r="I13" s="95"/>
      <c r="J13" s="95"/>
      <c r="K13" s="128">
        <v>0</v>
      </c>
    </row>
    <row r="14" spans="1:11" ht="32" customHeight="1" x14ac:dyDescent="0.2">
      <c r="A14" s="123">
        <v>8</v>
      </c>
      <c r="B14" s="94" t="s">
        <v>36</v>
      </c>
      <c r="C14" s="95" t="s">
        <v>99</v>
      </c>
      <c r="D14" s="95"/>
      <c r="E14" s="95"/>
      <c r="F14" s="95"/>
      <c r="G14" s="95" t="s">
        <v>78</v>
      </c>
      <c r="I14" s="95"/>
      <c r="J14" s="95"/>
      <c r="K14" s="128">
        <v>0</v>
      </c>
    </row>
    <row r="15" spans="1:11" ht="48" customHeight="1" x14ac:dyDescent="0.2">
      <c r="A15" s="123">
        <v>9</v>
      </c>
      <c r="B15" s="94" t="s">
        <v>37</v>
      </c>
      <c r="C15" s="95" t="s">
        <v>100</v>
      </c>
      <c r="D15" s="95"/>
      <c r="E15" s="95"/>
      <c r="F15" s="95"/>
      <c r="G15" s="95"/>
      <c r="I15" s="95" t="s">
        <v>101</v>
      </c>
      <c r="J15" s="95"/>
      <c r="K15" s="128">
        <v>0</v>
      </c>
    </row>
    <row r="16" spans="1:11" x14ac:dyDescent="0.2">
      <c r="A16" s="94"/>
      <c r="B16" s="94"/>
      <c r="C16" s="95"/>
      <c r="D16" s="95"/>
      <c r="E16" s="95"/>
      <c r="F16" s="95"/>
      <c r="G16" s="95"/>
      <c r="I16" s="95"/>
      <c r="J16" s="95"/>
      <c r="K16" s="128"/>
    </row>
    <row r="17" spans="1:11" x14ac:dyDescent="0.2">
      <c r="A17" s="94"/>
      <c r="B17" s="124" t="s">
        <v>89</v>
      </c>
      <c r="C17" s="95"/>
      <c r="D17" s="95"/>
      <c r="E17" s="95"/>
      <c r="F17" s="95"/>
      <c r="G17" s="95"/>
      <c r="I17" s="95"/>
      <c r="J17" s="95"/>
      <c r="K17" s="128"/>
    </row>
    <row r="18" spans="1:11" ht="64" customHeight="1" x14ac:dyDescent="0.2">
      <c r="A18" s="123">
        <v>10</v>
      </c>
      <c r="B18" s="94" t="s">
        <v>102</v>
      </c>
      <c r="C18" s="95"/>
      <c r="D18" s="95"/>
      <c r="E18" s="95"/>
      <c r="F18" s="95"/>
      <c r="G18" s="95"/>
      <c r="I18" s="95" t="s">
        <v>103</v>
      </c>
      <c r="J18" s="95"/>
      <c r="K18" s="128">
        <v>0</v>
      </c>
    </row>
    <row r="19" spans="1:11" ht="64" customHeight="1" x14ac:dyDescent="0.2">
      <c r="A19" s="123">
        <v>11</v>
      </c>
      <c r="B19" s="94" t="s">
        <v>42</v>
      </c>
      <c r="C19" s="95" t="s">
        <v>100</v>
      </c>
      <c r="D19" s="95"/>
      <c r="E19" s="95"/>
      <c r="F19" s="95"/>
      <c r="G19" s="95" t="s">
        <v>104</v>
      </c>
      <c r="I19" s="95" t="s">
        <v>105</v>
      </c>
      <c r="J19" s="95"/>
      <c r="K19" s="128">
        <v>0</v>
      </c>
    </row>
    <row r="20" spans="1:11" x14ac:dyDescent="0.2">
      <c r="A20" s="94"/>
      <c r="B20" s="94"/>
      <c r="C20" s="95"/>
      <c r="D20" s="95"/>
      <c r="E20" s="95"/>
      <c r="F20" s="95"/>
      <c r="G20" s="95"/>
      <c r="I20" s="95"/>
      <c r="J20" s="95"/>
      <c r="K20" s="128"/>
    </row>
    <row r="21" spans="1:11" ht="32" customHeight="1" x14ac:dyDescent="0.2">
      <c r="A21" s="94"/>
      <c r="B21" s="94"/>
      <c r="C21" s="95"/>
      <c r="D21" s="95"/>
      <c r="E21" s="95"/>
      <c r="F21" s="95"/>
      <c r="G21" s="95"/>
      <c r="I21" s="127" t="s">
        <v>106</v>
      </c>
      <c r="J21" s="95"/>
      <c r="K21" s="129">
        <f>SUM(K4:K20)</f>
        <v>47805.695112606001</v>
      </c>
    </row>
    <row r="22" spans="1:11" x14ac:dyDescent="0.2">
      <c r="A22" s="94"/>
      <c r="B22" s="94"/>
      <c r="C22" s="95"/>
      <c r="D22" s="95"/>
      <c r="E22" s="95"/>
      <c r="F22" s="95"/>
      <c r="G22" s="95"/>
      <c r="I22" s="95"/>
      <c r="J22" s="95"/>
      <c r="K22" s="120"/>
    </row>
    <row r="23" spans="1:11" x14ac:dyDescent="0.2">
      <c r="A23" s="94"/>
      <c r="B23" s="94"/>
      <c r="C23" s="95"/>
      <c r="D23" s="95"/>
      <c r="E23" s="95"/>
      <c r="F23" s="95"/>
      <c r="G23" s="95"/>
      <c r="I23" s="95"/>
      <c r="J23" s="95"/>
      <c r="K23" s="120"/>
    </row>
    <row r="24" spans="1:11" x14ac:dyDescent="0.2">
      <c r="A24" s="94"/>
      <c r="B24" s="94"/>
      <c r="C24" s="95"/>
      <c r="D24" s="95"/>
      <c r="E24" s="95"/>
      <c r="F24" s="95"/>
      <c r="G24" s="95"/>
      <c r="I24" s="95"/>
      <c r="J24" s="95"/>
      <c r="K24" s="95"/>
    </row>
    <row r="25" spans="1:11" x14ac:dyDescent="0.2">
      <c r="A25" s="94"/>
      <c r="B25" s="94"/>
      <c r="C25" s="95"/>
      <c r="D25" s="95"/>
      <c r="E25" s="95"/>
      <c r="F25" s="95"/>
      <c r="G25" s="95"/>
      <c r="I25" s="95"/>
      <c r="J25" s="95"/>
      <c r="K25" s="95"/>
    </row>
    <row r="26" spans="1:11" x14ac:dyDescent="0.2">
      <c r="A26" s="94"/>
      <c r="B26" s="94"/>
      <c r="C26" s="95"/>
      <c r="D26" s="95"/>
      <c r="E26" s="95"/>
      <c r="F26" s="95"/>
      <c r="G26" s="95"/>
      <c r="I26" s="95"/>
      <c r="J26" s="95"/>
      <c r="K26" s="95"/>
    </row>
    <row r="27" spans="1:11" x14ac:dyDescent="0.2">
      <c r="A27" s="94"/>
      <c r="B27" s="94"/>
      <c r="C27" s="95"/>
      <c r="D27" s="95"/>
      <c r="E27" s="95"/>
      <c r="F27" s="95"/>
      <c r="G27" s="95"/>
      <c r="I27" s="95"/>
      <c r="J27" s="95"/>
      <c r="K27" s="95"/>
    </row>
    <row r="28" spans="1:11" x14ac:dyDescent="0.2">
      <c r="A28" s="94"/>
      <c r="B28" s="94"/>
      <c r="C28" s="95"/>
      <c r="D28" s="95"/>
      <c r="E28" s="95"/>
      <c r="F28" s="95"/>
      <c r="G28" s="95"/>
      <c r="I28" s="95"/>
      <c r="J28" s="95"/>
      <c r="K28" s="95"/>
    </row>
    <row r="29" spans="1:11" x14ac:dyDescent="0.2">
      <c r="A29" s="94"/>
      <c r="B29" s="94"/>
      <c r="C29" s="94"/>
      <c r="D29" s="94"/>
      <c r="E29" s="94"/>
      <c r="F29" s="94"/>
      <c r="G29" s="94"/>
      <c r="I29" s="95"/>
      <c r="J29" s="95"/>
      <c r="K29" s="95"/>
    </row>
    <row r="30" spans="1:11" x14ac:dyDescent="0.2">
      <c r="A30" s="94"/>
      <c r="B30" s="94"/>
      <c r="C30" s="94"/>
      <c r="D30" s="94"/>
      <c r="E30" s="94"/>
      <c r="F30" s="94"/>
      <c r="G30" s="94"/>
      <c r="I30" s="95"/>
      <c r="J30" s="95"/>
      <c r="K30" s="95"/>
    </row>
    <row r="31" spans="1:11" x14ac:dyDescent="0.2">
      <c r="A31" s="94"/>
      <c r="B31" s="94"/>
      <c r="C31" s="94"/>
      <c r="D31" s="94"/>
      <c r="E31" s="94"/>
      <c r="F31" s="94"/>
      <c r="G31" s="94"/>
      <c r="I31" s="95"/>
      <c r="J31" s="95"/>
      <c r="K31" s="95"/>
    </row>
    <row r="32" spans="1:11" x14ac:dyDescent="0.2">
      <c r="A32" s="94"/>
      <c r="B32" s="94"/>
      <c r="C32" s="94"/>
      <c r="D32" s="94"/>
      <c r="E32" s="94"/>
      <c r="F32" s="94"/>
      <c r="G32" s="94"/>
      <c r="I32" s="95"/>
      <c r="J32" s="95"/>
      <c r="K32" s="95"/>
    </row>
    <row r="33" spans="1:11" x14ac:dyDescent="0.2">
      <c r="A33" s="94"/>
      <c r="B33" s="94"/>
      <c r="C33" s="94"/>
      <c r="D33" s="94"/>
      <c r="E33" s="94"/>
      <c r="F33" s="94"/>
      <c r="G33" s="94"/>
      <c r="I33" s="95"/>
      <c r="J33" s="95"/>
      <c r="K33" s="95"/>
    </row>
    <row r="34" spans="1:11" x14ac:dyDescent="0.2">
      <c r="A34" s="94"/>
      <c r="B34" s="94"/>
      <c r="C34" s="94"/>
      <c r="D34" s="94"/>
      <c r="E34" s="94"/>
      <c r="F34" s="94"/>
      <c r="G34" s="94"/>
      <c r="I34" s="95"/>
      <c r="J34" s="95"/>
      <c r="K34" s="95"/>
    </row>
    <row r="35" spans="1:11" x14ac:dyDescent="0.2">
      <c r="A35" s="94"/>
      <c r="B35" s="94"/>
      <c r="C35" s="94"/>
      <c r="D35" s="94"/>
      <c r="E35" s="94"/>
      <c r="F35" s="94"/>
      <c r="G35" s="94"/>
      <c r="I35" s="95"/>
      <c r="J35" s="95"/>
      <c r="K35" s="95"/>
    </row>
    <row r="36" spans="1:11" x14ac:dyDescent="0.2">
      <c r="A36" s="94"/>
      <c r="B36" s="94"/>
      <c r="C36" s="94"/>
      <c r="D36" s="94"/>
      <c r="E36" s="94"/>
      <c r="F36" s="94"/>
      <c r="G36" s="94"/>
      <c r="I36" s="95"/>
      <c r="J36" s="95"/>
      <c r="K36" s="95"/>
    </row>
    <row r="37" spans="1:11" x14ac:dyDescent="0.2">
      <c r="A37" s="94"/>
      <c r="B37" s="94"/>
      <c r="C37" s="94"/>
      <c r="D37" s="94"/>
      <c r="E37" s="94"/>
      <c r="F37" s="94"/>
      <c r="G37" s="94"/>
      <c r="I37" s="95"/>
      <c r="J37" s="95"/>
      <c r="K37" s="95"/>
    </row>
    <row r="38" spans="1:11" x14ac:dyDescent="0.2">
      <c r="A38" s="94"/>
      <c r="B38" s="94"/>
      <c r="C38" s="94"/>
      <c r="D38" s="94"/>
      <c r="E38" s="94"/>
      <c r="F38" s="94"/>
      <c r="G38" s="94"/>
      <c r="I38" s="95"/>
      <c r="J38" s="95"/>
      <c r="K38" s="95"/>
    </row>
    <row r="39" spans="1:11" x14ac:dyDescent="0.2">
      <c r="A39" s="94"/>
      <c r="B39" s="94"/>
      <c r="C39" s="94"/>
      <c r="D39" s="94"/>
      <c r="E39" s="94"/>
      <c r="F39" s="94"/>
      <c r="G39" s="94"/>
      <c r="I39" s="95"/>
      <c r="J39" s="95"/>
      <c r="K39" s="95"/>
    </row>
    <row r="40" spans="1:11" x14ac:dyDescent="0.2">
      <c r="A40" s="94"/>
      <c r="B40" s="94"/>
      <c r="C40" s="94"/>
      <c r="D40" s="94"/>
      <c r="E40" s="94"/>
      <c r="F40" s="94"/>
      <c r="G40" s="94"/>
      <c r="I40" s="95"/>
      <c r="J40" s="95"/>
      <c r="K40" s="95"/>
    </row>
    <row r="41" spans="1:11" x14ac:dyDescent="0.2">
      <c r="A41" s="94"/>
      <c r="B41" s="94"/>
      <c r="C41" s="94"/>
      <c r="D41" s="94"/>
      <c r="E41" s="94"/>
      <c r="F41" s="94"/>
      <c r="G41" s="94"/>
      <c r="I41" s="95"/>
      <c r="J41" s="95"/>
      <c r="K41" s="95"/>
    </row>
    <row r="42" spans="1:11" x14ac:dyDescent="0.2">
      <c r="A42" s="94"/>
      <c r="B42" s="94"/>
      <c r="C42" s="94"/>
      <c r="D42" s="94"/>
      <c r="E42" s="94"/>
      <c r="F42" s="94"/>
      <c r="G42" s="94"/>
      <c r="I42" s="95"/>
      <c r="J42" s="95"/>
      <c r="K42" s="95"/>
    </row>
    <row r="43" spans="1:11" x14ac:dyDescent="0.2">
      <c r="A43" s="94"/>
      <c r="B43" s="94"/>
      <c r="C43" s="94"/>
      <c r="D43" s="94"/>
      <c r="E43" s="94"/>
      <c r="F43" s="94"/>
      <c r="G43" s="94"/>
      <c r="I43" s="95"/>
      <c r="J43" s="95"/>
      <c r="K43" s="95"/>
    </row>
    <row r="44" spans="1:11" x14ac:dyDescent="0.2">
      <c r="A44" s="94"/>
      <c r="B44" s="94"/>
      <c r="C44" s="94"/>
      <c r="D44" s="94"/>
      <c r="E44" s="94"/>
      <c r="F44" s="94"/>
      <c r="G44" s="94"/>
      <c r="I44" s="95"/>
      <c r="J44" s="95"/>
      <c r="K44" s="95"/>
    </row>
    <row r="45" spans="1:11" x14ac:dyDescent="0.2">
      <c r="A45" s="94"/>
      <c r="B45" s="94"/>
      <c r="C45" s="94"/>
      <c r="D45" s="94"/>
      <c r="E45" s="94"/>
      <c r="F45" s="94"/>
      <c r="G45" s="94"/>
      <c r="I45" s="95"/>
      <c r="J45" s="95"/>
      <c r="K45" s="95"/>
    </row>
    <row r="46" spans="1:11" x14ac:dyDescent="0.2">
      <c r="A46" s="94"/>
      <c r="B46" s="94"/>
      <c r="C46" s="94"/>
      <c r="D46" s="94"/>
      <c r="E46" s="94"/>
      <c r="F46" s="94"/>
      <c r="G46" s="94"/>
      <c r="I46" s="95"/>
      <c r="J46" s="95"/>
      <c r="K46" s="95"/>
    </row>
    <row r="47" spans="1:11" x14ac:dyDescent="0.2">
      <c r="A47" s="94"/>
      <c r="B47" s="94"/>
      <c r="C47" s="94"/>
      <c r="D47" s="94"/>
      <c r="E47" s="94"/>
      <c r="F47" s="94"/>
      <c r="G47" s="94"/>
      <c r="I47" s="95"/>
      <c r="J47" s="95"/>
      <c r="K47" s="95"/>
    </row>
    <row r="48" spans="1:11" x14ac:dyDescent="0.2">
      <c r="A48" s="94"/>
      <c r="B48" s="94"/>
      <c r="C48" s="94"/>
      <c r="D48" s="94"/>
      <c r="E48" s="94"/>
      <c r="F48" s="94"/>
      <c r="G48" s="94"/>
      <c r="I48" s="95"/>
      <c r="J48" s="95"/>
      <c r="K48" s="95"/>
    </row>
    <row r="49" spans="1:11" x14ac:dyDescent="0.2">
      <c r="A49" s="94"/>
      <c r="B49" s="94"/>
      <c r="C49" s="94"/>
      <c r="D49" s="94"/>
      <c r="E49" s="94"/>
      <c r="F49" s="94"/>
      <c r="G49" s="94"/>
      <c r="I49" s="95"/>
      <c r="J49" s="95"/>
      <c r="K49" s="95"/>
    </row>
    <row r="50" spans="1:11" x14ac:dyDescent="0.2">
      <c r="A50" s="94"/>
      <c r="B50" s="94"/>
      <c r="C50" s="94"/>
      <c r="D50" s="94"/>
      <c r="E50" s="94"/>
      <c r="F50" s="94"/>
      <c r="G50" s="94"/>
      <c r="I50" s="95"/>
      <c r="J50" s="95"/>
      <c r="K50" s="95"/>
    </row>
    <row r="51" spans="1:11" x14ac:dyDescent="0.2">
      <c r="A51" s="94"/>
      <c r="B51" s="94"/>
      <c r="C51" s="94"/>
      <c r="D51" s="94"/>
      <c r="E51" s="94"/>
      <c r="F51" s="94"/>
      <c r="G51" s="94"/>
      <c r="I51" s="95"/>
      <c r="J51" s="95"/>
      <c r="K51" s="95"/>
    </row>
    <row r="52" spans="1:11" x14ac:dyDescent="0.2">
      <c r="A52" s="94"/>
      <c r="B52" s="94"/>
      <c r="C52" s="94"/>
      <c r="D52" s="94"/>
      <c r="E52" s="94"/>
      <c r="F52" s="94"/>
      <c r="G52" s="94"/>
      <c r="I52" s="95"/>
      <c r="J52" s="95"/>
      <c r="K52" s="95"/>
    </row>
    <row r="53" spans="1:11" x14ac:dyDescent="0.2">
      <c r="A53" s="94"/>
      <c r="B53" s="94"/>
      <c r="C53" s="94"/>
      <c r="D53" s="94"/>
      <c r="E53" s="94"/>
      <c r="F53" s="94"/>
      <c r="G53" s="94"/>
      <c r="I53" s="95"/>
      <c r="J53" s="95"/>
      <c r="K53" s="95"/>
    </row>
    <row r="54" spans="1:11" x14ac:dyDescent="0.2">
      <c r="A54" s="94"/>
      <c r="B54" s="94"/>
      <c r="C54" s="94"/>
      <c r="D54" s="94"/>
      <c r="E54" s="94"/>
      <c r="F54" s="94"/>
      <c r="G54" s="94"/>
      <c r="I54" s="95"/>
      <c r="J54" s="95"/>
      <c r="K54" s="95"/>
    </row>
    <row r="55" spans="1:11" x14ac:dyDescent="0.2">
      <c r="A55" s="94"/>
      <c r="B55" s="94"/>
      <c r="C55" s="94"/>
      <c r="D55" s="94"/>
      <c r="E55" s="94"/>
      <c r="F55" s="94"/>
      <c r="G55" s="94"/>
      <c r="I55" s="95"/>
      <c r="J55" s="95"/>
      <c r="K55" s="95"/>
    </row>
    <row r="56" spans="1:11" x14ac:dyDescent="0.2">
      <c r="A56" s="94"/>
      <c r="B56" s="94"/>
      <c r="C56" s="94"/>
      <c r="D56" s="94"/>
      <c r="E56" s="94"/>
      <c r="F56" s="94"/>
      <c r="G56" s="94"/>
      <c r="I56" s="95"/>
      <c r="J56" s="95"/>
      <c r="K56" s="95"/>
    </row>
    <row r="57" spans="1:11" x14ac:dyDescent="0.2">
      <c r="A57" s="94"/>
      <c r="B57" s="94"/>
      <c r="C57" s="94"/>
      <c r="D57" s="94"/>
      <c r="E57" s="94"/>
      <c r="F57" s="94"/>
      <c r="G57" s="94"/>
      <c r="I57" s="95"/>
      <c r="J57" s="95"/>
      <c r="K57" s="95"/>
    </row>
    <row r="58" spans="1:11" x14ac:dyDescent="0.2">
      <c r="A58" s="94"/>
      <c r="B58" s="94"/>
      <c r="C58" s="94"/>
      <c r="D58" s="94"/>
      <c r="E58" s="94"/>
      <c r="F58" s="94"/>
      <c r="G58" s="94"/>
      <c r="I58" s="95"/>
      <c r="J58" s="95"/>
      <c r="K58" s="95"/>
    </row>
    <row r="59" spans="1:11" x14ac:dyDescent="0.2">
      <c r="A59" s="94"/>
      <c r="B59" s="94"/>
      <c r="C59" s="94"/>
      <c r="D59" s="94"/>
      <c r="E59" s="94"/>
      <c r="F59" s="94"/>
      <c r="G59" s="94"/>
      <c r="I59" s="95"/>
      <c r="J59" s="95"/>
      <c r="K59" s="95"/>
    </row>
    <row r="60" spans="1:11" x14ac:dyDescent="0.2">
      <c r="A60" s="94"/>
      <c r="B60" s="94"/>
      <c r="C60" s="94"/>
      <c r="D60" s="94"/>
      <c r="E60" s="94"/>
      <c r="F60" s="94"/>
      <c r="G60" s="94"/>
      <c r="I60" s="95"/>
      <c r="J60" s="95"/>
      <c r="K60" s="95"/>
    </row>
    <row r="61" spans="1:11" x14ac:dyDescent="0.2">
      <c r="A61" s="94"/>
      <c r="B61" s="94"/>
      <c r="C61" s="94"/>
      <c r="D61" s="94"/>
      <c r="E61" s="94"/>
      <c r="F61" s="94"/>
      <c r="G61" s="94"/>
      <c r="I61" s="95"/>
      <c r="J61" s="95"/>
      <c r="K61" s="95"/>
    </row>
    <row r="62" spans="1:11" x14ac:dyDescent="0.2">
      <c r="A62" s="94"/>
      <c r="B62" s="94"/>
      <c r="C62" s="94"/>
      <c r="D62" s="94"/>
      <c r="E62" s="94"/>
      <c r="F62" s="94"/>
      <c r="G62" s="94"/>
      <c r="I62" s="95"/>
      <c r="J62" s="95"/>
      <c r="K62" s="95"/>
    </row>
    <row r="63" spans="1:11" x14ac:dyDescent="0.2">
      <c r="A63" s="94"/>
      <c r="B63" s="94"/>
      <c r="C63" s="94"/>
      <c r="D63" s="94"/>
      <c r="E63" s="94"/>
      <c r="F63" s="94"/>
      <c r="G63" s="94"/>
      <c r="I63" s="95"/>
      <c r="J63" s="95"/>
      <c r="K63" s="95"/>
    </row>
    <row r="64" spans="1:11" x14ac:dyDescent="0.2">
      <c r="A64" s="94"/>
      <c r="B64" s="94"/>
      <c r="C64" s="94"/>
      <c r="D64" s="94"/>
      <c r="E64" s="94"/>
      <c r="F64" s="94"/>
      <c r="G64" s="94"/>
      <c r="I64" s="95"/>
      <c r="J64" s="95"/>
      <c r="K64" s="95"/>
    </row>
    <row r="65" spans="1:11" x14ac:dyDescent="0.2">
      <c r="A65" s="94"/>
      <c r="B65" s="94"/>
      <c r="C65" s="94"/>
      <c r="D65" s="94"/>
      <c r="E65" s="94"/>
      <c r="F65" s="94"/>
      <c r="G65" s="94"/>
      <c r="I65" s="95"/>
      <c r="J65" s="95"/>
      <c r="K65" s="95"/>
    </row>
    <row r="66" spans="1:11" x14ac:dyDescent="0.2">
      <c r="A66" s="94"/>
      <c r="B66" s="94"/>
      <c r="C66" s="94"/>
      <c r="D66" s="94"/>
      <c r="E66" s="94"/>
      <c r="F66" s="94"/>
      <c r="G66" s="94"/>
      <c r="I66" s="95"/>
      <c r="J66" s="95"/>
      <c r="K66" s="95"/>
    </row>
    <row r="67" spans="1:11" x14ac:dyDescent="0.2">
      <c r="A67" s="94"/>
      <c r="B67" s="94"/>
      <c r="C67" s="94"/>
      <c r="D67" s="94"/>
      <c r="E67" s="94"/>
      <c r="F67" s="94"/>
      <c r="G67" s="94"/>
      <c r="I67" s="95"/>
      <c r="J67" s="95"/>
      <c r="K67" s="95"/>
    </row>
    <row r="68" spans="1:11" x14ac:dyDescent="0.2">
      <c r="A68" s="94"/>
      <c r="B68" s="94"/>
      <c r="C68" s="94"/>
      <c r="D68" s="94"/>
      <c r="E68" s="94"/>
      <c r="F68" s="94"/>
      <c r="G68" s="94"/>
      <c r="I68" s="95"/>
      <c r="J68" s="95"/>
      <c r="K68" s="95"/>
    </row>
    <row r="69" spans="1:11" x14ac:dyDescent="0.2">
      <c r="A69" s="94"/>
      <c r="B69" s="94"/>
      <c r="C69" s="94"/>
      <c r="D69" s="94"/>
      <c r="E69" s="94"/>
      <c r="F69" s="94"/>
      <c r="G69" s="94"/>
      <c r="I69" s="95"/>
      <c r="J69" s="95"/>
      <c r="K69" s="95"/>
    </row>
    <row r="70" spans="1:11" x14ac:dyDescent="0.2">
      <c r="A70" s="94"/>
      <c r="B70" s="94"/>
      <c r="C70" s="94"/>
      <c r="D70" s="94"/>
      <c r="E70" s="94"/>
      <c r="F70" s="94"/>
      <c r="G70" s="94"/>
      <c r="I70" s="95"/>
      <c r="J70" s="95"/>
      <c r="K70" s="95"/>
    </row>
    <row r="71" spans="1:11" x14ac:dyDescent="0.2">
      <c r="A71" s="94"/>
      <c r="B71" s="94"/>
      <c r="C71" s="94"/>
      <c r="D71" s="94"/>
      <c r="E71" s="94"/>
      <c r="F71" s="94"/>
      <c r="G71" s="94"/>
      <c r="I71" s="95"/>
      <c r="J71" s="95"/>
      <c r="K71" s="95"/>
    </row>
    <row r="72" spans="1:11" x14ac:dyDescent="0.2">
      <c r="A72" s="94"/>
      <c r="B72" s="94"/>
      <c r="C72" s="94"/>
      <c r="D72" s="94"/>
      <c r="E72" s="94"/>
      <c r="F72" s="94"/>
      <c r="G72" s="94"/>
      <c r="I72" s="95"/>
      <c r="J72" s="95"/>
      <c r="K72" s="95"/>
    </row>
    <row r="73" spans="1:11" x14ac:dyDescent="0.2">
      <c r="A73" s="94"/>
      <c r="B73" s="94"/>
      <c r="C73" s="94"/>
      <c r="D73" s="94"/>
      <c r="E73" s="94"/>
      <c r="F73" s="94"/>
      <c r="G73" s="94"/>
      <c r="I73" s="95"/>
      <c r="J73" s="95"/>
      <c r="K73" s="95"/>
    </row>
    <row r="74" spans="1:11" x14ac:dyDescent="0.2">
      <c r="A74" s="94"/>
      <c r="B74" s="94"/>
      <c r="C74" s="94"/>
      <c r="D74" s="94"/>
      <c r="E74" s="94"/>
      <c r="F74" s="94"/>
      <c r="G74" s="94"/>
      <c r="I74" s="95"/>
      <c r="J74" s="95"/>
      <c r="K74" s="95"/>
    </row>
    <row r="75" spans="1:11" x14ac:dyDescent="0.2">
      <c r="A75" s="94"/>
      <c r="B75" s="94"/>
      <c r="C75" s="94"/>
      <c r="D75" s="94"/>
      <c r="E75" s="94"/>
      <c r="F75" s="94"/>
      <c r="G75" s="94"/>
      <c r="I75" s="95"/>
      <c r="J75" s="95"/>
      <c r="K75" s="95"/>
    </row>
    <row r="76" spans="1:11" x14ac:dyDescent="0.2">
      <c r="A76" s="94"/>
      <c r="B76" s="94"/>
      <c r="C76" s="94"/>
      <c r="D76" s="94"/>
      <c r="E76" s="94"/>
      <c r="F76" s="94"/>
      <c r="G76" s="94"/>
      <c r="I76" s="95"/>
      <c r="J76" s="95"/>
      <c r="K76" s="95"/>
    </row>
    <row r="77" spans="1:11" x14ac:dyDescent="0.2">
      <c r="A77" s="94"/>
      <c r="B77" s="94"/>
      <c r="C77" s="94"/>
      <c r="D77" s="94"/>
      <c r="E77" s="94"/>
      <c r="F77" s="94"/>
      <c r="G77" s="94"/>
      <c r="I77" s="95"/>
      <c r="J77" s="95"/>
      <c r="K77" s="95"/>
    </row>
    <row r="78" spans="1:11" x14ac:dyDescent="0.2">
      <c r="A78" s="94"/>
      <c r="B78" s="94"/>
      <c r="C78" s="94"/>
      <c r="D78" s="94"/>
      <c r="E78" s="94"/>
      <c r="F78" s="94"/>
      <c r="G78" s="94"/>
      <c r="I78" s="95"/>
      <c r="J78" s="95"/>
      <c r="K78" s="95"/>
    </row>
    <row r="79" spans="1:11" x14ac:dyDescent="0.2">
      <c r="A79" s="94"/>
      <c r="B79" s="94"/>
      <c r="C79" s="94"/>
      <c r="D79" s="94"/>
      <c r="E79" s="94"/>
      <c r="F79" s="94"/>
      <c r="G79" s="94"/>
      <c r="I79" s="95"/>
      <c r="J79" s="95"/>
      <c r="K79" s="95"/>
    </row>
    <row r="80" spans="1:11" x14ac:dyDescent="0.2">
      <c r="A80" s="94"/>
      <c r="B80" s="94"/>
      <c r="C80" s="94"/>
      <c r="D80" s="94"/>
      <c r="E80" s="94"/>
      <c r="F80" s="94"/>
      <c r="G80" s="94"/>
      <c r="I80" s="95"/>
      <c r="J80" s="95"/>
      <c r="K80" s="95"/>
    </row>
    <row r="81" spans="1:11" x14ac:dyDescent="0.2">
      <c r="A81" s="94"/>
      <c r="B81" s="94"/>
      <c r="C81" s="94"/>
      <c r="D81" s="94"/>
      <c r="E81" s="94"/>
      <c r="F81" s="94"/>
      <c r="G81" s="94"/>
      <c r="I81" s="95"/>
      <c r="J81" s="95"/>
      <c r="K81" s="95"/>
    </row>
    <row r="82" spans="1:11" x14ac:dyDescent="0.2">
      <c r="A82" s="94"/>
      <c r="B82" s="94"/>
      <c r="C82" s="94"/>
      <c r="D82" s="94"/>
      <c r="E82" s="94"/>
      <c r="F82" s="94"/>
      <c r="G82" s="94"/>
      <c r="I82" s="95"/>
      <c r="J82" s="95"/>
      <c r="K82" s="95"/>
    </row>
    <row r="83" spans="1:11" x14ac:dyDescent="0.2">
      <c r="A83" s="94"/>
      <c r="B83" s="94"/>
      <c r="C83" s="94"/>
      <c r="D83" s="94"/>
      <c r="E83" s="94"/>
      <c r="F83" s="94"/>
      <c r="G83" s="94"/>
      <c r="I83" s="95"/>
      <c r="J83" s="95"/>
      <c r="K83" s="95"/>
    </row>
    <row r="84" spans="1:11" x14ac:dyDescent="0.2">
      <c r="A84" s="94"/>
      <c r="B84" s="94"/>
      <c r="C84" s="94"/>
      <c r="D84" s="94"/>
      <c r="E84" s="94"/>
      <c r="F84" s="94"/>
      <c r="G84" s="94"/>
      <c r="I84" s="95"/>
      <c r="J84" s="95"/>
      <c r="K84" s="95"/>
    </row>
    <row r="85" spans="1:11" x14ac:dyDescent="0.2">
      <c r="A85" s="94"/>
      <c r="B85" s="94"/>
      <c r="C85" s="94"/>
      <c r="D85" s="94"/>
      <c r="E85" s="94"/>
      <c r="F85" s="94"/>
      <c r="G85" s="94"/>
      <c r="I85" s="95"/>
      <c r="J85" s="95"/>
      <c r="K85" s="95"/>
    </row>
    <row r="86" spans="1:11" x14ac:dyDescent="0.2">
      <c r="A86" s="94"/>
      <c r="B86" s="94"/>
      <c r="C86" s="94"/>
      <c r="D86" s="94"/>
      <c r="E86" s="94"/>
      <c r="F86" s="94"/>
      <c r="G86" s="94"/>
      <c r="I86" s="95"/>
      <c r="J86" s="95"/>
      <c r="K86" s="95"/>
    </row>
    <row r="87" spans="1:11" x14ac:dyDescent="0.2">
      <c r="A87" s="94"/>
      <c r="B87" s="94"/>
      <c r="C87" s="94"/>
      <c r="D87" s="94"/>
      <c r="E87" s="94"/>
      <c r="F87" s="94"/>
      <c r="G87" s="94"/>
      <c r="I87" s="95"/>
      <c r="J87" s="95"/>
      <c r="K87" s="95"/>
    </row>
    <row r="88" spans="1:11" x14ac:dyDescent="0.2">
      <c r="A88" s="94"/>
      <c r="B88" s="94"/>
      <c r="C88" s="94"/>
      <c r="D88" s="94"/>
      <c r="E88" s="94"/>
      <c r="F88" s="94"/>
      <c r="G88" s="94"/>
      <c r="I88" s="95"/>
      <c r="J88" s="95"/>
      <c r="K88" s="95"/>
    </row>
    <row r="89" spans="1:11" x14ac:dyDescent="0.2">
      <c r="A89" s="94"/>
      <c r="B89" s="94"/>
      <c r="C89" s="94"/>
      <c r="D89" s="94"/>
      <c r="E89" s="94"/>
      <c r="F89" s="94"/>
      <c r="G89" s="94"/>
      <c r="I89" s="95"/>
      <c r="J89" s="95"/>
      <c r="K89" s="95"/>
    </row>
    <row r="90" spans="1:11" x14ac:dyDescent="0.2">
      <c r="A90" s="94"/>
      <c r="B90" s="94"/>
      <c r="C90" s="94"/>
      <c r="D90" s="94"/>
      <c r="E90" s="94"/>
      <c r="F90" s="94"/>
      <c r="G90" s="94"/>
      <c r="I90" s="95"/>
      <c r="J90" s="95"/>
      <c r="K90" s="95"/>
    </row>
    <row r="91" spans="1:11" x14ac:dyDescent="0.2">
      <c r="A91" s="94"/>
      <c r="B91" s="94"/>
      <c r="C91" s="94"/>
      <c r="D91" s="94"/>
      <c r="E91" s="94"/>
      <c r="F91" s="94"/>
      <c r="G91" s="94"/>
      <c r="I91" s="95"/>
      <c r="J91" s="95"/>
      <c r="K91" s="95"/>
    </row>
    <row r="92" spans="1:11" x14ac:dyDescent="0.2">
      <c r="A92" s="94"/>
      <c r="B92" s="94"/>
      <c r="C92" s="94"/>
      <c r="D92" s="94"/>
      <c r="E92" s="94"/>
      <c r="F92" s="94"/>
      <c r="G92" s="94"/>
      <c r="I92" s="95"/>
      <c r="J92" s="95"/>
      <c r="K92" s="95"/>
    </row>
    <row r="93" spans="1:11" x14ac:dyDescent="0.2">
      <c r="A93" s="94"/>
      <c r="B93" s="94"/>
      <c r="C93" s="94"/>
      <c r="D93" s="94"/>
      <c r="E93" s="94"/>
      <c r="F93" s="94"/>
      <c r="G93" s="94"/>
      <c r="I93" s="95"/>
      <c r="J93" s="95"/>
      <c r="K93" s="95"/>
    </row>
    <row r="94" spans="1:11" x14ac:dyDescent="0.2">
      <c r="A94" s="94"/>
      <c r="B94" s="94"/>
      <c r="C94" s="94"/>
      <c r="D94" s="94"/>
      <c r="E94" s="94"/>
      <c r="F94" s="94"/>
      <c r="G94" s="94"/>
      <c r="I94" s="95"/>
      <c r="J94" s="95"/>
      <c r="K94" s="95"/>
    </row>
    <row r="95" spans="1:11" x14ac:dyDescent="0.2">
      <c r="A95" s="94"/>
      <c r="B95" s="94"/>
      <c r="C95" s="94"/>
      <c r="D95" s="94"/>
      <c r="E95" s="94"/>
      <c r="F95" s="94"/>
      <c r="G95" s="94"/>
      <c r="I95" s="95"/>
      <c r="J95" s="95"/>
      <c r="K95" s="95"/>
    </row>
    <row r="96" spans="1:11" x14ac:dyDescent="0.2">
      <c r="A96" s="94"/>
      <c r="B96" s="94"/>
      <c r="C96" s="94"/>
      <c r="D96" s="94"/>
      <c r="E96" s="94"/>
      <c r="F96" s="94"/>
      <c r="G96" s="94"/>
      <c r="I96" s="95"/>
      <c r="J96" s="95"/>
      <c r="K96" s="95"/>
    </row>
    <row r="97" spans="1:11" x14ac:dyDescent="0.2">
      <c r="A97" s="94"/>
      <c r="B97" s="94"/>
      <c r="C97" s="94"/>
      <c r="D97" s="94"/>
      <c r="E97" s="94"/>
      <c r="F97" s="94"/>
      <c r="G97" s="94"/>
      <c r="I97" s="95"/>
      <c r="J97" s="95"/>
      <c r="K97" s="95"/>
    </row>
    <row r="98" spans="1:11" x14ac:dyDescent="0.2">
      <c r="A98" s="94"/>
      <c r="B98" s="94"/>
      <c r="C98" s="94"/>
      <c r="D98" s="94"/>
      <c r="E98" s="94"/>
      <c r="F98" s="94"/>
      <c r="G98" s="94"/>
      <c r="I98" s="95"/>
      <c r="J98" s="95"/>
      <c r="K98" s="95"/>
    </row>
    <row r="99" spans="1:11" x14ac:dyDescent="0.2">
      <c r="A99" s="94"/>
      <c r="B99" s="94"/>
      <c r="C99" s="94"/>
      <c r="D99" s="94"/>
      <c r="E99" s="94"/>
      <c r="F99" s="94"/>
      <c r="G99" s="94"/>
      <c r="I99" s="95"/>
      <c r="J99" s="95"/>
      <c r="K99" s="95"/>
    </row>
    <row r="100" spans="1:11" x14ac:dyDescent="0.2">
      <c r="A100" s="94"/>
      <c r="B100" s="94"/>
      <c r="C100" s="94"/>
      <c r="D100" s="94"/>
      <c r="E100" s="94"/>
      <c r="F100" s="94"/>
      <c r="G100" s="94"/>
      <c r="I100" s="95"/>
      <c r="J100" s="95"/>
      <c r="K100" s="95"/>
    </row>
    <row r="101" spans="1:11" x14ac:dyDescent="0.2">
      <c r="A101" s="94"/>
      <c r="B101" s="94"/>
      <c r="C101" s="94"/>
      <c r="D101" s="94"/>
      <c r="E101" s="94"/>
      <c r="F101" s="94"/>
      <c r="G101" s="94"/>
      <c r="I101" s="95"/>
      <c r="J101" s="95"/>
      <c r="K101" s="95"/>
    </row>
    <row r="102" spans="1:11" x14ac:dyDescent="0.2">
      <c r="A102" s="94"/>
      <c r="B102" s="94"/>
      <c r="C102" s="94"/>
      <c r="D102" s="94"/>
      <c r="E102" s="94"/>
      <c r="F102" s="94"/>
      <c r="G102" s="94"/>
      <c r="I102" s="95"/>
      <c r="J102" s="95"/>
      <c r="K102" s="95"/>
    </row>
    <row r="103" spans="1:11" x14ac:dyDescent="0.2">
      <c r="A103" s="94"/>
      <c r="B103" s="94"/>
      <c r="C103" s="94"/>
      <c r="D103" s="94"/>
      <c r="E103" s="94"/>
      <c r="F103" s="94"/>
      <c r="G103" s="94"/>
      <c r="I103" s="95"/>
      <c r="J103" s="95"/>
      <c r="K103" s="95"/>
    </row>
    <row r="104" spans="1:11" x14ac:dyDescent="0.2">
      <c r="A104" s="94"/>
      <c r="B104" s="94"/>
      <c r="C104" s="94"/>
      <c r="D104" s="94"/>
      <c r="E104" s="94"/>
      <c r="F104" s="94"/>
      <c r="G104" s="94"/>
      <c r="I104" s="95"/>
      <c r="J104" s="95"/>
      <c r="K104" s="95"/>
    </row>
    <row r="105" spans="1:11" x14ac:dyDescent="0.2">
      <c r="A105" s="94"/>
      <c r="B105" s="94"/>
      <c r="C105" s="94"/>
      <c r="D105" s="94"/>
      <c r="E105" s="94"/>
      <c r="F105" s="94"/>
      <c r="G105" s="94"/>
      <c r="I105" s="95"/>
      <c r="J105" s="95"/>
      <c r="K105" s="95"/>
    </row>
    <row r="106" spans="1:11" x14ac:dyDescent="0.2">
      <c r="A106" s="94"/>
      <c r="B106" s="94"/>
      <c r="C106" s="94"/>
      <c r="D106" s="94"/>
      <c r="E106" s="94"/>
      <c r="F106" s="94"/>
      <c r="G106" s="94"/>
      <c r="I106" s="95"/>
      <c r="J106" s="95"/>
      <c r="K106" s="95"/>
    </row>
    <row r="107" spans="1:11" x14ac:dyDescent="0.2">
      <c r="A107" s="94"/>
      <c r="B107" s="94"/>
      <c r="C107" s="94"/>
      <c r="D107" s="94"/>
      <c r="E107" s="94"/>
      <c r="F107" s="94"/>
      <c r="G107" s="94"/>
      <c r="I107" s="95"/>
      <c r="J107" s="95"/>
      <c r="K107" s="95"/>
    </row>
    <row r="108" spans="1:11" x14ac:dyDescent="0.2">
      <c r="I108" s="95"/>
      <c r="J108" s="95"/>
      <c r="K108" s="95"/>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T74"/>
  <sheetViews>
    <sheetView zoomScale="161" workbookViewId="0">
      <selection activeCell="F6" sqref="F6"/>
    </sheetView>
  </sheetViews>
  <sheetFormatPr baseColWidth="10" defaultColWidth="8.83203125" defaultRowHeight="15" outlineLevelRow="1" x14ac:dyDescent="0.2"/>
  <cols>
    <col min="1" max="1" width="7.5" style="81" customWidth="1"/>
    <col min="3" max="3" width="9.6640625" customWidth="1"/>
    <col min="4" max="4" width="17.5" customWidth="1"/>
    <col min="5" max="5" width="13" customWidth="1"/>
    <col min="6" max="6" width="11.5" customWidth="1"/>
    <col min="7" max="7" width="10.5" customWidth="1"/>
    <col min="12" max="12" width="12" bestFit="1" customWidth="1"/>
    <col min="13" max="13" width="10.5" bestFit="1" customWidth="1"/>
  </cols>
  <sheetData>
    <row r="1" spans="1:13" s="97" customFormat="1" x14ac:dyDescent="0.2">
      <c r="A1" s="99">
        <v>2</v>
      </c>
      <c r="B1" s="98" t="s">
        <v>107</v>
      </c>
    </row>
    <row r="2" spans="1:13" x14ac:dyDescent="0.2">
      <c r="A2" s="103" t="s">
        <v>108</v>
      </c>
    </row>
    <row r="3" spans="1:13" x14ac:dyDescent="0.2">
      <c r="C3" t="s">
        <v>109</v>
      </c>
      <c r="D3" s="84">
        <v>1.07</v>
      </c>
      <c r="E3" s="102"/>
      <c r="G3" s="81"/>
    </row>
    <row r="4" spans="1:13" ht="17" customHeight="1" x14ac:dyDescent="0.2">
      <c r="C4" s="81" t="s">
        <v>110</v>
      </c>
      <c r="D4" s="81">
        <v>1164</v>
      </c>
      <c r="E4" s="80"/>
      <c r="G4" s="144"/>
      <c r="J4" s="81"/>
      <c r="K4" s="81"/>
    </row>
    <row r="5" spans="1:13" ht="17" customHeight="1" x14ac:dyDescent="0.2">
      <c r="C5" s="81" t="s">
        <v>111</v>
      </c>
      <c r="D5" s="82">
        <f>D4/D3</f>
        <v>1087.8504672897195</v>
      </c>
      <c r="E5" s="80"/>
      <c r="K5" s="85"/>
      <c r="M5" s="147"/>
    </row>
    <row r="6" spans="1:13" ht="17" customHeight="1" x14ac:dyDescent="0.2">
      <c r="C6" s="81" t="s">
        <v>112</v>
      </c>
      <c r="D6" s="82">
        <f>D4-D12</f>
        <v>1116.0826139352537</v>
      </c>
      <c r="E6" s="80"/>
      <c r="G6" s="37"/>
      <c r="K6" s="81"/>
    </row>
    <row r="7" spans="1:13" ht="18" customHeight="1" x14ac:dyDescent="0.2">
      <c r="C7" s="83" t="s">
        <v>113</v>
      </c>
      <c r="D7" s="80">
        <f>NORMSINV(0.1)</f>
        <v>-1.2815515655446006</v>
      </c>
      <c r="E7" s="80"/>
      <c r="F7" s="148"/>
      <c r="G7" s="37"/>
    </row>
    <row r="8" spans="1:13" x14ac:dyDescent="0.2">
      <c r="C8" s="83" t="s">
        <v>114</v>
      </c>
      <c r="D8" s="79">
        <f>(D4-D5)/-D7</f>
        <v>59.419796095306104</v>
      </c>
      <c r="G8" s="149"/>
    </row>
    <row r="9" spans="1:13" ht="17" customHeight="1" x14ac:dyDescent="0.2">
      <c r="C9" s="37" t="s">
        <v>115</v>
      </c>
      <c r="D9" s="136">
        <f>D8/D4</f>
        <v>5.1047934789781875E-2</v>
      </c>
    </row>
    <row r="10" spans="1:13" x14ac:dyDescent="0.2">
      <c r="C10" t="s">
        <v>116</v>
      </c>
      <c r="D10" s="136">
        <f>'CG of Radiation Loss'!E10</f>
        <v>0.78813253063848887</v>
      </c>
      <c r="E10" s="175"/>
      <c r="F10" s="173"/>
    </row>
    <row r="11" spans="1:13" ht="18" customHeight="1" x14ac:dyDescent="0.2">
      <c r="C11" s="83" t="s">
        <v>117</v>
      </c>
      <c r="D11">
        <f>NORMSINV(0.21)</f>
        <v>-0.80642124701824058</v>
      </c>
      <c r="F11" s="173"/>
    </row>
    <row r="12" spans="1:13" ht="17" customHeight="1" x14ac:dyDescent="0.2">
      <c r="C12" s="81" t="s">
        <v>118</v>
      </c>
      <c r="D12" s="82">
        <f>-D11*D8</f>
        <v>47.917386064746331</v>
      </c>
      <c r="E12" t="s">
        <v>119</v>
      </c>
    </row>
    <row r="13" spans="1:13" x14ac:dyDescent="0.2">
      <c r="C13" s="37" t="s">
        <v>120</v>
      </c>
      <c r="D13" s="139">
        <f>(D12/D4)/2</f>
        <v>2.0583069615440864E-2</v>
      </c>
      <c r="E13" t="s">
        <v>121</v>
      </c>
    </row>
    <row r="14" spans="1:13" x14ac:dyDescent="0.2">
      <c r="C14" s="126" t="s">
        <v>44</v>
      </c>
      <c r="D14" s="130">
        <f>D13*'Financial model'!E22</f>
        <v>41245.320676807853</v>
      </c>
      <c r="E14" t="s">
        <v>122</v>
      </c>
    </row>
    <row r="15" spans="1:13" x14ac:dyDescent="0.2">
      <c r="E15" t="s">
        <v>123</v>
      </c>
    </row>
    <row r="16" spans="1:13" outlineLevel="1" x14ac:dyDescent="0.2"/>
    <row r="18" spans="1:6" x14ac:dyDescent="0.2">
      <c r="A18" s="103" t="s">
        <v>124</v>
      </c>
    </row>
    <row r="19" spans="1:6" x14ac:dyDescent="0.2">
      <c r="A19" s="102" t="s">
        <v>125</v>
      </c>
    </row>
    <row r="20" spans="1:6" ht="17" customHeight="1" thickBot="1" x14ac:dyDescent="0.25">
      <c r="B20" s="104"/>
    </row>
    <row r="21" spans="1:6" ht="16" customHeight="1" thickBot="1" x14ac:dyDescent="0.25">
      <c r="B21" s="105" t="s">
        <v>126</v>
      </c>
      <c r="C21" s="106"/>
      <c r="E21" s="119" t="s">
        <v>127</v>
      </c>
      <c r="F21" s="118"/>
    </row>
    <row r="22" spans="1:6" x14ac:dyDescent="0.2">
      <c r="B22" s="107" t="s">
        <v>128</v>
      </c>
      <c r="C22" s="108" t="s">
        <v>129</v>
      </c>
      <c r="E22" s="50" t="s">
        <v>130</v>
      </c>
      <c r="F22" s="140">
        <f>C26*NORMSDIST(F23)-C27*EXP(-C28*C24)*NORMSDIST(F24)</f>
        <v>2.0362968503753409E-2</v>
      </c>
    </row>
    <row r="23" spans="1:6" x14ac:dyDescent="0.2">
      <c r="B23" s="107" t="s">
        <v>131</v>
      </c>
      <c r="C23" s="108">
        <v>20</v>
      </c>
      <c r="E23" s="50" t="s">
        <v>132</v>
      </c>
      <c r="F23" s="49">
        <f>(LN(C26/C27)+(C28+C29^2/2)*(C24))/(C29*SQRT(C24))</f>
        <v>2.5523967394891219E-2</v>
      </c>
    </row>
    <row r="24" spans="1:6" ht="16" customHeight="1" thickBot="1" x14ac:dyDescent="0.25">
      <c r="B24" s="107" t="s">
        <v>133</v>
      </c>
      <c r="C24" s="135">
        <v>1</v>
      </c>
      <c r="E24" s="109" t="s">
        <v>134</v>
      </c>
      <c r="F24" s="111">
        <f>F23-C29*SQRT(C24)</f>
        <v>-2.5523967394890656E-2</v>
      </c>
    </row>
    <row r="25" spans="1:6" x14ac:dyDescent="0.2">
      <c r="B25" s="107" t="s">
        <v>135</v>
      </c>
      <c r="C25" s="110">
        <f>C24/C23</f>
        <v>0.05</v>
      </c>
      <c r="F25" s="144"/>
    </row>
    <row r="26" spans="1:6" x14ac:dyDescent="0.2">
      <c r="B26" s="107" t="s">
        <v>136</v>
      </c>
      <c r="C26" s="137">
        <v>1</v>
      </c>
      <c r="E26" s="145" t="s">
        <v>137</v>
      </c>
      <c r="F26" s="141">
        <f>F22-D13</f>
        <v>-2.2010111168745475E-4</v>
      </c>
    </row>
    <row r="27" spans="1:6" x14ac:dyDescent="0.2">
      <c r="B27" s="107" t="s">
        <v>138</v>
      </c>
      <c r="C27" s="138">
        <f>1*EXP(C28)</f>
        <v>1.0279844084083427</v>
      </c>
      <c r="E27" t="s">
        <v>139</v>
      </c>
      <c r="F27" s="143">
        <f>-C26*NORMSDIST(-F23)+C27*EXP(-C28*C24)*NORMSDIST(-F24)</f>
        <v>2.0362968503753409E-2</v>
      </c>
    </row>
    <row r="28" spans="1:6" x14ac:dyDescent="0.2">
      <c r="B28" s="107" t="s">
        <v>140</v>
      </c>
      <c r="C28" s="108">
        <v>2.76E-2</v>
      </c>
    </row>
    <row r="29" spans="1:6" x14ac:dyDescent="0.2">
      <c r="B29" s="112" t="s">
        <v>141</v>
      </c>
      <c r="C29" s="142">
        <f>D9</f>
        <v>5.1047934789781875E-2</v>
      </c>
    </row>
    <row r="31" spans="1:6" x14ac:dyDescent="0.2">
      <c r="B31" s="113" t="s">
        <v>142</v>
      </c>
      <c r="C31" s="114"/>
    </row>
    <row r="32" spans="1:6" x14ac:dyDescent="0.2">
      <c r="B32" s="115" t="s">
        <v>143</v>
      </c>
      <c r="C32" s="110">
        <f>EXP(C29*SQRT(C25))</f>
        <v>1.0114800611084029</v>
      </c>
    </row>
    <row r="33" spans="1:20" x14ac:dyDescent="0.2">
      <c r="B33" s="115" t="s">
        <v>144</v>
      </c>
      <c r="C33" s="110">
        <f>EXP(-C29*SQRT(C25))</f>
        <v>0.98865023488864145</v>
      </c>
    </row>
    <row r="34" spans="1:20" x14ac:dyDescent="0.2">
      <c r="B34" s="115" t="s">
        <v>145</v>
      </c>
      <c r="C34" s="110">
        <f>(C35-C33)/(C32-C33)</f>
        <v>0.55763533313722835</v>
      </c>
    </row>
    <row r="35" spans="1:20" x14ac:dyDescent="0.2">
      <c r="B35" s="116" t="s">
        <v>146</v>
      </c>
      <c r="C35" s="117">
        <f>EXP(C28*C25)</f>
        <v>1.0013809526381632</v>
      </c>
    </row>
    <row r="38" spans="1:20" s="97" customFormat="1" x14ac:dyDescent="0.2">
      <c r="A38" s="99">
        <v>3</v>
      </c>
      <c r="B38" s="98" t="s">
        <v>147</v>
      </c>
    </row>
    <row r="39" spans="1:20" x14ac:dyDescent="0.2">
      <c r="D39" t="s">
        <v>148</v>
      </c>
      <c r="N39" s="37" t="s">
        <v>149</v>
      </c>
      <c r="T39" s="146" t="s">
        <v>150</v>
      </c>
    </row>
    <row r="40" spans="1:20" x14ac:dyDescent="0.2">
      <c r="D40" s="37" t="s">
        <v>151</v>
      </c>
      <c r="E40" s="80">
        <f>'Financial model'!E21</f>
        <v>0.43361286372646007</v>
      </c>
      <c r="L40" s="146" t="s">
        <v>152</v>
      </c>
    </row>
    <row r="41" spans="1:20" x14ac:dyDescent="0.2">
      <c r="D41" s="37" t="s">
        <v>153</v>
      </c>
      <c r="E41" s="80">
        <v>0.28000000000000003</v>
      </c>
      <c r="F41" s="101" t="s">
        <v>154</v>
      </c>
      <c r="L41" s="146"/>
    </row>
    <row r="42" spans="1:20" x14ac:dyDescent="0.2">
      <c r="D42" s="37" t="s">
        <v>155</v>
      </c>
      <c r="E42" s="80">
        <v>0.06</v>
      </c>
      <c r="F42" s="101" t="s">
        <v>156</v>
      </c>
    </row>
    <row r="43" spans="1:20" x14ac:dyDescent="0.2">
      <c r="D43" s="86" t="s">
        <v>157</v>
      </c>
      <c r="E43" s="133">
        <v>0.12</v>
      </c>
      <c r="F43" s="101" t="s">
        <v>158</v>
      </c>
    </row>
    <row r="44" spans="1:20" x14ac:dyDescent="0.2">
      <c r="D44" s="86" t="s">
        <v>159</v>
      </c>
      <c r="E44" s="133">
        <v>1.4999999999999999E-2</v>
      </c>
      <c r="F44" s="101" t="s">
        <v>160</v>
      </c>
      <c r="M44" s="164"/>
    </row>
    <row r="45" spans="1:20" ht="18" customHeight="1" x14ac:dyDescent="0.2">
      <c r="K45" s="164" t="s">
        <v>161</v>
      </c>
      <c r="L45" s="164" t="s">
        <v>162</v>
      </c>
      <c r="M45" s="164" t="s">
        <v>163</v>
      </c>
      <c r="N45" s="81" t="s">
        <v>164</v>
      </c>
      <c r="O45" s="81" t="s">
        <v>165</v>
      </c>
      <c r="P45" s="164" t="s">
        <v>166</v>
      </c>
      <c r="Q45" s="81" t="s">
        <v>167</v>
      </c>
    </row>
    <row r="46" spans="1:20" x14ac:dyDescent="0.2">
      <c r="D46" s="37" t="s">
        <v>168</v>
      </c>
      <c r="E46" s="169">
        <f>P49</f>
        <v>2.4037736603072107E-2</v>
      </c>
      <c r="K46" s="80">
        <f>E40</f>
        <v>0.43361286372646007</v>
      </c>
      <c r="L46" s="136">
        <f>1-L47-L48</f>
        <v>0.86499999999999999</v>
      </c>
      <c r="M46" s="80">
        <f>E40*L46</f>
        <v>0.37507512712338797</v>
      </c>
      <c r="N46">
        <f>(K46-$M$49)^2*L46</f>
        <v>4.998080555638502E-4</v>
      </c>
      <c r="O46" s="80">
        <f>$E$40-E40</f>
        <v>0</v>
      </c>
      <c r="P46" s="148">
        <f>L46*O46</f>
        <v>0</v>
      </c>
      <c r="Q46" s="148">
        <f>(O46-$P$49)^2*L46</f>
        <v>4.9980805556385172E-4</v>
      </c>
    </row>
    <row r="47" spans="1:20" x14ac:dyDescent="0.2">
      <c r="D47" s="37" t="s">
        <v>169</v>
      </c>
      <c r="E47" s="169">
        <f>P50</f>
        <v>6.5936448390847543E-2</v>
      </c>
      <c r="K47" s="80">
        <f>E41</f>
        <v>0.28000000000000003</v>
      </c>
      <c r="L47" s="136">
        <f>E43</f>
        <v>0.12</v>
      </c>
      <c r="M47" s="81">
        <f>E41*L47</f>
        <v>3.3600000000000005E-2</v>
      </c>
      <c r="N47">
        <f>(K47-$M$49)^2*L47</f>
        <v>2.0147656282850585E-3</v>
      </c>
      <c r="O47" s="80">
        <f>$E$40-E41</f>
        <v>0.15361286372646005</v>
      </c>
      <c r="P47" s="148">
        <f>L47*O47</f>
        <v>1.8433543647175206E-2</v>
      </c>
      <c r="Q47" s="148">
        <f>(O47-$P$49)^2*L47</f>
        <v>2.0147656282850576E-3</v>
      </c>
    </row>
    <row r="48" spans="1:20" x14ac:dyDescent="0.2">
      <c r="D48" s="37" t="s">
        <v>170</v>
      </c>
      <c r="E48" s="139">
        <f>E46/E40</f>
        <v>5.5435939783917594E-2</v>
      </c>
      <c r="K48" s="80">
        <f>E42</f>
        <v>0.06</v>
      </c>
      <c r="L48" s="136">
        <f>E44</f>
        <v>1.4999999999999999E-2</v>
      </c>
      <c r="M48" s="81">
        <f>E42*L48</f>
        <v>8.9999999999999998E-4</v>
      </c>
      <c r="N48">
        <f>(K48-$M$49)^2*L48</f>
        <v>1.8330415425499933E-3</v>
      </c>
      <c r="O48" s="80">
        <f>$E$40-E42</f>
        <v>0.37361286372646008</v>
      </c>
      <c r="P48" s="148">
        <f>L48*O48</f>
        <v>5.6041929558969007E-3</v>
      </c>
      <c r="Q48" s="148">
        <f>(O48-$P$49)^2*L48</f>
        <v>1.8330415425499927E-3</v>
      </c>
    </row>
    <row r="49" spans="1:17" x14ac:dyDescent="0.2">
      <c r="D49" s="37" t="s">
        <v>171</v>
      </c>
      <c r="E49" s="136">
        <f>E47/E40</f>
        <v>0.15206294348417401</v>
      </c>
      <c r="L49" s="126" t="s">
        <v>172</v>
      </c>
      <c r="M49" s="92">
        <f>SUM(M46:M48)</f>
        <v>0.40957512712338801</v>
      </c>
      <c r="N49" s="92">
        <f>(SUM(N46:N48))</f>
        <v>4.3476152263989022E-3</v>
      </c>
      <c r="O49" s="126" t="s">
        <v>172</v>
      </c>
      <c r="P49" s="92">
        <f>SUM(P46:P48)</f>
        <v>2.4037736603072107E-2</v>
      </c>
      <c r="Q49" s="92">
        <f>(SUM(Q46:Q48))</f>
        <v>4.3476152263989022E-3</v>
      </c>
    </row>
    <row r="50" spans="1:17" x14ac:dyDescent="0.2">
      <c r="D50" s="37" t="s">
        <v>173</v>
      </c>
      <c r="E50" s="93">
        <f>E49/E48</f>
        <v>2.743038975742027</v>
      </c>
      <c r="L50" s="165" t="s">
        <v>114</v>
      </c>
      <c r="M50" s="92">
        <f>SQRT(N49)</f>
        <v>6.5936448390847543E-2</v>
      </c>
      <c r="O50" s="165" t="s">
        <v>114</v>
      </c>
      <c r="P50" s="92">
        <f>SQRT(Q49)</f>
        <v>6.5936448390847543E-2</v>
      </c>
    </row>
    <row r="51" spans="1:17" x14ac:dyDescent="0.2">
      <c r="D51" s="126" t="s">
        <v>44</v>
      </c>
      <c r="E51" s="168">
        <f>E48</f>
        <v>5.5435939783917594E-2</v>
      </c>
      <c r="F51" t="s">
        <v>174</v>
      </c>
      <c r="L51" s="126" t="s">
        <v>175</v>
      </c>
      <c r="M51" s="166">
        <f>M50/M49</f>
        <v>0.1609874331333202</v>
      </c>
      <c r="O51" s="126" t="s">
        <v>175</v>
      </c>
      <c r="P51" s="166">
        <f>P50/P49</f>
        <v>2.743038975742027</v>
      </c>
    </row>
    <row r="52" spans="1:17" s="97" customFormat="1" x14ac:dyDescent="0.2">
      <c r="A52" s="99">
        <v>4</v>
      </c>
      <c r="B52" s="98" t="s">
        <v>176</v>
      </c>
    </row>
    <row r="53" spans="1:17" x14ac:dyDescent="0.2">
      <c r="D53" t="s">
        <v>148</v>
      </c>
    </row>
    <row r="54" spans="1:17" x14ac:dyDescent="0.2">
      <c r="D54" s="37"/>
      <c r="E54" s="81"/>
    </row>
    <row r="55" spans="1:17" x14ac:dyDescent="0.2">
      <c r="D55" s="37" t="s">
        <v>177</v>
      </c>
      <c r="E55" s="100">
        <v>0.25</v>
      </c>
      <c r="F55" s="101" t="s">
        <v>178</v>
      </c>
    </row>
    <row r="56" spans="1:17" x14ac:dyDescent="0.2">
      <c r="D56" s="37" t="s">
        <v>179</v>
      </c>
      <c r="E56" s="100">
        <v>0.2</v>
      </c>
      <c r="F56" s="101" t="s">
        <v>180</v>
      </c>
    </row>
    <row r="57" spans="1:17" ht="18" customHeight="1" x14ac:dyDescent="0.2">
      <c r="D57" s="37" t="s">
        <v>181</v>
      </c>
      <c r="E57" s="87">
        <f>E55*E56</f>
        <v>0.05</v>
      </c>
      <c r="K57" s="164" t="s">
        <v>182</v>
      </c>
      <c r="L57" s="164" t="s">
        <v>162</v>
      </c>
      <c r="M57" s="164" t="s">
        <v>183</v>
      </c>
      <c r="N57" s="81" t="s">
        <v>184</v>
      </c>
      <c r="O57" s="81" t="s">
        <v>165</v>
      </c>
      <c r="P57" s="164" t="s">
        <v>166</v>
      </c>
      <c r="Q57" s="81" t="s">
        <v>167</v>
      </c>
    </row>
    <row r="58" spans="1:17" x14ac:dyDescent="0.2">
      <c r="K58">
        <v>1</v>
      </c>
      <c r="L58" s="1">
        <f>1-L59</f>
        <v>0.8</v>
      </c>
      <c r="M58">
        <f>L58*K58</f>
        <v>0.8</v>
      </c>
      <c r="N58">
        <f>(K58-$M$60)^2*L58</f>
        <v>2.0000000000000035E-3</v>
      </c>
      <c r="O58">
        <v>0</v>
      </c>
      <c r="P58">
        <f>O58*L58</f>
        <v>0</v>
      </c>
      <c r="Q58" s="148">
        <f>(O58-$P$60)^2*L58</f>
        <v>2.0000000000000005E-3</v>
      </c>
    </row>
    <row r="59" spans="1:17" x14ac:dyDescent="0.2">
      <c r="D59" s="126" t="s">
        <v>44</v>
      </c>
      <c r="E59" s="130">
        <f>E57*'Financial model'!E24</f>
        <v>6252.694875000001</v>
      </c>
      <c r="K59" s="1">
        <f>K58+E55</f>
        <v>1.25</v>
      </c>
      <c r="L59" s="1">
        <f>E56</f>
        <v>0.2</v>
      </c>
      <c r="M59">
        <f>L59*K59</f>
        <v>0.25</v>
      </c>
      <c r="N59">
        <f>(K59-$M$60)^2*L59</f>
        <v>7.9999999999999967E-3</v>
      </c>
      <c r="O59">
        <f>K59-K58</f>
        <v>0.25</v>
      </c>
      <c r="P59">
        <f>O59*L59</f>
        <v>0.05</v>
      </c>
      <c r="Q59" s="148">
        <f>(O59-$P$60)^2*L59</f>
        <v>8.0000000000000019E-3</v>
      </c>
    </row>
    <row r="60" spans="1:17" x14ac:dyDescent="0.2">
      <c r="L60" s="126" t="s">
        <v>172</v>
      </c>
      <c r="M60">
        <f>SUM(M58:M59)</f>
        <v>1.05</v>
      </c>
      <c r="N60">
        <f>SUM(N58:N59)</f>
        <v>0.01</v>
      </c>
      <c r="P60">
        <f>SUM(P58:P59)</f>
        <v>0.05</v>
      </c>
      <c r="Q60">
        <f>SUM(Q58:Q59)</f>
        <v>1.0000000000000002E-2</v>
      </c>
    </row>
    <row r="61" spans="1:17" x14ac:dyDescent="0.2">
      <c r="L61" s="165" t="s">
        <v>114</v>
      </c>
      <c r="M61" s="162">
        <f>N60^0.5</f>
        <v>0.1</v>
      </c>
      <c r="P61" s="162">
        <f>Q60^0.5</f>
        <v>0.1</v>
      </c>
    </row>
    <row r="62" spans="1:17" x14ac:dyDescent="0.2">
      <c r="L62" s="126" t="s">
        <v>175</v>
      </c>
      <c r="M62" s="163">
        <f>M61/M60</f>
        <v>9.5238095238095233E-2</v>
      </c>
      <c r="P62">
        <f>P61/P60</f>
        <v>2</v>
      </c>
    </row>
    <row r="63" spans="1:17" s="97" customFormat="1" x14ac:dyDescent="0.2">
      <c r="A63" s="99">
        <v>6</v>
      </c>
      <c r="B63" s="98" t="s">
        <v>185</v>
      </c>
    </row>
    <row r="64" spans="1:17" x14ac:dyDescent="0.2">
      <c r="A64" s="103" t="s">
        <v>108</v>
      </c>
    </row>
    <row r="65" spans="3:11" x14ac:dyDescent="0.2">
      <c r="C65" t="s">
        <v>186</v>
      </c>
      <c r="D65" s="84">
        <v>1.07</v>
      </c>
      <c r="E65" s="81" t="s">
        <v>187</v>
      </c>
    </row>
    <row r="66" spans="3:11" ht="17" customHeight="1" x14ac:dyDescent="0.2">
      <c r="C66" s="81" t="s">
        <v>110</v>
      </c>
      <c r="D66" s="81">
        <v>4000</v>
      </c>
      <c r="E66" s="80">
        <f>STANDARDIZE(D66,$D$66,$D$70)</f>
        <v>0</v>
      </c>
      <c r="K66" s="85"/>
    </row>
    <row r="67" spans="3:11" ht="17" customHeight="1" x14ac:dyDescent="0.2">
      <c r="C67" s="81" t="s">
        <v>111</v>
      </c>
      <c r="D67" s="82">
        <f>D66*D65</f>
        <v>4280</v>
      </c>
      <c r="E67" s="80">
        <f>STANDARDIZE(D67,$D$66,$D$70)</f>
        <v>1.2815515655446006</v>
      </c>
      <c r="K67" s="81"/>
    </row>
    <row r="68" spans="3:11" ht="17" customHeight="1" x14ac:dyDescent="0.2">
      <c r="C68" s="81" t="s">
        <v>112</v>
      </c>
      <c r="D68" s="82">
        <f>D66-D72</f>
        <v>3827.804737232716</v>
      </c>
      <c r="E68" s="80">
        <f>STANDARDIZE(D68,$D$66,$D$70)</f>
        <v>-0.7881325306384882</v>
      </c>
    </row>
    <row r="69" spans="3:11" ht="18" customHeight="1" x14ac:dyDescent="0.2">
      <c r="C69" s="83" t="s">
        <v>113</v>
      </c>
      <c r="D69" s="80">
        <f>NORMSINV(0.1)</f>
        <v>-1.2815515655446006</v>
      </c>
    </row>
    <row r="70" spans="3:11" x14ac:dyDescent="0.2">
      <c r="C70" s="83" t="s">
        <v>114</v>
      </c>
      <c r="D70" s="79">
        <f>(D66-D67)/D69</f>
        <v>218.48516090026612</v>
      </c>
    </row>
    <row r="71" spans="3:11" x14ac:dyDescent="0.2">
      <c r="C71" t="s">
        <v>116</v>
      </c>
      <c r="D71" s="93">
        <f>D10</f>
        <v>0.78813253063848887</v>
      </c>
    </row>
    <row r="72" spans="3:11" ht="17" customHeight="1" x14ac:dyDescent="0.2">
      <c r="C72" s="81" t="s">
        <v>188</v>
      </c>
      <c r="D72" s="82">
        <f>D71*D70</f>
        <v>172.19526276728416</v>
      </c>
    </row>
    <row r="73" spans="3:11" x14ac:dyDescent="0.2">
      <c r="C73" s="37" t="s">
        <v>189</v>
      </c>
      <c r="D73" s="87">
        <f>(D72/D66)/2</f>
        <v>2.1524407845910521E-2</v>
      </c>
    </row>
    <row r="74" spans="3:11" x14ac:dyDescent="0.2">
      <c r="C74" s="126" t="s">
        <v>44</v>
      </c>
      <c r="D74" s="130">
        <f>D73*'Financial model'!E26</f>
        <v>307.62412485836455</v>
      </c>
    </row>
  </sheetData>
  <pageMargins left="0.7" right="0.7" top="0.75" bottom="0.75" header="0.3" footer="0.3"/>
  <pageSetup orientation="portrait" horizontalDpi="1200" verticalDpi="120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
  <sheetViews>
    <sheetView workbookViewId="0">
      <selection activeCell="D28" sqref="D28"/>
    </sheetView>
  </sheetViews>
  <sheetFormatPr baseColWidth="10" defaultColWidth="8.83203125" defaultRowHeight="15" x14ac:dyDescent="0.2"/>
  <sheetData>
    <row r="1" spans="2:2" x14ac:dyDescent="0.2">
      <c r="B1" s="85" t="s">
        <v>190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220"/>
  <sheetViews>
    <sheetView topLeftCell="A2" zoomScale="132" workbookViewId="0">
      <selection activeCell="N14" sqref="N14"/>
    </sheetView>
  </sheetViews>
  <sheetFormatPr baseColWidth="10" defaultColWidth="8.83203125" defaultRowHeight="15" outlineLevelRow="1" x14ac:dyDescent="0.2"/>
  <cols>
    <col min="1" max="1" width="7.5" style="81" customWidth="1"/>
    <col min="2" max="2" width="12.5" bestFit="1" customWidth="1"/>
    <col min="3" max="3" width="9.6640625" customWidth="1"/>
    <col min="4" max="4" width="13" customWidth="1"/>
    <col min="5" max="5" width="11.5" customWidth="1"/>
    <col min="6" max="6" width="12.33203125" customWidth="1"/>
    <col min="13" max="13" width="10.5" bestFit="1" customWidth="1"/>
  </cols>
  <sheetData>
    <row r="1" spans="1:14" x14ac:dyDescent="0.2">
      <c r="A1" s="103" t="s">
        <v>191</v>
      </c>
    </row>
    <row r="2" spans="1:14" x14ac:dyDescent="0.2">
      <c r="D2" s="81"/>
      <c r="I2">
        <f>AVERAGE(I5:I220)</f>
        <v>9.3516063483452497E-2</v>
      </c>
    </row>
    <row r="3" spans="1:14" x14ac:dyDescent="0.2">
      <c r="C3" s="81"/>
      <c r="D3" s="80"/>
      <c r="F3" s="144"/>
      <c r="I3" s="81" t="s">
        <v>187</v>
      </c>
      <c r="J3" s="81" t="s">
        <v>192</v>
      </c>
      <c r="K3" s="81" t="s">
        <v>193</v>
      </c>
    </row>
    <row r="4" spans="1:14" x14ac:dyDescent="0.2">
      <c r="C4" s="81"/>
      <c r="D4" s="80"/>
      <c r="I4" t="s">
        <v>194</v>
      </c>
      <c r="J4" s="92">
        <f>SUM(J6:J221)</f>
        <v>-0.49999996164918142</v>
      </c>
      <c r="K4" s="85">
        <f>SUM(K6:K220)</f>
        <v>0.39898362338229565</v>
      </c>
      <c r="M4" s="134">
        <f>B7</f>
        <v>-0.79796730796999016</v>
      </c>
      <c r="N4">
        <v>0</v>
      </c>
    </row>
    <row r="5" spans="1:14" x14ac:dyDescent="0.2">
      <c r="C5" s="81"/>
      <c r="D5" s="80"/>
      <c r="F5" s="37" t="s">
        <v>195</v>
      </c>
      <c r="G5">
        <v>-2.5000000000000001E-2</v>
      </c>
      <c r="H5">
        <v>0</v>
      </c>
      <c r="I5">
        <f t="shared" ref="I5:I68" si="0">(1/($G$7*SQRTPI(2)))*EXP(-0.5*((H5-$G$6)/$G$7)^2)</f>
        <v>0.3989422804014327</v>
      </c>
      <c r="J5" s="81" t="s">
        <v>196</v>
      </c>
      <c r="K5" s="81" t="s">
        <v>197</v>
      </c>
      <c r="M5" s="134">
        <f>M4</f>
        <v>-0.79796730796999016</v>
      </c>
      <c r="N5">
        <f>I5</f>
        <v>0.3989422804014327</v>
      </c>
    </row>
    <row r="6" spans="1:14" x14ac:dyDescent="0.2">
      <c r="B6" t="s">
        <v>198</v>
      </c>
      <c r="C6" s="83"/>
      <c r="E6" s="148"/>
      <c r="F6" s="37" t="s">
        <v>172</v>
      </c>
      <c r="G6">
        <v>0</v>
      </c>
      <c r="H6">
        <f t="shared" ref="H6:H69" si="1">H5+$G$5</f>
        <v>-2.5000000000000001E-2</v>
      </c>
      <c r="I6">
        <f t="shared" si="0"/>
        <v>0.3988176304163818</v>
      </c>
      <c r="J6">
        <f t="shared" ref="J6:J69" si="2">AVERAGE(I5:I6)*(H6-H5)</f>
        <v>-9.9719988852226826E-3</v>
      </c>
      <c r="K6">
        <f t="shared" ref="K6:K69" si="3">AVERAGE(I5:I6)*(H6-H5)*(H6+H5)/2</f>
        <v>1.2464998606528355E-4</v>
      </c>
      <c r="L6">
        <f t="shared" ref="L6:L69" si="4">($B$7-H6)^2*I6</f>
        <v>0.23828494331913566</v>
      </c>
    </row>
    <row r="7" spans="1:14" x14ac:dyDescent="0.2">
      <c r="B7" s="161">
        <f>K4/J4</f>
        <v>-0.79796730796999016</v>
      </c>
      <c r="F7" s="149" t="s">
        <v>114</v>
      </c>
      <c r="G7">
        <v>1</v>
      </c>
      <c r="H7">
        <f t="shared" si="1"/>
        <v>-0.05</v>
      </c>
      <c r="I7">
        <f t="shared" si="0"/>
        <v>0.39844391409476404</v>
      </c>
      <c r="J7">
        <f t="shared" si="2"/>
        <v>-9.965769306389323E-3</v>
      </c>
      <c r="K7">
        <f t="shared" si="3"/>
        <v>3.7371634898959965E-4</v>
      </c>
      <c r="L7">
        <f t="shared" si="4"/>
        <v>0.22291147733068764</v>
      </c>
    </row>
    <row r="8" spans="1:14" x14ac:dyDescent="0.2">
      <c r="B8" t="s">
        <v>199</v>
      </c>
      <c r="C8" s="37"/>
      <c r="H8">
        <f t="shared" si="1"/>
        <v>-7.5000000000000011E-2</v>
      </c>
      <c r="I8">
        <f t="shared" si="0"/>
        <v>0.39782183160749712</v>
      </c>
      <c r="J8">
        <f t="shared" si="2"/>
        <v>-9.9533218212782687E-3</v>
      </c>
      <c r="K8">
        <f t="shared" si="3"/>
        <v>6.2208261382989179E-4</v>
      </c>
      <c r="L8">
        <f t="shared" si="4"/>
        <v>0.20793420253722456</v>
      </c>
    </row>
    <row r="9" spans="1:14" x14ac:dyDescent="0.2">
      <c r="B9" t="s">
        <v>200</v>
      </c>
      <c r="C9" s="162">
        <f>SUM(L6:L220)^0.5</f>
        <v>2.6724305596598001</v>
      </c>
      <c r="D9" t="s">
        <v>201</v>
      </c>
      <c r="H9">
        <f t="shared" si="1"/>
        <v>-0.1</v>
      </c>
      <c r="I9">
        <f t="shared" si="0"/>
        <v>0.39695254747701181</v>
      </c>
      <c r="J9">
        <f t="shared" si="2"/>
        <v>-9.9346797385563602E-3</v>
      </c>
      <c r="K9">
        <f t="shared" si="3"/>
        <v>8.6928447712368161E-4</v>
      </c>
      <c r="L9">
        <f t="shared" si="4"/>
        <v>0.19337875321554651</v>
      </c>
    </row>
    <row r="10" spans="1:14" x14ac:dyDescent="0.2">
      <c r="B10" t="s">
        <v>202</v>
      </c>
      <c r="C10" s="81"/>
      <c r="E10" s="162">
        <f>-SUM(J6:J37)+0.5</f>
        <v>0.78813253063848887</v>
      </c>
      <c r="H10">
        <f t="shared" si="1"/>
        <v>-0.125</v>
      </c>
      <c r="I10">
        <f t="shared" si="0"/>
        <v>0.39583768694474952</v>
      </c>
      <c r="J10">
        <f t="shared" si="2"/>
        <v>-9.9098779302720149E-3</v>
      </c>
      <c r="K10">
        <f t="shared" si="3"/>
        <v>1.1148612671556017E-3</v>
      </c>
      <c r="L10">
        <f t="shared" si="4"/>
        <v>0.17926894990052775</v>
      </c>
    </row>
    <row r="11" spans="1:14" x14ac:dyDescent="0.2">
      <c r="C11" s="37"/>
      <c r="H11">
        <f t="shared" si="1"/>
        <v>-0.15</v>
      </c>
      <c r="I11">
        <f t="shared" si="0"/>
        <v>0.39447933090788895</v>
      </c>
      <c r="J11">
        <f t="shared" si="2"/>
        <v>-9.8789627231579778E-3</v>
      </c>
      <c r="K11">
        <f t="shared" si="3"/>
        <v>1.3583573744342221E-3</v>
      </c>
      <c r="L11">
        <f t="shared" si="4"/>
        <v>0.1656267357433123</v>
      </c>
    </row>
    <row r="12" spans="1:14" x14ac:dyDescent="0.2">
      <c r="C12" s="85"/>
      <c r="H12">
        <f t="shared" si="1"/>
        <v>-0.17499999999999999</v>
      </c>
      <c r="I12">
        <f t="shared" si="0"/>
        <v>0.39288000944737927</v>
      </c>
      <c r="J12">
        <f t="shared" si="2"/>
        <v>-9.8419917544408514E-3</v>
      </c>
      <c r="K12">
        <f t="shared" si="3"/>
        <v>1.5993236600966381E-3</v>
      </c>
      <c r="L12">
        <f t="shared" si="4"/>
        <v>0.15247212192655615</v>
      </c>
    </row>
    <row r="13" spans="1:14" x14ac:dyDescent="0.2">
      <c r="H13">
        <f t="shared" si="1"/>
        <v>-0.19999999999999998</v>
      </c>
      <c r="I13">
        <f t="shared" si="0"/>
        <v>0.39104269397545588</v>
      </c>
      <c r="J13">
        <f t="shared" si="2"/>
        <v>-9.7990337927854367E-3</v>
      </c>
      <c r="K13">
        <f t="shared" si="3"/>
        <v>1.8373188361472694E-3</v>
      </c>
      <c r="L13">
        <f t="shared" si="4"/>
        <v>0.13982314231486723</v>
      </c>
    </row>
    <row r="14" spans="1:14" x14ac:dyDescent="0.2">
      <c r="H14">
        <f t="shared" si="1"/>
        <v>-0.22499999999999998</v>
      </c>
      <c r="I14">
        <f t="shared" si="0"/>
        <v>0.38897078803674945</v>
      </c>
      <c r="J14">
        <f t="shared" si="2"/>
        <v>-9.7501685251525638E-3</v>
      </c>
      <c r="K14">
        <f t="shared" si="3"/>
        <v>2.0719108115949195E-3</v>
      </c>
      <c r="L14">
        <f t="shared" si="4"/>
        <v>0.1276958174646397</v>
      </c>
    </row>
    <row r="15" spans="1:14" x14ac:dyDescent="0.2">
      <c r="H15">
        <f t="shared" si="1"/>
        <v>-0.24999999999999997</v>
      </c>
      <c r="I15">
        <f t="shared" si="0"/>
        <v>0.38666811680284924</v>
      </c>
      <c r="J15">
        <f t="shared" si="2"/>
        <v>-9.6954863104949801E-3</v>
      </c>
      <c r="K15">
        <f t="shared" si="3"/>
        <v>2.3026779987425578E-3</v>
      </c>
      <c r="L15">
        <f t="shared" si="4"/>
        <v>0.11610412806323818</v>
      </c>
    </row>
    <row r="16" spans="1:14" x14ac:dyDescent="0.2">
      <c r="H16">
        <f t="shared" si="1"/>
        <v>-0.27499999999999997</v>
      </c>
      <c r="I16">
        <f t="shared" si="0"/>
        <v>0.38413891530570476</v>
      </c>
      <c r="J16">
        <f t="shared" si="2"/>
        <v>-9.6350879013569236E-3</v>
      </c>
      <c r="K16">
        <f t="shared" si="3"/>
        <v>2.5292105741061919E-3</v>
      </c>
      <c r="L16">
        <f t="shared" si="4"/>
        <v>0.10505999781333912</v>
      </c>
    </row>
    <row r="17" spans="8:12" x14ac:dyDescent="0.2">
      <c r="H17">
        <f t="shared" si="1"/>
        <v>-0.3</v>
      </c>
      <c r="I17">
        <f t="shared" si="0"/>
        <v>0.38138781546052414</v>
      </c>
      <c r="J17">
        <f t="shared" si="2"/>
        <v>-9.56908413457787E-3</v>
      </c>
      <c r="K17">
        <f t="shared" si="3"/>
        <v>2.7511116886911372E-3</v>
      </c>
      <c r="L17">
        <f t="shared" si="4"/>
        <v>9.4573285724546444E-2</v>
      </c>
    </row>
    <row r="18" spans="8:12" x14ac:dyDescent="0.2">
      <c r="H18">
        <f t="shared" si="1"/>
        <v>-0.32500000000000001</v>
      </c>
      <c r="I18">
        <f t="shared" si="0"/>
        <v>0.37841983193381945</v>
      </c>
      <c r="J18">
        <f t="shared" si="2"/>
        <v>-9.4975955924293028E-3</v>
      </c>
      <c r="K18">
        <f t="shared" si="3"/>
        <v>2.9679986226341572E-3</v>
      </c>
      <c r="L18">
        <f t="shared" si="4"/>
        <v>8.4651787721538002E-2</v>
      </c>
    </row>
    <row r="19" spans="8:12" x14ac:dyDescent="0.2">
      <c r="H19">
        <f t="shared" si="1"/>
        <v>-0.35000000000000003</v>
      </c>
      <c r="I19">
        <f t="shared" si="0"/>
        <v>0.37524034691693792</v>
      </c>
      <c r="J19">
        <f t="shared" si="2"/>
        <v>-9.4207522356344747E-3</v>
      </c>
      <c r="K19">
        <f t="shared" si="3"/>
        <v>3.1795038795266353E-3</v>
      </c>
      <c r="L19">
        <f t="shared" si="4"/>
        <v>7.5301247426322923E-2</v>
      </c>
    </row>
    <row r="20" spans="8:12" x14ac:dyDescent="0.2">
      <c r="H20">
        <f t="shared" si="1"/>
        <v>-0.37500000000000006</v>
      </c>
      <c r="I20">
        <f t="shared" si="0"/>
        <v>0.37185509386976895</v>
      </c>
      <c r="J20">
        <f t="shared" si="2"/>
        <v>-9.3386930098338441E-3</v>
      </c>
      <c r="K20">
        <f t="shared" si="3"/>
        <v>3.3852762160647689E-3</v>
      </c>
      <c r="L20">
        <f t="shared" si="4"/>
        <v>6.6525375922037666E-2</v>
      </c>
    </row>
    <row r="21" spans="8:12" x14ac:dyDescent="0.2">
      <c r="H21">
        <f t="shared" si="1"/>
        <v>-0.40000000000000008</v>
      </c>
      <c r="I21">
        <f t="shared" si="0"/>
        <v>0.36827014030332333</v>
      </c>
      <c r="J21">
        <f t="shared" si="2"/>
        <v>-9.2515654271636619E-3</v>
      </c>
      <c r="K21">
        <f t="shared" si="3"/>
        <v>3.5849816030259197E-3</v>
      </c>
      <c r="L21">
        <f t="shared" si="4"/>
        <v>5.832588025741435E-2</v>
      </c>
    </row>
    <row r="22" spans="8:12" x14ac:dyDescent="0.2">
      <c r="H22">
        <f t="shared" si="1"/>
        <v>-0.4250000000000001</v>
      </c>
      <c r="I22">
        <f t="shared" si="0"/>
        <v>0.36449186967350644</v>
      </c>
      <c r="J22">
        <f t="shared" si="2"/>
        <v>-9.1595251247103791E-3</v>
      </c>
      <c r="K22">
        <f t="shared" si="3"/>
        <v>3.7783041139430322E-3</v>
      </c>
      <c r="L22">
        <f t="shared" si="4"/>
        <v>5.0702500404923086E-2</v>
      </c>
    </row>
    <row r="23" spans="8:12" x14ac:dyDescent="0.2">
      <c r="H23">
        <f t="shared" si="1"/>
        <v>-0.45000000000000012</v>
      </c>
      <c r="I23">
        <f t="shared" si="0"/>
        <v>0.36052696246164795</v>
      </c>
      <c r="J23">
        <f t="shared" si="2"/>
        <v>-9.0627354016894375E-3</v>
      </c>
      <c r="K23">
        <f t="shared" si="3"/>
        <v>3.96494673823913E-3</v>
      </c>
      <c r="L23">
        <f t="shared" si="4"/>
        <v>4.365305434191516E-2</v>
      </c>
    </row>
    <row r="24" spans="8:12" x14ac:dyDescent="0.2">
      <c r="H24">
        <f t="shared" si="1"/>
        <v>-0.47500000000000014</v>
      </c>
      <c r="I24">
        <f t="shared" si="0"/>
        <v>0.35638237652018323</v>
      </c>
      <c r="J24">
        <f t="shared" si="2"/>
        <v>-8.9613667372728974E-3</v>
      </c>
      <c r="K24">
        <f t="shared" si="3"/>
        <v>4.1446321159887166E-3</v>
      </c>
      <c r="L24">
        <f t="shared" si="4"/>
        <v>3.7173490883141619E-2</v>
      </c>
    </row>
    <row r="25" spans="8:12" x14ac:dyDescent="0.2">
      <c r="H25">
        <f t="shared" si="1"/>
        <v>-0.50000000000000011</v>
      </c>
      <c r="I25">
        <f t="shared" si="0"/>
        <v>0.35206532676429947</v>
      </c>
      <c r="J25">
        <f t="shared" si="2"/>
        <v>-8.8555962910560216E-3</v>
      </c>
      <c r="K25">
        <f t="shared" si="3"/>
        <v>4.3171031918898123E-3</v>
      </c>
      <c r="L25">
        <f t="shared" si="4"/>
        <v>3.1257949855037381E-2</v>
      </c>
    </row>
    <row r="26" spans="8:12" x14ac:dyDescent="0.2">
      <c r="H26">
        <f t="shared" si="1"/>
        <v>-0.52500000000000013</v>
      </c>
      <c r="I26">
        <f t="shared" si="0"/>
        <v>0.34758326429234804</v>
      </c>
      <c r="J26">
        <f t="shared" si="2"/>
        <v>-8.7456073882081001E-3</v>
      </c>
      <c r="K26">
        <f t="shared" si="3"/>
        <v>4.4821237864566526E-3</v>
      </c>
      <c r="L26">
        <f t="shared" si="4"/>
        <v>2.5898829167361626E-2</v>
      </c>
    </row>
    <row r="27" spans="8:12" x14ac:dyDescent="0.2">
      <c r="H27">
        <f t="shared" si="1"/>
        <v>-0.55000000000000016</v>
      </c>
      <c r="I27">
        <f t="shared" si="0"/>
        <v>0.3429438550193839</v>
      </c>
      <c r="J27">
        <f t="shared" si="2"/>
        <v>-8.6315889913966565E-3</v>
      </c>
      <c r="K27">
        <f t="shared" si="3"/>
        <v>4.6394790828757039E-3</v>
      </c>
      <c r="L27">
        <f t="shared" si="4"/>
        <v>2.108685830636307E-2</v>
      </c>
    </row>
    <row r="28" spans="8:12" x14ac:dyDescent="0.2">
      <c r="H28">
        <f t="shared" si="1"/>
        <v>-0.57500000000000018</v>
      </c>
      <c r="I28">
        <f t="shared" si="0"/>
        <v>0.33815495790931138</v>
      </c>
      <c r="J28">
        <f t="shared" si="2"/>
        <v>-8.5137351616086984E-3</v>
      </c>
      <c r="K28">
        <f t="shared" si="3"/>
        <v>4.7889760284048951E-3</v>
      </c>
      <c r="L28">
        <f t="shared" si="4"/>
        <v>1.6811177745755346E-2</v>
      </c>
    </row>
    <row r="29" spans="8:12" outlineLevel="1" x14ac:dyDescent="0.2">
      <c r="H29">
        <f t="shared" si="1"/>
        <v>-0.6000000000000002</v>
      </c>
      <c r="I29">
        <f t="shared" si="0"/>
        <v>0.33322460289179962</v>
      </c>
      <c r="J29">
        <f t="shared" si="2"/>
        <v>-8.3922445100138958E-3</v>
      </c>
      <c r="K29">
        <f t="shared" si="3"/>
        <v>4.9304436496331646E-3</v>
      </c>
      <c r="L29">
        <f t="shared" si="4"/>
        <v>1.305942374757792E-2</v>
      </c>
    </row>
    <row r="30" spans="8:12" outlineLevel="1" x14ac:dyDescent="0.2">
      <c r="H30">
        <f t="shared" si="1"/>
        <v>-0.62500000000000022</v>
      </c>
      <c r="I30">
        <f t="shared" si="0"/>
        <v>0.32816096855037502</v>
      </c>
      <c r="J30">
        <f t="shared" si="2"/>
        <v>-8.2673196430271892E-3</v>
      </c>
      <c r="K30">
        <f t="shared" si="3"/>
        <v>5.0637332813541552E-3</v>
      </c>
      <c r="L30">
        <f t="shared" si="4"/>
        <v>9.817818004584122E-3</v>
      </c>
    </row>
    <row r="31" spans="8:12" outlineLevel="1" x14ac:dyDescent="0.2">
      <c r="H31">
        <f t="shared" si="1"/>
        <v>-0.65000000000000024</v>
      </c>
      <c r="I31">
        <f t="shared" si="0"/>
        <v>0.32297235966791427</v>
      </c>
      <c r="J31">
        <f t="shared" si="2"/>
        <v>-8.1391666027286237E-3</v>
      </c>
      <c r="K31">
        <f t="shared" si="3"/>
        <v>5.1887187092394989E-3</v>
      </c>
      <c r="L31">
        <f t="shared" si="4"/>
        <v>7.0712615592146751E-3</v>
      </c>
    </row>
    <row r="32" spans="8:12" outlineLevel="1" x14ac:dyDescent="0.2">
      <c r="H32">
        <f t="shared" si="1"/>
        <v>-0.67500000000000027</v>
      </c>
      <c r="I32">
        <f t="shared" si="0"/>
        <v>0.31766718471514821</v>
      </c>
      <c r="J32">
        <f t="shared" si="2"/>
        <v>-8.0079943047882875E-3</v>
      </c>
      <c r="K32">
        <f t="shared" si="3"/>
        <v>5.3052962269222433E-3</v>
      </c>
      <c r="L32">
        <f t="shared" si="4"/>
        <v>4.8034324215248218E-3</v>
      </c>
    </row>
    <row r="33" spans="8:12" outlineLevel="1" x14ac:dyDescent="0.2">
      <c r="H33">
        <f t="shared" si="1"/>
        <v>-0.70000000000000029</v>
      </c>
      <c r="I33">
        <f t="shared" si="0"/>
        <v>0.31225393336676122</v>
      </c>
      <c r="J33">
        <f t="shared" si="2"/>
        <v>-7.8740139760238755E-3</v>
      </c>
      <c r="K33">
        <f t="shared" si="3"/>
        <v>5.4133846085164163E-3</v>
      </c>
      <c r="L33">
        <f t="shared" si="4"/>
        <v>2.9968862996494045E-3</v>
      </c>
    </row>
    <row r="34" spans="8:12" outlineLevel="1" x14ac:dyDescent="0.2">
      <c r="H34">
        <f t="shared" si="1"/>
        <v>-0.72500000000000031</v>
      </c>
      <c r="I34">
        <f t="shared" si="0"/>
        <v>0.30674115412823993</v>
      </c>
      <c r="J34">
        <f t="shared" si="2"/>
        <v>-7.737438593687522E-3</v>
      </c>
      <c r="K34">
        <f t="shared" si="3"/>
        <v>5.512924998002362E-3</v>
      </c>
      <c r="L34">
        <f t="shared" si="4"/>
        <v>1.6331598514964219E-3</v>
      </c>
    </row>
    <row r="35" spans="8:12" outlineLevel="1" x14ac:dyDescent="0.2">
      <c r="H35">
        <f t="shared" si="1"/>
        <v>-0.75000000000000033</v>
      </c>
      <c r="I35">
        <f t="shared" si="0"/>
        <v>0.30113743215480432</v>
      </c>
      <c r="J35">
        <f t="shared" si="2"/>
        <v>-7.5984823285380598E-3</v>
      </c>
      <c r="K35">
        <f t="shared" si="3"/>
        <v>5.6038807172968212E-3</v>
      </c>
      <c r="L35">
        <f t="shared" si="4"/>
        <v>6.928758653099266E-4</v>
      </c>
    </row>
    <row r="36" spans="8:12" outlineLevel="1" x14ac:dyDescent="0.2">
      <c r="H36">
        <f t="shared" si="1"/>
        <v>-0.77500000000000036</v>
      </c>
      <c r="I36">
        <f t="shared" si="0"/>
        <v>0.29545136734156291</v>
      </c>
      <c r="J36">
        <f t="shared" si="2"/>
        <v>-7.4573599937045971E-3</v>
      </c>
      <c r="K36">
        <f t="shared" si="3"/>
        <v>5.6862369951997584E-3</v>
      </c>
      <c r="L36">
        <f t="shared" si="4"/>
        <v>1.558497794643844E-4</v>
      </c>
    </row>
    <row r="37" spans="8:12" outlineLevel="1" x14ac:dyDescent="0.2">
      <c r="H37">
        <f t="shared" si="1"/>
        <v>-0.80000000000000038</v>
      </c>
      <c r="I37">
        <f t="shared" si="0"/>
        <v>0.28969155276148267</v>
      </c>
      <c r="J37">
        <f t="shared" si="2"/>
        <v>-7.3142865012880759E-3</v>
      </c>
      <c r="K37">
        <f t="shared" si="3"/>
        <v>5.7600006197643617E-3</v>
      </c>
      <c r="L37">
        <f t="shared" si="4"/>
        <v>1.1969582440930738E-6</v>
      </c>
    </row>
    <row r="38" spans="8:12" outlineLevel="1" x14ac:dyDescent="0.2">
      <c r="H38">
        <f t="shared" si="1"/>
        <v>-0.8250000000000004</v>
      </c>
      <c r="I38">
        <f t="shared" si="0"/>
        <v>0.28386655352488721</v>
      </c>
      <c r="J38">
        <f t="shared" si="2"/>
        <v>-7.1694763285796307E-3</v>
      </c>
      <c r="K38">
        <f t="shared" si="3"/>
        <v>5.8251995169709527E-3</v>
      </c>
      <c r="L38">
        <f t="shared" si="4"/>
        <v>2.0744015029724991E-4</v>
      </c>
    </row>
    <row r="39" spans="8:12" outlineLevel="1" x14ac:dyDescent="0.2">
      <c r="H39">
        <f t="shared" si="1"/>
        <v>-0.85000000000000042</v>
      </c>
      <c r="I39">
        <f t="shared" si="0"/>
        <v>0.27798488613099637</v>
      </c>
      <c r="J39">
        <f t="shared" si="2"/>
        <v>-7.023142995698551E-3</v>
      </c>
      <c r="K39">
        <f t="shared" si="3"/>
        <v>5.8818822588975386E-3</v>
      </c>
      <c r="L39">
        <f t="shared" si="4"/>
        <v>7.5261656978473329E-4</v>
      </c>
    </row>
    <row r="40" spans="8:12" outlineLevel="1" x14ac:dyDescent="0.2">
      <c r="H40">
        <f t="shared" si="1"/>
        <v>-0.87500000000000044</v>
      </c>
      <c r="I40">
        <f t="shared" si="0"/>
        <v>0.27205499837854341</v>
      </c>
      <c r="J40">
        <f t="shared" si="2"/>
        <v>-6.8754985563692535E-3</v>
      </c>
      <c r="K40">
        <f t="shared" si="3"/>
        <v>5.9301175048684842E-3</v>
      </c>
      <c r="L40">
        <f t="shared" si="4"/>
        <v>1.6143840567966869E-3</v>
      </c>
    </row>
    <row r="41" spans="8:12" outlineLevel="1" x14ac:dyDescent="0.2">
      <c r="H41">
        <f t="shared" si="1"/>
        <v>-0.90000000000000047</v>
      </c>
      <c r="I41">
        <f t="shared" si="0"/>
        <v>0.26608524989875476</v>
      </c>
      <c r="J41">
        <f t="shared" si="2"/>
        <v>-6.7267531034662324E-3</v>
      </c>
      <c r="K41">
        <f t="shared" si="3"/>
        <v>5.9699933793262838E-3</v>
      </c>
      <c r="L41">
        <f t="shared" si="4"/>
        <v>2.7701257931931626E-3</v>
      </c>
    </row>
    <row r="42" spans="8:12" outlineLevel="1" x14ac:dyDescent="0.2">
      <c r="H42">
        <f t="shared" si="1"/>
        <v>-0.92500000000000049</v>
      </c>
      <c r="I42">
        <f t="shared" si="0"/>
        <v>0.26008389336999554</v>
      </c>
      <c r="J42">
        <f t="shared" si="2"/>
        <v>-6.5771142908593845E-3</v>
      </c>
      <c r="K42">
        <f t="shared" si="3"/>
        <v>6.0016167904091916E-3</v>
      </c>
      <c r="L42">
        <f t="shared" si="4"/>
        <v>4.197053072427819E-3</v>
      </c>
    </row>
    <row r="43" spans="8:12" outlineLevel="1" x14ac:dyDescent="0.2">
      <c r="H43">
        <f t="shared" si="1"/>
        <v>-0.95000000000000051</v>
      </c>
      <c r="I43">
        <f t="shared" si="0"/>
        <v>0.25405905646918892</v>
      </c>
      <c r="J43">
        <f t="shared" si="2"/>
        <v>-6.4267868729898118E-3</v>
      </c>
      <c r="K43">
        <f t="shared" si="3"/>
        <v>6.0251126934279513E-3</v>
      </c>
      <c r="L43">
        <f t="shared" si="4"/>
        <v>5.8723056469092818E-3</v>
      </c>
    </row>
    <row r="44" spans="8:12" outlineLevel="1" x14ac:dyDescent="0.2">
      <c r="H44">
        <f t="shared" si="1"/>
        <v>-0.97500000000000053</v>
      </c>
      <c r="I44">
        <f t="shared" si="0"/>
        <v>0.24801872461073701</v>
      </c>
      <c r="J44">
        <f t="shared" si="2"/>
        <v>-6.2759722634990796E-3</v>
      </c>
      <c r="K44">
        <f t="shared" si="3"/>
        <v>6.040623303617868E-3</v>
      </c>
      <c r="L44">
        <f t="shared" si="4"/>
        <v>7.7730492038026507E-3</v>
      </c>
    </row>
    <row r="45" spans="8:12" outlineLevel="1" x14ac:dyDescent="0.2">
      <c r="H45">
        <f t="shared" si="1"/>
        <v>-1.0000000000000004</v>
      </c>
      <c r="I45">
        <f t="shared" si="0"/>
        <v>0.24197072451914328</v>
      </c>
      <c r="J45">
        <f t="shared" si="2"/>
        <v>-6.1248681141234818E-3</v>
      </c>
      <c r="K45">
        <f t="shared" si="3"/>
        <v>6.0483072626969416E-3</v>
      </c>
      <c r="L45">
        <f t="shared" si="4"/>
        <v>9.8765695496216763E-3</v>
      </c>
    </row>
    <row r="46" spans="8:12" outlineLevel="1" x14ac:dyDescent="0.2">
      <c r="H46">
        <f t="shared" si="1"/>
        <v>-1.0250000000000004</v>
      </c>
      <c r="I46">
        <f t="shared" si="0"/>
        <v>0.23592270867687243</v>
      </c>
      <c r="J46">
        <f t="shared" si="2"/>
        <v>-5.9736679149501757E-3</v>
      </c>
      <c r="K46">
        <f t="shared" si="3"/>
        <v>6.0483387638870555E-3</v>
      </c>
      <c r="L46">
        <f t="shared" si="4"/>
        <v>1.2160363115248951E-2</v>
      </c>
    </row>
    <row r="47" spans="8:12" outlineLevel="1" x14ac:dyDescent="0.2">
      <c r="H47">
        <f t="shared" si="1"/>
        <v>-1.0500000000000003</v>
      </c>
      <c r="I47">
        <f t="shared" si="0"/>
        <v>0.22988214068423296</v>
      </c>
      <c r="J47">
        <f t="shared" si="2"/>
        <v>-5.8225606170137969E-3</v>
      </c>
      <c r="K47">
        <f t="shared" si="3"/>
        <v>6.0409066401518165E-3</v>
      </c>
      <c r="L47">
        <f t="shared" si="4"/>
        <v>1.4602223425878783E-2</v>
      </c>
    </row>
    <row r="48" spans="8:12" outlineLevel="1" x14ac:dyDescent="0.2">
      <c r="H48">
        <f t="shared" si="1"/>
        <v>-1.0750000000000002</v>
      </c>
      <c r="I48">
        <f t="shared" si="0"/>
        <v>0.22385628156323945</v>
      </c>
      <c r="J48">
        <f t="shared" si="2"/>
        <v>-5.671730278093385E-3</v>
      </c>
      <c r="K48">
        <f t="shared" si="3"/>
        <v>6.026213420474223E-3</v>
      </c>
      <c r="L48">
        <f t="shared" si="4"/>
        <v>1.7180323214532649E-2</v>
      </c>
    </row>
    <row r="49" spans="8:12" outlineLevel="1" x14ac:dyDescent="0.2">
      <c r="H49">
        <f t="shared" si="1"/>
        <v>-1.1000000000000001</v>
      </c>
      <c r="I49">
        <f t="shared" si="0"/>
        <v>0.21785217703255053</v>
      </c>
      <c r="J49">
        <f t="shared" si="2"/>
        <v>-5.5213557324473557E-3</v>
      </c>
      <c r="K49">
        <f t="shared" si="3"/>
        <v>6.0044743590365003E-3</v>
      </c>
      <c r="L49">
        <f t="shared" si="4"/>
        <v>1.9873291892975556E-2</v>
      </c>
    </row>
    <row r="50" spans="8:12" outlineLevel="1" x14ac:dyDescent="0.2">
      <c r="H50">
        <f t="shared" si="1"/>
        <v>-1.125</v>
      </c>
      <c r="I50">
        <f t="shared" si="0"/>
        <v>0.21187664577569948</v>
      </c>
      <c r="J50">
        <f t="shared" si="2"/>
        <v>-5.3716102851031058E-3</v>
      </c>
      <c r="K50">
        <f t="shared" si="3"/>
        <v>5.9759164421772058E-3</v>
      </c>
      <c r="L50">
        <f t="shared" si="4"/>
        <v>2.2660288129787928E-2</v>
      </c>
    </row>
    <row r="51" spans="8:12" outlineLevel="1" x14ac:dyDescent="0.2">
      <c r="H51">
        <f t="shared" si="1"/>
        <v>-1.1499999999999999</v>
      </c>
      <c r="I51">
        <f t="shared" si="0"/>
        <v>0.20593626871997478</v>
      </c>
      <c r="J51">
        <f t="shared" si="2"/>
        <v>-5.2226614311959097E-3</v>
      </c>
      <c r="K51">
        <f t="shared" si="3"/>
        <v>5.9407773779853474E-3</v>
      </c>
      <c r="L51">
        <f t="shared" si="4"/>
        <v>2.552106732175069E-2</v>
      </c>
    </row>
    <row r="52" spans="8:12" outlineLevel="1" x14ac:dyDescent="0.2">
      <c r="H52">
        <f t="shared" si="1"/>
        <v>-1.1749999999999998</v>
      </c>
      <c r="I52">
        <f t="shared" si="0"/>
        <v>0.20003737933848778</v>
      </c>
      <c r="J52">
        <f t="shared" si="2"/>
        <v>-5.0746706007307645E-3</v>
      </c>
      <c r="K52">
        <f t="shared" si="3"/>
        <v>5.899304573349513E-3</v>
      </c>
      <c r="L52">
        <f t="shared" si="4"/>
        <v>2.8436043781311968E-2</v>
      </c>
    </row>
    <row r="53" spans="8:12" outlineLevel="1" x14ac:dyDescent="0.2">
      <c r="H53">
        <f t="shared" si="1"/>
        <v>-1.1999999999999997</v>
      </c>
      <c r="I53">
        <f t="shared" si="0"/>
        <v>0.19418605498321304</v>
      </c>
      <c r="J53">
        <f t="shared" si="2"/>
        <v>-4.927792929021243E-3</v>
      </c>
      <c r="K53">
        <f t="shared" si="3"/>
        <v>5.8517541032127246E-3</v>
      </c>
      <c r="L53">
        <f t="shared" si="4"/>
        <v>3.1386347499462071E-2</v>
      </c>
    </row>
    <row r="54" spans="8:12" outlineLevel="1" x14ac:dyDescent="0.2">
      <c r="H54">
        <f t="shared" si="1"/>
        <v>-1.2249999999999996</v>
      </c>
      <c r="I54">
        <f t="shared" si="0"/>
        <v>0.1883881092521264</v>
      </c>
      <c r="J54">
        <f t="shared" si="2"/>
        <v>-4.782177052941726E-3</v>
      </c>
      <c r="K54">
        <f t="shared" si="3"/>
        <v>5.7983896766918416E-3</v>
      </c>
      <c r="L54">
        <f t="shared" si="4"/>
        <v>3.435387537959611E-2</v>
      </c>
    </row>
    <row r="55" spans="8:12" outlineLevel="1" x14ac:dyDescent="0.2">
      <c r="H55">
        <f t="shared" si="1"/>
        <v>-1.2499999999999996</v>
      </c>
      <c r="I55">
        <f t="shared" si="0"/>
        <v>0.182649085389022</v>
      </c>
      <c r="J55">
        <f t="shared" si="2"/>
        <v>-4.6379649330143382E-3</v>
      </c>
      <c r="K55">
        <f t="shared" si="3"/>
        <v>5.739481604605242E-3</v>
      </c>
      <c r="L55">
        <f t="shared" si="4"/>
        <v>3.7321336873648574E-2</v>
      </c>
    </row>
    <row r="56" spans="8:12" outlineLevel="1" x14ac:dyDescent="0.2">
      <c r="H56">
        <f t="shared" si="1"/>
        <v>-1.2749999999999995</v>
      </c>
      <c r="I56">
        <f t="shared" si="0"/>
        <v>0.17697425071017983</v>
      </c>
      <c r="J56">
        <f t="shared" si="2"/>
        <v>-4.4952917012400073E-3</v>
      </c>
      <c r="K56">
        <f t="shared" si="3"/>
        <v>5.6753057728155072E-3</v>
      </c>
      <c r="L56">
        <f t="shared" si="4"/>
        <v>4.0272293986710464E-2</v>
      </c>
    </row>
    <row r="57" spans="8:12" outlineLevel="1" x14ac:dyDescent="0.2">
      <c r="H57">
        <f t="shared" si="1"/>
        <v>-1.2999999999999994</v>
      </c>
      <c r="I57">
        <f t="shared" si="0"/>
        <v>0.17136859204780749</v>
      </c>
      <c r="J57">
        <f t="shared" si="2"/>
        <v>-4.3542855344748258E-3</v>
      </c>
      <c r="K57">
        <f t="shared" si="3"/>
        <v>5.6061426256363359E-3</v>
      </c>
      <c r="L57">
        <f t="shared" si="4"/>
        <v>4.3191195650271567E-2</v>
      </c>
    </row>
    <row r="58" spans="8:12" outlineLevel="1" x14ac:dyDescent="0.2">
      <c r="H58">
        <f t="shared" si="1"/>
        <v>-1.3249999999999993</v>
      </c>
      <c r="I58">
        <f t="shared" si="0"/>
        <v>0.16583681219610488</v>
      </c>
      <c r="J58">
        <f t="shared" si="2"/>
        <v>-4.21506755304889E-3</v>
      </c>
      <c r="K58">
        <f t="shared" si="3"/>
        <v>5.5322761633766655E-3</v>
      </c>
      <c r="L58">
        <f t="shared" si="4"/>
        <v>4.6063406496964374E-2</v>
      </c>
    </row>
    <row r="59" spans="8:12" outlineLevel="1" x14ac:dyDescent="0.2">
      <c r="H59">
        <f t="shared" si="1"/>
        <v>-1.3499999999999992</v>
      </c>
      <c r="I59">
        <f t="shared" si="0"/>
        <v>0.16038332734191976</v>
      </c>
      <c r="J59">
        <f t="shared" si="2"/>
        <v>-4.0777517442252935E-3</v>
      </c>
      <c r="K59">
        <f t="shared" si="3"/>
        <v>5.4539929579013272E-3</v>
      </c>
      <c r="L59">
        <f t="shared" si="4"/>
        <v>4.8875230101036671E-2</v>
      </c>
    </row>
    <row r="60" spans="8:12" outlineLevel="1" x14ac:dyDescent="0.2">
      <c r="H60">
        <f t="shared" si="1"/>
        <v>-1.3749999999999991</v>
      </c>
      <c r="I60">
        <f t="shared" si="0"/>
        <v>0.15501226545829339</v>
      </c>
      <c r="J60">
        <f t="shared" si="2"/>
        <v>-3.9424449100026503E-3</v>
      </c>
      <c r="K60">
        <f t="shared" si="3"/>
        <v>5.3715811898786079E-3</v>
      </c>
      <c r="L60">
        <f t="shared" si="4"/>
        <v>5.1613926778578213E-2</v>
      </c>
    </row>
    <row r="61" spans="8:12" outlineLevel="1" x14ac:dyDescent="0.2">
      <c r="H61">
        <f t="shared" si="1"/>
        <v>-1.399999999999999</v>
      </c>
      <c r="I61">
        <f t="shared" si="0"/>
        <v>0.14972746563574507</v>
      </c>
      <c r="J61">
        <f t="shared" si="2"/>
        <v>-3.8092466386754672E-3</v>
      </c>
      <c r="K61">
        <f t="shared" si="3"/>
        <v>5.2853297111622073E-3</v>
      </c>
      <c r="L61">
        <f t="shared" si="4"/>
        <v>5.4267726069619458E-2</v>
      </c>
    </row>
    <row r="62" spans="8:12" outlineLevel="1" x14ac:dyDescent="0.2">
      <c r="H62">
        <f t="shared" si="1"/>
        <v>-1.4249999999999989</v>
      </c>
      <c r="I62">
        <f t="shared" si="0"/>
        <v>0.14453247832293309</v>
      </c>
      <c r="J62">
        <f t="shared" si="2"/>
        <v>-3.6782492994834638E-3</v>
      </c>
      <c r="K62">
        <f t="shared" si="3"/>
        <v>5.1955271355203893E-3</v>
      </c>
      <c r="L62">
        <f t="shared" si="4"/>
        <v>5.6825834050476864E-2</v>
      </c>
    </row>
    <row r="63" spans="8:12" outlineLevel="1" x14ac:dyDescent="0.2">
      <c r="H63">
        <f t="shared" si="1"/>
        <v>-1.4499999999999988</v>
      </c>
      <c r="I63">
        <f t="shared" si="0"/>
        <v>0.13943056644536053</v>
      </c>
      <c r="J63">
        <f t="shared" si="2"/>
        <v>-3.5495380596036572E-3</v>
      </c>
      <c r="K63">
        <f t="shared" si="3"/>
        <v>5.1024609606802529E-3</v>
      </c>
      <c r="L63">
        <f t="shared" si="4"/>
        <v>5.9278435649021702E-2</v>
      </c>
    </row>
    <row r="64" spans="8:12" outlineLevel="1" x14ac:dyDescent="0.2">
      <c r="H64">
        <f t="shared" si="1"/>
        <v>-1.4749999999999988</v>
      </c>
      <c r="I64">
        <f t="shared" si="0"/>
        <v>0.13442470736807935</v>
      </c>
      <c r="J64">
        <f t="shared" si="2"/>
        <v>-3.4231909226679863E-3</v>
      </c>
      <c r="K64">
        <f t="shared" si="3"/>
        <v>5.0064167244019261E-3</v>
      </c>
      <c r="L64">
        <f t="shared" si="4"/>
        <v>6.1616692157805332E-2</v>
      </c>
    </row>
    <row r="65" spans="8:12" outlineLevel="1" x14ac:dyDescent="0.2">
      <c r="H65">
        <f t="shared" si="1"/>
        <v>-1.4999999999999987</v>
      </c>
      <c r="I65">
        <f t="shared" si="0"/>
        <v>0.12951759566589199</v>
      </c>
      <c r="J65">
        <f t="shared" si="2"/>
        <v>-3.2992787879246306E-3</v>
      </c>
      <c r="K65">
        <f t="shared" si="3"/>
        <v>4.9076771970378835E-3</v>
      </c>
      <c r="L65">
        <f t="shared" si="4"/>
        <v>6.3832734160104904E-2</v>
      </c>
    </row>
    <row r="66" spans="8:12" outlineLevel="1" x14ac:dyDescent="0.2">
      <c r="H66">
        <f t="shared" si="1"/>
        <v>-1.5249999999999986</v>
      </c>
      <c r="I66">
        <f t="shared" si="0"/>
        <v>0.12471164666235747</v>
      </c>
      <c r="J66">
        <f t="shared" si="2"/>
        <v>-3.177865529103107E-3</v>
      </c>
      <c r="K66">
        <f t="shared" si="3"/>
        <v>4.8065216127684447E-3</v>
      </c>
      <c r="L66">
        <f t="shared" si="4"/>
        <v>6.5919650101902497E-2</v>
      </c>
    </row>
    <row r="67" spans="8:12" outlineLevel="1" x14ac:dyDescent="0.2">
      <c r="H67">
        <f t="shared" si="1"/>
        <v>-1.5499999999999985</v>
      </c>
      <c r="I67">
        <f t="shared" si="0"/>
        <v>0.12000900069698586</v>
      </c>
      <c r="J67">
        <f t="shared" si="2"/>
        <v>-3.0590080919917812E-3</v>
      </c>
      <c r="K67">
        <f t="shared" si="3"/>
        <v>4.7032249414373593E-3</v>
      </c>
      <c r="L67">
        <f t="shared" si="4"/>
        <v>6.7871470758539665E-2</v>
      </c>
    </row>
    <row r="68" spans="8:12" outlineLevel="1" x14ac:dyDescent="0.2">
      <c r="H68">
        <f t="shared" si="1"/>
        <v>-1.5749999999999984</v>
      </c>
      <c r="I68">
        <f t="shared" si="0"/>
        <v>0.11541152807835028</v>
      </c>
      <c r="J68">
        <f t="shared" si="2"/>
        <v>-2.9427566096916912E-3</v>
      </c>
      <c r="K68">
        <f t="shared" si="3"/>
        <v>4.5980572026432633E-3</v>
      </c>
      <c r="L68">
        <f t="shared" si="4"/>
        <v>6.9683149858276949E-2</v>
      </c>
    </row>
    <row r="69" spans="8:12" outlineLevel="1" x14ac:dyDescent="0.2">
      <c r="H69">
        <f t="shared" si="1"/>
        <v>-1.5999999999999983</v>
      </c>
      <c r="I69">
        <f t="shared" ref="I69:I132" si="5">(1/($G$7*SQRTPI(2)))*EXP(-0.5*((H69-$G$6)/$G$7)^2)</f>
        <v>0.11092083467945585</v>
      </c>
      <c r="J69">
        <f t="shared" si="2"/>
        <v>-2.8291545344725664E-3</v>
      </c>
      <c r="K69">
        <f t="shared" si="3"/>
        <v>4.4912828234751944E-3</v>
      </c>
      <c r="L69">
        <f t="shared" si="4"/>
        <v>7.1350541136231863E-2</v>
      </c>
    </row>
    <row r="70" spans="8:12" outlineLevel="1" x14ac:dyDescent="0.2">
      <c r="H70">
        <f t="shared" ref="H70:H133" si="6">H69+$G$5</f>
        <v>-1.6249999999999982</v>
      </c>
      <c r="I70">
        <f t="shared" si="5"/>
        <v>0.10653826813058538</v>
      </c>
      <c r="J70">
        <f t="shared" ref="J70:J133" si="7">AVERAGE(I69:I70)*(H70-H69)</f>
        <v>-2.7182387851255054E-3</v>
      </c>
      <c r="K70">
        <f t="shared" ref="K70:K133" si="8">AVERAGE(I69:I70)*(H70-H69)*(H70+H69)/2</f>
        <v>4.3831600410148726E-3</v>
      </c>
      <c r="L70">
        <f t="shared" ref="L70:L133" si="9">($B$7-H70)^2*I70</f>
        <v>7.2870372101183856E-2</v>
      </c>
    </row>
    <row r="71" spans="8:12" outlineLevel="1" x14ac:dyDescent="0.2">
      <c r="H71">
        <f t="shared" si="6"/>
        <v>-1.6499999999999981</v>
      </c>
      <c r="I71">
        <f t="shared" si="5"/>
        <v>0.10226492456397832</v>
      </c>
      <c r="J71">
        <f t="shared" si="7"/>
        <v>-2.6100399086820369E-3</v>
      </c>
      <c r="K71">
        <f t="shared" si="8"/>
        <v>4.2739403504668304E-3</v>
      </c>
      <c r="L71">
        <f t="shared" si="9"/>
        <v>7.424021480455005E-2</v>
      </c>
    </row>
    <row r="72" spans="8:12" outlineLevel="1" x14ac:dyDescent="0.2">
      <c r="H72">
        <f t="shared" si="6"/>
        <v>-1.674999999999998</v>
      </c>
      <c r="I72">
        <f t="shared" si="5"/>
        <v>9.8101655864098136E-2</v>
      </c>
      <c r="J72">
        <f t="shared" si="7"/>
        <v>-2.5045822553509465E-3</v>
      </c>
      <c r="K72">
        <f t="shared" si="8"/>
        <v>4.1638679995209442E-3</v>
      </c>
      <c r="L72">
        <f t="shared" si="9"/>
        <v>7.5458453905500364E-2</v>
      </c>
    </row>
    <row r="73" spans="8:12" outlineLevel="1" x14ac:dyDescent="0.2">
      <c r="H73">
        <f t="shared" si="6"/>
        <v>-1.699999999999998</v>
      </c>
      <c r="I73">
        <f t="shared" si="5"/>
        <v>9.4049077376887252E-2</v>
      </c>
      <c r="J73">
        <f t="shared" si="7"/>
        <v>-2.4018841655123087E-3</v>
      </c>
      <c r="K73">
        <f t="shared" si="8"/>
        <v>4.0531795293020159E-3</v>
      </c>
      <c r="L73">
        <f t="shared" si="9"/>
        <v>7.6524252328750403E-2</v>
      </c>
    </row>
    <row r="74" spans="8:12" outlineLevel="1" x14ac:dyDescent="0.2">
      <c r="H74">
        <f t="shared" si="6"/>
        <v>-1.7249999999999979</v>
      </c>
      <c r="I74">
        <f t="shared" si="5"/>
        <v>9.0107576031298431E-2</v>
      </c>
      <c r="J74">
        <f t="shared" si="7"/>
        <v>-2.3019581676023129E-3</v>
      </c>
      <c r="K74">
        <f t="shared" si="8"/>
        <v>3.9421033620189562E-3</v>
      </c>
      <c r="L74">
        <f t="shared" si="9"/>
        <v>7.7437514812124283E-2</v>
      </c>
    </row>
    <row r="75" spans="8:12" outlineLevel="1" x14ac:dyDescent="0.2">
      <c r="H75">
        <f t="shared" si="6"/>
        <v>-1.7499999999999978</v>
      </c>
      <c r="I75">
        <f t="shared" si="5"/>
        <v>8.6277318826511851E-2</v>
      </c>
      <c r="J75">
        <f t="shared" si="7"/>
        <v>-2.2048111857226205E-3</v>
      </c>
      <c r="K75">
        <f t="shared" si="8"/>
        <v>3.8308594351930485E-3</v>
      </c>
      <c r="L75">
        <f t="shared" si="9"/>
        <v>7.8198849639598791E-2</v>
      </c>
    </row>
    <row r="76" spans="8:12" outlineLevel="1" x14ac:dyDescent="0.2">
      <c r="H76">
        <f t="shared" si="6"/>
        <v>-1.7749999999999977</v>
      </c>
      <c r="I76">
        <f t="shared" si="5"/>
        <v>8.2558261638591951E-2</v>
      </c>
      <c r="J76">
        <f t="shared" si="7"/>
        <v>-2.11044475581379E-3</v>
      </c>
      <c r="K76">
        <f t="shared" si="8"/>
        <v>3.7196588821217999E-3</v>
      </c>
      <c r="L76">
        <f t="shared" si="9"/>
        <v>7.8809528852323271E-2</v>
      </c>
    </row>
    <row r="77" spans="8:12" outlineLevel="1" x14ac:dyDescent="0.2">
      <c r="H77">
        <f t="shared" si="6"/>
        <v>-1.7999999999999976</v>
      </c>
      <c r="I77">
        <f t="shared" si="5"/>
        <v>7.895015830089451E-2</v>
      </c>
      <c r="J77">
        <f t="shared" si="7"/>
        <v>-2.0188552492435732E-3</v>
      </c>
      <c r="K77">
        <f t="shared" si="8"/>
        <v>3.6087037580228823E-3</v>
      </c>
      <c r="L77">
        <f t="shared" si="9"/>
        <v>7.927144722516305E-2</v>
      </c>
    </row>
    <row r="78" spans="8:12" outlineLevel="1" x14ac:dyDescent="0.2">
      <c r="H78">
        <f t="shared" si="6"/>
        <v>-1.8249999999999975</v>
      </c>
      <c r="I78">
        <f t="shared" si="5"/>
        <v>7.5452569913290551E-2</v>
      </c>
      <c r="J78">
        <f t="shared" si="7"/>
        <v>-1.9300341026773063E-3</v>
      </c>
      <c r="K78">
        <f t="shared" si="8"/>
        <v>3.4981868111026129E-3</v>
      </c>
      <c r="L78">
        <f t="shared" si="9"/>
        <v>7.9587080289750561E-2</v>
      </c>
    </row>
    <row r="79" spans="8:12" outlineLevel="1" x14ac:dyDescent="0.2">
      <c r="H79">
        <f t="shared" si="6"/>
        <v>-1.8499999999999974</v>
      </c>
      <c r="I79">
        <f t="shared" si="5"/>
        <v>7.2064874336218332E-2</v>
      </c>
      <c r="J79">
        <f t="shared" si="7"/>
        <v>-1.8439680531188544E-3</v>
      </c>
      <c r="K79">
        <f t="shared" si="8"/>
        <v>3.3882912976058903E-3</v>
      </c>
      <c r="L79">
        <f t="shared" si="9"/>
        <v>7.9759441676970952E-2</v>
      </c>
    </row>
    <row r="80" spans="8:12" outlineLevel="1" x14ac:dyDescent="0.2">
      <c r="H80">
        <f t="shared" si="6"/>
        <v>-1.8749999999999973</v>
      </c>
      <c r="I80">
        <f t="shared" si="5"/>
        <v>6.8786275826692236E-2</v>
      </c>
      <c r="J80">
        <f t="shared" si="7"/>
        <v>-1.7606393770363757E-3</v>
      </c>
      <c r="K80">
        <f t="shared" si="8"/>
        <v>3.2791908397302449E-3</v>
      </c>
      <c r="L80">
        <f t="shared" si="9"/>
        <v>7.9792040042383716E-2</v>
      </c>
    </row>
    <row r="81" spans="8:12" outlineLevel="1" x14ac:dyDescent="0.2">
      <c r="H81">
        <f t="shared" si="6"/>
        <v>-1.8999999999999972</v>
      </c>
      <c r="I81">
        <f t="shared" si="5"/>
        <v>6.5615814774676942E-2</v>
      </c>
      <c r="J81">
        <f t="shared" si="7"/>
        <v>-1.6800261325171087E-3</v>
      </c>
      <c r="K81">
        <f t="shared" si="8"/>
        <v>3.1710493251260381E-3</v>
      </c>
      <c r="L81">
        <f t="shared" si="9"/>
        <v>7.9688835827419868E-2</v>
      </c>
    </row>
    <row r="82" spans="8:12" outlineLevel="1" x14ac:dyDescent="0.2">
      <c r="H82">
        <f t="shared" si="6"/>
        <v>-1.9249999999999972</v>
      </c>
      <c r="I82">
        <f t="shared" si="5"/>
        <v>6.2552377499660333E-2</v>
      </c>
      <c r="J82">
        <f t="shared" si="7"/>
        <v>-1.6021024034292104E-3</v>
      </c>
      <c r="K82">
        <f t="shared" si="8"/>
        <v>3.0640208465583605E-3</v>
      </c>
      <c r="L82">
        <f t="shared" si="9"/>
        <v>7.9454198097431913E-2</v>
      </c>
    </row>
    <row r="83" spans="8:12" outlineLevel="1" x14ac:dyDescent="0.2">
      <c r="H83">
        <f t="shared" si="6"/>
        <v>-1.9499999999999971</v>
      </c>
      <c r="I83">
        <f t="shared" si="5"/>
        <v>5.9594706068816408E-2</v>
      </c>
      <c r="J83">
        <f t="shared" si="7"/>
        <v>-1.5268385446059538E-3</v>
      </c>
      <c r="K83">
        <f t="shared" si="8"/>
        <v>2.9582496801740313E-3</v>
      </c>
      <c r="L83">
        <f t="shared" si="9"/>
        <v>7.9092861684944976E-2</v>
      </c>
    </row>
    <row r="84" spans="8:12" outlineLevel="1" x14ac:dyDescent="0.2">
      <c r="H84">
        <f t="shared" si="6"/>
        <v>-1.974999999999997</v>
      </c>
      <c r="I84">
        <f t="shared" si="5"/>
        <v>5.674140809982435E-2</v>
      </c>
      <c r="J84">
        <f t="shared" si="7"/>
        <v>-1.4542014271080044E-3</v>
      </c>
      <c r="K84">
        <f t="shared" si="8"/>
        <v>2.8538703006994542E-3</v>
      </c>
      <c r="L84">
        <f t="shared" si="9"/>
        <v>7.8609884852900394E-2</v>
      </c>
    </row>
    <row r="85" spans="8:12" outlineLevel="1" x14ac:dyDescent="0.2">
      <c r="H85">
        <f t="shared" si="6"/>
        <v>-1.9999999999999969</v>
      </c>
      <c r="I85">
        <f t="shared" si="5"/>
        <v>5.3990966513188389E-2</v>
      </c>
      <c r="J85">
        <f t="shared" si="7"/>
        <v>-1.3841546826626543E-3</v>
      </c>
      <c r="K85">
        <f t="shared" si="8"/>
        <v>2.7510074317920212E-3</v>
      </c>
      <c r="L85">
        <f t="shared" si="9"/>
        <v>7.8010607678435304E-2</v>
      </c>
    </row>
    <row r="86" spans="8:12" outlineLevel="1" x14ac:dyDescent="0.2">
      <c r="H86">
        <f t="shared" si="6"/>
        <v>-2.0249999999999968</v>
      </c>
      <c r="I86">
        <f t="shared" si="5"/>
        <v>5.1341749200769796E-2</v>
      </c>
      <c r="J86">
        <f t="shared" si="7"/>
        <v>-1.3166589464244727E-3</v>
      </c>
      <c r="K86">
        <f t="shared" si="8"/>
        <v>2.6497761296792469E-3</v>
      </c>
      <c r="L86">
        <f t="shared" si="9"/>
        <v>7.7300611342935616E-2</v>
      </c>
    </row>
    <row r="87" spans="8:12" outlineLevel="1" x14ac:dyDescent="0.2">
      <c r="H87">
        <f t="shared" si="6"/>
        <v>-2.0499999999999967</v>
      </c>
      <c r="I87">
        <f t="shared" si="5"/>
        <v>4.8792018579183097E-2</v>
      </c>
      <c r="J87">
        <f t="shared" si="7"/>
        <v>-1.2516720972494068E-3</v>
      </c>
      <c r="K87">
        <f t="shared" si="8"/>
        <v>2.5502818981456626E-3</v>
      </c>
      <c r="L87">
        <f t="shared" si="9"/>
        <v>7.6485678498870419E-2</v>
      </c>
    </row>
    <row r="88" spans="8:12" outlineLevel="1" x14ac:dyDescent="0.2">
      <c r="H88">
        <f t="shared" si="6"/>
        <v>-2.0749999999999966</v>
      </c>
      <c r="I88">
        <f t="shared" si="5"/>
        <v>4.6339940998709563E-2</v>
      </c>
      <c r="J88">
        <f t="shared" si="7"/>
        <v>-1.1891494947236542E-3</v>
      </c>
      <c r="K88">
        <f t="shared" si="8"/>
        <v>2.4526208328675327E-3</v>
      </c>
      <c r="L88">
        <f t="shared" si="9"/>
        <v>7.5571754868389435E-2</v>
      </c>
    </row>
    <row r="89" spans="8:12" outlineLevel="1" x14ac:dyDescent="0.2">
      <c r="H89">
        <f t="shared" si="6"/>
        <v>-2.0999999999999965</v>
      </c>
      <c r="I89">
        <f t="shared" si="5"/>
        <v>4.3983595980427524E-2</v>
      </c>
      <c r="J89">
        <f t="shared" si="7"/>
        <v>-1.1290442122392096E-3</v>
      </c>
      <c r="K89">
        <f t="shared" si="8"/>
        <v>2.3568797930493463E-3</v>
      </c>
      <c r="L89">
        <f t="shared" si="9"/>
        <v>7.4564912212968015E-2</v>
      </c>
    </row>
    <row r="90" spans="8:12" outlineLevel="1" x14ac:dyDescent="0.2">
      <c r="H90">
        <f t="shared" si="6"/>
        <v>-2.1249999999999964</v>
      </c>
      <c r="I90">
        <f t="shared" si="5"/>
        <v>4.1720985256338924E-2</v>
      </c>
      <c r="J90">
        <f t="shared" si="7"/>
        <v>-1.0713072654595767E-3</v>
      </c>
      <c r="K90">
        <f t="shared" si="8"/>
        <v>2.2631365982833519E-3</v>
      </c>
      <c r="L90">
        <f t="shared" si="9"/>
        <v>7.3471312797634539E-2</v>
      </c>
    </row>
    <row r="91" spans="8:12" outlineLevel="1" x14ac:dyDescent="0.2">
      <c r="H91">
        <f t="shared" si="6"/>
        <v>-2.1499999999999964</v>
      </c>
      <c r="I91">
        <f t="shared" si="5"/>
        <v>3.9550041589370519E-2</v>
      </c>
      <c r="J91">
        <f t="shared" si="7"/>
        <v>-1.0158878355713645E-3</v>
      </c>
      <c r="K91">
        <f t="shared" si="8"/>
        <v>2.1714602485337882E-3</v>
      </c>
      <c r="L91">
        <f t="shared" si="9"/>
        <v>7.22971754576264E-2</v>
      </c>
    </row>
    <row r="92" spans="8:12" outlineLevel="1" x14ac:dyDescent="0.2">
      <c r="H92">
        <f t="shared" si="6"/>
        <v>-2.1749999999999963</v>
      </c>
      <c r="I92">
        <f t="shared" si="5"/>
        <v>3.7468637352234081E-2</v>
      </c>
      <c r="J92">
        <f t="shared" si="7"/>
        <v>-9.6273348677005418E-4</v>
      </c>
      <c r="K92">
        <f t="shared" si="8"/>
        <v>2.0819111651402384E-3</v>
      </c>
      <c r="L92">
        <f t="shared" si="9"/>
        <v>7.1048743359798494E-2</v>
      </c>
    </row>
    <row r="93" spans="8:12" outlineLevel="1" x14ac:dyDescent="0.2">
      <c r="H93">
        <f t="shared" si="6"/>
        <v>-2.1999999999999962</v>
      </c>
      <c r="I93">
        <f t="shared" si="5"/>
        <v>3.5474592846231737E-2</v>
      </c>
      <c r="J93">
        <f t="shared" si="7"/>
        <v>-9.117903774808196E-4</v>
      </c>
      <c r="K93">
        <f t="shared" si="8"/>
        <v>1.9945414507392895E-3</v>
      </c>
      <c r="L93">
        <f t="shared" si="9"/>
        <v>6.9732253535855007E-2</v>
      </c>
    </row>
    <row r="94" spans="8:12" outlineLevel="1" x14ac:dyDescent="0.2">
      <c r="H94">
        <f t="shared" si="6"/>
        <v>-2.2249999999999961</v>
      </c>
      <c r="I94">
        <f t="shared" si="5"/>
        <v>3.3565684343177839E-2</v>
      </c>
      <c r="J94">
        <f t="shared" si="7"/>
        <v>-8.6300346486761672E-4</v>
      </c>
      <c r="K94">
        <f t="shared" si="8"/>
        <v>1.9093951660195984E-3</v>
      </c>
      <c r="L94">
        <f t="shared" si="9"/>
        <v>6.8353908249579556E-2</v>
      </c>
    </row>
    <row r="95" spans="8:12" outlineLevel="1" x14ac:dyDescent="0.2">
      <c r="H95">
        <f t="shared" si="6"/>
        <v>-2.249999999999996</v>
      </c>
      <c r="I95">
        <f t="shared" si="5"/>
        <v>3.1739651835667702E-2</v>
      </c>
      <c r="J95">
        <f t="shared" si="7"/>
        <v>-8.1631670223556634E-4</v>
      </c>
      <c r="K95">
        <f t="shared" si="8"/>
        <v>1.8265086212520766E-3</v>
      </c>
      <c r="L95">
        <f t="shared" si="9"/>
        <v>6.6919848245788047E-2</v>
      </c>
    </row>
    <row r="96" spans="8:12" outlineLevel="1" x14ac:dyDescent="0.2">
      <c r="H96">
        <f t="shared" si="6"/>
        <v>-2.2749999999999959</v>
      </c>
      <c r="I96">
        <f t="shared" si="5"/>
        <v>2.9994206482945578E-2</v>
      </c>
      <c r="J96">
        <f t="shared" si="7"/>
        <v>-7.7167322898266319E-4</v>
      </c>
      <c r="K96">
        <f t="shared" si="8"/>
        <v>1.7459106805732723E-3</v>
      </c>
      <c r="L96">
        <f t="shared" si="9"/>
        <v>6.5436127914796735E-2</v>
      </c>
    </row>
    <row r="97" spans="1:12" outlineLevel="1" x14ac:dyDescent="0.2">
      <c r="H97">
        <f t="shared" si="6"/>
        <v>-2.2999999999999958</v>
      </c>
      <c r="I97">
        <f t="shared" si="5"/>
        <v>2.8327037741601453E-2</v>
      </c>
      <c r="J97">
        <f t="shared" si="7"/>
        <v>-7.2901555280683531E-4</v>
      </c>
      <c r="K97">
        <f t="shared" si="8"/>
        <v>1.6676230770456329E-3</v>
      </c>
      <c r="L97">
        <f t="shared" si="9"/>
        <v>6.390869239285582E-2</v>
      </c>
    </row>
    <row r="98" spans="1:12" outlineLevel="1" x14ac:dyDescent="0.2">
      <c r="H98">
        <f t="shared" si="6"/>
        <v>-2.3249999999999957</v>
      </c>
      <c r="I98">
        <f t="shared" si="5"/>
        <v>2.6735820172248501E-2</v>
      </c>
      <c r="J98">
        <f t="shared" si="7"/>
        <v>-6.8828572392312193E-4</v>
      </c>
      <c r="K98">
        <f t="shared" si="8"/>
        <v>1.5916607365722164E-3</v>
      </c>
      <c r="L98">
        <f t="shared" si="9"/>
        <v>6.2343356606301817E-2</v>
      </c>
    </row>
    <row r="99" spans="1:12" outlineLevel="1" x14ac:dyDescent="0.2">
      <c r="H99">
        <f t="shared" si="6"/>
        <v>-2.3499999999999956</v>
      </c>
      <c r="I99">
        <f t="shared" si="5"/>
        <v>2.5218219915194649E-2</v>
      </c>
      <c r="J99">
        <f t="shared" si="7"/>
        <v>-6.494255010930371E-4</v>
      </c>
      <c r="K99">
        <f t="shared" si="8"/>
        <v>1.5180321088049716E-3</v>
      </c>
      <c r="L99">
        <f t="shared" si="9"/>
        <v>6.0745786255187333E-2</v>
      </c>
    </row>
    <row r="100" spans="1:12" outlineLevel="1" x14ac:dyDescent="0.2">
      <c r="H100">
        <f t="shared" si="6"/>
        <v>-2.3749999999999956</v>
      </c>
      <c r="I100">
        <f t="shared" si="5"/>
        <v>2.3771900829914056E-2</v>
      </c>
      <c r="J100">
        <f t="shared" si="7"/>
        <v>-6.1237650931385669E-4</v>
      </c>
      <c r="K100">
        <f t="shared" si="8"/>
        <v>1.4467395032539837E-3</v>
      </c>
      <c r="L100">
        <f t="shared" si="9"/>
        <v>5.9121480720890705E-2</v>
      </c>
    </row>
    <row r="101" spans="1:12" outlineLevel="1" x14ac:dyDescent="0.2">
      <c r="H101">
        <f t="shared" si="6"/>
        <v>-2.3999999999999955</v>
      </c>
      <c r="I101">
        <f t="shared" si="5"/>
        <v>2.2394530294843142E-2</v>
      </c>
      <c r="J101">
        <f t="shared" si="7"/>
        <v>-5.7708038905946292E-4</v>
      </c>
      <c r="K101">
        <f t="shared" si="8"/>
        <v>1.3777794288794653E-3</v>
      </c>
      <c r="L101">
        <f t="shared" si="9"/>
        <v>5.7475757871732147E-2</v>
      </c>
    </row>
    <row r="102" spans="1:12" outlineLevel="1" x14ac:dyDescent="0.2">
      <c r="H102">
        <f t="shared" si="6"/>
        <v>-2.4249999999999954</v>
      </c>
      <c r="I102">
        <f t="shared" si="5"/>
        <v>2.1083784665664341E-2</v>
      </c>
      <c r="J102">
        <f t="shared" si="7"/>
        <v>-5.4347893700634157E-4</v>
      </c>
      <c r="K102">
        <f t="shared" si="8"/>
        <v>1.3111429355277965E-3</v>
      </c>
      <c r="L102">
        <f t="shared" si="9"/>
        <v>5.581374073094892E-2</v>
      </c>
    </row>
    <row r="103" spans="1:12" outlineLevel="1" x14ac:dyDescent="0.2">
      <c r="H103">
        <f t="shared" si="6"/>
        <v>-2.4499999999999953</v>
      </c>
      <c r="I103">
        <f t="shared" si="5"/>
        <v>1.9837354391795549E-2</v>
      </c>
      <c r="J103">
        <f t="shared" si="7"/>
        <v>-5.115142382182468E-4</v>
      </c>
      <c r="K103">
        <f t="shared" si="8"/>
        <v>1.2468159556569742E-3</v>
      </c>
      <c r="L103">
        <f t="shared" si="9"/>
        <v>5.4140345962532373E-2</v>
      </c>
    </row>
    <row r="104" spans="1:12" outlineLevel="1" x14ac:dyDescent="0.2">
      <c r="H104">
        <f t="shared" si="6"/>
        <v>-2.4749999999999952</v>
      </c>
      <c r="I104">
        <f t="shared" si="5"/>
        <v>1.8652948792270131E-2</v>
      </c>
      <c r="J104">
        <f t="shared" si="7"/>
        <v>-4.811287898008193E-4</v>
      </c>
      <c r="K104">
        <f t="shared" si="8"/>
        <v>1.1847796448845151E-3</v>
      </c>
      <c r="L104">
        <f t="shared" si="9"/>
        <v>5.2460274122414351E-2</v>
      </c>
    </row>
    <row r="105" spans="1:12" outlineLevel="1" x14ac:dyDescent="0.2">
      <c r="H105">
        <f t="shared" si="6"/>
        <v>-2.4999999999999951</v>
      </c>
      <c r="I105">
        <f t="shared" si="5"/>
        <v>1.7528300493568749E-2</v>
      </c>
      <c r="J105">
        <f t="shared" si="7"/>
        <v>-4.5226561607298438E-4</v>
      </c>
      <c r="K105">
        <f t="shared" si="8"/>
        <v>1.1250107199815465E-3</v>
      </c>
      <c r="L105">
        <f t="shared" si="9"/>
        <v>5.0778001615315801E-2</v>
      </c>
    </row>
    <row r="106" spans="1:12" x14ac:dyDescent="0.2">
      <c r="H106">
        <f t="shared" si="6"/>
        <v>-2.524999999999995</v>
      </c>
      <c r="I106">
        <f t="shared" si="5"/>
        <v>1.6461169533247475E-2</v>
      </c>
      <c r="J106">
        <f t="shared" si="7"/>
        <v>-4.248683753352013E-4</v>
      </c>
      <c r="K106">
        <f t="shared" si="8"/>
        <v>1.0674817930296911E-3</v>
      </c>
      <c r="L106">
        <f t="shared" si="9"/>
        <v>4.9097774291233048E-2</v>
      </c>
    </row>
    <row r="107" spans="1:12" x14ac:dyDescent="0.2">
      <c r="A107" s="103"/>
      <c r="H107">
        <f t="shared" si="6"/>
        <v>-2.5499999999999949</v>
      </c>
      <c r="I107">
        <f t="shared" si="5"/>
        <v>1.5449347134395374E-2</v>
      </c>
      <c r="J107">
        <f t="shared" si="7"/>
        <v>-3.9888145834553423E-4</v>
      </c>
      <c r="K107">
        <f t="shared" si="8"/>
        <v>1.0121617005517912E-3</v>
      </c>
      <c r="L107">
        <f t="shared" si="9"/>
        <v>4.7423602610029238E-2</v>
      </c>
    </row>
    <row r="108" spans="1:12" x14ac:dyDescent="0.2">
      <c r="A108" s="102"/>
      <c r="H108">
        <f t="shared" si="6"/>
        <v>-2.5749999999999948</v>
      </c>
      <c r="I108">
        <f t="shared" si="5"/>
        <v>1.4490659157048637E-2</v>
      </c>
      <c r="J108">
        <f t="shared" si="7"/>
        <v>-3.7425007864304885E-4</v>
      </c>
      <c r="K108">
        <f t="shared" si="8"/>
        <v>9.5901582652281072E-4</v>
      </c>
      <c r="L108">
        <f t="shared" si="9"/>
        <v>4.5759258297908473E-2</v>
      </c>
    </row>
    <row r="109" spans="1:12" ht="16" customHeight="1" x14ac:dyDescent="0.2">
      <c r="B109" s="104"/>
      <c r="H109">
        <f t="shared" si="6"/>
        <v>-2.5999999999999948</v>
      </c>
      <c r="I109">
        <f t="shared" si="5"/>
        <v>1.3582969233685802E-2</v>
      </c>
      <c r="J109">
        <f t="shared" si="7"/>
        <v>-3.5092035488417929E-4</v>
      </c>
      <c r="K109">
        <f t="shared" si="8"/>
        <v>9.0800641826281213E-4</v>
      </c>
      <c r="L109">
        <f t="shared" si="9"/>
        <v>4.4108272415653731E-2</v>
      </c>
    </row>
    <row r="110" spans="1:12" x14ac:dyDescent="0.2">
      <c r="B110" s="151"/>
      <c r="D110" s="152"/>
      <c r="E110" s="153"/>
      <c r="H110">
        <f t="shared" si="6"/>
        <v>-2.6249999999999947</v>
      </c>
      <c r="I110">
        <f t="shared" si="5"/>
        <v>1.2724181596831608E-2</v>
      </c>
      <c r="J110">
        <f t="shared" si="7"/>
        <v>-3.2883938538146647E-4</v>
      </c>
      <c r="K110">
        <f t="shared" si="8"/>
        <v>8.5909289430907937E-4</v>
      </c>
      <c r="L110">
        <f t="shared" si="9"/>
        <v>4.2473934755388937E-2</v>
      </c>
    </row>
    <row r="111" spans="1:12" x14ac:dyDescent="0.2">
      <c r="E111" s="143"/>
      <c r="H111">
        <f t="shared" si="6"/>
        <v>-2.6499999999999946</v>
      </c>
      <c r="I111">
        <f t="shared" si="5"/>
        <v>1.1912243607605349E-2</v>
      </c>
      <c r="J111">
        <f t="shared" si="7"/>
        <v>-3.0795531505546089E-4</v>
      </c>
      <c r="K111">
        <f t="shared" si="8"/>
        <v>8.1223214345877651E-4</v>
      </c>
      <c r="L111">
        <f t="shared" si="9"/>
        <v>4.0859294480247277E-2</v>
      </c>
    </row>
    <row r="112" spans="1:12" x14ac:dyDescent="0.2">
      <c r="H112">
        <f t="shared" si="6"/>
        <v>-2.6749999999999945</v>
      </c>
      <c r="I112">
        <f t="shared" si="5"/>
        <v>1.1145147994764971E-2</v>
      </c>
      <c r="J112">
        <f t="shared" si="7"/>
        <v>-2.88217395029628E-4</v>
      </c>
      <c r="K112">
        <f t="shared" si="8"/>
        <v>7.6737881426638293E-4</v>
      </c>
      <c r="L112">
        <f t="shared" si="9"/>
        <v>3.9267161919662383E-2</v>
      </c>
    </row>
    <row r="113" spans="2:12" x14ac:dyDescent="0.2">
      <c r="C113" s="154"/>
      <c r="H113">
        <f t="shared" si="6"/>
        <v>-2.6999999999999944</v>
      </c>
      <c r="I113">
        <f t="shared" si="5"/>
        <v>1.0420934814422753E-2</v>
      </c>
      <c r="J113">
        <f t="shared" si="7"/>
        <v>-2.695760351148456E-4</v>
      </c>
      <c r="K113">
        <f t="shared" si="8"/>
        <v>7.2448559437114613E-4</v>
      </c>
      <c r="L113">
        <f t="shared" si="9"/>
        <v>3.7700111432010401E-2</v>
      </c>
    </row>
    <row r="114" spans="2:12" x14ac:dyDescent="0.2">
      <c r="C114" s="155"/>
      <c r="E114" s="144"/>
      <c r="H114">
        <f t="shared" si="6"/>
        <v>-2.7249999999999943</v>
      </c>
      <c r="I114">
        <f t="shared" si="5"/>
        <v>9.7376931411441506E-3</v>
      </c>
      <c r="J114">
        <f t="shared" si="7"/>
        <v>-2.5198284944458535E-4</v>
      </c>
      <c r="K114">
        <f t="shared" si="8"/>
        <v>6.8350347911843624E-4</v>
      </c>
      <c r="L114">
        <f t="shared" si="9"/>
        <v>3.6160485245980749E-2</v>
      </c>
    </row>
    <row r="115" spans="2:12" x14ac:dyDescent="0.2">
      <c r="C115" s="156"/>
      <c r="D115" s="145"/>
      <c r="E115" s="141"/>
      <c r="H115">
        <f t="shared" si="6"/>
        <v>-2.7499999999999942</v>
      </c>
      <c r="I115">
        <f t="shared" si="5"/>
        <v>9.0935625015911986E-3</v>
      </c>
      <c r="J115">
        <f t="shared" si="7"/>
        <v>-2.3539069553419104E-4</v>
      </c>
      <c r="K115">
        <f t="shared" si="8"/>
        <v>6.4438202902484664E-4</v>
      </c>
      <c r="L115">
        <f t="shared" si="9"/>
        <v>3.4650398192300702E-2</v>
      </c>
    </row>
    <row r="116" spans="2:12" x14ac:dyDescent="0.2">
      <c r="C116" s="157"/>
      <c r="E116" s="143"/>
      <c r="H116">
        <f t="shared" si="6"/>
        <v>-2.7749999999999941</v>
      </c>
      <c r="I116">
        <f t="shared" si="5"/>
        <v>8.4867340622388557E-3</v>
      </c>
      <c r="J116">
        <f t="shared" si="7"/>
        <v>-2.1975370704787489E-4</v>
      </c>
      <c r="K116">
        <f t="shared" si="8"/>
        <v>6.0706961571975308E-4</v>
      </c>
      <c r="L116">
        <f t="shared" si="9"/>
        <v>3.3171743238243151E-2</v>
      </c>
    </row>
    <row r="117" spans="2:12" x14ac:dyDescent="0.2">
      <c r="H117">
        <f t="shared" si="6"/>
        <v>-2.799999999999994</v>
      </c>
      <c r="I117">
        <f t="shared" si="5"/>
        <v>7.9154515829800935E-3</v>
      </c>
      <c r="J117">
        <f t="shared" si="7"/>
        <v>-2.0502732056523613E-4</v>
      </c>
      <c r="K117">
        <f t="shared" si="8"/>
        <v>5.7151365607559452E-4</v>
      </c>
      <c r="L117">
        <f t="shared" si="9"/>
        <v>3.172619773866163E-2</v>
      </c>
    </row>
    <row r="118" spans="2:12" x14ac:dyDescent="0.2">
      <c r="C118" s="158"/>
      <c r="H118">
        <f t="shared" si="6"/>
        <v>-2.824999999999994</v>
      </c>
      <c r="I118">
        <f t="shared" si="5"/>
        <v>7.3780121486469175E-3</v>
      </c>
      <c r="J118">
        <f t="shared" si="7"/>
        <v>-1.9116829664533695E-4</v>
      </c>
      <c r="K118">
        <f t="shared" si="8"/>
        <v>5.3766083431500903E-4</v>
      </c>
      <c r="L118">
        <f t="shared" si="9"/>
        <v>3.0315230319079921E-2</v>
      </c>
    </row>
    <row r="119" spans="2:12" x14ac:dyDescent="0.2">
      <c r="H119">
        <f t="shared" si="6"/>
        <v>-2.8499999999999939</v>
      </c>
      <c r="I119">
        <f t="shared" si="5"/>
        <v>6.8727666906140926E-3</v>
      </c>
      <c r="J119">
        <f t="shared" si="7"/>
        <v>-1.78134735490762E-4</v>
      </c>
      <c r="K119">
        <f t="shared" si="8"/>
        <v>5.0545731195503609E-4</v>
      </c>
      <c r="L119">
        <f t="shared" si="9"/>
        <v>2.8940108308568618E-2</v>
      </c>
    </row>
    <row r="120" spans="2:12" x14ac:dyDescent="0.2">
      <c r="B120" s="152"/>
      <c r="C120" s="159"/>
      <c r="H120">
        <f t="shared" si="6"/>
        <v>-2.8749999999999938</v>
      </c>
      <c r="I120">
        <f t="shared" si="5"/>
        <v>6.3981203107236701E-3</v>
      </c>
      <c r="J120">
        <f t="shared" si="7"/>
        <v>-1.6588608751672143E-4</v>
      </c>
      <c r="K120">
        <f t="shared" si="8"/>
        <v>4.7484892551661402E-4</v>
      </c>
      <c r="L120">
        <f t="shared" si="9"/>
        <v>2.760190564272396E-2</v>
      </c>
    </row>
    <row r="121" spans="2:12" x14ac:dyDescent="0.2">
      <c r="B121" s="81"/>
      <c r="C121" s="155"/>
      <c r="H121">
        <f t="shared" si="6"/>
        <v>-2.8999999999999937</v>
      </c>
      <c r="I121">
        <f t="shared" si="5"/>
        <v>5.9525324197759648E-3</v>
      </c>
      <c r="J121">
        <f t="shared" si="7"/>
        <v>-1.543831591312449E-4</v>
      </c>
      <c r="K121">
        <f t="shared" si="8"/>
        <v>4.4578137199146874E-4</v>
      </c>
      <c r="L121">
        <f t="shared" si="9"/>
        <v>2.6301511159978707E-2</v>
      </c>
    </row>
    <row r="122" spans="2:12" x14ac:dyDescent="0.2">
      <c r="B122" s="81"/>
      <c r="C122" s="155"/>
      <c r="H122">
        <f t="shared" si="6"/>
        <v>-2.9249999999999936</v>
      </c>
      <c r="I122">
        <f t="shared" si="5"/>
        <v>5.5345167027806052E-3</v>
      </c>
      <c r="J122">
        <f t="shared" si="7"/>
        <v>-1.4358811403195662E-4</v>
      </c>
      <c r="K122">
        <f t="shared" si="8"/>
        <v>4.1820038211807267E-4</v>
      </c>
      <c r="L122">
        <f t="shared" si="9"/>
        <v>2.5039637217678507E-2</v>
      </c>
    </row>
    <row r="123" spans="2:12" x14ac:dyDescent="0.2">
      <c r="B123" s="81"/>
      <c r="C123" s="155"/>
      <c r="H123">
        <f t="shared" si="6"/>
        <v>-2.9499999999999935</v>
      </c>
      <c r="I123">
        <f t="shared" si="5"/>
        <v>5.1426409230540399E-3</v>
      </c>
      <c r="J123">
        <f t="shared" si="7"/>
        <v>-1.3346447032293259E-4</v>
      </c>
      <c r="K123">
        <f t="shared" si="8"/>
        <v>3.9205188157361362E-4</v>
      </c>
      <c r="L123">
        <f t="shared" si="9"/>
        <v>2.3816828557805848E-2</v>
      </c>
    </row>
    <row r="124" spans="2:12" x14ac:dyDescent="0.2">
      <c r="B124" s="160"/>
      <c r="C124" s="155"/>
      <c r="H124">
        <f t="shared" si="6"/>
        <v>-2.9749999999999934</v>
      </c>
      <c r="I124">
        <f t="shared" si="5"/>
        <v>4.7755265770916518E-3</v>
      </c>
      <c r="J124">
        <f t="shared" si="7"/>
        <v>-1.239770937518207E-4</v>
      </c>
      <c r="K124">
        <f t="shared" si="8"/>
        <v>3.6728214023976801E-4</v>
      </c>
      <c r="L124">
        <f t="shared" si="9"/>
        <v>2.2633471355884675E-2</v>
      </c>
    </row>
    <row r="125" spans="2:12" x14ac:dyDescent="0.2">
      <c r="H125">
        <f t="shared" si="6"/>
        <v>-2.9999999999999933</v>
      </c>
      <c r="I125">
        <f t="shared" si="5"/>
        <v>4.4318484119380934E-3</v>
      </c>
      <c r="J125">
        <f t="shared" si="7"/>
        <v>-1.1509218736287139E-4</v>
      </c>
      <c r="K125">
        <f t="shared" si="8"/>
        <v>3.4383790974657754E-4</v>
      </c>
      <c r="L125">
        <f t="shared" si="9"/>
        <v>2.148980239041369E-2</v>
      </c>
    </row>
    <row r="126" spans="2:12" x14ac:dyDescent="0.2">
      <c r="C126" s="81"/>
      <c r="D126" s="80"/>
      <c r="H126">
        <f t="shared" si="6"/>
        <v>-3.0249999999999932</v>
      </c>
      <c r="I126">
        <f t="shared" si="5"/>
        <v>4.1103338165326443E-3</v>
      </c>
      <c r="J126">
        <f t="shared" si="7"/>
        <v>-1.0677727785588385E-4</v>
      </c>
      <c r="K126">
        <f t="shared" si="8"/>
        <v>3.2166654954084937E-4</v>
      </c>
      <c r="L126">
        <f t="shared" si="9"/>
        <v>2.0385918274114165E-2</v>
      </c>
    </row>
    <row r="127" spans="2:12" x14ac:dyDescent="0.2">
      <c r="C127" s="81"/>
      <c r="D127" s="80"/>
      <c r="H127">
        <f t="shared" si="6"/>
        <v>-3.0499999999999932</v>
      </c>
      <c r="I127">
        <f t="shared" si="5"/>
        <v>3.809762098221888E-3</v>
      </c>
      <c r="J127">
        <f t="shared" si="7"/>
        <v>-9.9001198934431302E-5</v>
      </c>
      <c r="K127">
        <f t="shared" si="8"/>
        <v>3.0071614176333444E-4</v>
      </c>
      <c r="L127">
        <f t="shared" si="9"/>
        <v>1.9321784692303563E-2</v>
      </c>
    </row>
    <row r="128" spans="2:12" x14ac:dyDescent="0.2">
      <c r="C128" s="81"/>
      <c r="D128" s="80"/>
      <c r="H128">
        <f t="shared" si="6"/>
        <v>-3.0749999999999931</v>
      </c>
      <c r="I128">
        <f t="shared" si="5"/>
        <v>3.528963655313837E-3</v>
      </c>
      <c r="J128">
        <f t="shared" si="7"/>
        <v>-9.1734071919196238E-5</v>
      </c>
      <c r="K128">
        <f t="shared" si="8"/>
        <v>2.8093559525253781E-4</v>
      </c>
      <c r="L128">
        <f t="shared" si="9"/>
        <v>1.8297245597784173E-2</v>
      </c>
    </row>
    <row r="129" spans="3:12" x14ac:dyDescent="0.2">
      <c r="C129" s="83"/>
      <c r="H129">
        <f t="shared" si="6"/>
        <v>-3.099999999999993</v>
      </c>
      <c r="I129">
        <f t="shared" si="5"/>
        <v>3.2668190561999911E-3</v>
      </c>
      <c r="J129">
        <f t="shared" si="7"/>
        <v>-8.4947283893922556E-5</v>
      </c>
      <c r="K129">
        <f t="shared" si="8"/>
        <v>2.622747390224853E-4</v>
      </c>
      <c r="L129">
        <f t="shared" si="9"/>
        <v>1.731203231573283E-2</v>
      </c>
    </row>
    <row r="130" spans="3:12" x14ac:dyDescent="0.2">
      <c r="C130" s="83"/>
      <c r="H130">
        <f t="shared" si="6"/>
        <v>-3.1249999999999929</v>
      </c>
      <c r="I130">
        <f t="shared" si="5"/>
        <v>3.0222580351988233E-3</v>
      </c>
      <c r="J130">
        <f t="shared" si="7"/>
        <v>-7.8613463642484906E-5</v>
      </c>
      <c r="K130">
        <f t="shared" si="8"/>
        <v>2.4468440558723372E-4</v>
      </c>
      <c r="L130">
        <f t="shared" si="9"/>
        <v>1.636577251616541E-2</v>
      </c>
    </row>
    <row r="131" spans="3:12" x14ac:dyDescent="0.2">
      <c r="H131">
        <f t="shared" si="6"/>
        <v>-3.1499999999999928</v>
      </c>
      <c r="I131">
        <f t="shared" si="5"/>
        <v>2.7942584148795092E-3</v>
      </c>
      <c r="J131">
        <f t="shared" si="7"/>
        <v>-7.2706455625978899E-5</v>
      </c>
      <c r="K131">
        <f t="shared" si="8"/>
        <v>2.281165045265083E-4</v>
      </c>
      <c r="L131">
        <f t="shared" si="9"/>
        <v>1.5457999015597641E-2</v>
      </c>
    </row>
    <row r="132" spans="3:12" x14ac:dyDescent="0.2">
      <c r="C132" s="81"/>
      <c r="H132">
        <f t="shared" si="6"/>
        <v>-3.1749999999999927</v>
      </c>
      <c r="I132">
        <f t="shared" si="5"/>
        <v>2.5818449642122775E-3</v>
      </c>
      <c r="J132">
        <f t="shared" si="7"/>
        <v>-6.7201292238647096E-5</v>
      </c>
      <c r="K132">
        <f t="shared" si="8"/>
        <v>2.1252408670472094E-4</v>
      </c>
      <c r="L132">
        <f t="shared" si="9"/>
        <v>1.4588158373509059E-2</v>
      </c>
    </row>
    <row r="133" spans="3:12" x14ac:dyDescent="0.2">
      <c r="C133" s="37"/>
      <c r="H133">
        <f t="shared" si="6"/>
        <v>-3.1999999999999926</v>
      </c>
      <c r="I133">
        <f t="shared" ref="I133:I196" si="10">(1/($G$7*SQRTPI(2)))*EXP(-0.5*((H133-$G$6)/$G$7)^2)</f>
        <v>2.3840882014648994E-3</v>
      </c>
      <c r="J133">
        <f t="shared" si="7"/>
        <v>-6.2074164570964497E-5</v>
      </c>
      <c r="K133">
        <f t="shared" si="8"/>
        <v>1.978613995699489E-4</v>
      </c>
      <c r="L133">
        <f t="shared" si="9"/>
        <v>1.3755619253113912E-2</v>
      </c>
    </row>
    <row r="134" spans="3:12" x14ac:dyDescent="0.2">
      <c r="C134" s="85"/>
      <c r="H134">
        <f t="shared" ref="H134:H197" si="11">H133+$G$5</f>
        <v>-3.2249999999999925</v>
      </c>
      <c r="I134">
        <f t="shared" si="10"/>
        <v>2.200103150327184E-3</v>
      </c>
      <c r="J134">
        <f t="shared" ref="J134:J197" si="12">AVERAGE(I133:I134)*(H134-H133)</f>
        <v>-5.7302391897400831E-5</v>
      </c>
      <c r="K134">
        <f t="shared" ref="K134:K197" si="13">AVERAGE(I133:I134)*(H134-H133)*(H134+H133)/2</f>
        <v>1.8408393397039972E-4</v>
      </c>
      <c r="L134">
        <f t="shared" ref="L134:L197" si="14">($B$7-H134)^2*I134</f>
        <v>1.2959680519733589E-2</v>
      </c>
    </row>
    <row r="135" spans="3:12" x14ac:dyDescent="0.2">
      <c r="H135">
        <f t="shared" si="11"/>
        <v>-3.2499999999999925</v>
      </c>
      <c r="I135">
        <f t="shared" si="10"/>
        <v>2.0290480572998184E-3</v>
      </c>
      <c r="J135">
        <f t="shared" si="12"/>
        <v>-5.2864390095337347E-5</v>
      </c>
      <c r="K135">
        <f t="shared" si="13"/>
        <v>1.7114846293365428E-4</v>
      </c>
      <c r="L135">
        <f t="shared" si="14"/>
        <v>1.219957905372914E-2</v>
      </c>
    </row>
    <row r="136" spans="3:12" x14ac:dyDescent="0.2">
      <c r="H136">
        <f t="shared" si="11"/>
        <v>-3.2749999999999924</v>
      </c>
      <c r="I136">
        <f t="shared" si="10"/>
        <v>1.8701230779336968E-3</v>
      </c>
      <c r="J136">
        <f t="shared" si="12"/>
        <v>-4.873963919041877E-5</v>
      </c>
      <c r="K136">
        <f t="shared" si="13"/>
        <v>1.5901307285874085E-4</v>
      </c>
      <c r="L136">
        <f t="shared" si="14"/>
        <v>1.1474497258475533E-2</v>
      </c>
    </row>
    <row r="137" spans="3:12" x14ac:dyDescent="0.2">
      <c r="H137">
        <f t="shared" si="11"/>
        <v>-3.2999999999999923</v>
      </c>
      <c r="I137">
        <f t="shared" si="10"/>
        <v>1.7225689390537239E-3</v>
      </c>
      <c r="J137">
        <f t="shared" si="12"/>
        <v>-4.4908650212342597E-5</v>
      </c>
      <c r="K137">
        <f t="shared" si="13"/>
        <v>1.4763718757307596E-4</v>
      </c>
      <c r="L137">
        <f t="shared" si="14"/>
        <v>1.0783570247227378E-2</v>
      </c>
    </row>
    <row r="138" spans="3:12" x14ac:dyDescent="0.2">
      <c r="H138">
        <f t="shared" si="11"/>
        <v>-3.3249999999999922</v>
      </c>
      <c r="I138">
        <f t="shared" si="10"/>
        <v>1.5856655836494979E-3</v>
      </c>
      <c r="J138">
        <f t="shared" si="12"/>
        <v>-4.1352931533790128E-5</v>
      </c>
      <c r="K138">
        <f t="shared" si="13"/>
        <v>1.3698158570567945E-4</v>
      </c>
      <c r="L138">
        <f t="shared" si="14"/>
        <v>1.0125892695927251E-2</v>
      </c>
    </row>
    <row r="139" spans="3:12" x14ac:dyDescent="0.2">
      <c r="H139">
        <f t="shared" si="11"/>
        <v>-3.3499999999999921</v>
      </c>
      <c r="I139">
        <f t="shared" si="10"/>
        <v>1.4587308046667849E-3</v>
      </c>
      <c r="J139">
        <f t="shared" si="12"/>
        <v>-3.8054954853953398E-5</v>
      </c>
      <c r="K139">
        <f t="shared" si="13"/>
        <v>1.2700841182506918E-4</v>
      </c>
      <c r="L139">
        <f t="shared" si="14"/>
        <v>9.5005253520343974E-3</v>
      </c>
    </row>
    <row r="140" spans="3:12" x14ac:dyDescent="0.2">
      <c r="H140">
        <f t="shared" si="11"/>
        <v>-3.374999999999992</v>
      </c>
      <c r="I140">
        <f t="shared" si="10"/>
        <v>1.3411188734904135E-3</v>
      </c>
      <c r="J140">
        <f t="shared" si="12"/>
        <v>-3.4998120976964855E-5</v>
      </c>
      <c r="K140">
        <f t="shared" si="13"/>
        <v>1.1768118178504404E-4</v>
      </c>
      <c r="L140">
        <f t="shared" si="14"/>
        <v>8.9065011922957651E-3</v>
      </c>
    </row>
    <row r="141" spans="3:12" x14ac:dyDescent="0.2">
      <c r="H141">
        <f t="shared" si="11"/>
        <v>-3.3999999999999919</v>
      </c>
      <c r="I141">
        <f t="shared" si="10"/>
        <v>1.2322191684730527E-3</v>
      </c>
      <c r="J141">
        <f t="shared" si="12"/>
        <v>-3.2166725524543211E-5</v>
      </c>
      <c r="K141">
        <f t="shared" si="13"/>
        <v>1.0896478271438988E-4</v>
      </c>
      <c r="L141">
        <f t="shared" si="14"/>
        <v>8.3428312250378982E-3</v>
      </c>
    </row>
    <row r="142" spans="3:12" x14ac:dyDescent="0.2">
      <c r="H142">
        <f t="shared" si="11"/>
        <v>-3.4249999999999918</v>
      </c>
      <c r="I142">
        <f t="shared" si="10"/>
        <v>1.1314548084372395E-3</v>
      </c>
      <c r="J142">
        <f t="shared" si="12"/>
        <v>-2.9545924711378551E-5</v>
      </c>
      <c r="K142">
        <f t="shared" si="13"/>
        <v>1.0082546807757905E-4</v>
      </c>
      <c r="L142">
        <f t="shared" si="14"/>
        <v>7.80850993502451E-3</v>
      </c>
    </row>
    <row r="143" spans="3:12" x14ac:dyDescent="0.2">
      <c r="H143">
        <f t="shared" si="11"/>
        <v>-3.4499999999999917</v>
      </c>
      <c r="I143">
        <f t="shared" si="10"/>
        <v>1.0382812956614409E-3</v>
      </c>
      <c r="J143">
        <f t="shared" si="12"/>
        <v>-2.7121701301233408E-5</v>
      </c>
      <c r="K143">
        <f t="shared" si="13"/>
        <v>9.3230848222989622E-5</v>
      </c>
      <c r="L143">
        <f t="shared" si="14"/>
        <v>7.3025203711987573E-3</v>
      </c>
    </row>
    <row r="144" spans="3:12" x14ac:dyDescent="0.2">
      <c r="H144">
        <f t="shared" si="11"/>
        <v>-3.4749999999999917</v>
      </c>
      <c r="I144">
        <f t="shared" si="10"/>
        <v>9.5218517245629732E-4</v>
      </c>
      <c r="J144">
        <f t="shared" si="12"/>
        <v>-2.488083085147164E-5</v>
      </c>
      <c r="K144">
        <f t="shared" si="13"/>
        <v>8.6149876823220345E-5</v>
      </c>
      <c r="L144">
        <f t="shared" si="14"/>
        <v>6.8238388797109981E-3</v>
      </c>
    </row>
    <row r="145" spans="8:12" x14ac:dyDescent="0.2">
      <c r="H145">
        <f t="shared" si="11"/>
        <v>-3.4999999999999916</v>
      </c>
      <c r="I145">
        <f t="shared" si="10"/>
        <v>8.7268269504578574E-4</v>
      </c>
      <c r="J145">
        <f t="shared" si="12"/>
        <v>-2.2810848343775958E-5</v>
      </c>
      <c r="K145">
        <f t="shared" si="13"/>
        <v>7.9552833598918463E-5</v>
      </c>
      <c r="L145">
        <f t="shared" si="14"/>
        <v>6.3714394865246032E-3</v>
      </c>
    </row>
    <row r="146" spans="8:12" x14ac:dyDescent="0.2">
      <c r="H146">
        <f t="shared" si="11"/>
        <v>-3.5249999999999915</v>
      </c>
      <c r="I146">
        <f t="shared" si="10"/>
        <v>7.9931852809077817E-4</v>
      </c>
      <c r="J146">
        <f t="shared" si="12"/>
        <v>-2.0900015289206973E-5</v>
      </c>
      <c r="K146">
        <f t="shared" si="13"/>
        <v>7.3411303703339311E-5</v>
      </c>
      <c r="L146">
        <f t="shared" si="14"/>
        <v>5.9442979355959448E-3</v>
      </c>
    </row>
    <row r="147" spans="8:12" x14ac:dyDescent="0.2">
      <c r="H147">
        <f t="shared" si="11"/>
        <v>-3.5499999999999914</v>
      </c>
      <c r="I147">
        <f t="shared" si="10"/>
        <v>7.3166446283033301E-4</v>
      </c>
      <c r="J147">
        <f t="shared" si="12"/>
        <v>-1.9137287386513821E-5</v>
      </c>
      <c r="K147">
        <f t="shared" si="13"/>
        <v>6.7698154129792481E-5</v>
      </c>
      <c r="L147">
        <f t="shared" si="14"/>
        <v>5.5413953901448775E-3</v>
      </c>
    </row>
    <row r="148" spans="8:12" x14ac:dyDescent="0.2">
      <c r="H148">
        <f t="shared" si="11"/>
        <v>-3.5749999999999913</v>
      </c>
      <c r="I148">
        <f t="shared" si="10"/>
        <v>6.6931816146967825E-4</v>
      </c>
      <c r="J148">
        <f t="shared" si="12"/>
        <v>-1.7512282803750078E-5</v>
      </c>
      <c r="K148">
        <f t="shared" si="13"/>
        <v>6.2387507488359493E-5</v>
      </c>
      <c r="L148">
        <f t="shared" si="14"/>
        <v>5.1617218058734775E-3</v>
      </c>
    </row>
    <row r="149" spans="8:12" x14ac:dyDescent="0.2">
      <c r="H149">
        <f t="shared" si="11"/>
        <v>-3.5999999999999912</v>
      </c>
      <c r="I149">
        <f t="shared" si="10"/>
        <v>6.1190193011379141E-4</v>
      </c>
      <c r="J149">
        <f t="shared" si="12"/>
        <v>-1.6015251144793311E-5</v>
      </c>
      <c r="K149">
        <f t="shared" si="13"/>
        <v>5.745471348194587E-5</v>
      </c>
      <c r="L149">
        <f t="shared" si="14"/>
        <v>4.8042789861594054E-3</v>
      </c>
    </row>
    <row r="150" spans="8:12" x14ac:dyDescent="0.2">
      <c r="H150">
        <f t="shared" si="11"/>
        <v>-3.6249999999999911</v>
      </c>
      <c r="I150">
        <f t="shared" si="10"/>
        <v>5.5906152223218276E-4</v>
      </c>
      <c r="J150">
        <f t="shared" si="12"/>
        <v>-1.4637043154324626E-5</v>
      </c>
      <c r="K150">
        <f t="shared" si="13"/>
        <v>5.2876318394997575E-5</v>
      </c>
      <c r="L150">
        <f t="shared" si="14"/>
        <v>4.4680833302531801E-3</v>
      </c>
    </row>
    <row r="151" spans="8:12" x14ac:dyDescent="0.2">
      <c r="H151">
        <f t="shared" si="11"/>
        <v>-3.649999999999991</v>
      </c>
      <c r="I151">
        <f t="shared" si="10"/>
        <v>5.104649743442024E-4</v>
      </c>
      <c r="J151">
        <f t="shared" si="12"/>
        <v>-1.3369081207204767E-5</v>
      </c>
      <c r="K151">
        <f t="shared" si="13"/>
        <v>4.8630032891207228E-5</v>
      </c>
      <c r="L151">
        <f t="shared" si="14"/>
        <v>4.1521682863529764E-3</v>
      </c>
    </row>
    <row r="152" spans="8:12" x14ac:dyDescent="0.2">
      <c r="H152">
        <f t="shared" si="11"/>
        <v>-3.6749999999999909</v>
      </c>
      <c r="I152">
        <f t="shared" si="10"/>
        <v>4.6580147533505236E-4</v>
      </c>
      <c r="J152">
        <f t="shared" si="12"/>
        <v>-1.2203330620990641E-5</v>
      </c>
      <c r="K152">
        <f t="shared" si="13"/>
        <v>4.4694698399378107E-5</v>
      </c>
      <c r="L152">
        <f t="shared" si="14"/>
        <v>3.8555865221242482E-3</v>
      </c>
    </row>
    <row r="153" spans="8:12" x14ac:dyDescent="0.2">
      <c r="H153">
        <f t="shared" si="11"/>
        <v>-3.6999999999999909</v>
      </c>
      <c r="I153">
        <f t="shared" si="10"/>
        <v>4.2478027055076613E-4</v>
      </c>
      <c r="J153">
        <f t="shared" si="12"/>
        <v>-1.1132271823572692E-5</v>
      </c>
      <c r="K153">
        <f t="shared" si="13"/>
        <v>4.1050252349424202E-5</v>
      </c>
      <c r="L153">
        <f t="shared" si="14"/>
        <v>3.5774118257833444E-3</v>
      </c>
    </row>
    <row r="154" spans="8:12" x14ac:dyDescent="0.2">
      <c r="H154">
        <f t="shared" si="11"/>
        <v>-3.7249999999999908</v>
      </c>
      <c r="I154">
        <f t="shared" si="10"/>
        <v>3.8712960157560243E-4</v>
      </c>
      <c r="J154">
        <f t="shared" si="12"/>
        <v>-1.014887340157957E-5</v>
      </c>
      <c r="K154">
        <f t="shared" si="13"/>
        <v>3.7677692503364059E-5</v>
      </c>
      <c r="L154">
        <f t="shared" si="14"/>
        <v>3.3167407512824771E-3</v>
      </c>
    </row>
    <row r="155" spans="8:12" x14ac:dyDescent="0.2">
      <c r="H155">
        <f t="shared" si="11"/>
        <v>-3.7499999999999907</v>
      </c>
      <c r="I155">
        <f t="shared" si="10"/>
        <v>3.525956823674576E-4</v>
      </c>
      <c r="J155">
        <f t="shared" si="12"/>
        <v>-9.2465660492882179E-6</v>
      </c>
      <c r="K155">
        <f t="shared" si="13"/>
        <v>3.4559040609214632E-5</v>
      </c>
      <c r="L155">
        <f t="shared" si="14"/>
        <v>3.0726940214274765E-3</v>
      </c>
    </row>
    <row r="156" spans="8:12" x14ac:dyDescent="0.2">
      <c r="H156">
        <f t="shared" si="11"/>
        <v>-3.7749999999999906</v>
      </c>
      <c r="I156">
        <f t="shared" si="10"/>
        <v>3.2094171221575197E-4</v>
      </c>
      <c r="J156">
        <f t="shared" si="12"/>
        <v>-8.4192174322900888E-6</v>
      </c>
      <c r="K156">
        <f t="shared" si="13"/>
        <v>3.1677305588991376E-5</v>
      </c>
      <c r="L156">
        <f t="shared" si="14"/>
        <v>2.8444177029384138E-3</v>
      </c>
    </row>
    <row r="157" spans="8:12" x14ac:dyDescent="0.2">
      <c r="H157">
        <f t="shared" si="11"/>
        <v>-3.7999999999999905</v>
      </c>
      <c r="I157">
        <f t="shared" si="10"/>
        <v>2.9194692579147063E-4</v>
      </c>
      <c r="J157">
        <f t="shared" si="12"/>
        <v>-7.6611079750902556E-6</v>
      </c>
      <c r="K157">
        <f t="shared" si="13"/>
        <v>2.9016446455654274E-5</v>
      </c>
      <c r="L157">
        <f t="shared" si="14"/>
        <v>2.6310841675357493E-3</v>
      </c>
    </row>
    <row r="158" spans="8:12" x14ac:dyDescent="0.2">
      <c r="H158">
        <f t="shared" si="11"/>
        <v>-3.8249999999999904</v>
      </c>
      <c r="I158">
        <f t="shared" si="10"/>
        <v>2.6540568038023818E-4</v>
      </c>
      <c r="J158">
        <f t="shared" si="12"/>
        <v>-6.966907577146336E-6</v>
      </c>
      <c r="K158">
        <f t="shared" si="13"/>
        <v>2.6561335137870338E-5</v>
      </c>
      <c r="L158">
        <f t="shared" si="14"/>
        <v>2.431892853110313E-3</v>
      </c>
    </row>
    <row r="159" spans="8:12" x14ac:dyDescent="0.2">
      <c r="H159">
        <f t="shared" si="11"/>
        <v>-3.8499999999999903</v>
      </c>
      <c r="I159">
        <f t="shared" si="10"/>
        <v>2.4112658022600245E-4</v>
      </c>
      <c r="J159">
        <f t="shared" si="12"/>
        <v>-6.3316532575779857E-6</v>
      </c>
      <c r="K159">
        <f t="shared" si="13"/>
        <v>2.429771937595546E-5</v>
      </c>
      <c r="L159">
        <f t="shared" si="14"/>
        <v>2.2460708389229508E-3</v>
      </c>
    </row>
    <row r="160" spans="8:12" x14ac:dyDescent="0.2">
      <c r="H160">
        <f t="shared" si="11"/>
        <v>-3.8749999999999902</v>
      </c>
      <c r="I160">
        <f t="shared" si="10"/>
        <v>2.1893163776462047E-4</v>
      </c>
      <c r="J160">
        <f t="shared" si="12"/>
        <v>-5.7507277248827659E-6</v>
      </c>
      <c r="K160">
        <f t="shared" si="13"/>
        <v>2.2212185837359627E-5</v>
      </c>
      <c r="L160">
        <f t="shared" si="14"/>
        <v>2.0728732485883802E-3</v>
      </c>
    </row>
    <row r="161" spans="8:12" x14ac:dyDescent="0.2">
      <c r="H161">
        <f t="shared" si="11"/>
        <v>-3.8999999999999901</v>
      </c>
      <c r="I161">
        <f t="shared" si="10"/>
        <v>1.9865547139278028E-4</v>
      </c>
      <c r="J161">
        <f t="shared" si="12"/>
        <v>-5.219838864467491E-6</v>
      </c>
      <c r="K161">
        <f t="shared" si="13"/>
        <v>2.0292123585617321E-5</v>
      </c>
      <c r="L161">
        <f t="shared" si="14"/>
        <v>1.9115834943358024E-3</v>
      </c>
    </row>
    <row r="162" spans="8:12" x14ac:dyDescent="0.2">
      <c r="H162">
        <f t="shared" si="11"/>
        <v>-3.9249999999999901</v>
      </c>
      <c r="I162">
        <f t="shared" si="10"/>
        <v>1.8014453929769567E-4</v>
      </c>
      <c r="J162">
        <f t="shared" si="12"/>
        <v>-4.7350001336309328E-6</v>
      </c>
      <c r="K162">
        <f t="shared" si="13"/>
        <v>1.8525688022830975E-5</v>
      </c>
      <c r="L162">
        <f t="shared" si="14"/>
        <v>1.7615133757149023E-3</v>
      </c>
    </row>
    <row r="163" spans="8:12" x14ac:dyDescent="0.2">
      <c r="H163">
        <f t="shared" si="11"/>
        <v>-3.94999999999999</v>
      </c>
      <c r="I163">
        <f t="shared" si="10"/>
        <v>1.6325640876624852E-4</v>
      </c>
      <c r="J163">
        <f t="shared" si="12"/>
        <v>-4.292511850799287E-6</v>
      </c>
      <c r="K163">
        <f t="shared" si="13"/>
        <v>1.6901765412522151E-5</v>
      </c>
      <c r="L163">
        <f t="shared" si="14"/>
        <v>1.6220030455379097E-3</v>
      </c>
    </row>
    <row r="164" spans="8:12" x14ac:dyDescent="0.2">
      <c r="H164">
        <f t="shared" si="11"/>
        <v>-3.9749999999999899</v>
      </c>
      <c r="I164">
        <f t="shared" si="10"/>
        <v>1.4785906029807951E-4</v>
      </c>
      <c r="J164">
        <f t="shared" si="12"/>
        <v>-3.8889433633040865E-6</v>
      </c>
      <c r="K164">
        <f t="shared" si="13"/>
        <v>1.5409938077092402E-5</v>
      </c>
      <c r="L164">
        <f t="shared" si="14"/>
        <v>1.4924208554241351E-3</v>
      </c>
    </row>
    <row r="165" spans="8:12" x14ac:dyDescent="0.2">
      <c r="H165">
        <f t="shared" si="11"/>
        <v>-3.9999999999999898</v>
      </c>
      <c r="I165">
        <f t="shared" si="10"/>
        <v>1.3383022576489084E-4</v>
      </c>
      <c r="J165">
        <f t="shared" si="12"/>
        <v>-3.5211160757871168E-6</v>
      </c>
      <c r="K165">
        <f t="shared" si="13"/>
        <v>1.4040450352201094E-5</v>
      </c>
      <c r="L165">
        <f t="shared" si="14"/>
        <v>1.372163092850172E-3</v>
      </c>
    </row>
    <row r="166" spans="8:12" x14ac:dyDescent="0.2">
      <c r="H166">
        <f t="shared" si="11"/>
        <v>-4.0249999999999897</v>
      </c>
      <c r="I166">
        <f t="shared" si="10"/>
        <v>1.2105675978724956E-4</v>
      </c>
      <c r="J166">
        <f t="shared" si="12"/>
        <v>-3.1860873194017436E-6</v>
      </c>
      <c r="K166">
        <f t="shared" si="13"/>
        <v>1.2784175369099462E-5</v>
      </c>
      <c r="L166">
        <f t="shared" si="14"/>
        <v>1.2606536211136894E-3</v>
      </c>
    </row>
    <row r="167" spans="8:12" x14ac:dyDescent="0.2">
      <c r="H167">
        <f t="shared" si="11"/>
        <v>-4.0499999999999901</v>
      </c>
      <c r="I167">
        <f t="shared" si="10"/>
        <v>1.0943404343980503E-4</v>
      </c>
      <c r="J167">
        <f t="shared" si="12"/>
        <v>-2.8811350403382231E-6</v>
      </c>
      <c r="K167">
        <f t="shared" si="13"/>
        <v>1.1632582725365547E-5</v>
      </c>
      <c r="L167">
        <f t="shared" si="14"/>
        <v>1.157343433097978E-3</v>
      </c>
    </row>
    <row r="168" spans="8:12" x14ac:dyDescent="0.2">
      <c r="H168">
        <f t="shared" si="11"/>
        <v>-4.0749999999999904</v>
      </c>
      <c r="I168">
        <f t="shared" si="10"/>
        <v>9.8865419345373052E-5</v>
      </c>
      <c r="J168">
        <f t="shared" si="12"/>
        <v>-2.6037432848147632E-6</v>
      </c>
      <c r="K168">
        <f t="shared" si="13"/>
        <v>1.0577707094559951E-5</v>
      </c>
      <c r="L168">
        <f t="shared" si="14"/>
        <v>1.0617101291841495E-3</v>
      </c>
    </row>
    <row r="169" spans="8:12" x14ac:dyDescent="0.2">
      <c r="H169">
        <f t="shared" si="11"/>
        <v>-4.0999999999999908</v>
      </c>
      <c r="I169">
        <f t="shared" si="10"/>
        <v>8.9261657177136262E-5</v>
      </c>
      <c r="J169">
        <f t="shared" si="12"/>
        <v>-2.3515884565313998E-6</v>
      </c>
      <c r="K169">
        <f t="shared" si="13"/>
        <v>9.6121178160720741E-6</v>
      </c>
      <c r="L169">
        <f t="shared" si="14"/>
        <v>9.7325732910387051E-4</v>
      </c>
    </row>
    <row r="170" spans="8:12" x14ac:dyDescent="0.2">
      <c r="H170">
        <f t="shared" si="11"/>
        <v>-4.1249999999999911</v>
      </c>
      <c r="I170">
        <f t="shared" si="10"/>
        <v>8.054044855559715E-5</v>
      </c>
      <c r="J170">
        <f t="shared" si="12"/>
        <v>-2.122526321659198E-6</v>
      </c>
      <c r="K170">
        <f t="shared" si="13"/>
        <v>8.728889497823432E-6</v>
      </c>
      <c r="L170">
        <f t="shared" si="14"/>
        <v>8.9151402696281657E-4</v>
      </c>
    </row>
    <row r="171" spans="8:12" x14ac:dyDescent="0.2">
      <c r="H171">
        <f t="shared" si="11"/>
        <v>-4.1499999999999915</v>
      </c>
      <c r="I171">
        <f t="shared" si="10"/>
        <v>7.2625930302255048E-5</v>
      </c>
      <c r="J171">
        <f t="shared" si="12"/>
        <v>-1.9145797357231795E-6</v>
      </c>
      <c r="K171">
        <f t="shared" si="13"/>
        <v>7.9215736565546379E-6</v>
      </c>
      <c r="L171">
        <f t="shared" si="14"/>
        <v>8.1603389809852391E-4</v>
      </c>
    </row>
    <row r="172" spans="8:12" x14ac:dyDescent="0.2">
      <c r="H172">
        <f t="shared" si="11"/>
        <v>-4.1749999999999918</v>
      </c>
      <c r="I172">
        <f t="shared" si="10"/>
        <v>6.5448234994622991E-5</v>
      </c>
      <c r="J172">
        <f t="shared" si="12"/>
        <v>-1.7259270662109999E-6</v>
      </c>
      <c r="K172">
        <f t="shared" si="13"/>
        <v>7.1841714131032729E-6</v>
      </c>
      <c r="L172">
        <f t="shared" si="14"/>
        <v>7.4639456587020513E-4</v>
      </c>
    </row>
    <row r="173" spans="8:12" x14ac:dyDescent="0.2">
      <c r="H173">
        <f t="shared" si="11"/>
        <v>-4.1999999999999922</v>
      </c>
      <c r="I173">
        <f t="shared" si="10"/>
        <v>5.894306775654184E-5</v>
      </c>
      <c r="J173">
        <f t="shared" si="12"/>
        <v>-1.5548912843895825E-6</v>
      </c>
      <c r="K173">
        <f t="shared" si="13"/>
        <v>6.511107253381364E-6</v>
      </c>
      <c r="L173">
        <f t="shared" si="14"/>
        <v>6.8219683591632296E-4</v>
      </c>
    </row>
    <row r="174" spans="8:12" x14ac:dyDescent="0.2">
      <c r="H174">
        <f t="shared" si="11"/>
        <v>-4.2249999999999925</v>
      </c>
      <c r="I174">
        <f t="shared" si="10"/>
        <v>5.305130821319595E-5</v>
      </c>
      <c r="J174">
        <f t="shared" si="12"/>
        <v>-1.3999296996217423E-6</v>
      </c>
      <c r="K174">
        <f t="shared" si="13"/>
        <v>5.897203859656579E-6</v>
      </c>
      <c r="L174">
        <f t="shared" si="14"/>
        <v>6.2306390486176915E-4</v>
      </c>
    </row>
    <row r="175" spans="8:12" x14ac:dyDescent="0.2">
      <c r="H175">
        <f t="shared" si="11"/>
        <v>-4.2499999999999929</v>
      </c>
      <c r="I175">
        <f t="shared" si="10"/>
        <v>4.7718636541206395E-5</v>
      </c>
      <c r="J175">
        <f t="shared" si="12"/>
        <v>-1.2596243094300473E-6</v>
      </c>
      <c r="K175">
        <f t="shared" si="13"/>
        <v>5.337658011209816E-6</v>
      </c>
      <c r="L175">
        <f t="shared" si="14"/>
        <v>5.6864054991337322E-4</v>
      </c>
    </row>
    <row r="176" spans="8:12" x14ac:dyDescent="0.2">
      <c r="H176">
        <f t="shared" si="11"/>
        <v>-4.2749999999999932</v>
      </c>
      <c r="I176">
        <f t="shared" si="10"/>
        <v>4.2895182550128498E-5</v>
      </c>
      <c r="J176">
        <f t="shared" si="12"/>
        <v>-1.1326727386417024E-6</v>
      </c>
      <c r="K176">
        <f t="shared" si="13"/>
        <v>4.8280175484602488E-6</v>
      </c>
      <c r="L176">
        <f t="shared" si="14"/>
        <v>5.1859230525287453E-4</v>
      </c>
    </row>
    <row r="177" spans="8:12" x14ac:dyDescent="0.2">
      <c r="H177">
        <f t="shared" si="11"/>
        <v>-4.2999999999999936</v>
      </c>
      <c r="I177">
        <f t="shared" si="10"/>
        <v>3.8535196742088159E-5</v>
      </c>
      <c r="J177">
        <f t="shared" si="12"/>
        <v>-1.0178797411527227E-6</v>
      </c>
      <c r="K177">
        <f t="shared" si="13"/>
        <v>4.3641593901922917E-6</v>
      </c>
      <c r="L177">
        <f t="shared" si="14"/>
        <v>4.7260463062277313E-4</v>
      </c>
    </row>
    <row r="178" spans="8:12" x14ac:dyDescent="0.2">
      <c r="H178">
        <f t="shared" si="11"/>
        <v>-4.324999999999994</v>
      </c>
      <c r="I178">
        <f t="shared" si="10"/>
        <v>3.4596742310649857E-5</v>
      </c>
      <c r="J178">
        <f t="shared" si="12"/>
        <v>-9.1414923815923812E-7</v>
      </c>
      <c r="K178">
        <f t="shared" si="13"/>
        <v>3.9422685895617089E-6</v>
      </c>
      <c r="L178">
        <f t="shared" si="14"/>
        <v>4.3038207700449538E-4</v>
      </c>
    </row>
    <row r="179" spans="8:12" x14ac:dyDescent="0.2">
      <c r="H179">
        <f t="shared" si="11"/>
        <v>-4.3499999999999943</v>
      </c>
      <c r="I179">
        <f t="shared" si="10"/>
        <v>3.1041407057850985E-5</v>
      </c>
      <c r="J179">
        <f t="shared" si="12"/>
        <v>-8.2047686710627221E-7</v>
      </c>
      <c r="K179">
        <f t="shared" si="13"/>
        <v>3.558818411073451E-6</v>
      </c>
      <c r="L179">
        <f t="shared" si="14"/>
        <v>3.9164745381175669E-4</v>
      </c>
    </row>
    <row r="180" spans="8:12" x14ac:dyDescent="0.2">
      <c r="H180">
        <f t="shared" si="11"/>
        <v>-4.3749999999999947</v>
      </c>
      <c r="I180">
        <f t="shared" si="10"/>
        <v>2.7834034229215523E-5</v>
      </c>
      <c r="J180">
        <f t="shared" si="12"/>
        <v>-7.3594301608834182E-7</v>
      </c>
      <c r="K180">
        <f t="shared" si="13"/>
        <v>3.2105514076853871E-6</v>
      </c>
      <c r="L180">
        <f t="shared" si="14"/>
        <v>3.561410015661723E-4</v>
      </c>
    </row>
    <row r="181" spans="8:12" x14ac:dyDescent="0.2">
      <c r="H181">
        <f t="shared" si="11"/>
        <v>-4.399999999999995</v>
      </c>
      <c r="I181">
        <f t="shared" si="10"/>
        <v>2.4942471290054108E-5</v>
      </c>
      <c r="J181">
        <f t="shared" si="12"/>
        <v>-6.5970631899087974E-7</v>
      </c>
      <c r="K181">
        <f t="shared" si="13"/>
        <v>2.8944614745724814E-6</v>
      </c>
      <c r="L181">
        <f t="shared" si="14"/>
        <v>3.2361957358804358E-4</v>
      </c>
    </row>
    <row r="182" spans="8:12" x14ac:dyDescent="0.2">
      <c r="H182">
        <f t="shared" si="11"/>
        <v>-4.4249999999999954</v>
      </c>
      <c r="I182">
        <f t="shared" si="10"/>
        <v>2.2337335692076468E-5</v>
      </c>
      <c r="J182">
        <f t="shared" si="12"/>
        <v>-5.9099758727664061E-7</v>
      </c>
      <c r="K182">
        <f t="shared" si="13"/>
        <v>2.607776853858174E-6</v>
      </c>
      <c r="L182">
        <f t="shared" si="14"/>
        <v>2.9385582982360798E-4</v>
      </c>
    </row>
    <row r="183" spans="8:12" x14ac:dyDescent="0.2">
      <c r="H183">
        <f t="shared" si="11"/>
        <v>-4.4499999999999957</v>
      </c>
      <c r="I183">
        <f t="shared" si="10"/>
        <v>1.9991796706923181E-5</v>
      </c>
      <c r="J183">
        <f t="shared" si="12"/>
        <v>-5.2911415498750313E-7</v>
      </c>
      <c r="K183">
        <f t="shared" si="13"/>
        <v>2.3479440627570429E-6</v>
      </c>
      <c r="L183">
        <f t="shared" si="14"/>
        <v>2.6663744554139822E-4</v>
      </c>
    </row>
    <row r="184" spans="8:12" x14ac:dyDescent="0.2">
      <c r="H184">
        <f t="shared" si="11"/>
        <v>-4.4749999999999961</v>
      </c>
      <c r="I184">
        <f t="shared" si="10"/>
        <v>1.7881372432324655E-5</v>
      </c>
      <c r="J184">
        <f t="shared" si="12"/>
        <v>-4.734146142406047E-7</v>
      </c>
      <c r="K184">
        <f t="shared" si="13"/>
        <v>2.1126127160486966E-6</v>
      </c>
      <c r="L184">
        <f t="shared" si="14"/>
        <v>2.4176633726496027E-4</v>
      </c>
    </row>
    <row r="185" spans="8:12" x14ac:dyDescent="0.2">
      <c r="H185">
        <f t="shared" si="11"/>
        <v>-4.4999999999999964</v>
      </c>
      <c r="I185">
        <f t="shared" si="10"/>
        <v>1.5983741106905729E-5</v>
      </c>
      <c r="J185">
        <f t="shared" si="12"/>
        <v>-4.2331391924038586E-7</v>
      </c>
      <c r="K185">
        <f t="shared" si="13"/>
        <v>1.8996212125912299E-6</v>
      </c>
      <c r="L185">
        <f t="shared" si="14"/>
        <v>2.1905790796711744E-4</v>
      </c>
    </row>
    <row r="186" spans="8:12" x14ac:dyDescent="0.2">
      <c r="H186">
        <f t="shared" si="11"/>
        <v>-4.5249999999999968</v>
      </c>
      <c r="I186">
        <f t="shared" si="10"/>
        <v>1.4278565900888E-5</v>
      </c>
      <c r="J186">
        <f t="shared" si="12"/>
        <v>-3.7827883759742699E-7</v>
      </c>
      <c r="K186">
        <f t="shared" si="13"/>
        <v>1.7069832546583881E-6</v>
      </c>
      <c r="L186">
        <f t="shared" si="14"/>
        <v>1.9834031323215896E-4</v>
      </c>
    </row>
    <row r="187" spans="8:12" x14ac:dyDescent="0.2">
      <c r="H187">
        <f t="shared" si="11"/>
        <v>-4.5499999999999972</v>
      </c>
      <c r="I187">
        <f t="shared" si="10"/>
        <v>1.2747332381833601E-5</v>
      </c>
      <c r="J187">
        <f t="shared" si="12"/>
        <v>-3.3782372853402485E-7</v>
      </c>
      <c r="K187">
        <f t="shared" si="13"/>
        <v>1.5328751682231367E-6</v>
      </c>
      <c r="L187">
        <f t="shared" si="14"/>
        <v>1.794537497964562E-4</v>
      </c>
    </row>
    <row r="188" spans="8:12" x14ac:dyDescent="0.2">
      <c r="H188">
        <f t="shared" si="11"/>
        <v>-4.5749999999999975</v>
      </c>
      <c r="I188">
        <f t="shared" si="10"/>
        <v>1.1373197886886796E-5</v>
      </c>
      <c r="J188">
        <f t="shared" si="12"/>
        <v>-3.0150662835900925E-7</v>
      </c>
      <c r="K188">
        <f t="shared" si="13"/>
        <v>1.3756239918879788E-6</v>
      </c>
      <c r="L188">
        <f t="shared" si="14"/>
        <v>1.6224976760470251E-4</v>
      </c>
    </row>
    <row r="189" spans="8:12" x14ac:dyDescent="0.2">
      <c r="H189">
        <f t="shared" si="11"/>
        <v>-4.5999999999999979</v>
      </c>
      <c r="I189">
        <f t="shared" si="10"/>
        <v>1.014085206548685E-5</v>
      </c>
      <c r="J189">
        <f t="shared" si="12"/>
        <v>-2.6892562440467441E-7</v>
      </c>
      <c r="K189">
        <f t="shared" si="13"/>
        <v>1.2336963019564433E-6</v>
      </c>
      <c r="L189">
        <f t="shared" si="14"/>
        <v>1.4659060626767638E-4</v>
      </c>
    </row>
    <row r="190" spans="8:12" x14ac:dyDescent="0.2">
      <c r="H190">
        <f t="shared" si="11"/>
        <v>-4.6249999999999982</v>
      </c>
      <c r="I190">
        <f t="shared" si="10"/>
        <v>9.036387889051453E-6</v>
      </c>
      <c r="J190">
        <f t="shared" si="12"/>
        <v>-2.3971549943173223E-7</v>
      </c>
      <c r="K190">
        <f t="shared" si="13"/>
        <v>1.1056877411288644E-6</v>
      </c>
      <c r="L190">
        <f t="shared" si="14"/>
        <v>1.3234855657749656E-4</v>
      </c>
    </row>
    <row r="191" spans="8:12" x14ac:dyDescent="0.2">
      <c r="H191">
        <f t="shared" si="11"/>
        <v>-4.6499999999999986</v>
      </c>
      <c r="I191">
        <f t="shared" si="10"/>
        <v>8.0471824564923511E-6</v>
      </c>
      <c r="J191">
        <f t="shared" si="12"/>
        <v>-2.1354462931930056E-7</v>
      </c>
      <c r="K191">
        <f t="shared" si="13"/>
        <v>9.9031321846825607E-7</v>
      </c>
      <c r="L191">
        <f t="shared" si="14"/>
        <v>1.1940534752705688E-4</v>
      </c>
    </row>
    <row r="192" spans="8:12" x14ac:dyDescent="0.2">
      <c r="H192">
        <f t="shared" si="11"/>
        <v>-4.6749999999999989</v>
      </c>
      <c r="I192">
        <f t="shared" si="10"/>
        <v>7.1617869564679648E-6</v>
      </c>
      <c r="J192">
        <f t="shared" si="12"/>
        <v>-1.9011211766200665E-7</v>
      </c>
      <c r="K192">
        <f t="shared" si="13"/>
        <v>8.8639774859910575E-7</v>
      </c>
      <c r="L192">
        <f t="shared" si="14"/>
        <v>1.0765155909086932E-4</v>
      </c>
    </row>
    <row r="193" spans="8:12" x14ac:dyDescent="0.2">
      <c r="H193">
        <f t="shared" si="11"/>
        <v>-4.6999999999999993</v>
      </c>
      <c r="I193">
        <f t="shared" si="10"/>
        <v>6.3698251788671238E-6</v>
      </c>
      <c r="J193">
        <f t="shared" si="12"/>
        <v>-1.6914515169169101E-7</v>
      </c>
      <c r="K193">
        <f t="shared" si="13"/>
        <v>7.9286789855480148E-7</v>
      </c>
      <c r="L193">
        <f t="shared" si="14"/>
        <v>9.6986060854061952E-5</v>
      </c>
    </row>
    <row r="194" spans="8:12" x14ac:dyDescent="0.2">
      <c r="H194">
        <f t="shared" si="11"/>
        <v>-4.7249999999999996</v>
      </c>
      <c r="I194">
        <f t="shared" si="10"/>
        <v>5.6618999990348584E-6</v>
      </c>
      <c r="J194">
        <f t="shared" si="12"/>
        <v>-1.5039656472377689E-7</v>
      </c>
      <c r="K194">
        <f t="shared" si="13"/>
        <v>7.0874381126079857E-7</v>
      </c>
      <c r="L194">
        <f t="shared" si="14"/>
        <v>8.7315476423850241E-5</v>
      </c>
    </row>
    <row r="195" spans="8:12" x14ac:dyDescent="0.2">
      <c r="H195">
        <f t="shared" si="11"/>
        <v>-4.75</v>
      </c>
      <c r="I195">
        <f t="shared" si="10"/>
        <v>5.0295072885924454E-6</v>
      </c>
      <c r="J195">
        <f t="shared" si="12"/>
        <v>-1.3364259109534319E-7</v>
      </c>
      <c r="K195">
        <f t="shared" si="13"/>
        <v>6.3313177531418833E-7</v>
      </c>
      <c r="L195">
        <f t="shared" si="14"/>
        <v>7.8553673422472522E-5</v>
      </c>
    </row>
    <row r="196" spans="8:12" x14ac:dyDescent="0.2">
      <c r="H196">
        <f t="shared" si="11"/>
        <v>-4.7750000000000004</v>
      </c>
      <c r="I196">
        <f t="shared" si="10"/>
        <v>4.4649567362846312E-6</v>
      </c>
      <c r="J196">
        <f t="shared" si="12"/>
        <v>-1.1868080031096515E-7</v>
      </c>
      <c r="K196">
        <f t="shared" si="13"/>
        <v>5.6521731148097158E-7</v>
      </c>
      <c r="L196">
        <f t="shared" si="14"/>
        <v>7.0621278741409173E-5</v>
      </c>
    </row>
    <row r="197" spans="8:12" x14ac:dyDescent="0.2">
      <c r="H197">
        <f t="shared" si="11"/>
        <v>-4.8000000000000007</v>
      </c>
      <c r="I197">
        <f t="shared" ref="I197:I220" si="15">(1/($G$7*SQRTPI(2)))*EXP(-0.5*((H197-$G$6)/$G$7)^2)</f>
        <v>3.9612990910320609E-6</v>
      </c>
      <c r="J197">
        <f t="shared" si="12"/>
        <v>-1.0532819784146013E-7</v>
      </c>
      <c r="K197">
        <f t="shared" si="13"/>
        <v>5.0425874716599045E-7</v>
      </c>
      <c r="L197">
        <f t="shared" si="14"/>
        <v>6.3445218632681322E-5</v>
      </c>
    </row>
    <row r="198" spans="8:12" x14ac:dyDescent="0.2">
      <c r="H198">
        <f t="shared" ref="H198:H220" si="16">H197+$G$5</f>
        <v>-4.8250000000000011</v>
      </c>
      <c r="I198">
        <f t="shared" si="15"/>
        <v>3.5122593672182655E-6</v>
      </c>
      <c r="J198">
        <f t="shared" ref="J198:J220" si="17">AVERAGE(I197:I198)*(H198-H197)</f>
        <v>-9.3419480728130398E-8</v>
      </c>
      <c r="K198">
        <f t="shared" ref="K198:K220" si="18">AVERAGE(I197:I198)*(H198-H197)*(H198+H197)/2</f>
        <v>4.4958125100412761E-7</v>
      </c>
      <c r="L198">
        <f t="shared" ref="L198:L220" si="19">($B$7-H198)^2*I198</f>
        <v>5.6958283123189002E-5</v>
      </c>
    </row>
    <row r="199" spans="8:12" x14ac:dyDescent="0.2">
      <c r="H199">
        <f t="shared" si="16"/>
        <v>-4.8500000000000014</v>
      </c>
      <c r="I199">
        <f t="shared" si="15"/>
        <v>3.1121755791489169E-6</v>
      </c>
      <c r="J199">
        <f t="shared" si="17"/>
        <v>-8.2805436829590963E-8</v>
      </c>
      <c r="K199">
        <f t="shared" si="18"/>
        <v>4.0057130066314638E-7</v>
      </c>
      <c r="L199">
        <f t="shared" si="19"/>
        <v>5.1098714161407404E-5</v>
      </c>
    </row>
    <row r="200" spans="8:12" x14ac:dyDescent="0.2">
      <c r="H200">
        <f t="shared" si="16"/>
        <v>-4.8750000000000018</v>
      </c>
      <c r="I200">
        <f t="shared" si="15"/>
        <v>2.755942597549948E-6</v>
      </c>
      <c r="J200">
        <f t="shared" si="17"/>
        <v>-7.335147720873686E-8</v>
      </c>
      <c r="K200">
        <f t="shared" si="18"/>
        <v>3.5667155792748309E-7</v>
      </c>
      <c r="L200">
        <f t="shared" si="19"/>
        <v>4.580981684135431E-5</v>
      </c>
    </row>
    <row r="201" spans="8:12" x14ac:dyDescent="0.2">
      <c r="H201">
        <f t="shared" si="16"/>
        <v>-4.9000000000000021</v>
      </c>
      <c r="I201">
        <f t="shared" si="15"/>
        <v>2.4389607458933348E-6</v>
      </c>
      <c r="J201">
        <f t="shared" si="17"/>
        <v>-6.4936291793041959E-8</v>
      </c>
      <c r="K201">
        <f t="shared" si="18"/>
        <v>3.1737612613849272E-7</v>
      </c>
      <c r="L201">
        <f t="shared" si="19"/>
        <v>4.1039592995626396E-5</v>
      </c>
    </row>
    <row r="202" spans="8:12" x14ac:dyDescent="0.2">
      <c r="H202">
        <f t="shared" si="16"/>
        <v>-4.9250000000000025</v>
      </c>
      <c r="I202">
        <f t="shared" si="15"/>
        <v>2.1570887782364207E-6</v>
      </c>
      <c r="J202">
        <f t="shared" si="17"/>
        <v>-5.7450619051622758E-8</v>
      </c>
      <c r="K202">
        <f t="shared" si="18"/>
        <v>2.8222616609109693E-7</v>
      </c>
      <c r="L202">
        <f t="shared" si="19"/>
        <v>3.6740396406550377E-5</v>
      </c>
    </row>
    <row r="203" spans="8:12" x14ac:dyDescent="0.2">
      <c r="H203">
        <f t="shared" si="16"/>
        <v>-4.9500000000000028</v>
      </c>
      <c r="I203">
        <f t="shared" si="15"/>
        <v>1.9066009031227839E-6</v>
      </c>
      <c r="J203">
        <f t="shared" si="17"/>
        <v>-5.0796121016990775E-8</v>
      </c>
      <c r="K203">
        <f t="shared" si="18"/>
        <v>2.5080584752139211E-7</v>
      </c>
      <c r="L203">
        <f t="shared" si="19"/>
        <v>3.2868608851215692E-5</v>
      </c>
    </row>
    <row r="204" spans="8:12" x14ac:dyDescent="0.2">
      <c r="H204">
        <f t="shared" si="16"/>
        <v>-4.9750000000000032</v>
      </c>
      <c r="I204">
        <f t="shared" si="15"/>
        <v>1.6841475399168487E-6</v>
      </c>
      <c r="J204">
        <f t="shared" si="17"/>
        <v>-4.4884355537996044E-8</v>
      </c>
      <c r="K204">
        <f t="shared" si="18"/>
        <v>2.2273861435730552E-7</v>
      </c>
      <c r="L204">
        <f t="shared" si="19"/>
        <v>2.9384336171488713E-5</v>
      </c>
    </row>
    <row r="205" spans="8:12" x14ac:dyDescent="0.2">
      <c r="H205">
        <f t="shared" si="16"/>
        <v>-5.0000000000000036</v>
      </c>
      <c r="I205">
        <f t="shared" si="15"/>
        <v>1.4867195147342714E-6</v>
      </c>
      <c r="J205">
        <f t="shared" si="17"/>
        <v>-3.9635838183139561E-8</v>
      </c>
      <c r="K205">
        <f t="shared" si="18"/>
        <v>1.9768374293840869E-7</v>
      </c>
      <c r="L205">
        <f t="shared" si="19"/>
        <v>2.62511235432262E-5</v>
      </c>
    </row>
    <row r="206" spans="8:12" x14ac:dyDescent="0.2">
      <c r="H206">
        <f t="shared" si="16"/>
        <v>-5.0250000000000039</v>
      </c>
      <c r="I206">
        <f t="shared" si="15"/>
        <v>1.3116154228950171E-6</v>
      </c>
      <c r="J206">
        <f t="shared" si="17"/>
        <v>-3.4979186720366606E-8</v>
      </c>
      <c r="K206">
        <f t="shared" si="18"/>
        <v>1.7533317343583775E-7</v>
      </c>
      <c r="L206">
        <f t="shared" si="19"/>
        <v>2.3435689109026303E-5</v>
      </c>
    </row>
    <row r="207" spans="8:12" x14ac:dyDescent="0.2">
      <c r="H207">
        <f t="shared" si="16"/>
        <v>-5.0500000000000043</v>
      </c>
      <c r="I207">
        <f t="shared" si="15"/>
        <v>1.1564119035797567E-6</v>
      </c>
      <c r="J207">
        <f t="shared" si="17"/>
        <v>-3.0850341580935113E-8</v>
      </c>
      <c r="K207">
        <f t="shared" si="18"/>
        <v>1.5540859571396076E-7</v>
      </c>
      <c r="L207">
        <f t="shared" si="19"/>
        <v>2.090767513522319E-5</v>
      </c>
    </row>
    <row r="208" spans="8:12" x14ac:dyDescent="0.2">
      <c r="H208">
        <f t="shared" si="16"/>
        <v>-5.0750000000000046</v>
      </c>
      <c r="I208">
        <f t="shared" si="15"/>
        <v>1.0189365901318526E-6</v>
      </c>
      <c r="J208">
        <f t="shared" si="17"/>
        <v>-2.7191856171395499E-8</v>
      </c>
      <c r="K208">
        <f t="shared" si="18"/>
        <v>1.3765877186768982E-7</v>
      </c>
      <c r="L208">
        <f t="shared" si="19"/>
        <v>1.8639415855752258E-5</v>
      </c>
    </row>
    <row r="209" spans="8:12" x14ac:dyDescent="0.2">
      <c r="H209">
        <f t="shared" si="16"/>
        <v>-5.100000000000005</v>
      </c>
      <c r="I209">
        <f t="shared" si="15"/>
        <v>8.9724351623830992E-7</v>
      </c>
      <c r="J209">
        <f t="shared" si="17"/>
        <v>-2.3952251329627374E-8</v>
      </c>
      <c r="K209">
        <f t="shared" si="18"/>
        <v>1.2185707863947938E-7</v>
      </c>
      <c r="L209">
        <f t="shared" si="19"/>
        <v>1.6605721172312397E-5</v>
      </c>
    </row>
    <row r="210" spans="8:12" x14ac:dyDescent="0.2">
      <c r="H210">
        <f t="shared" si="16"/>
        <v>-5.1250000000000053</v>
      </c>
      <c r="I210">
        <f t="shared" si="15"/>
        <v>7.8959077406937827E-7</v>
      </c>
      <c r="J210">
        <f t="shared" si="17"/>
        <v>-2.1085428628846403E-8</v>
      </c>
      <c r="K210">
        <f t="shared" si="18"/>
        <v>1.0779925386497734E-7</v>
      </c>
      <c r="L210">
        <f t="shared" si="19"/>
        <v>1.4783675391316925E-5</v>
      </c>
    </row>
    <row r="211" spans="8:12" x14ac:dyDescent="0.2">
      <c r="H211">
        <f t="shared" si="16"/>
        <v>-5.1500000000000057</v>
      </c>
      <c r="I211">
        <f t="shared" si="15"/>
        <v>6.944202353855154E-7</v>
      </c>
      <c r="J211">
        <f t="shared" si="17"/>
        <v>-1.8550137618186434E-8</v>
      </c>
      <c r="K211">
        <f t="shared" si="18"/>
        <v>9.5301332013432911E-8</v>
      </c>
      <c r="L211">
        <f t="shared" si="19"/>
        <v>1.3152450192871723E-5</v>
      </c>
    </row>
    <row r="212" spans="8:12" x14ac:dyDescent="0.2">
      <c r="H212">
        <f t="shared" si="16"/>
        <v>-5.175000000000006</v>
      </c>
      <c r="I212">
        <f t="shared" si="15"/>
        <v>6.1033916066226792E-7</v>
      </c>
      <c r="J212">
        <f t="shared" si="17"/>
        <v>-1.6309492450597522E-8</v>
      </c>
      <c r="K212">
        <f t="shared" si="18"/>
        <v>8.4197754776209801E-8</v>
      </c>
      <c r="L212">
        <f t="shared" si="19"/>
        <v>1.1693131044913574E-5</v>
      </c>
    </row>
    <row r="213" spans="8:12" x14ac:dyDescent="0.2">
      <c r="H213">
        <f t="shared" si="16"/>
        <v>-5.2000000000000064</v>
      </c>
      <c r="I213">
        <f t="shared" si="15"/>
        <v>5.361035344697443E-7</v>
      </c>
      <c r="J213">
        <f t="shared" si="17"/>
        <v>-1.4330533689150358E-8</v>
      </c>
      <c r="K213">
        <f t="shared" si="18"/>
        <v>7.4339643512467577E-8</v>
      </c>
      <c r="L213">
        <f t="shared" si="19"/>
        <v>1.0388556296186277E-5</v>
      </c>
    </row>
    <row r="214" spans="8:12" x14ac:dyDescent="0.2">
      <c r="H214">
        <f t="shared" si="16"/>
        <v>-5.2250000000000068</v>
      </c>
      <c r="I214">
        <f t="shared" si="15"/>
        <v>4.7060297770665687E-7</v>
      </c>
      <c r="J214">
        <f t="shared" si="17"/>
        <v>-1.2583831402205192E-8</v>
      </c>
      <c r="K214">
        <f t="shared" si="18"/>
        <v>6.5593221183994646E-8</v>
      </c>
      <c r="L214">
        <f t="shared" si="19"/>
        <v>9.2231682044726176E-6</v>
      </c>
    </row>
    <row r="215" spans="8:12" x14ac:dyDescent="0.2">
      <c r="H215">
        <f t="shared" si="16"/>
        <v>-5.2500000000000071</v>
      </c>
      <c r="I215">
        <f t="shared" si="15"/>
        <v>4.1284709886298449E-7</v>
      </c>
      <c r="J215">
        <f t="shared" si="17"/>
        <v>-1.1043125957120673E-8</v>
      </c>
      <c r="K215">
        <f t="shared" si="18"/>
        <v>5.78383722004196E-8</v>
      </c>
      <c r="L215">
        <f t="shared" si="19"/>
        <v>8.1828751810176468E-6</v>
      </c>
    </row>
    <row r="216" spans="8:12" x14ac:dyDescent="0.2">
      <c r="H216">
        <f t="shared" si="16"/>
        <v>-5.2750000000000075</v>
      </c>
      <c r="I216">
        <f t="shared" si="15"/>
        <v>3.6195315730454275E-7</v>
      </c>
      <c r="J216">
        <f t="shared" si="17"/>
        <v>-9.6850032020942291E-9</v>
      </c>
      <c r="K216">
        <f t="shared" si="18"/>
        <v>5.0967329351020953E-8</v>
      </c>
      <c r="L216">
        <f t="shared" si="19"/>
        <v>7.2549245579961216E-6</v>
      </c>
    </row>
    <row r="217" spans="8:12" x14ac:dyDescent="0.2">
      <c r="H217">
        <f t="shared" si="16"/>
        <v>-5.3000000000000078</v>
      </c>
      <c r="I217">
        <f t="shared" si="15"/>
        <v>3.1713492167158462E-7</v>
      </c>
      <c r="J217">
        <f t="shared" si="17"/>
        <v>-8.4886009872017136E-9</v>
      </c>
      <c r="K217">
        <f t="shared" si="18"/>
        <v>4.4883477719829128E-8</v>
      </c>
      <c r="L217">
        <f t="shared" si="19"/>
        <v>6.4277852128488564E-6</v>
      </c>
    </row>
    <row r="218" spans="8:12" x14ac:dyDescent="0.2">
      <c r="H218">
        <f t="shared" si="16"/>
        <v>-5.3250000000000082</v>
      </c>
      <c r="I218">
        <f t="shared" si="15"/>
        <v>2.7769261589659089E-7</v>
      </c>
      <c r="J218">
        <f t="shared" si="17"/>
        <v>-7.4353442196023001E-9</v>
      </c>
      <c r="K218">
        <f t="shared" si="18"/>
        <v>3.9500266166637277E-8</v>
      </c>
      <c r="L218">
        <f t="shared" si="19"/>
        <v>5.6910394110307356E-6</v>
      </c>
    </row>
    <row r="219" spans="8:12" x14ac:dyDescent="0.2">
      <c r="H219">
        <f t="shared" si="16"/>
        <v>-5.3500000000000085</v>
      </c>
      <c r="I219">
        <f t="shared" si="15"/>
        <v>2.4300385410804185E-7</v>
      </c>
      <c r="J219">
        <f t="shared" si="17"/>
        <v>-6.508705875058001E-9</v>
      </c>
      <c r="K219">
        <f t="shared" si="18"/>
        <v>3.4740217608122135E-8</v>
      </c>
      <c r="L219">
        <f t="shared" si="19"/>
        <v>5.0352832569013592E-6</v>
      </c>
    </row>
    <row r="220" spans="8:12" x14ac:dyDescent="0.2">
      <c r="H220">
        <f t="shared" si="16"/>
        <v>-5.3750000000000089</v>
      </c>
      <c r="I220">
        <f t="shared" si="15"/>
        <v>2.1251547383101861E-7</v>
      </c>
      <c r="J220">
        <f t="shared" si="17"/>
        <v>-5.6939915992383364E-9</v>
      </c>
      <c r="K220">
        <f t="shared" si="18"/>
        <v>3.0534029950915629E-8</v>
      </c>
      <c r="L220">
        <f t="shared" si="19"/>
        <v>4.4520351708993332E-6</v>
      </c>
    </row>
  </sheetData>
  <pageMargins left="0.7" right="0.7" top="0.75" bottom="0.75" header="0.3" footer="0.3"/>
  <pageSetup orientation="portrait" horizontalDpi="1200" verticalDpi="120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DNPV Graph</vt:lpstr>
      <vt:lpstr>Financial model</vt:lpstr>
      <vt:lpstr>Debt Repayment profiles</vt:lpstr>
      <vt:lpstr>DNPV Input</vt:lpstr>
      <vt:lpstr>Risk Analysis</vt:lpstr>
      <vt:lpstr>Risk Valuation</vt:lpstr>
      <vt:lpstr>Bond Yield</vt:lpstr>
      <vt:lpstr>CG of Radiation Loss</vt:lpstr>
      <vt:lpstr>'CG of Radiation Loss'!a</vt:lpstr>
      <vt:lpstr>'CG of Radiation Loss'!d</vt:lpstr>
      <vt:lpstr>'Risk Valuation'!d</vt:lpstr>
      <vt:lpstr>'CG of Radiation Loss'!d1.</vt:lpstr>
      <vt:lpstr>'Risk Valuation'!d1.</vt:lpstr>
      <vt:lpstr>'CG of Radiation Loss'!DELt</vt:lpstr>
      <vt:lpstr>'Risk Valuation'!DELt</vt:lpstr>
      <vt:lpstr>'CG of Radiation Loss'!duration</vt:lpstr>
      <vt:lpstr>duration</vt:lpstr>
      <vt:lpstr>'CG of Radiation Loss'!numperiods</vt:lpstr>
      <vt:lpstr>'Risk Valuation'!numperiods</vt:lpstr>
      <vt:lpstr>'CG of Radiation Loss'!p</vt:lpstr>
      <vt:lpstr>'Debt Repayment profiles'!Print_Area</vt:lpstr>
      <vt:lpstr>'Financial model'!Print_Area</vt:lpstr>
      <vt:lpstr>'CG of Radiation Loss'!rf</vt:lpstr>
      <vt:lpstr>'Risk Valuation'!rf</vt:lpstr>
      <vt:lpstr>'CG of Radiation Loss'!S</vt:lpstr>
      <vt:lpstr>'Risk Valuation'!S</vt:lpstr>
      <vt:lpstr>'CG of Radiation Loss'!T</vt:lpstr>
      <vt:lpstr>'Risk Valuation'!T</vt:lpstr>
      <vt:lpstr>'CG of Radiation Loss'!u</vt:lpstr>
      <vt:lpstr>'Risk Valuation'!u</vt:lpstr>
      <vt:lpstr>'CG of Radiation Loss'!VALUE</vt:lpstr>
      <vt:lpstr>'Risk Valuation'!X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Syera BONNEAUX</dc:creator>
  <cp:lastModifiedBy>David Espinoza</cp:lastModifiedBy>
  <cp:lastPrinted>2012-03-07T12:18:38Z</cp:lastPrinted>
  <dcterms:created xsi:type="dcterms:W3CDTF">2012-01-26T16:14:50Z</dcterms:created>
  <dcterms:modified xsi:type="dcterms:W3CDTF">2024-12-20T00:31:17Z</dcterms:modified>
</cp:coreProperties>
</file>